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20115" windowHeight="7560"/>
  </bookViews>
  <sheets>
    <sheet name="RevReq" sheetId="1" r:id="rId1"/>
    <sheet name="PFAs" sheetId="2" r:id="rId2"/>
    <sheet name="Adj BS" sheetId="17" r:id="rId3"/>
    <sheet name="Adj IS" sheetId="18" r:id="rId4"/>
    <sheet name="1.01 FAC" sheetId="22" r:id="rId5"/>
    <sheet name="1.02 ES" sheetId="24" r:id="rId6"/>
    <sheet name="1.03 MRSM" sheetId="25" r:id="rId7"/>
    <sheet name="1.04 NonFACPPA" sheetId="23" r:id="rId8"/>
    <sheet name="1.05 RateSwitch" sheetId="3" r:id="rId9"/>
    <sheet name="1.06 DonaAdsDues" sheetId="4" r:id="rId10"/>
    <sheet name="1.07 401k" sheetId="6" r:id="rId11"/>
    <sheet name="1.08 LifeInsur" sheetId="20" r:id="rId12"/>
    <sheet name="1.09 RC" sheetId="8" r:id="rId13"/>
    <sheet name="1.10 Interest" sheetId="9" r:id="rId14"/>
    <sheet name="1.11 YearEndCust" sheetId="10" r:id="rId15"/>
    <sheet name="1.12 Wages" sheetId="12" r:id="rId16"/>
    <sheet name="1.13 NonOper" sheetId="13" r:id="rId17"/>
    <sheet name="1.14 Depr" sheetId="26" r:id="rId18"/>
    <sheet name="1.15 BOD" sheetId="15" r:id="rId19"/>
    <sheet name="1.16 Health" sheetId="27" r:id="rId20"/>
  </sheets>
  <definedNames>
    <definedName name="_xlnm.Print_Area" localSheetId="4">'1.01 FAC'!$A$1:$H$34</definedName>
    <definedName name="_xlnm.Print_Area" localSheetId="5">'1.02 ES'!$A$1:$H$34</definedName>
    <definedName name="_xlnm.Print_Area" localSheetId="6">'1.03 MRSM'!$A$1:$H$34</definedName>
    <definedName name="_xlnm.Print_Area" localSheetId="7">'1.04 NonFACPPA'!$A$1:$H$34</definedName>
    <definedName name="_xlnm.Print_Area" localSheetId="8">'1.05 RateSwitch'!$A$1:$G$50</definedName>
    <definedName name="_xlnm.Print_Area" localSheetId="9">'1.06 DonaAdsDues'!$A$1:$L$27</definedName>
    <definedName name="_xlnm.Print_Area" localSheetId="10">'1.07 401k'!$A$1:$N$35</definedName>
    <definedName name="_xlnm.Print_Area" localSheetId="11">'1.08 LifeInsur'!$A$1:$H$58</definedName>
    <definedName name="_xlnm.Print_Area" localSheetId="12">'1.09 RC'!$A$1:$D$28</definedName>
    <definedName name="_xlnm.Print_Area" localSheetId="13">'1.10 Interest'!$A$1:$F$31</definedName>
    <definedName name="_xlnm.Print_Area" localSheetId="14">'1.11 YearEndCust'!$A$1:$K$60</definedName>
    <definedName name="_xlnm.Print_Area" localSheetId="15">'1.12 Wages'!$A$1:$X$129</definedName>
    <definedName name="_xlnm.Print_Area" localSheetId="16">'1.13 NonOper'!$A$1:$F$27</definedName>
    <definedName name="_xlnm.Print_Area" localSheetId="17">'1.14 Depr'!$A$1:$J$67</definedName>
    <definedName name="_xlnm.Print_Area" localSheetId="18">'1.15 BOD'!$A$1:$K$31</definedName>
    <definedName name="_xlnm.Print_Area" localSheetId="19">'1.16 Health'!$B$1:$H$26</definedName>
    <definedName name="_xlnm.Print_Area" localSheetId="2">'Adj BS'!$A$1:$F$69</definedName>
    <definedName name="_xlnm.Print_Area" localSheetId="3">'Adj IS'!$A$1:$S$40</definedName>
    <definedName name="_xlnm.Print_Area" localSheetId="1">PFAs!$A$1:$G$25</definedName>
    <definedName name="_xlnm.Print_Area" localSheetId="0">RevReq!$A$1:$F$52</definedName>
    <definedName name="_xlnm.Print_Titles" localSheetId="14">'1.11 YearEndCust'!$1:$11</definedName>
    <definedName name="_xlnm.Print_Titles" localSheetId="15">'1.12 Wages'!$1:$7</definedName>
  </definedNames>
  <calcPr calcId="145621"/>
</workbook>
</file>

<file path=xl/calcChain.xml><?xml version="1.0" encoding="utf-8"?>
<calcChain xmlns="http://schemas.openxmlformats.org/spreadsheetml/2006/main">
  <c r="S9" i="18" l="1"/>
  <c r="S10" i="18"/>
  <c r="S11" i="18"/>
  <c r="S12" i="18"/>
  <c r="S13" i="18"/>
  <c r="S14" i="18"/>
  <c r="S15" i="18"/>
  <c r="S16" i="18"/>
  <c r="S18" i="18"/>
  <c r="S19" i="18"/>
  <c r="S21" i="18"/>
  <c r="S24" i="18"/>
  <c r="S25" i="18"/>
  <c r="S26" i="18"/>
  <c r="S27" i="18"/>
  <c r="S28" i="18"/>
  <c r="S29" i="18"/>
  <c r="S31" i="18"/>
  <c r="S33" i="18"/>
  <c r="S34" i="18"/>
  <c r="S35" i="18"/>
  <c r="S36" i="18"/>
  <c r="S37" i="18"/>
  <c r="S38" i="18"/>
  <c r="S39" i="18"/>
  <c r="S8" i="18"/>
  <c r="R5" i="18"/>
  <c r="R38" i="18"/>
  <c r="R11" i="18"/>
  <c r="A16" i="27"/>
  <c r="A17" i="27"/>
  <c r="A18" i="27"/>
  <c r="A19" i="27" s="1"/>
  <c r="A20" i="27" s="1"/>
  <c r="A21" i="27" s="1"/>
  <c r="F20" i="27"/>
  <c r="F19" i="27"/>
  <c r="F18" i="27"/>
  <c r="A15" i="27"/>
  <c r="D16" i="27"/>
  <c r="C16" i="27"/>
  <c r="E15" i="27"/>
  <c r="G15" i="27" s="1"/>
  <c r="H15" i="27" s="1"/>
  <c r="E14" i="27"/>
  <c r="E16" i="27" s="1"/>
  <c r="G14" i="27" l="1"/>
  <c r="E34" i="1"/>
  <c r="E10" i="1"/>
  <c r="H14" i="27" l="1"/>
  <c r="H16" i="27" s="1"/>
  <c r="G16" i="27"/>
  <c r="A14" i="8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13" i="8"/>
  <c r="H18" i="27" l="1"/>
  <c r="H21" i="27" s="1"/>
  <c r="E22" i="2" s="1"/>
  <c r="R22" i="18" s="1"/>
  <c r="H19" i="27"/>
  <c r="D104" i="12"/>
  <c r="F104" i="12" s="1"/>
  <c r="H104" i="12" s="1"/>
  <c r="I104" i="12" s="1"/>
  <c r="J104" i="12" s="1"/>
  <c r="L104" i="12" s="1"/>
  <c r="M104" i="12" s="1"/>
  <c r="N104" i="12" s="1"/>
  <c r="O104" i="12" s="1"/>
  <c r="Q104" i="12" s="1"/>
  <c r="S104" i="12" s="1"/>
  <c r="T104" i="12" s="1"/>
  <c r="U104" i="12" s="1"/>
  <c r="V104" i="12" s="1"/>
  <c r="X104" i="12" s="1"/>
  <c r="A52" i="26"/>
  <c r="A53" i="26"/>
  <c r="A54" i="26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F48" i="26"/>
  <c r="I48" i="26"/>
  <c r="E48" i="26"/>
  <c r="R23" i="18" l="1"/>
  <c r="I40" i="26"/>
  <c r="I41" i="26" s="1"/>
  <c r="F40" i="26"/>
  <c r="E40" i="26"/>
  <c r="H39" i="26"/>
  <c r="J39" i="26" s="1"/>
  <c r="H38" i="26"/>
  <c r="J38" i="26" s="1"/>
  <c r="H47" i="26"/>
  <c r="J47" i="26" s="1"/>
  <c r="H37" i="26"/>
  <c r="J37" i="26" s="1"/>
  <c r="H36" i="26"/>
  <c r="J36" i="26" s="1"/>
  <c r="H46" i="26"/>
  <c r="J46" i="26" s="1"/>
  <c r="H45" i="26"/>
  <c r="J45" i="26" s="1"/>
  <c r="H44" i="26"/>
  <c r="H35" i="26"/>
  <c r="J35" i="26" s="1"/>
  <c r="H34" i="26"/>
  <c r="J34" i="26" s="1"/>
  <c r="H33" i="26"/>
  <c r="J33" i="26" s="1"/>
  <c r="F29" i="26"/>
  <c r="E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A12" i="26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R30" i="18" l="1"/>
  <c r="J44" i="26"/>
  <c r="H48" i="26"/>
  <c r="E41" i="26"/>
  <c r="F41" i="26"/>
  <c r="H29" i="26"/>
  <c r="J29" i="26" s="1"/>
  <c r="H40" i="26"/>
  <c r="J40" i="26" s="1"/>
  <c r="R32" i="18" l="1"/>
  <c r="J48" i="26"/>
  <c r="H41" i="26"/>
  <c r="J41" i="26"/>
  <c r="R40" i="18" l="1"/>
  <c r="D15" i="8"/>
  <c r="D17" i="8" s="1"/>
  <c r="D19" i="8" s="1"/>
  <c r="D23" i="8" s="1"/>
  <c r="D25" i="8" s="1"/>
  <c r="E15" i="2" s="1"/>
  <c r="E10" i="2" l="1"/>
  <c r="D10" i="2"/>
  <c r="E9" i="2"/>
  <c r="D9" i="2"/>
  <c r="E8" i="2"/>
  <c r="D8" i="2"/>
  <c r="E7" i="2"/>
  <c r="D7" i="2"/>
  <c r="C14" i="23"/>
  <c r="C15" i="23" s="1"/>
  <c r="C16" i="23" s="1"/>
  <c r="C17" i="23" s="1"/>
  <c r="C18" i="23" s="1"/>
  <c r="C19" i="23" s="1"/>
  <c r="C20" i="23" s="1"/>
  <c r="C21" i="23" s="1"/>
  <c r="C22" i="23" s="1"/>
  <c r="C23" i="23" s="1"/>
  <c r="C24" i="23" s="1"/>
  <c r="C14" i="25"/>
  <c r="C15" i="25" s="1"/>
  <c r="C16" i="25" s="1"/>
  <c r="C17" i="25" s="1"/>
  <c r="C18" i="25" s="1"/>
  <c r="C19" i="25" s="1"/>
  <c r="C20" i="25" s="1"/>
  <c r="C21" i="25" s="1"/>
  <c r="C22" i="25" s="1"/>
  <c r="C23" i="25" s="1"/>
  <c r="C24" i="25" s="1"/>
  <c r="C14" i="24"/>
  <c r="C15" i="24" s="1"/>
  <c r="C16" i="24" s="1"/>
  <c r="C17" i="24" s="1"/>
  <c r="C18" i="24" s="1"/>
  <c r="C19" i="24" s="1"/>
  <c r="C20" i="24" s="1"/>
  <c r="C21" i="24" s="1"/>
  <c r="C22" i="24" s="1"/>
  <c r="C23" i="24" s="1"/>
  <c r="C24" i="24" s="1"/>
  <c r="C15" i="22"/>
  <c r="C16" i="22"/>
  <c r="C17" i="22"/>
  <c r="C18" i="22" s="1"/>
  <c r="C19" i="22" s="1"/>
  <c r="C20" i="22" s="1"/>
  <c r="C21" i="22" s="1"/>
  <c r="C22" i="22" s="1"/>
  <c r="C23" i="22" s="1"/>
  <c r="C24" i="22" s="1"/>
  <c r="C14" i="22"/>
  <c r="F27" i="25"/>
  <c r="F31" i="25" s="1"/>
  <c r="H25" i="25"/>
  <c r="H27" i="25" s="1"/>
  <c r="H31" i="25" s="1"/>
  <c r="F25" i="25"/>
  <c r="H25" i="24"/>
  <c r="H27" i="24" s="1"/>
  <c r="H31" i="24" s="1"/>
  <c r="F25" i="24"/>
  <c r="F27" i="24" s="1"/>
  <c r="F31" i="24" s="1"/>
  <c r="F27" i="23"/>
  <c r="F31" i="23" s="1"/>
  <c r="H25" i="23"/>
  <c r="H27" i="23" s="1"/>
  <c r="H31" i="23" s="1"/>
  <c r="F25" i="23"/>
  <c r="H25" i="22"/>
  <c r="H27" i="22" s="1"/>
  <c r="H31" i="22" s="1"/>
  <c r="F25" i="22"/>
  <c r="F27" i="22" s="1"/>
  <c r="F31" i="22" s="1"/>
  <c r="G8" i="2" l="1"/>
  <c r="G9" i="2"/>
  <c r="G10" i="2"/>
  <c r="G22" i="2"/>
  <c r="G23" i="2"/>
  <c r="G24" i="2"/>
  <c r="G7" i="2"/>
  <c r="B47" i="20"/>
  <c r="H52" i="20" s="1"/>
  <c r="E46" i="20"/>
  <c r="F46" i="20" s="1"/>
  <c r="E45" i="20"/>
  <c r="F45" i="20" s="1"/>
  <c r="E44" i="20"/>
  <c r="F44" i="20" s="1"/>
  <c r="E43" i="20"/>
  <c r="F43" i="20" s="1"/>
  <c r="E42" i="20"/>
  <c r="F42" i="20" s="1"/>
  <c r="E41" i="20"/>
  <c r="F41" i="20" s="1"/>
  <c r="E40" i="20"/>
  <c r="F40" i="20" s="1"/>
  <c r="E39" i="20"/>
  <c r="F39" i="20" s="1"/>
  <c r="E38" i="20"/>
  <c r="F38" i="20" s="1"/>
  <c r="E37" i="20"/>
  <c r="F37" i="20" s="1"/>
  <c r="E36" i="20"/>
  <c r="F36" i="20" s="1"/>
  <c r="E35" i="20"/>
  <c r="F35" i="20" s="1"/>
  <c r="E34" i="20"/>
  <c r="F34" i="20" s="1"/>
  <c r="E33" i="20"/>
  <c r="F33" i="20" s="1"/>
  <c r="E32" i="20"/>
  <c r="F32" i="20" s="1"/>
  <c r="E31" i="20"/>
  <c r="F31" i="20" s="1"/>
  <c r="E30" i="20"/>
  <c r="F30" i="20" s="1"/>
  <c r="E29" i="20"/>
  <c r="F29" i="20" s="1"/>
  <c r="E28" i="20"/>
  <c r="F28" i="20" s="1"/>
  <c r="E27" i="20"/>
  <c r="F27" i="20" s="1"/>
  <c r="E26" i="20"/>
  <c r="F26" i="20" s="1"/>
  <c r="E25" i="20"/>
  <c r="F25" i="20" s="1"/>
  <c r="E24" i="20"/>
  <c r="F24" i="20" s="1"/>
  <c r="E23" i="20"/>
  <c r="F23" i="20" s="1"/>
  <c r="E22" i="20"/>
  <c r="F22" i="20" s="1"/>
  <c r="E21" i="20"/>
  <c r="G21" i="20" s="1"/>
  <c r="E20" i="20"/>
  <c r="F20" i="20" s="1"/>
  <c r="E19" i="20"/>
  <c r="G19" i="20" s="1"/>
  <c r="E18" i="20"/>
  <c r="F18" i="20" s="1"/>
  <c r="E17" i="20"/>
  <c r="G17" i="20" s="1"/>
  <c r="E16" i="20"/>
  <c r="F16" i="20" s="1"/>
  <c r="E15" i="20"/>
  <c r="G15" i="20" s="1"/>
  <c r="E14" i="20"/>
  <c r="G14" i="20" s="1"/>
  <c r="E13" i="20"/>
  <c r="F13" i="20" s="1"/>
  <c r="E12" i="20"/>
  <c r="G12" i="20" s="1"/>
  <c r="F12" i="20" l="1"/>
  <c r="H12" i="20" s="1"/>
  <c r="F14" i="20"/>
  <c r="H14" i="20" s="1"/>
  <c r="F15" i="20"/>
  <c r="H15" i="20" s="1"/>
  <c r="F17" i="20"/>
  <c r="H17" i="20" s="1"/>
  <c r="F19" i="20"/>
  <c r="H19" i="20" s="1"/>
  <c r="B65" i="20" s="1"/>
  <c r="C65" i="20" s="1"/>
  <c r="F21" i="20"/>
  <c r="H21" i="20" s="1"/>
  <c r="G13" i="20"/>
  <c r="H13" i="20" s="1"/>
  <c r="G16" i="20"/>
  <c r="H16" i="20" s="1"/>
  <c r="B67" i="20" s="1"/>
  <c r="G18" i="20"/>
  <c r="H18" i="20" s="1"/>
  <c r="G20" i="20"/>
  <c r="H20" i="20" s="1"/>
  <c r="G22" i="20"/>
  <c r="H22" i="20" s="1"/>
  <c r="G23" i="20"/>
  <c r="H23" i="20" s="1"/>
  <c r="G24" i="20"/>
  <c r="H24" i="20" s="1"/>
  <c r="G25" i="20"/>
  <c r="H25" i="20" s="1"/>
  <c r="G26" i="20"/>
  <c r="H26" i="20" s="1"/>
  <c r="G27" i="20"/>
  <c r="H27" i="20" s="1"/>
  <c r="B71" i="20" s="1"/>
  <c r="C71" i="20" s="1"/>
  <c r="G28" i="20"/>
  <c r="H28" i="20" s="1"/>
  <c r="G29" i="20"/>
  <c r="H29" i="20" s="1"/>
  <c r="G30" i="20"/>
  <c r="H30" i="20" s="1"/>
  <c r="G31" i="20"/>
  <c r="H31" i="20" s="1"/>
  <c r="G32" i="20"/>
  <c r="H32" i="20" s="1"/>
  <c r="G33" i="20"/>
  <c r="H33" i="20" s="1"/>
  <c r="G34" i="20"/>
  <c r="H34" i="20" s="1"/>
  <c r="G35" i="20"/>
  <c r="H35" i="20" s="1"/>
  <c r="G36" i="20"/>
  <c r="H36" i="20" s="1"/>
  <c r="G37" i="20"/>
  <c r="H37" i="20" s="1"/>
  <c r="G38" i="20"/>
  <c r="H38" i="20" s="1"/>
  <c r="G39" i="20"/>
  <c r="H39" i="20" s="1"/>
  <c r="G40" i="20"/>
  <c r="H40" i="20" s="1"/>
  <c r="G41" i="20"/>
  <c r="H41" i="20" s="1"/>
  <c r="G42" i="20"/>
  <c r="H42" i="20" s="1"/>
  <c r="G43" i="20"/>
  <c r="H43" i="20" s="1"/>
  <c r="G44" i="20"/>
  <c r="H44" i="20" s="1"/>
  <c r="G45" i="20"/>
  <c r="H45" i="20" s="1"/>
  <c r="G46" i="20"/>
  <c r="H46" i="20" s="1"/>
  <c r="C67" i="20" l="1"/>
  <c r="B68" i="20"/>
  <c r="C68" i="20" s="1"/>
  <c r="B70" i="20"/>
  <c r="H47" i="20"/>
  <c r="H49" i="20" s="1"/>
  <c r="H54" i="20" s="1"/>
  <c r="H56" i="20" s="1"/>
  <c r="E14" i="2" s="1"/>
  <c r="G14" i="2" s="1"/>
  <c r="B64" i="20"/>
  <c r="B69" i="20"/>
  <c r="C69" i="20" s="1"/>
  <c r="B66" i="20"/>
  <c r="C66" i="20" s="1"/>
  <c r="D73" i="20" l="1"/>
  <c r="J17" i="18" s="1"/>
  <c r="C64" i="20"/>
  <c r="D75" i="20"/>
  <c r="D78" i="20"/>
  <c r="J22" i="18" s="1"/>
  <c r="C70" i="20"/>
  <c r="D79" i="20" l="1"/>
  <c r="J19" i="18"/>
  <c r="A9" i="17" l="1"/>
  <c r="A10" i="17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F58" i="17"/>
  <c r="D51" i="17"/>
  <c r="F49" i="17"/>
  <c r="Q17" i="12" l="1"/>
  <c r="F16" i="18" l="1"/>
  <c r="F9" i="18"/>
  <c r="E16" i="18"/>
  <c r="E9" i="18"/>
  <c r="D16" i="18"/>
  <c r="D9" i="18"/>
  <c r="C16" i="18"/>
  <c r="C9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Q38" i="18" l="1"/>
  <c r="P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D37" i="1"/>
  <c r="E37" i="1" s="1"/>
  <c r="D33" i="1"/>
  <c r="E33" i="1" s="1"/>
  <c r="D27" i="1"/>
  <c r="E27" i="1" s="1"/>
  <c r="P23" i="18"/>
  <c r="O23" i="18"/>
  <c r="O30" i="18" s="1"/>
  <c r="L23" i="18"/>
  <c r="G23" i="18"/>
  <c r="F23" i="18"/>
  <c r="F30" i="18" s="1"/>
  <c r="J23" i="18"/>
  <c r="J30" i="18" s="1"/>
  <c r="E23" i="18"/>
  <c r="E30" i="18" s="1"/>
  <c r="Q11" i="18"/>
  <c r="P11" i="18"/>
  <c r="O11" i="18"/>
  <c r="N11" i="18"/>
  <c r="L11" i="18"/>
  <c r="K11" i="18"/>
  <c r="J11" i="18"/>
  <c r="I11" i="18"/>
  <c r="H11" i="18"/>
  <c r="F11" i="18"/>
  <c r="E11" i="18"/>
  <c r="D11" i="18"/>
  <c r="C11" i="18"/>
  <c r="A7" i="18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F63" i="17"/>
  <c r="F62" i="17"/>
  <c r="E60" i="17"/>
  <c r="D60" i="17"/>
  <c r="F59" i="17"/>
  <c r="F57" i="17"/>
  <c r="F56" i="17"/>
  <c r="F55" i="17"/>
  <c r="F53" i="17"/>
  <c r="E51" i="17"/>
  <c r="F50" i="17"/>
  <c r="F48" i="17"/>
  <c r="F47" i="17"/>
  <c r="F46" i="17"/>
  <c r="F45" i="17"/>
  <c r="E43" i="17"/>
  <c r="D43" i="17"/>
  <c r="F42" i="17"/>
  <c r="F41" i="17"/>
  <c r="F43" i="17" s="1"/>
  <c r="F40" i="17"/>
  <c r="F39" i="17"/>
  <c r="F38" i="17"/>
  <c r="F33" i="17"/>
  <c r="F32" i="17"/>
  <c r="E30" i="17"/>
  <c r="D30" i="17"/>
  <c r="F29" i="17"/>
  <c r="F28" i="17"/>
  <c r="F27" i="17"/>
  <c r="F26" i="17"/>
  <c r="F25" i="17"/>
  <c r="F24" i="17"/>
  <c r="F23" i="17"/>
  <c r="F22" i="17"/>
  <c r="F21" i="17"/>
  <c r="F20" i="17"/>
  <c r="E18" i="17"/>
  <c r="D18" i="17"/>
  <c r="F17" i="17"/>
  <c r="F16" i="17"/>
  <c r="F15" i="17"/>
  <c r="F14" i="17"/>
  <c r="E12" i="17"/>
  <c r="F11" i="17"/>
  <c r="D10" i="17"/>
  <c r="F9" i="17"/>
  <c r="F8" i="17"/>
  <c r="A8" i="17"/>
  <c r="D6" i="17"/>
  <c r="E6" i="17" s="1"/>
  <c r="E64" i="17" l="1"/>
  <c r="F18" i="17"/>
  <c r="O32" i="18"/>
  <c r="C23" i="18"/>
  <c r="C30" i="18" s="1"/>
  <c r="D23" i="18"/>
  <c r="D30" i="18" s="1"/>
  <c r="G30" i="18"/>
  <c r="D12" i="17"/>
  <c r="F10" i="17"/>
  <c r="F12" i="17" s="1"/>
  <c r="E32" i="18"/>
  <c r="E40" i="18" s="1"/>
  <c r="D36" i="1"/>
  <c r="E36" i="1" s="1"/>
  <c r="F60" i="17"/>
  <c r="D24" i="1"/>
  <c r="E24" i="1" s="1"/>
  <c r="D35" i="17"/>
  <c r="F32" i="18"/>
  <c r="F40" i="18" s="1"/>
  <c r="J32" i="18"/>
  <c r="J40" i="18" s="1"/>
  <c r="F30" i="17"/>
  <c r="E35" i="17"/>
  <c r="F51" i="17"/>
  <c r="D64" i="17"/>
  <c r="F64" i="17" l="1"/>
  <c r="F35" i="17"/>
  <c r="C32" i="18"/>
  <c r="C40" i="18" s="1"/>
  <c r="D32" i="18"/>
  <c r="D40" i="18" s="1"/>
  <c r="C26" i="15" l="1"/>
  <c r="C25" i="15"/>
  <c r="C24" i="15"/>
  <c r="C23" i="15"/>
  <c r="C21" i="15"/>
  <c r="C27" i="15" s="1"/>
  <c r="J25" i="15" s="1"/>
  <c r="J27" i="15" s="1"/>
  <c r="E21" i="2" s="1"/>
  <c r="G21" i="2" s="1"/>
  <c r="K16" i="15"/>
  <c r="J16" i="15"/>
  <c r="I16" i="15"/>
  <c r="H16" i="15"/>
  <c r="G16" i="15"/>
  <c r="F16" i="15"/>
  <c r="E16" i="15"/>
  <c r="D16" i="15"/>
  <c r="C16" i="15"/>
  <c r="Q22" i="18" l="1"/>
  <c r="Q23" i="18" s="1"/>
  <c r="Q30" i="18" s="1"/>
  <c r="Q32" i="18" s="1"/>
  <c r="Q40" i="18" s="1"/>
  <c r="E23" i="13" l="1"/>
  <c r="D23" i="13"/>
  <c r="F22" i="13"/>
  <c r="C21" i="13"/>
  <c r="C23" i="13" s="1"/>
  <c r="F20" i="13"/>
  <c r="F19" i="13"/>
  <c r="F18" i="13"/>
  <c r="F17" i="13"/>
  <c r="F16" i="13"/>
  <c r="F15" i="13"/>
  <c r="F14" i="13"/>
  <c r="F13" i="13"/>
  <c r="F12" i="13"/>
  <c r="F11" i="13"/>
  <c r="F21" i="13" l="1"/>
  <c r="F23" i="13" s="1"/>
  <c r="O35" i="18" l="1"/>
  <c r="F19" i="2"/>
  <c r="G19" i="2" s="1"/>
  <c r="C99" i="12"/>
  <c r="K181" i="12"/>
  <c r="M179" i="12" s="1"/>
  <c r="M180" i="12"/>
  <c r="M178" i="12"/>
  <c r="M177" i="12"/>
  <c r="M176" i="12"/>
  <c r="M175" i="12"/>
  <c r="M174" i="12"/>
  <c r="M173" i="12"/>
  <c r="M120" i="12" s="1"/>
  <c r="E61" i="26" s="1"/>
  <c r="F61" i="26" s="1"/>
  <c r="M172" i="12"/>
  <c r="M171" i="12"/>
  <c r="M170" i="12"/>
  <c r="O169" i="12"/>
  <c r="M169" i="12"/>
  <c r="M168" i="12"/>
  <c r="M167" i="12"/>
  <c r="M166" i="12"/>
  <c r="M165" i="12"/>
  <c r="M164" i="12"/>
  <c r="M163" i="12"/>
  <c r="O162" i="12"/>
  <c r="M162" i="12"/>
  <c r="M161" i="12"/>
  <c r="O160" i="12"/>
  <c r="M160" i="12"/>
  <c r="M159" i="12"/>
  <c r="O158" i="12"/>
  <c r="O165" i="12" s="1"/>
  <c r="O167" i="12" s="1"/>
  <c r="M158" i="12"/>
  <c r="M157" i="12"/>
  <c r="M156" i="12"/>
  <c r="M155" i="12"/>
  <c r="M154" i="12"/>
  <c r="M153" i="12"/>
  <c r="M152" i="12"/>
  <c r="M151" i="12"/>
  <c r="M150" i="12"/>
  <c r="M149" i="12"/>
  <c r="M148" i="12"/>
  <c r="M147" i="12"/>
  <c r="M146" i="12"/>
  <c r="M145" i="12"/>
  <c r="M144" i="12"/>
  <c r="M143" i="12"/>
  <c r="M142" i="12"/>
  <c r="M141" i="12"/>
  <c r="M140" i="12"/>
  <c r="M139" i="12"/>
  <c r="M124" i="12" s="1"/>
  <c r="L124" i="12"/>
  <c r="K126" i="12" s="1"/>
  <c r="L121" i="12"/>
  <c r="L120" i="12"/>
  <c r="L119" i="12"/>
  <c r="L118" i="12"/>
  <c r="L117" i="12"/>
  <c r="N99" i="12"/>
  <c r="M99" i="12"/>
  <c r="L99" i="12"/>
  <c r="J99" i="12"/>
  <c r="I99" i="12"/>
  <c r="H99" i="12"/>
  <c r="Z98" i="12"/>
  <c r="AA98" i="12" s="1"/>
  <c r="AB98" i="12" s="1"/>
  <c r="AC98" i="12" s="1"/>
  <c r="T98" i="12" s="1"/>
  <c r="U98" i="12"/>
  <c r="S98" i="12"/>
  <c r="O98" i="12"/>
  <c r="Z97" i="12"/>
  <c r="AA97" i="12" s="1"/>
  <c r="AB97" i="12" s="1"/>
  <c r="AC97" i="12" s="1"/>
  <c r="T97" i="12" s="1"/>
  <c r="U97" i="12"/>
  <c r="S97" i="12"/>
  <c r="O97" i="12"/>
  <c r="Z96" i="12"/>
  <c r="AA96" i="12" s="1"/>
  <c r="AB96" i="12" s="1"/>
  <c r="AC96" i="12" s="1"/>
  <c r="T96" i="12" s="1"/>
  <c r="U96" i="12"/>
  <c r="S96" i="12"/>
  <c r="O96" i="12"/>
  <c r="Z95" i="12"/>
  <c r="AA95" i="12" s="1"/>
  <c r="AB95" i="12" s="1"/>
  <c r="AC95" i="12" s="1"/>
  <c r="T95" i="12" s="1"/>
  <c r="U95" i="12"/>
  <c r="S95" i="12"/>
  <c r="O95" i="12"/>
  <c r="Z94" i="12"/>
  <c r="AA94" i="12" s="1"/>
  <c r="AB94" i="12" s="1"/>
  <c r="AC94" i="12" s="1"/>
  <c r="T94" i="12" s="1"/>
  <c r="U94" i="12"/>
  <c r="S94" i="12"/>
  <c r="O94" i="12"/>
  <c r="Z93" i="12"/>
  <c r="AA93" i="12" s="1"/>
  <c r="AB93" i="12" s="1"/>
  <c r="AC93" i="12" s="1"/>
  <c r="T93" i="12" s="1"/>
  <c r="U93" i="12"/>
  <c r="S93" i="12"/>
  <c r="O93" i="12"/>
  <c r="Z92" i="12"/>
  <c r="AA92" i="12" s="1"/>
  <c r="AB92" i="12" s="1"/>
  <c r="AC92" i="12" s="1"/>
  <c r="T92" i="12" s="1"/>
  <c r="U92" i="12"/>
  <c r="S92" i="12"/>
  <c r="O92" i="12"/>
  <c r="Z91" i="12"/>
  <c r="AA91" i="12" s="1"/>
  <c r="AB91" i="12" s="1"/>
  <c r="AC91" i="12" s="1"/>
  <c r="T91" i="12" s="1"/>
  <c r="U91" i="12"/>
  <c r="S91" i="12"/>
  <c r="O91" i="12"/>
  <c r="Z90" i="12"/>
  <c r="AA90" i="12" s="1"/>
  <c r="AB90" i="12" s="1"/>
  <c r="AC90" i="12" s="1"/>
  <c r="T90" i="12" s="1"/>
  <c r="U90" i="12"/>
  <c r="S90" i="12"/>
  <c r="O90" i="12"/>
  <c r="Z89" i="12"/>
  <c r="AA89" i="12" s="1"/>
  <c r="AB89" i="12" s="1"/>
  <c r="AC89" i="12" s="1"/>
  <c r="T89" i="12" s="1"/>
  <c r="U89" i="12"/>
  <c r="S89" i="12"/>
  <c r="O89" i="12"/>
  <c r="Z88" i="12"/>
  <c r="AA88" i="12" s="1"/>
  <c r="AB88" i="12" s="1"/>
  <c r="AC88" i="12" s="1"/>
  <c r="T88" i="12" s="1"/>
  <c r="U88" i="12"/>
  <c r="S88" i="12"/>
  <c r="O88" i="12"/>
  <c r="Z87" i="12"/>
  <c r="AA87" i="12" s="1"/>
  <c r="AB87" i="12" s="1"/>
  <c r="AC87" i="12" s="1"/>
  <c r="T87" i="12" s="1"/>
  <c r="U87" i="12"/>
  <c r="S87" i="12"/>
  <c r="O87" i="12"/>
  <c r="Z86" i="12"/>
  <c r="AA86" i="12" s="1"/>
  <c r="AB86" i="12" s="1"/>
  <c r="AC86" i="12" s="1"/>
  <c r="T86" i="12" s="1"/>
  <c r="U86" i="12"/>
  <c r="S86" i="12"/>
  <c r="O86" i="12"/>
  <c r="Z85" i="12"/>
  <c r="AA85" i="12" s="1"/>
  <c r="AB85" i="12" s="1"/>
  <c r="AC85" i="12" s="1"/>
  <c r="T85" i="12" s="1"/>
  <c r="U85" i="12"/>
  <c r="S85" i="12"/>
  <c r="O85" i="12"/>
  <c r="Z84" i="12"/>
  <c r="AA84" i="12" s="1"/>
  <c r="AB84" i="12" s="1"/>
  <c r="AC84" i="12" s="1"/>
  <c r="T84" i="12" s="1"/>
  <c r="U84" i="12"/>
  <c r="S84" i="12"/>
  <c r="O84" i="12"/>
  <c r="Z83" i="12"/>
  <c r="AA83" i="12" s="1"/>
  <c r="AB83" i="12" s="1"/>
  <c r="AC83" i="12" s="1"/>
  <c r="T83" i="12" s="1"/>
  <c r="U83" i="12"/>
  <c r="S83" i="12"/>
  <c r="O83" i="12"/>
  <c r="Z82" i="12"/>
  <c r="AA82" i="12" s="1"/>
  <c r="AB82" i="12" s="1"/>
  <c r="AC82" i="12" s="1"/>
  <c r="U82" i="12"/>
  <c r="S82" i="12"/>
  <c r="O82" i="12"/>
  <c r="Z81" i="12"/>
  <c r="AA81" i="12" s="1"/>
  <c r="AB81" i="12" s="1"/>
  <c r="AC81" i="12" s="1"/>
  <c r="T81" i="12" s="1"/>
  <c r="U81" i="12"/>
  <c r="S81" i="12"/>
  <c r="O81" i="12"/>
  <c r="Z80" i="12"/>
  <c r="AA80" i="12" s="1"/>
  <c r="AB80" i="12" s="1"/>
  <c r="AC80" i="12" s="1"/>
  <c r="T80" i="12" s="1"/>
  <c r="U80" i="12"/>
  <c r="S80" i="12"/>
  <c r="O80" i="12"/>
  <c r="Z79" i="12"/>
  <c r="AA79" i="12" s="1"/>
  <c r="AB79" i="12" s="1"/>
  <c r="AC79" i="12" s="1"/>
  <c r="T79" i="12" s="1"/>
  <c r="U79" i="12"/>
  <c r="S79" i="12"/>
  <c r="O79" i="12"/>
  <c r="Z78" i="12"/>
  <c r="AA78" i="12" s="1"/>
  <c r="AB78" i="12" s="1"/>
  <c r="AC78" i="12" s="1"/>
  <c r="T78" i="12" s="1"/>
  <c r="U78" i="12"/>
  <c r="S78" i="12"/>
  <c r="O78" i="12"/>
  <c r="Z77" i="12"/>
  <c r="AA77" i="12" s="1"/>
  <c r="AB77" i="12" s="1"/>
  <c r="AC77" i="12" s="1"/>
  <c r="T77" i="12" s="1"/>
  <c r="U77" i="12"/>
  <c r="S77" i="12"/>
  <c r="O77" i="12"/>
  <c r="Z76" i="12"/>
  <c r="AA76" i="12" s="1"/>
  <c r="AB76" i="12" s="1"/>
  <c r="AC76" i="12" s="1"/>
  <c r="T76" i="12" s="1"/>
  <c r="U76" i="12"/>
  <c r="S76" i="12"/>
  <c r="O76" i="12"/>
  <c r="Z75" i="12"/>
  <c r="AA75" i="12" s="1"/>
  <c r="AB75" i="12" s="1"/>
  <c r="AC75" i="12" s="1"/>
  <c r="T75" i="12" s="1"/>
  <c r="U75" i="12"/>
  <c r="S75" i="12"/>
  <c r="O75" i="12"/>
  <c r="Z74" i="12"/>
  <c r="AA74" i="12" s="1"/>
  <c r="AB74" i="12" s="1"/>
  <c r="AC74" i="12" s="1"/>
  <c r="T74" i="12" s="1"/>
  <c r="U74" i="12"/>
  <c r="S74" i="12"/>
  <c r="O74" i="12"/>
  <c r="Z73" i="12"/>
  <c r="AA73" i="12" s="1"/>
  <c r="AB73" i="12" s="1"/>
  <c r="AC73" i="12" s="1"/>
  <c r="T73" i="12" s="1"/>
  <c r="U73" i="12"/>
  <c r="S73" i="12"/>
  <c r="O73" i="12"/>
  <c r="Z72" i="12"/>
  <c r="AA72" i="12" s="1"/>
  <c r="AB72" i="12" s="1"/>
  <c r="AC72" i="12" s="1"/>
  <c r="T72" i="12" s="1"/>
  <c r="U72" i="12"/>
  <c r="S72" i="12"/>
  <c r="O72" i="12"/>
  <c r="Z71" i="12"/>
  <c r="AA71" i="12" s="1"/>
  <c r="AB71" i="12" s="1"/>
  <c r="AC71" i="12" s="1"/>
  <c r="T71" i="12" s="1"/>
  <c r="U71" i="12"/>
  <c r="S71" i="12"/>
  <c r="O71" i="12"/>
  <c r="Z70" i="12"/>
  <c r="AA70" i="12" s="1"/>
  <c r="AB70" i="12" s="1"/>
  <c r="AC70" i="12" s="1"/>
  <c r="T70" i="12" s="1"/>
  <c r="U70" i="12"/>
  <c r="S70" i="12"/>
  <c r="O70" i="12"/>
  <c r="Z69" i="12"/>
  <c r="AA69" i="12" s="1"/>
  <c r="AB69" i="12" s="1"/>
  <c r="AC69" i="12" s="1"/>
  <c r="T69" i="12" s="1"/>
  <c r="U69" i="12"/>
  <c r="S69" i="12"/>
  <c r="O69" i="12"/>
  <c r="Z68" i="12"/>
  <c r="AA68" i="12" s="1"/>
  <c r="AB68" i="12" s="1"/>
  <c r="AC68" i="12" s="1"/>
  <c r="T68" i="12" s="1"/>
  <c r="U68" i="12"/>
  <c r="S68" i="12"/>
  <c r="O68" i="12"/>
  <c r="Z67" i="12"/>
  <c r="AA67" i="12" s="1"/>
  <c r="AB67" i="12" s="1"/>
  <c r="AC67" i="12" s="1"/>
  <c r="U67" i="12"/>
  <c r="S67" i="12"/>
  <c r="V67" i="12" s="1"/>
  <c r="O67" i="12"/>
  <c r="Z66" i="12"/>
  <c r="AA66" i="12" s="1"/>
  <c r="AB66" i="12" s="1"/>
  <c r="AC66" i="12" s="1"/>
  <c r="T66" i="12" s="1"/>
  <c r="U66" i="12"/>
  <c r="S66" i="12"/>
  <c r="O66" i="12"/>
  <c r="Z65" i="12"/>
  <c r="AA65" i="12" s="1"/>
  <c r="AB65" i="12" s="1"/>
  <c r="AC65" i="12" s="1"/>
  <c r="T65" i="12" s="1"/>
  <c r="U65" i="12"/>
  <c r="S65" i="12"/>
  <c r="O65" i="12"/>
  <c r="U64" i="12"/>
  <c r="Q64" i="12"/>
  <c r="S64" i="12" s="1"/>
  <c r="U63" i="12"/>
  <c r="Q63" i="12"/>
  <c r="T63" i="12" s="1"/>
  <c r="U62" i="12"/>
  <c r="Q62" i="12"/>
  <c r="S62" i="12" s="1"/>
  <c r="O62" i="12"/>
  <c r="U61" i="12"/>
  <c r="T61" i="12"/>
  <c r="S61" i="12"/>
  <c r="U60" i="12"/>
  <c r="Q60" i="12"/>
  <c r="T60" i="12" s="1"/>
  <c r="O60" i="12"/>
  <c r="U59" i="12"/>
  <c r="T59" i="12"/>
  <c r="S59" i="12"/>
  <c r="O59" i="12"/>
  <c r="U58" i="12"/>
  <c r="T58" i="12"/>
  <c r="S58" i="12"/>
  <c r="O58" i="12"/>
  <c r="D57" i="12"/>
  <c r="F57" i="12" s="1"/>
  <c r="H57" i="12" s="1"/>
  <c r="I57" i="12" s="1"/>
  <c r="J57" i="12" s="1"/>
  <c r="L57" i="12" s="1"/>
  <c r="M57" i="12" s="1"/>
  <c r="N57" i="12" s="1"/>
  <c r="O57" i="12" s="1"/>
  <c r="Q57" i="12" s="1"/>
  <c r="S57" i="12" s="1"/>
  <c r="T57" i="12" s="1"/>
  <c r="U57" i="12" s="1"/>
  <c r="V57" i="12" s="1"/>
  <c r="X57" i="12" s="1"/>
  <c r="U53" i="12"/>
  <c r="T53" i="12"/>
  <c r="S53" i="12"/>
  <c r="O53" i="12"/>
  <c r="U52" i="12"/>
  <c r="T52" i="12"/>
  <c r="S52" i="12"/>
  <c r="O52" i="12"/>
  <c r="U51" i="12"/>
  <c r="T51" i="12"/>
  <c r="S51" i="12"/>
  <c r="O51" i="12"/>
  <c r="U50" i="12"/>
  <c r="T50" i="12"/>
  <c r="S50" i="12"/>
  <c r="O50" i="12"/>
  <c r="U49" i="12"/>
  <c r="T49" i="12"/>
  <c r="S49" i="12"/>
  <c r="O49" i="12"/>
  <c r="U48" i="12"/>
  <c r="T48" i="12"/>
  <c r="S48" i="12"/>
  <c r="O48" i="12"/>
  <c r="U47" i="12"/>
  <c r="T47" i="12"/>
  <c r="S47" i="12"/>
  <c r="O47" i="12"/>
  <c r="U46" i="12"/>
  <c r="T46" i="12"/>
  <c r="S46" i="12"/>
  <c r="O46" i="12"/>
  <c r="U45" i="12"/>
  <c r="T45" i="12"/>
  <c r="S45" i="12"/>
  <c r="O45" i="12"/>
  <c r="U44" i="12"/>
  <c r="T44" i="12"/>
  <c r="S44" i="12"/>
  <c r="O44" i="12"/>
  <c r="U43" i="12"/>
  <c r="T43" i="12"/>
  <c r="S43" i="12"/>
  <c r="O43" i="12"/>
  <c r="U42" i="12"/>
  <c r="T42" i="12"/>
  <c r="S42" i="12"/>
  <c r="O42" i="12"/>
  <c r="U41" i="12"/>
  <c r="T41" i="12"/>
  <c r="S41" i="12"/>
  <c r="O41" i="12"/>
  <c r="U40" i="12"/>
  <c r="T40" i="12"/>
  <c r="S40" i="12"/>
  <c r="O40" i="12"/>
  <c r="U39" i="12"/>
  <c r="T39" i="12"/>
  <c r="S39" i="12"/>
  <c r="O39" i="12"/>
  <c r="U38" i="12"/>
  <c r="T38" i="12"/>
  <c r="S38" i="12"/>
  <c r="O38" i="12"/>
  <c r="U37" i="12"/>
  <c r="T37" i="12"/>
  <c r="S37" i="12"/>
  <c r="O37" i="12"/>
  <c r="U36" i="12"/>
  <c r="T36" i="12"/>
  <c r="S36" i="12"/>
  <c r="O36" i="12"/>
  <c r="U35" i="12"/>
  <c r="T35" i="12"/>
  <c r="S35" i="12"/>
  <c r="O35" i="12"/>
  <c r="U34" i="12"/>
  <c r="T34" i="12"/>
  <c r="S34" i="12"/>
  <c r="O34" i="12"/>
  <c r="U33" i="12"/>
  <c r="T33" i="12"/>
  <c r="S33" i="12"/>
  <c r="O33" i="12"/>
  <c r="U32" i="12"/>
  <c r="T32" i="12"/>
  <c r="S32" i="12"/>
  <c r="O32" i="12"/>
  <c r="T29" i="12"/>
  <c r="N29" i="12"/>
  <c r="M29" i="12"/>
  <c r="L29" i="12"/>
  <c r="J29" i="12"/>
  <c r="I29" i="12"/>
  <c r="H29" i="12"/>
  <c r="C29" i="12"/>
  <c r="U28" i="12"/>
  <c r="S28" i="12"/>
  <c r="O28" i="12"/>
  <c r="U27" i="12"/>
  <c r="S27" i="12"/>
  <c r="Q27" i="12"/>
  <c r="O27" i="12"/>
  <c r="U26" i="12"/>
  <c r="S26" i="12"/>
  <c r="O26" i="12"/>
  <c r="U25" i="12"/>
  <c r="S25" i="12"/>
  <c r="O25" i="12"/>
  <c r="U24" i="12"/>
  <c r="S24" i="12"/>
  <c r="O24" i="12"/>
  <c r="U23" i="12"/>
  <c r="S23" i="12"/>
  <c r="O23" i="12"/>
  <c r="U22" i="12"/>
  <c r="S22" i="12"/>
  <c r="V22" i="12" s="1"/>
  <c r="O22" i="12"/>
  <c r="U21" i="12"/>
  <c r="S21" i="12"/>
  <c r="O21" i="12"/>
  <c r="U20" i="12"/>
  <c r="S20" i="12"/>
  <c r="O20" i="12"/>
  <c r="U19" i="12"/>
  <c r="S19" i="12"/>
  <c r="O19" i="12"/>
  <c r="U18" i="12"/>
  <c r="S18" i="12"/>
  <c r="O18" i="12"/>
  <c r="U17" i="12"/>
  <c r="S17" i="12"/>
  <c r="O17" i="12"/>
  <c r="U16" i="12"/>
  <c r="S16" i="12"/>
  <c r="O16" i="12"/>
  <c r="A16" i="12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5" i="12" s="1"/>
  <c r="A106" i="12" s="1"/>
  <c r="A107" i="12" s="1"/>
  <c r="A108" i="12" s="1"/>
  <c r="A109" i="12" s="1"/>
  <c r="A117" i="12" s="1"/>
  <c r="A118" i="12" s="1"/>
  <c r="A119" i="12" s="1"/>
  <c r="A120" i="12" s="1"/>
  <c r="A121" i="12" s="1"/>
  <c r="A122" i="12" s="1"/>
  <c r="A124" i="12" s="1"/>
  <c r="A125" i="12" s="1"/>
  <c r="A126" i="12" s="1"/>
  <c r="A127" i="12" s="1"/>
  <c r="A128" i="12" s="1"/>
  <c r="D10" i="12"/>
  <c r="F10" i="12" s="1"/>
  <c r="H10" i="12" s="1"/>
  <c r="I10" i="12" s="1"/>
  <c r="J10" i="12" s="1"/>
  <c r="L10" i="12" s="1"/>
  <c r="M10" i="12" s="1"/>
  <c r="N10" i="12" s="1"/>
  <c r="O10" i="12" s="1"/>
  <c r="Q10" i="12" s="1"/>
  <c r="S10" i="12" s="1"/>
  <c r="T10" i="12" s="1"/>
  <c r="U10" i="12" s="1"/>
  <c r="V10" i="12" s="1"/>
  <c r="X10" i="12" s="1"/>
  <c r="V35" i="12" l="1"/>
  <c r="V90" i="12"/>
  <c r="X90" i="12" s="1"/>
  <c r="V45" i="12"/>
  <c r="X45" i="12" s="1"/>
  <c r="V51" i="12"/>
  <c r="X51" i="12" s="1"/>
  <c r="V65" i="12"/>
  <c r="X65" i="12" s="1"/>
  <c r="X67" i="12"/>
  <c r="V69" i="12"/>
  <c r="X69" i="12" s="1"/>
  <c r="V75" i="12"/>
  <c r="V53" i="12"/>
  <c r="X53" i="12" s="1"/>
  <c r="V59" i="12"/>
  <c r="X59" i="12" s="1"/>
  <c r="V77" i="12"/>
  <c r="X77" i="12" s="1"/>
  <c r="V81" i="12"/>
  <c r="X81" i="12" s="1"/>
  <c r="L107" i="12"/>
  <c r="V71" i="12"/>
  <c r="X71" i="12" s="1"/>
  <c r="V73" i="12"/>
  <c r="X73" i="12" s="1"/>
  <c r="H107" i="12"/>
  <c r="M107" i="12"/>
  <c r="M126" i="12"/>
  <c r="E65" i="26"/>
  <c r="F65" i="26" s="1"/>
  <c r="D35" i="1"/>
  <c r="O38" i="18"/>
  <c r="V27" i="12"/>
  <c r="S60" i="12"/>
  <c r="V60" i="12" s="1"/>
  <c r="X60" i="12" s="1"/>
  <c r="T64" i="12"/>
  <c r="V64" i="12" s="1"/>
  <c r="X64" i="12" s="1"/>
  <c r="V76" i="12"/>
  <c r="X76" i="12" s="1"/>
  <c r="V34" i="12"/>
  <c r="V43" i="12"/>
  <c r="X43" i="12" s="1"/>
  <c r="V47" i="12"/>
  <c r="V50" i="12"/>
  <c r="V66" i="12"/>
  <c r="X66" i="12" s="1"/>
  <c r="V88" i="12"/>
  <c r="X88" i="12" s="1"/>
  <c r="V92" i="12"/>
  <c r="X92" i="12" s="1"/>
  <c r="V98" i="12"/>
  <c r="X98" i="12" s="1"/>
  <c r="V70" i="12"/>
  <c r="X70" i="12" s="1"/>
  <c r="O99" i="12"/>
  <c r="X75" i="12"/>
  <c r="V79" i="12"/>
  <c r="X79" i="12" s="1"/>
  <c r="V21" i="12"/>
  <c r="X21" i="12" s="1"/>
  <c r="V38" i="12"/>
  <c r="X38" i="12" s="1"/>
  <c r="V48" i="12"/>
  <c r="X48" i="12" s="1"/>
  <c r="O29" i="12"/>
  <c r="V18" i="12"/>
  <c r="X18" i="12" s="1"/>
  <c r="V19" i="12"/>
  <c r="V23" i="12"/>
  <c r="X23" i="12" s="1"/>
  <c r="V28" i="12"/>
  <c r="V82" i="12"/>
  <c r="X82" i="12" s="1"/>
  <c r="V94" i="12"/>
  <c r="X94" i="12" s="1"/>
  <c r="V96" i="12"/>
  <c r="X96" i="12" s="1"/>
  <c r="K122" i="12"/>
  <c r="K128" i="12" s="1"/>
  <c r="M181" i="12"/>
  <c r="X19" i="12"/>
  <c r="X35" i="12"/>
  <c r="X28" i="12"/>
  <c r="V37" i="12"/>
  <c r="V46" i="12"/>
  <c r="V68" i="12"/>
  <c r="X68" i="12" s="1"/>
  <c r="V84" i="12"/>
  <c r="X84" i="12" s="1"/>
  <c r="X22" i="12"/>
  <c r="V26" i="12"/>
  <c r="V39" i="12"/>
  <c r="V41" i="12"/>
  <c r="V49" i="12"/>
  <c r="V52" i="12"/>
  <c r="V58" i="12"/>
  <c r="X58" i="12" s="1"/>
  <c r="V61" i="12"/>
  <c r="X61" i="12" s="1"/>
  <c r="V86" i="12"/>
  <c r="X86" i="12" s="1"/>
  <c r="X27" i="12"/>
  <c r="V33" i="12"/>
  <c r="V36" i="12"/>
  <c r="V42" i="12"/>
  <c r="X50" i="12"/>
  <c r="V91" i="12"/>
  <c r="X91" i="12" s="1"/>
  <c r="V17" i="12"/>
  <c r="X17" i="12" s="1"/>
  <c r="V25" i="12"/>
  <c r="U29" i="12"/>
  <c r="C107" i="12"/>
  <c r="V32" i="12"/>
  <c r="V83" i="12"/>
  <c r="X83" i="12" s="1"/>
  <c r="J107" i="12"/>
  <c r="V95" i="12"/>
  <c r="X95" i="12" s="1"/>
  <c r="V72" i="12"/>
  <c r="X72" i="12" s="1"/>
  <c r="V85" i="12"/>
  <c r="X85" i="12" s="1"/>
  <c r="U99" i="12"/>
  <c r="V40" i="12"/>
  <c r="V78" i="12"/>
  <c r="X78" i="12" s="1"/>
  <c r="V87" i="12"/>
  <c r="X87" i="12" s="1"/>
  <c r="S29" i="12"/>
  <c r="V16" i="12"/>
  <c r="V20" i="12"/>
  <c r="V24" i="12"/>
  <c r="V44" i="12"/>
  <c r="T62" i="12"/>
  <c r="V62" i="12" s="1"/>
  <c r="X62" i="12" s="1"/>
  <c r="S63" i="12"/>
  <c r="V63" i="12" s="1"/>
  <c r="X63" i="12" s="1"/>
  <c r="V80" i="12"/>
  <c r="X80" i="12" s="1"/>
  <c r="V93" i="12"/>
  <c r="X93" i="12" s="1"/>
  <c r="O170" i="12"/>
  <c r="M119" i="12"/>
  <c r="E60" i="26" s="1"/>
  <c r="F60" i="26" s="1"/>
  <c r="M121" i="12"/>
  <c r="E62" i="26" s="1"/>
  <c r="F62" i="26" s="1"/>
  <c r="V74" i="12"/>
  <c r="X74" i="12" s="1"/>
  <c r="V89" i="12"/>
  <c r="X89" i="12" s="1"/>
  <c r="V97" i="12"/>
  <c r="X97" i="12" s="1"/>
  <c r="I107" i="12"/>
  <c r="N107" i="12"/>
  <c r="M117" i="12"/>
  <c r="E58" i="26" s="1"/>
  <c r="M118" i="12"/>
  <c r="E59" i="26" s="1"/>
  <c r="F59" i="26" s="1"/>
  <c r="F31" i="2" l="1"/>
  <c r="E35" i="1"/>
  <c r="O107" i="12"/>
  <c r="E63" i="26"/>
  <c r="E67" i="26" s="1"/>
  <c r="F58" i="26"/>
  <c r="F63" i="26" s="1"/>
  <c r="O40" i="18"/>
  <c r="F32" i="2"/>
  <c r="X34" i="12"/>
  <c r="X47" i="12"/>
  <c r="X33" i="12"/>
  <c r="X52" i="12"/>
  <c r="X46" i="12"/>
  <c r="X20" i="12"/>
  <c r="X49" i="12"/>
  <c r="X24" i="12"/>
  <c r="X40" i="12"/>
  <c r="X42" i="12"/>
  <c r="X41" i="12"/>
  <c r="X37" i="12"/>
  <c r="X44" i="12"/>
  <c r="X26" i="12"/>
  <c r="X36" i="12"/>
  <c r="X39" i="12"/>
  <c r="U107" i="12"/>
  <c r="X25" i="12"/>
  <c r="X32" i="12"/>
  <c r="V99" i="12"/>
  <c r="M122" i="12"/>
  <c r="M128" i="12" s="1"/>
  <c r="T99" i="12"/>
  <c r="T107" i="12" s="1"/>
  <c r="S99" i="12"/>
  <c r="S107" i="12" s="1"/>
  <c r="V29" i="12"/>
  <c r="X16" i="12"/>
  <c r="F67" i="26" l="1"/>
  <c r="J49" i="26"/>
  <c r="J52" i="26" s="1"/>
  <c r="E20" i="2" s="1"/>
  <c r="X99" i="12"/>
  <c r="X29" i="12"/>
  <c r="V107" i="12"/>
  <c r="X107" i="12" s="1"/>
  <c r="X109" i="12" s="1"/>
  <c r="G20" i="2" l="1"/>
  <c r="P25" i="18"/>
  <c r="O124" i="12"/>
  <c r="O126" i="12" s="1"/>
  <c r="O121" i="12"/>
  <c r="O119" i="12"/>
  <c r="N19" i="18" s="1"/>
  <c r="D17" i="1" s="1"/>
  <c r="E17" i="1" s="1"/>
  <c r="O120" i="12"/>
  <c r="N20" i="18" s="1"/>
  <c r="O118" i="12"/>
  <c r="N18" i="18" s="1"/>
  <c r="O117" i="12"/>
  <c r="N17" i="18" s="1"/>
  <c r="D23" i="1" l="1"/>
  <c r="E23" i="1" s="1"/>
  <c r="P30" i="18"/>
  <c r="P32" i="18" s="1"/>
  <c r="P40" i="18" s="1"/>
  <c r="D19" i="1"/>
  <c r="E19" i="1" s="1"/>
  <c r="N22" i="18"/>
  <c r="O122" i="12"/>
  <c r="O128" i="12" l="1"/>
  <c r="E18" i="2"/>
  <c r="G18" i="2" s="1"/>
  <c r="N23" i="18" l="1"/>
  <c r="N30" i="18" l="1"/>
  <c r="G57" i="10"/>
  <c r="F40" i="10" s="1"/>
  <c r="I45" i="10"/>
  <c r="J36" i="10"/>
  <c r="I36" i="10"/>
  <c r="H36" i="10"/>
  <c r="G36" i="10"/>
  <c r="F36" i="10"/>
  <c r="J25" i="10"/>
  <c r="J27" i="10" s="1"/>
  <c r="I25" i="10"/>
  <c r="I30" i="10" s="1"/>
  <c r="H25" i="10"/>
  <c r="H30" i="10" s="1"/>
  <c r="G25" i="10"/>
  <c r="G27" i="10" s="1"/>
  <c r="F25" i="10"/>
  <c r="F27" i="10" s="1"/>
  <c r="L13" i="4"/>
  <c r="L14" i="4"/>
  <c r="L15" i="4"/>
  <c r="L16" i="4"/>
  <c r="L17" i="4"/>
  <c r="L18" i="4"/>
  <c r="L19" i="4"/>
  <c r="L20" i="4"/>
  <c r="L21" i="4"/>
  <c r="L22" i="4"/>
  <c r="L23" i="4"/>
  <c r="L12" i="4"/>
  <c r="F30" i="10" l="1"/>
  <c r="F31" i="10" s="1"/>
  <c r="L24" i="4"/>
  <c r="E12" i="2" s="1"/>
  <c r="G12" i="2" s="1"/>
  <c r="J30" i="10"/>
  <c r="G30" i="10"/>
  <c r="N32" i="18"/>
  <c r="G31" i="10"/>
  <c r="G37" i="10" s="1"/>
  <c r="J31" i="10"/>
  <c r="J37" i="10" s="1"/>
  <c r="G40" i="10"/>
  <c r="H27" i="10"/>
  <c r="H31" i="10" s="1"/>
  <c r="H37" i="10" s="1"/>
  <c r="I27" i="10"/>
  <c r="I31" i="10" s="1"/>
  <c r="I37" i="10" s="1"/>
  <c r="N40" i="18" l="1"/>
  <c r="G41" i="10"/>
  <c r="H40" i="10"/>
  <c r="K31" i="10"/>
  <c r="F37" i="10"/>
  <c r="K37" i="10" s="1"/>
  <c r="F47" i="10" s="1"/>
  <c r="F41" i="10"/>
  <c r="F49" i="10" l="1"/>
  <c r="D17" i="2" s="1"/>
  <c r="H41" i="10"/>
  <c r="I40" i="10"/>
  <c r="K24" i="4"/>
  <c r="J24" i="4"/>
  <c r="H17" i="18" s="1"/>
  <c r="S17" i="18" s="1"/>
  <c r="I24" i="4"/>
  <c r="H24" i="4"/>
  <c r="G24" i="4"/>
  <c r="F24" i="4"/>
  <c r="E24" i="4"/>
  <c r="D24" i="4"/>
  <c r="C24" i="4"/>
  <c r="H20" i="18" s="1"/>
  <c r="B24" i="4"/>
  <c r="S20" i="18" l="1"/>
  <c r="D18" i="1" s="1"/>
  <c r="E18" i="1" s="1"/>
  <c r="H22" i="18"/>
  <c r="M8" i="18"/>
  <c r="I41" i="10"/>
  <c r="J40" i="10"/>
  <c r="J41" i="10" s="1"/>
  <c r="E24" i="9"/>
  <c r="D24" i="9"/>
  <c r="D26" i="9" s="1"/>
  <c r="C24" i="9"/>
  <c r="C26" i="9" s="1"/>
  <c r="E22" i="9"/>
  <c r="D16" i="9"/>
  <c r="C16" i="9"/>
  <c r="E15" i="9"/>
  <c r="E14" i="9"/>
  <c r="E13" i="9"/>
  <c r="E12" i="9"/>
  <c r="H23" i="18" l="1"/>
  <c r="S22" i="18"/>
  <c r="D20" i="1" s="1"/>
  <c r="L28" i="18"/>
  <c r="D26" i="1" s="1"/>
  <c r="E26" i="1" s="1"/>
  <c r="E16" i="9"/>
  <c r="L27" i="18" s="1"/>
  <c r="M11" i="18"/>
  <c r="K41" i="10"/>
  <c r="G47" i="10" s="1"/>
  <c r="I47" i="10" s="1"/>
  <c r="I49" i="10" s="1"/>
  <c r="G49" i="10"/>
  <c r="E17" i="2" s="1"/>
  <c r="H30" i="18" l="1"/>
  <c r="S23" i="18"/>
  <c r="E26" i="9"/>
  <c r="E16" i="2" s="1"/>
  <c r="G16" i="2" s="1"/>
  <c r="D25" i="1"/>
  <c r="E25" i="1" s="1"/>
  <c r="L30" i="18"/>
  <c r="L32" i="18" s="1"/>
  <c r="L40" i="18" s="1"/>
  <c r="G15" i="2"/>
  <c r="K22" i="18"/>
  <c r="K23" i="18" s="1"/>
  <c r="K30" i="18" s="1"/>
  <c r="K32" i="18" s="1"/>
  <c r="K40" i="18" s="1"/>
  <c r="M15" i="18"/>
  <c r="G17" i="2"/>
  <c r="M46" i="6"/>
  <c r="L46" i="6"/>
  <c r="K46" i="6"/>
  <c r="J46" i="6"/>
  <c r="I46" i="6"/>
  <c r="H46" i="6"/>
  <c r="G46" i="6"/>
  <c r="F46" i="6"/>
  <c r="E46" i="6"/>
  <c r="D46" i="6"/>
  <c r="C46" i="6"/>
  <c r="B46" i="6"/>
  <c r="M45" i="6"/>
  <c r="L45" i="6"/>
  <c r="K45" i="6"/>
  <c r="J45" i="6"/>
  <c r="I45" i="6"/>
  <c r="H45" i="6"/>
  <c r="G45" i="6"/>
  <c r="F45" i="6"/>
  <c r="E45" i="6"/>
  <c r="D45" i="6"/>
  <c r="C45" i="6"/>
  <c r="B45" i="6"/>
  <c r="M44" i="6"/>
  <c r="L44" i="6"/>
  <c r="K44" i="6"/>
  <c r="J44" i="6"/>
  <c r="I44" i="6"/>
  <c r="H44" i="6"/>
  <c r="G44" i="6"/>
  <c r="F44" i="6"/>
  <c r="E44" i="6"/>
  <c r="D44" i="6"/>
  <c r="C44" i="6"/>
  <c r="B44" i="6"/>
  <c r="M43" i="6"/>
  <c r="L43" i="6"/>
  <c r="K43" i="6"/>
  <c r="J43" i="6"/>
  <c r="I43" i="6"/>
  <c r="H43" i="6"/>
  <c r="G43" i="6"/>
  <c r="F43" i="6"/>
  <c r="E43" i="6"/>
  <c r="D43" i="6"/>
  <c r="C43" i="6"/>
  <c r="B43" i="6"/>
  <c r="M42" i="6"/>
  <c r="L42" i="6"/>
  <c r="K42" i="6"/>
  <c r="J42" i="6"/>
  <c r="I42" i="6"/>
  <c r="H42" i="6"/>
  <c r="G42" i="6"/>
  <c r="F42" i="6"/>
  <c r="E42" i="6"/>
  <c r="D42" i="6"/>
  <c r="C42" i="6"/>
  <c r="B42" i="6"/>
  <c r="M41" i="6"/>
  <c r="L41" i="6"/>
  <c r="K41" i="6"/>
  <c r="J41" i="6"/>
  <c r="I41" i="6"/>
  <c r="H41" i="6"/>
  <c r="G41" i="6"/>
  <c r="F41" i="6"/>
  <c r="E41" i="6"/>
  <c r="D41" i="6"/>
  <c r="C41" i="6"/>
  <c r="B41" i="6"/>
  <c r="M40" i="6"/>
  <c r="M47" i="6" s="1"/>
  <c r="L40" i="6"/>
  <c r="K40" i="6"/>
  <c r="K47" i="6" s="1"/>
  <c r="J40" i="6"/>
  <c r="J47" i="6" s="1"/>
  <c r="I40" i="6"/>
  <c r="I47" i="6" s="1"/>
  <c r="H40" i="6"/>
  <c r="G40" i="6"/>
  <c r="G47" i="6" s="1"/>
  <c r="F40" i="6"/>
  <c r="F47" i="6" s="1"/>
  <c r="E40" i="6"/>
  <c r="E47" i="6" s="1"/>
  <c r="D40" i="6"/>
  <c r="C40" i="6"/>
  <c r="C47" i="6" s="1"/>
  <c r="B40" i="6"/>
  <c r="B47" i="6" s="1"/>
  <c r="M27" i="6"/>
  <c r="L27" i="6"/>
  <c r="K27" i="6"/>
  <c r="J27" i="6"/>
  <c r="I27" i="6"/>
  <c r="H27" i="6"/>
  <c r="G27" i="6"/>
  <c r="F27" i="6"/>
  <c r="E27" i="6"/>
  <c r="D27" i="6"/>
  <c r="C27" i="6"/>
  <c r="B27" i="6"/>
  <c r="N26" i="6"/>
  <c r="N25" i="6"/>
  <c r="N46" i="6" s="1"/>
  <c r="N24" i="6"/>
  <c r="N23" i="6"/>
  <c r="N22" i="6"/>
  <c r="N42" i="6" s="1"/>
  <c r="N21" i="6"/>
  <c r="N20" i="6"/>
  <c r="N19" i="6"/>
  <c r="N18" i="6"/>
  <c r="N41" i="6" s="1"/>
  <c r="N17" i="6"/>
  <c r="N45" i="6" s="1"/>
  <c r="I22" i="18" s="1"/>
  <c r="E20" i="1" s="1"/>
  <c r="N16" i="6"/>
  <c r="N15" i="6"/>
  <c r="N43" i="6" s="1"/>
  <c r="N14" i="6"/>
  <c r="N44" i="6" s="1"/>
  <c r="N13" i="6"/>
  <c r="N12" i="6"/>
  <c r="N11" i="6"/>
  <c r="H32" i="18" l="1"/>
  <c r="S30" i="18"/>
  <c r="B49" i="6"/>
  <c r="E49" i="6"/>
  <c r="M49" i="6"/>
  <c r="I18" i="18"/>
  <c r="D16" i="1" s="1"/>
  <c r="E16" i="1" s="1"/>
  <c r="F49" i="6"/>
  <c r="C49" i="6"/>
  <c r="G49" i="6"/>
  <c r="K49" i="6"/>
  <c r="I49" i="6"/>
  <c r="N40" i="6"/>
  <c r="J49" i="6"/>
  <c r="D47" i="6"/>
  <c r="D49" i="6" s="1"/>
  <c r="H47" i="6"/>
  <c r="H49" i="6" s="1"/>
  <c r="L47" i="6"/>
  <c r="L49" i="6" s="1"/>
  <c r="D14" i="1"/>
  <c r="E14" i="1" s="1"/>
  <c r="M23" i="18"/>
  <c r="N27" i="6"/>
  <c r="N30" i="6" s="1"/>
  <c r="N32" i="6" s="1"/>
  <c r="E13" i="2" s="1"/>
  <c r="G13" i="2" s="1"/>
  <c r="H40" i="18" l="1"/>
  <c r="S40" i="18" s="1"/>
  <c r="S32" i="18"/>
  <c r="I17" i="18"/>
  <c r="N47" i="6"/>
  <c r="N49" i="6" s="1"/>
  <c r="M30" i="18"/>
  <c r="F40" i="3"/>
  <c r="E40" i="3"/>
  <c r="F39" i="3"/>
  <c r="E39" i="3"/>
  <c r="G39" i="3" s="1"/>
  <c r="F38" i="3"/>
  <c r="G38" i="3" s="1"/>
  <c r="E38" i="3"/>
  <c r="F37" i="3"/>
  <c r="E37" i="3"/>
  <c r="G37" i="3" s="1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I23" i="18" l="1"/>
  <c r="D15" i="1"/>
  <c r="E15" i="1" s="1"/>
  <c r="G31" i="3"/>
  <c r="G32" i="3"/>
  <c r="G35" i="3"/>
  <c r="G40" i="3"/>
  <c r="G30" i="3"/>
  <c r="E41" i="3"/>
  <c r="G34" i="3"/>
  <c r="G36" i="3"/>
  <c r="F41" i="3"/>
  <c r="G46" i="3" s="1"/>
  <c r="G33" i="3"/>
  <c r="M32" i="18"/>
  <c r="G29" i="3"/>
  <c r="I30" i="18" l="1"/>
  <c r="E32" i="2"/>
  <c r="G41" i="3"/>
  <c r="G45" i="3"/>
  <c r="G47" i="3"/>
  <c r="D11" i="2" s="1"/>
  <c r="M40" i="18"/>
  <c r="F25" i="2"/>
  <c r="F30" i="2" s="1"/>
  <c r="D5" i="2"/>
  <c r="E5" i="2" s="1"/>
  <c r="F5" i="2" s="1"/>
  <c r="G5" i="2" s="1"/>
  <c r="F34" i="2" l="1"/>
  <c r="F35" i="2"/>
  <c r="I32" i="18"/>
  <c r="I40" i="18" s="1"/>
  <c r="G11" i="2"/>
  <c r="G8" i="18"/>
  <c r="D25" i="2"/>
  <c r="D30" i="2" s="1"/>
  <c r="G11" i="18" l="1"/>
  <c r="D9" i="1"/>
  <c r="C47" i="1"/>
  <c r="F41" i="1"/>
  <c r="E41" i="1"/>
  <c r="F37" i="1"/>
  <c r="F36" i="1"/>
  <c r="F34" i="1"/>
  <c r="F33" i="1"/>
  <c r="D21" i="1"/>
  <c r="E31" i="2" s="1"/>
  <c r="C21" i="1"/>
  <c r="C29" i="1" s="1"/>
  <c r="C48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C11" i="1"/>
  <c r="F10" i="1"/>
  <c r="A9" i="1"/>
  <c r="A10" i="1" s="1"/>
  <c r="A11" i="1" s="1"/>
  <c r="C7" i="1"/>
  <c r="D7" i="1" s="1"/>
  <c r="D11" i="1" l="1"/>
  <c r="D31" i="2" s="1"/>
  <c r="D34" i="2" s="1"/>
  <c r="E9" i="1"/>
  <c r="E11" i="1" s="1"/>
  <c r="G32" i="18"/>
  <c r="D32" i="2"/>
  <c r="D35" i="2" s="1"/>
  <c r="F25" i="1"/>
  <c r="F35" i="1"/>
  <c r="F27" i="1"/>
  <c r="F24" i="1"/>
  <c r="F26" i="1"/>
  <c r="F23" i="1"/>
  <c r="F17" i="1"/>
  <c r="F18" i="1"/>
  <c r="F16" i="1"/>
  <c r="F19" i="1"/>
  <c r="F20" i="1"/>
  <c r="F14" i="1"/>
  <c r="C31" i="1"/>
  <c r="D29" i="1"/>
  <c r="E47" i="1" l="1"/>
  <c r="G40" i="18"/>
  <c r="G32" i="2" s="1"/>
  <c r="F15" i="1"/>
  <c r="F21" i="1" s="1"/>
  <c r="F29" i="1" s="1"/>
  <c r="E21" i="1"/>
  <c r="E29" i="1" s="1"/>
  <c r="D31" i="1"/>
  <c r="D39" i="1" s="1"/>
  <c r="G31" i="2" s="1"/>
  <c r="F47" i="1"/>
  <c r="C39" i="1"/>
  <c r="C42" i="1"/>
  <c r="E48" i="1" l="1"/>
  <c r="E31" i="1"/>
  <c r="E42" i="1" s="1"/>
  <c r="F48" i="1"/>
  <c r="C43" i="1"/>
  <c r="C49" i="1"/>
  <c r="C44" i="1"/>
  <c r="E39" i="1" l="1"/>
  <c r="E44" i="1" s="1"/>
  <c r="E43" i="1" l="1"/>
  <c r="E49" i="1"/>
  <c r="F9" i="1" l="1"/>
  <c r="F11" i="1" s="1"/>
  <c r="F31" i="1" s="1"/>
  <c r="F39" i="1" s="1"/>
  <c r="F51" i="1" s="1"/>
  <c r="F52" i="1" s="1"/>
  <c r="F42" i="1" l="1"/>
  <c r="F43" i="1"/>
  <c r="F44" i="1"/>
  <c r="F49" i="1"/>
  <c r="E25" i="2" l="1"/>
  <c r="E30" i="2" s="1"/>
  <c r="G25" i="2"/>
  <c r="E34" i="2" l="1"/>
  <c r="E35" i="2"/>
  <c r="G30" i="2"/>
  <c r="G35" i="2" l="1"/>
  <c r="G34" i="2"/>
</calcChain>
</file>

<file path=xl/comments1.xml><?xml version="1.0" encoding="utf-8"?>
<comments xmlns="http://schemas.openxmlformats.org/spreadsheetml/2006/main">
  <authors>
    <author>Brian Frasure</author>
  </authors>
  <commentList>
    <comment ref="E18" author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NO LONGER EMPLOYED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REHIRED 2017</t>
        </r>
      </text>
    </comment>
    <comment ref="E65" author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NO LONGER EMPLOYED</t>
        </r>
      </text>
    </comment>
    <comment ref="E67" authorId="0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NO LONGER EMPLOYED</t>
        </r>
      </text>
    </comment>
  </commentList>
</comments>
</file>

<file path=xl/sharedStrings.xml><?xml version="1.0" encoding="utf-8"?>
<sst xmlns="http://schemas.openxmlformats.org/spreadsheetml/2006/main" count="1122" uniqueCount="668">
  <si>
    <t>JACKSON PURCHASE ENERGY CORPORATION</t>
  </si>
  <si>
    <t>Statement of Operations &amp; Revenue Requirement</t>
  </si>
  <si>
    <t>For the 12 Months Ended December 31, 2017</t>
  </si>
  <si>
    <t>Actual Rates</t>
  </si>
  <si>
    <t>Present Rates</t>
  </si>
  <si>
    <t>Pro Forma</t>
  </si>
  <si>
    <t>Proposed Rates</t>
  </si>
  <si>
    <t>Line</t>
  </si>
  <si>
    <t>Description</t>
  </si>
  <si>
    <t>Actual Test Yr</t>
  </si>
  <si>
    <t>Adjustment</t>
  </si>
  <si>
    <t>#</t>
  </si>
  <si>
    <t>(4)</t>
  </si>
  <si>
    <t>(5)</t>
  </si>
  <si>
    <t>(6)</t>
  </si>
  <si>
    <t>Operating Revenues</t>
  </si>
  <si>
    <t>Total Sales of Electric Energy</t>
  </si>
  <si>
    <t>Other Electric Revenue</t>
  </si>
  <si>
    <t>Total Operating Revenue</t>
  </si>
  <si>
    <t>Operating Expenses:</t>
  </si>
  <si>
    <t>Purchased Power</t>
  </si>
  <si>
    <t>Distribution Operations</t>
  </si>
  <si>
    <t>Distribution Maintenance</t>
  </si>
  <si>
    <t>Customer Accounts</t>
  </si>
  <si>
    <t>Customer Service</t>
  </si>
  <si>
    <t>Sales Expense</t>
  </si>
  <si>
    <t>A&amp;G</t>
  </si>
  <si>
    <t>Total O&amp;M Expense</t>
  </si>
  <si>
    <t xml:space="preserve">Depreciation </t>
  </si>
  <si>
    <t>Taxes - Other</t>
  </si>
  <si>
    <t>Interest on LTD</t>
  </si>
  <si>
    <t>Interest - Other</t>
  </si>
  <si>
    <t>Other Deductions</t>
  </si>
  <si>
    <t>Total Cost of Electric Service</t>
  </si>
  <si>
    <t>Utility Operating Margins</t>
  </si>
  <si>
    <t>Non-Operating Margins - Interest</t>
  </si>
  <si>
    <t>26a</t>
  </si>
  <si>
    <t>Income(Loss) from Equity Investments</t>
  </si>
  <si>
    <t>Non-Operating Margins - Other</t>
  </si>
  <si>
    <t>G&amp;T Capital Credits</t>
  </si>
  <si>
    <t>Other Capital Credits</t>
  </si>
  <si>
    <t>Net Margins</t>
  </si>
  <si>
    <t>Cash Receipts from Lenders</t>
  </si>
  <si>
    <t>OTIER</t>
  </si>
  <si>
    <t>TIER</t>
  </si>
  <si>
    <t>TIER excluding GTCC</t>
  </si>
  <si>
    <t>Target TIER</t>
  </si>
  <si>
    <t>Margins at Target TIER</t>
  </si>
  <si>
    <t>Revenue Requirement</t>
  </si>
  <si>
    <t>Revenue Deficiency</t>
  </si>
  <si>
    <t>Summary of Pro Forma Adjustments</t>
  </si>
  <si>
    <t>Reference Schedule</t>
  </si>
  <si>
    <t>Item</t>
  </si>
  <si>
    <t>Revenue</t>
  </si>
  <si>
    <t>Expense</t>
  </si>
  <si>
    <t>Non-Operating Income</t>
  </si>
  <si>
    <t>Net Margin</t>
  </si>
  <si>
    <t>Total</t>
  </si>
  <si>
    <t>Wages &amp; Salaries</t>
  </si>
  <si>
    <t>Depreciation</t>
  </si>
  <si>
    <t>Interest on Long Term Debt</t>
  </si>
  <si>
    <t>Year-End Customers</t>
  </si>
  <si>
    <t>I-E Rate Schedule Charges:</t>
  </si>
  <si>
    <t>Service Charge</t>
  </si>
  <si>
    <t>Demand Charge - 0 to 3,000 kW</t>
  </si>
  <si>
    <t>Demand Charge  over 3,000 kW</t>
  </si>
  <si>
    <t>All Energy - Per kWh per month</t>
  </si>
  <si>
    <t>D Rate Schedule Charges:</t>
  </si>
  <si>
    <t>Facilities Charge</t>
  </si>
  <si>
    <t>Demand Charge</t>
  </si>
  <si>
    <t>Energy:</t>
  </si>
  <si>
    <t>First 200 kWh per KW per month</t>
  </si>
  <si>
    <t>Next 200 kWh per kW per month</t>
  </si>
  <si>
    <t>Over 600 kWh per kW per month</t>
  </si>
  <si>
    <t>I-E</t>
  </si>
  <si>
    <t>D</t>
  </si>
  <si>
    <t>2017 Usage:</t>
  </si>
  <si>
    <t>kW</t>
  </si>
  <si>
    <t>kWh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</si>
  <si>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</si>
  <si>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</si>
  <si>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</si>
  <si>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</si>
  <si>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</si>
  <si>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</si>
  <si>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</si>
  <si>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</si>
  <si>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</si>
  <si>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</si>
  <si>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</si>
  <si>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</si>
  <si>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* Riders were not considered in this analysis as they are identical based upon kWh</t>
  </si>
  <si>
    <t>FAC</t>
  </si>
  <si>
    <t>ES</t>
  </si>
  <si>
    <t>MRSM</t>
  </si>
  <si>
    <t>Non-FAC PPA</t>
  </si>
  <si>
    <t>Donations</t>
  </si>
  <si>
    <t>Media Ad Exp</t>
  </si>
  <si>
    <t>NRECA dues</t>
  </si>
  <si>
    <t>KAEC dues</t>
  </si>
  <si>
    <t>Month</t>
  </si>
  <si>
    <t>426.100</t>
  </si>
  <si>
    <t>909.400</t>
  </si>
  <si>
    <t>930.224</t>
  </si>
  <si>
    <t>930.225</t>
  </si>
  <si>
    <t>930.226</t>
  </si>
  <si>
    <t>930.230</t>
  </si>
  <si>
    <t>930.300</t>
  </si>
  <si>
    <t>930.200</t>
  </si>
  <si>
    <t>588.200</t>
  </si>
  <si>
    <t>TOTAL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</si>
  <si>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</si>
  <si>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</si>
  <si>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</si>
  <si>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</si>
  <si>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</si>
  <si>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</si>
  <si>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</si>
  <si>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</si>
  <si>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</si>
  <si>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</si>
  <si>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</si>
  <si>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BY ACCOUNT</t>
  </si>
  <si>
    <t>Account</t>
  </si>
  <si>
    <t>Legal - Goss Samford PLLC</t>
  </si>
  <si>
    <t>A</t>
  </si>
  <si>
    <t>B</t>
  </si>
  <si>
    <t>C</t>
  </si>
  <si>
    <t>Test Year Amount</t>
  </si>
  <si>
    <t>E</t>
  </si>
  <si>
    <t>Interest Expense</t>
  </si>
  <si>
    <t>Account 427</t>
  </si>
  <si>
    <t>Interest on Long-Term Debt</t>
  </si>
  <si>
    <t>Test - Period                 2017</t>
  </si>
  <si>
    <t>Pro-Forma Adjustment</t>
  </si>
  <si>
    <t>RUS</t>
  </si>
  <si>
    <t>RUS/FFB</t>
  </si>
  <si>
    <t>CFC</t>
  </si>
  <si>
    <t>CoBank</t>
  </si>
  <si>
    <t>Account 431.01</t>
  </si>
  <si>
    <t>Other Interest Expense</t>
  </si>
  <si>
    <t>CFC Line of Credit</t>
  </si>
  <si>
    <t>A 'is Proforma for Interest on LTD</t>
  </si>
  <si>
    <t>B' is Proforma for Other Interest Expense</t>
  </si>
  <si>
    <t>401k Contributions</t>
  </si>
  <si>
    <t>Life Insurance</t>
  </si>
  <si>
    <t>Rate Case Costs</t>
  </si>
  <si>
    <t>Interest</t>
  </si>
  <si>
    <t>Year End Customers</t>
  </si>
  <si>
    <t>Test Year Revenue</t>
  </si>
  <si>
    <t>Pro Forma Revenue</t>
  </si>
  <si>
    <t>EXP ADJ</t>
  </si>
  <si>
    <t>Variance</t>
  </si>
  <si>
    <t>Test Year 401k Match Expense</t>
  </si>
  <si>
    <t>Pro Forma 401k Match Expense</t>
  </si>
  <si>
    <t>Subtotal</t>
  </si>
  <si>
    <t>Year</t>
  </si>
  <si>
    <t>(1)</t>
  </si>
  <si>
    <t>(2)</t>
  </si>
  <si>
    <t>(3)</t>
  </si>
  <si>
    <t>(7)</t>
  </si>
  <si>
    <t>(8)</t>
  </si>
  <si>
    <t>Average</t>
  </si>
  <si>
    <t>End of Period Increase over Avg</t>
  </si>
  <si>
    <t>Total kWh</t>
  </si>
  <si>
    <t>Average kWh</t>
  </si>
  <si>
    <t>Year-End kWh Adjustment</t>
  </si>
  <si>
    <t>Revenue Adjustment</t>
  </si>
  <si>
    <t>Current Base Rate Revenue</t>
  </si>
  <si>
    <t>Average Revenue per kWh</t>
  </si>
  <si>
    <t>Year End Revenue Adj</t>
  </si>
  <si>
    <t>Expense Adjustment</t>
  </si>
  <si>
    <t>Avg Adj Purchase Exp per kWh</t>
  </si>
  <si>
    <t>Year End Expense Adj</t>
  </si>
  <si>
    <t xml:space="preserve">Revenue </t>
  </si>
  <si>
    <t>Net Rev</t>
  </si>
  <si>
    <t>Pro Forma Year Amount</t>
  </si>
  <si>
    <t>For Expense Adjustment:</t>
  </si>
  <si>
    <t>Test Period Total</t>
  </si>
  <si>
    <t>Total Purchased Power Expense</t>
  </si>
  <si>
    <t>Less Fuel Adjustment Clause</t>
  </si>
  <si>
    <t>Less Environmental Surcharge</t>
  </si>
  <si>
    <t>Adjusted Purchased Power Expense</t>
  </si>
  <si>
    <t>Total Purchased Power kWh</t>
  </si>
  <si>
    <t>This adjustment adjusts the test year expenses and revenues to reflect the number of customers at the end of the test year.</t>
  </si>
  <si>
    <t>Com - C1</t>
  </si>
  <si>
    <t>Res - R</t>
  </si>
  <si>
    <t>Com - C3</t>
  </si>
  <si>
    <t>C&amp;I - D</t>
  </si>
  <si>
    <t>LC I-E</t>
  </si>
  <si>
    <t>Less MRSM &amp; NonFAC PPA</t>
  </si>
  <si>
    <t>Acct #</t>
  </si>
  <si>
    <t>Fully Depr Items</t>
  </si>
  <si>
    <t>Rate</t>
  </si>
  <si>
    <t>Normalized Expense</t>
  </si>
  <si>
    <t>Test Year Expense</t>
  </si>
  <si>
    <t>Pro Forma Adj</t>
  </si>
  <si>
    <t>Distribution Plant</t>
  </si>
  <si>
    <t>Station equipment</t>
  </si>
  <si>
    <t>Poles, towers &amp; fixtures</t>
  </si>
  <si>
    <t>Overhead conductors &amp; devices</t>
  </si>
  <si>
    <t>Underground conduit</t>
  </si>
  <si>
    <t>Underground conductor &amp; devices</t>
  </si>
  <si>
    <t>Line transformers</t>
  </si>
  <si>
    <t>Services</t>
  </si>
  <si>
    <t>Meters</t>
  </si>
  <si>
    <t>371</t>
  </si>
  <si>
    <t>Installations on customer premises</t>
  </si>
  <si>
    <t>General Plant</t>
  </si>
  <si>
    <t>Land</t>
  </si>
  <si>
    <t>Structures and improvements</t>
  </si>
  <si>
    <t>Stores</t>
  </si>
  <si>
    <t>Tools, shop and garage</t>
  </si>
  <si>
    <t>Laboratory</t>
  </si>
  <si>
    <t>Power operated</t>
  </si>
  <si>
    <t>Communications</t>
  </si>
  <si>
    <t>Miscellaneous</t>
  </si>
  <si>
    <t>This adjustment normalizes depreciation expenses by replacing test year actual expenses with test year end balances (less any fully depreciated items) at approved depreciation rates.</t>
  </si>
  <si>
    <t>Alloc</t>
  </si>
  <si>
    <t>Operations</t>
  </si>
  <si>
    <t>Maintenance</t>
  </si>
  <si>
    <t>Consumer Accounts</t>
  </si>
  <si>
    <t>Administrative &amp; General</t>
  </si>
  <si>
    <t>Jackson Purchase Energy Corporation</t>
  </si>
  <si>
    <t>For the 12 Months Ended December 2017</t>
  </si>
  <si>
    <t>Employee</t>
  </si>
  <si>
    <t>Hours Worked</t>
  </si>
  <si>
    <t>Actual Test Year Wages</t>
  </si>
  <si>
    <t>2018 Wage Rate</t>
  </si>
  <si>
    <t>Pro Forma Wages at 2,080 Hours</t>
  </si>
  <si>
    <t>Pro Forma Adjustment</t>
  </si>
  <si>
    <t>Count</t>
  </si>
  <si>
    <t>ID</t>
  </si>
  <si>
    <t>Actual ID</t>
  </si>
  <si>
    <t>Note</t>
  </si>
  <si>
    <t>Regular</t>
  </si>
  <si>
    <t>Overtime</t>
  </si>
  <si>
    <t>Other/Vac. P. Out</t>
  </si>
  <si>
    <t>&lt; Hide &gt;</t>
  </si>
  <si>
    <t>Wage</t>
  </si>
  <si>
    <t>Normalized Wages</t>
  </si>
  <si>
    <t>@ 2,080 Hours</t>
  </si>
  <si>
    <t>Employee ID</t>
  </si>
  <si>
    <t>Reg Hrs</t>
  </si>
  <si>
    <t>OT Hrs</t>
  </si>
  <si>
    <t>Vacation Payout</t>
  </si>
  <si>
    <t>Current</t>
  </si>
  <si>
    <t>Salary Employees</t>
  </si>
  <si>
    <t>S01</t>
  </si>
  <si>
    <t>S02</t>
  </si>
  <si>
    <t>S03</t>
  </si>
  <si>
    <t>OC</t>
  </si>
  <si>
    <t>S04</t>
  </si>
  <si>
    <t>S05</t>
  </si>
  <si>
    <t>OC2</t>
  </si>
  <si>
    <t>S06</t>
  </si>
  <si>
    <t>S07</t>
  </si>
  <si>
    <t>S08</t>
  </si>
  <si>
    <t>S09</t>
  </si>
  <si>
    <t>S10</t>
  </si>
  <si>
    <t>S11</t>
  </si>
  <si>
    <t>S12</t>
  </si>
  <si>
    <t>O</t>
  </si>
  <si>
    <t>R</t>
  </si>
  <si>
    <t>Hourly Employees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</si>
  <si>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</si>
  <si>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</si>
  <si>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</si>
  <si>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</si>
  <si>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</si>
  <si>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</si>
  <si>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</si>
  <si>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</si>
  <si>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</si>
  <si>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</si>
  <si>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</si>
  <si>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</si>
  <si>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</si>
  <si>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</si>
  <si>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</si>
  <si>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</si>
  <si>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</si>
  <si>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</si>
  <si>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</si>
  <si>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</si>
  <si>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</si>
  <si>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</si>
  <si>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</si>
  <si>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</si>
  <si>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</si>
  <si>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</si>
  <si>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Premium Overtime:</t>
  </si>
  <si>
    <t>H27</t>
  </si>
  <si>
    <t>H28</t>
  </si>
  <si>
    <t>2017</t>
  </si>
  <si>
    <t>OT at</t>
  </si>
  <si>
    <t>OT</t>
  </si>
  <si>
    <t>H29</t>
  </si>
  <si>
    <t>Reg Rate</t>
  </si>
  <si>
    <t>OT Rate</t>
  </si>
  <si>
    <t>1.5 * RR</t>
  </si>
  <si>
    <t>PREMIUM</t>
  </si>
  <si>
    <t>H30</t>
  </si>
  <si>
    <t>BU</t>
  </si>
  <si>
    <t>H31</t>
  </si>
  <si>
    <t>H32</t>
  </si>
  <si>
    <t>BU/R</t>
  </si>
  <si>
    <t>H33</t>
  </si>
  <si>
    <t>H34</t>
  </si>
  <si>
    <t>H35</t>
  </si>
  <si>
    <t>H36</t>
  </si>
  <si>
    <t>H37</t>
  </si>
  <si>
    <t>H38</t>
  </si>
  <si>
    <t>H39</t>
  </si>
  <si>
    <t>H40</t>
  </si>
  <si>
    <t>H41</t>
  </si>
  <si>
    <t>H42</t>
  </si>
  <si>
    <t>H43</t>
  </si>
  <si>
    <t>H44</t>
  </si>
  <si>
    <t>H45</t>
  </si>
  <si>
    <t>H46</t>
  </si>
  <si>
    <t>H47</t>
  </si>
  <si>
    <t>H48</t>
  </si>
  <si>
    <t>H49</t>
  </si>
  <si>
    <t>H50</t>
  </si>
  <si>
    <t>H51</t>
  </si>
  <si>
    <t>H52</t>
  </si>
  <si>
    <t>H53</t>
  </si>
  <si>
    <t>H54</t>
  </si>
  <si>
    <t>H55</t>
  </si>
  <si>
    <t>H56</t>
  </si>
  <si>
    <t>H57</t>
  </si>
  <si>
    <t>H58</t>
  </si>
  <si>
    <t>H59</t>
  </si>
  <si>
    <t>H60</t>
  </si>
  <si>
    <t>H61</t>
  </si>
  <si>
    <t>H62</t>
  </si>
  <si>
    <t>H63</t>
  </si>
  <si>
    <t>NOTES:</t>
  </si>
  <si>
    <t>Labor Expense Summary</t>
  </si>
  <si>
    <t>Labor $</t>
  </si>
  <si>
    <t>580-589</t>
  </si>
  <si>
    <t>590-598</t>
  </si>
  <si>
    <t>901-905</t>
  </si>
  <si>
    <t>907-910</t>
  </si>
  <si>
    <t>920-935</t>
  </si>
  <si>
    <t>Non-Expense Accounts (Balance Sheet)</t>
  </si>
  <si>
    <t>Labor Expense Detail by Account</t>
  </si>
  <si>
    <t>No.</t>
  </si>
  <si>
    <t>Acct</t>
  </si>
  <si>
    <t>Labor Amt</t>
  </si>
  <si>
    <t>Share</t>
  </si>
  <si>
    <t>Non-Expense Accounts</t>
  </si>
  <si>
    <t>580.0</t>
  </si>
  <si>
    <t>OPERATION SUPERVISION &amp; ENGINEERING</t>
  </si>
  <si>
    <t>582.0</t>
  </si>
  <si>
    <t>SUBSTATION EXPENSES</t>
  </si>
  <si>
    <t>582.3</t>
  </si>
  <si>
    <t>STATION EXP - SCADA COMMUNICATION</t>
  </si>
  <si>
    <t>583.0</t>
  </si>
  <si>
    <t>Overhead Line Expense</t>
  </si>
  <si>
    <t>583.2</t>
  </si>
  <si>
    <t>OVERHEAD LINE EXPENSE-LINE PATROL</t>
  </si>
  <si>
    <t>583.3</t>
  </si>
  <si>
    <t>OH LINE EXP-OIL SP CLEANUP/100 REG</t>
  </si>
  <si>
    <t>584.0</t>
  </si>
  <si>
    <t>UNDERGROUND LINE EXPENSES</t>
  </si>
  <si>
    <t>586.0</t>
  </si>
  <si>
    <t>METER EXPENSES</t>
  </si>
  <si>
    <t>586.1</t>
  </si>
  <si>
    <t>METER EXP.-ROUTINE CONN. &amp; DISCON</t>
  </si>
  <si>
    <t>588.0</t>
  </si>
  <si>
    <t>MISC DIST EXPENSES-LABOR &amp; O/H</t>
  </si>
  <si>
    <t>588.2</t>
  </si>
  <si>
    <t>OTHER MISCELLANEOUS DISTRIBUT EXP</t>
  </si>
  <si>
    <t>588.4</t>
  </si>
  <si>
    <t>MISCELLANEOUS DIST. EXP. - STORM</t>
  </si>
  <si>
    <t>588.45</t>
  </si>
  <si>
    <t>MISC. DIST. EXP. - STORM REGULAR HR</t>
  </si>
  <si>
    <t>590.0</t>
  </si>
  <si>
    <t>MAINTENANCE SUPERVISION &amp; ENGINEER</t>
  </si>
  <si>
    <t>592.0</t>
  </si>
  <si>
    <t>MAINTENANCE OF STATION EQUIPMENT</t>
  </si>
  <si>
    <t>593.0</t>
  </si>
  <si>
    <t>MAINTENANCE OF OVERHEAD LINES</t>
  </si>
  <si>
    <t>593.1</t>
  </si>
  <si>
    <t>MAINT OF OVERHEAD LINES - STORMS</t>
  </si>
  <si>
    <t>Group Life (off W-2 Totals)</t>
  </si>
  <si>
    <t>593.3</t>
  </si>
  <si>
    <t>MAINT OF OH LINES - TREE TRIMMING</t>
  </si>
  <si>
    <t>Fringe Benefitis (off W-2 Totals)</t>
  </si>
  <si>
    <t>594.0</t>
  </si>
  <si>
    <t>MAINTENANCE OF UNDERGROUND LINES</t>
  </si>
  <si>
    <t>Wages - ties to above total</t>
  </si>
  <si>
    <t>596.0</t>
  </si>
  <si>
    <t>MAINTENANCE OF OUTDOOR LIGHTING</t>
  </si>
  <si>
    <t>597.0</t>
  </si>
  <si>
    <t>MAINTENANCE OF METERS</t>
  </si>
  <si>
    <t>Gross Payroll</t>
  </si>
  <si>
    <t>597.1</t>
  </si>
  <si>
    <t>MAINTENANCE OF AMI METERS</t>
  </si>
  <si>
    <t>Less Kelly Nuchols (above)</t>
  </si>
  <si>
    <t>598.0</t>
  </si>
  <si>
    <t>MAINT. OF MSC. DISTRIBUTION PLANT</t>
  </si>
  <si>
    <t>Medicare Wages (ties to W-2 Totals)</t>
  </si>
  <si>
    <t>901.0</t>
  </si>
  <si>
    <t>SUPERVISION OF CUSTOMER ACCOUNTS</t>
  </si>
  <si>
    <t>902.0</t>
  </si>
  <si>
    <t>METER READING EXPENSES</t>
  </si>
  <si>
    <t>903.0</t>
  </si>
  <si>
    <t>CUSTOMER RECORDS &amp; COLLECTION EXP.</t>
  </si>
  <si>
    <t>903.2</t>
  </si>
  <si>
    <t>CUST.RCDS &amp; COLL. - COMPLAINTS, ADJ</t>
  </si>
  <si>
    <t>Less Kelly Nuchols</t>
  </si>
  <si>
    <t>903.3</t>
  </si>
  <si>
    <t>CUST RCDS &amp; COLL - CONNECTS &amp; DISC</t>
  </si>
  <si>
    <t>903.4</t>
  </si>
  <si>
    <t>CUST RCDS &amp; COLL - DELINQUENT ACCTS</t>
  </si>
  <si>
    <t>903.41</t>
  </si>
  <si>
    <t>DELINQUENT ACCTS OVER 30 DAYS</t>
  </si>
  <si>
    <t>less Distribution report total below</t>
  </si>
  <si>
    <t>903.5</t>
  </si>
  <si>
    <t>CUST RECORDS - DOCUMENT SCANNING</t>
  </si>
  <si>
    <t>Variance for Distribution (misc adjustment)</t>
  </si>
  <si>
    <t>903.7</t>
  </si>
  <si>
    <t>CUSTOMER RECORDS - AMI</t>
  </si>
  <si>
    <t>903.8</t>
  </si>
  <si>
    <t>CUSTOMER RECORDS - NISC TRAINING</t>
  </si>
  <si>
    <t>910.0</t>
  </si>
  <si>
    <t>MSC CUSTOMER SVC &amp; INFORMATION EXP</t>
  </si>
  <si>
    <t>920.0</t>
  </si>
  <si>
    <t>ADMINISTRATIVE &amp; GENERAL SALARIES</t>
  </si>
  <si>
    <t>920.1</t>
  </si>
  <si>
    <t>ADMIN. &amp; GEN. SALARIES - MANAGER</t>
  </si>
  <si>
    <t>920.5</t>
  </si>
  <si>
    <t>ADMIN. &amp; GEN. SALARIES - SCANNING</t>
  </si>
  <si>
    <t>925.0</t>
  </si>
  <si>
    <t>INJURIES AND DAMAGES</t>
  </si>
  <si>
    <t>926.2</t>
  </si>
  <si>
    <t>OTHER EMPLOYEE PENSIONS &amp; BENEFIT</t>
  </si>
  <si>
    <t>930.22</t>
  </si>
  <si>
    <t>ANNUAL MEETING - OTHER EXPENSES</t>
  </si>
  <si>
    <t>935.0</t>
  </si>
  <si>
    <t>MAINTENANCE OF GENERAL PLANT</t>
  </si>
  <si>
    <t>S13</t>
  </si>
  <si>
    <t>Misc. Non-Operating Income</t>
  </si>
  <si>
    <t>Gains on Disposition of Property</t>
  </si>
  <si>
    <t>Losses on Disposition of Property</t>
  </si>
  <si>
    <t>Total Pro Forma Adjustment</t>
  </si>
  <si>
    <t>421.0</t>
  </si>
  <si>
    <t>Station hardware</t>
  </si>
  <si>
    <t>Station software</t>
  </si>
  <si>
    <t>AMI meters</t>
  </si>
  <si>
    <t>AMI hardware</t>
  </si>
  <si>
    <t>AMI software</t>
  </si>
  <si>
    <t>AMI substation equipment</t>
  </si>
  <si>
    <t>Street Lights &amp; Signs</t>
  </si>
  <si>
    <t>Office furniture and equipment</t>
  </si>
  <si>
    <t>Computer hardware/software</t>
  </si>
  <si>
    <t>Transportation equipment</t>
  </si>
  <si>
    <t>Light duty transportation equipment</t>
  </si>
  <si>
    <t>Distribution &amp; General Total</t>
  </si>
  <si>
    <t>Depreciation Normalization</t>
  </si>
  <si>
    <t>Bearden</t>
  </si>
  <si>
    <t>Birney</t>
  </si>
  <si>
    <t>Crouch</t>
  </si>
  <si>
    <t>Elliott</t>
  </si>
  <si>
    <t>Harris</t>
  </si>
  <si>
    <t>Joiner</t>
  </si>
  <si>
    <t>Marshall</t>
  </si>
  <si>
    <t>Thompson</t>
  </si>
  <si>
    <t>Mullen</t>
  </si>
  <si>
    <t>NRECA Annual Conference</t>
  </si>
  <si>
    <t>NRECA Summer School</t>
  </si>
  <si>
    <t>CFC Training - Louisville</t>
  </si>
  <si>
    <t>KAEC Annual Meeting</t>
  </si>
  <si>
    <t>BREC Annual Meeting</t>
  </si>
  <si>
    <t>BREC Plant Tour</t>
  </si>
  <si>
    <t>NRECA Annual Conference (Bearden/Birney)</t>
  </si>
  <si>
    <t>NRECA Summer School (only 1 attended)</t>
  </si>
  <si>
    <t>CFC Training (Birney/ Elliott)</t>
  </si>
  <si>
    <t>KAEC Annual meeting (Bearden/Thompson)</t>
  </si>
  <si>
    <t>BREC Annual meeting (all)</t>
  </si>
  <si>
    <t>BREC Plant Tour (all except Elliot/Harris)</t>
  </si>
  <si>
    <t>Directors Expenses</t>
  </si>
  <si>
    <t>Adj Test Yr</t>
  </si>
  <si>
    <t>Summary of Adjustments to Test Year Balance Sheet</t>
  </si>
  <si>
    <t>Pro Forma Adjs</t>
  </si>
  <si>
    <t>Pro Forma Test Yr</t>
  </si>
  <si>
    <t>Assets and Other Debits</t>
  </si>
  <si>
    <t>Total Utility Plant in Service</t>
  </si>
  <si>
    <t>Construction Work in Progress</t>
  </si>
  <si>
    <t>Total Utility Plant</t>
  </si>
  <si>
    <t>Accum Provision for Depr and Amort</t>
  </si>
  <si>
    <t>Net Utility Plant</t>
  </si>
  <si>
    <t>Investment in Assoc Org - Patr Capital</t>
  </si>
  <si>
    <t>Investment in Assoc Org - Other Gen Fnd</t>
  </si>
  <si>
    <t>Investment in Assoc Org - Non Gen Fnd</t>
  </si>
  <si>
    <t>Other Investment</t>
  </si>
  <si>
    <t>Total Other Prop &amp; Investments</t>
  </si>
  <si>
    <t>Cash - General Funds</t>
  </si>
  <si>
    <t>Cash - Construction Fund Trust</t>
  </si>
  <si>
    <t>Special Deposits</t>
  </si>
  <si>
    <t>Temporary Investments</t>
  </si>
  <si>
    <t>Accts Receivable - Sales Energy (Net)</t>
  </si>
  <si>
    <t>Accts Receivable - Other (Net)</t>
  </si>
  <si>
    <t>Renewable Energy Credits</t>
  </si>
  <si>
    <t>Material &amp; Supplies - Elec &amp; Other</t>
  </si>
  <si>
    <t>Prepayments</t>
  </si>
  <si>
    <t>Other Current &amp; Accr Assets</t>
  </si>
  <si>
    <t>Total Current &amp; Accr Assets</t>
  </si>
  <si>
    <t>Other Regulatory Assets</t>
  </si>
  <si>
    <t>Other Deferred Debits</t>
  </si>
  <si>
    <t>Total Assets &amp; Other Debits</t>
  </si>
  <si>
    <t>Liabilities &amp; Other Credits</t>
  </si>
  <si>
    <t>Memberships</t>
  </si>
  <si>
    <t>Patronage Capital</t>
  </si>
  <si>
    <t>Operating Margins - Current Year</t>
  </si>
  <si>
    <t>Non-Operating Margins</t>
  </si>
  <si>
    <t>Other Margins &amp; Equities</t>
  </si>
  <si>
    <t>Total Margins &amp; Equities</t>
  </si>
  <si>
    <t>Long Term Debt - RUS (Net)</t>
  </si>
  <si>
    <t>Long Term Debt - FFB - RUS GUAR</t>
  </si>
  <si>
    <t>Long Term Debt - Other - RUS GUAR</t>
  </si>
  <si>
    <t>Long Term Debt - Other (Net)</t>
  </si>
  <si>
    <t>Long Term Debt - RUS -Econ Dev - Net</t>
  </si>
  <si>
    <t>Total Long Term Debt</t>
  </si>
  <si>
    <t>Accum Operating Provisions</t>
  </si>
  <si>
    <t>Notes Payable</t>
  </si>
  <si>
    <t>Accounts Payable</t>
  </si>
  <si>
    <t>Consumer Deposits</t>
  </si>
  <si>
    <t>Other Current &amp; Accr Liabilities</t>
  </si>
  <si>
    <t>Total Current &amp; Accr Liabilities</t>
  </si>
  <si>
    <t>Regulatory Liabilities</t>
  </si>
  <si>
    <t>Other Deferred Credits</t>
  </si>
  <si>
    <t>Total Liabilities &amp; Other Credits</t>
  </si>
  <si>
    <t>Summary of Adjustments to Test Year Statement of Operations</t>
  </si>
  <si>
    <t>Operating Revenues:</t>
  </si>
  <si>
    <t>Base Rates</t>
  </si>
  <si>
    <t>Total Revenues</t>
  </si>
  <si>
    <t xml:space="preserve">        Base Rates</t>
  </si>
  <si>
    <t>Distribution - Operations</t>
  </si>
  <si>
    <t>Distribution - Maintenance</t>
  </si>
  <si>
    <t>Sales</t>
  </si>
  <si>
    <t>Administrative and General</t>
  </si>
  <si>
    <t xml:space="preserve">    Total Operating Expenses</t>
  </si>
  <si>
    <t>Interest Expense - Other</t>
  </si>
  <si>
    <t>Total Non-Operating Margins</t>
  </si>
  <si>
    <t>Rate Switching</t>
  </si>
  <si>
    <t>Donations, Promo Ads &amp; Dues</t>
  </si>
  <si>
    <t>Riders</t>
  </si>
  <si>
    <t xml:space="preserve">        Riders</t>
  </si>
  <si>
    <t>This adjustment normalizes wages and salaries to account for changes due to wage increases, departures, or new hires for standard year of 2,080 hours.</t>
  </si>
  <si>
    <t xml:space="preserve">Acct </t>
  </si>
  <si>
    <t>Ending 2017 Rate</t>
  </si>
  <si>
    <t>Ending 2017 Salary</t>
  </si>
  <si>
    <t>Lesser of $50k or Salary</t>
  </si>
  <si>
    <t>Amount to Exclude</t>
  </si>
  <si>
    <t>Pro Forma Amount</t>
  </si>
  <si>
    <t>Allowed Total</t>
  </si>
  <si>
    <t xml:space="preserve">Reference Schedule  &gt;     </t>
  </si>
  <si>
    <t xml:space="preserve">Adjustment Item   &gt;     </t>
  </si>
  <si>
    <t>Payments - Unapplied</t>
  </si>
  <si>
    <t>Currrent Maturities - Long Term Debt</t>
  </si>
  <si>
    <t>F</t>
  </si>
  <si>
    <t>G</t>
  </si>
  <si>
    <t>H</t>
  </si>
  <si>
    <t>(E * 2)</t>
  </si>
  <si>
    <t>((G-F)/G)*B</t>
  </si>
  <si>
    <t>Coverage - 2x Salary</t>
  </si>
  <si>
    <t>Increase Needed to Achieve Revenue Requirement ($) &gt;</t>
  </si>
  <si>
    <t>Increase Needed to Achieve Revenue Requirement (%) &gt;</t>
  </si>
  <si>
    <t>Checks</t>
  </si>
  <si>
    <t>PFAs Tab</t>
  </si>
  <si>
    <t>Rev Req Tab</t>
  </si>
  <si>
    <t>Adj IS Tab</t>
  </si>
  <si>
    <t>Items to be removed:</t>
  </si>
  <si>
    <t>Amount</t>
  </si>
  <si>
    <t>Total to be removed:</t>
  </si>
  <si>
    <t>BU is Bargaining Unit Employees, O is Open Position in 2017, but filled since, R is no longer employed at beginning of 2018 and pro-forma adjusted out.  OC is on-call pay 13 weeks per year @ $325 per week, OC2 is on-call pay 52 weeks per year @ $125 per week - both are added to Other column.</t>
  </si>
  <si>
    <t>Reference Schedule:  1.15</t>
  </si>
  <si>
    <t xml:space="preserve">Fuel Adjustment Clause </t>
  </si>
  <si>
    <t>This adjustment removes the FAC revenues and expenses from the test period.</t>
  </si>
  <si>
    <t>Reference Schedule:  1.01</t>
  </si>
  <si>
    <t>Reference Schedule:  1.02</t>
  </si>
  <si>
    <t>Reference Schedule:  1.03</t>
  </si>
  <si>
    <t>Reference Schedule:  1.04</t>
  </si>
  <si>
    <t>Environmental Surcharge</t>
  </si>
  <si>
    <t>This adjustment removes the ES revenues and expenses from the test period.</t>
  </si>
  <si>
    <t>Non-FAC Purchased Power Adjustment</t>
  </si>
  <si>
    <t>This adjustment removes the Non-FAC PPA revenues and expenses from the test period.</t>
  </si>
  <si>
    <t>This adjustment removes the MRSM revenues and expenses from the test period.</t>
  </si>
  <si>
    <t>Member Rate Stability Mechanism</t>
  </si>
  <si>
    <t>Test Year Revenues</t>
  </si>
  <si>
    <t>Base Rev*</t>
  </si>
  <si>
    <t>Lost Rev</t>
  </si>
  <si>
    <t>This adjustment reflects the revenue effects of rate switching.  Marathon signed a new contract with JPEC in late 2018 and will move from a 'I-E' Rate Schedule to a 'D' Rate Schedule</t>
  </si>
  <si>
    <t>Reference Schedule:  1.05</t>
  </si>
  <si>
    <t>Reference Schedule:  1.06</t>
  </si>
  <si>
    <t>Donations, Promotional Advertising &amp; Dues</t>
  </si>
  <si>
    <t>This adjustment removes charitable donations, promotional advertising expenses, and dues from the revenue requirement consistent with standard Commission practices.</t>
  </si>
  <si>
    <t>Reference Schedule:  1.07</t>
  </si>
  <si>
    <t>401(k) Contribution Match Expense</t>
  </si>
  <si>
    <t>This adjustment removes the contribution for the least generous plans for employer retirement contributions for employees participating in multiple benefit packages.</t>
  </si>
  <si>
    <t>Specifically, for Non-Union employees under R&amp;S Pension Plan and 401k match, removes the 401k match for non-union (non-contractual) employees.</t>
  </si>
  <si>
    <t>Reference Schedule:  1.08</t>
  </si>
  <si>
    <t>Empl #</t>
  </si>
  <si>
    <t>Total Premium</t>
  </si>
  <si>
    <t>This adjustment removes Life insurance premiums for coverage above the lesser of an employee's annual salary or $50,000 from the test period.</t>
  </si>
  <si>
    <t>Reference Schedule:  1.09</t>
  </si>
  <si>
    <t>Annual Amortization Amount</t>
  </si>
  <si>
    <t>Consulting - Catalyst Consulting LLC</t>
  </si>
  <si>
    <t>Rate Case Expenses</t>
  </si>
  <si>
    <t>Total Amount</t>
  </si>
  <si>
    <t>Amortization Period (Years)</t>
  </si>
  <si>
    <t>This adjustment estimates the rate case costs amortized over a 3 year period, consistent with standard Commission practice.</t>
  </si>
  <si>
    <t>Reference Schedule:  1.11</t>
  </si>
  <si>
    <t>This adjustment normalizes the interest on Long Term Debt and Other Interest Expense from test year to recent amounts.</t>
  </si>
  <si>
    <t>Reference Schedule:  1.12</t>
  </si>
  <si>
    <t>Total (Expensed and Capitalized)</t>
  </si>
  <si>
    <t>Total Expense Adj</t>
  </si>
  <si>
    <t>Reference Schedule:  1.13</t>
  </si>
  <si>
    <t>Misc. Non-Operating Income contains Income from collecting Paducah Water payments</t>
  </si>
  <si>
    <t>JPEC is no longer collecting these payments and therefore will not receive the misc. income.</t>
  </si>
  <si>
    <t>Reference Schedule:  1.14</t>
  </si>
  <si>
    <t>This adjustment removes certain Director expenses consistent with recent Commission orders and standard Commission practices.</t>
  </si>
  <si>
    <t>Depreciation Expense Normalization</t>
  </si>
  <si>
    <t>Allocation of Clearing to O&amp;M</t>
  </si>
  <si>
    <t>Depr $</t>
  </si>
  <si>
    <t>Allocation based on Labor Allocators from Reference Schedule 1.12</t>
  </si>
  <si>
    <t>Test Yr End Bal</t>
  </si>
  <si>
    <t>Charged to Clearing</t>
  </si>
  <si>
    <t>A + B</t>
  </si>
  <si>
    <t>Advertising - Ann Mtg</t>
  </si>
  <si>
    <t>Prizes Ann. Mtg.</t>
  </si>
  <si>
    <t>Printing - Ann Mtg</t>
  </si>
  <si>
    <t>Member Newsletter</t>
  </si>
  <si>
    <t>Sponsorships/Memberships</t>
  </si>
  <si>
    <t>Advertising / Notices</t>
  </si>
  <si>
    <t>reserved</t>
  </si>
  <si>
    <t>I</t>
  </si>
  <si>
    <t>J</t>
  </si>
  <si>
    <t>L</t>
  </si>
  <si>
    <t xml:space="preserve">K </t>
  </si>
  <si>
    <t>(continued)</t>
  </si>
  <si>
    <t>Reference Schedule:  1.10</t>
  </si>
  <si>
    <t>Health Insurance Premiums</t>
  </si>
  <si>
    <t>Reference Schedule:  1.16</t>
  </si>
  <si>
    <t>(A)</t>
  </si>
  <si>
    <t>(B)</t>
  </si>
  <si>
    <t>(C )</t>
  </si>
  <si>
    <t>(D)</t>
  </si>
  <si>
    <t>(E )</t>
  </si>
  <si>
    <t>(F)</t>
  </si>
  <si>
    <t>Employee Premiums</t>
  </si>
  <si>
    <t>Employer Premiums</t>
  </si>
  <si>
    <t>Total Premiums</t>
  </si>
  <si>
    <t>Share %</t>
  </si>
  <si>
    <t>Share $</t>
  </si>
  <si>
    <t>Health, Dental, Vision* (Non-Bargaining Unit Employees)</t>
  </si>
  <si>
    <t>Health, Dental, Vision* (Bargaining Unit Employees)</t>
  </si>
  <si>
    <t>This adjustment removes a certain portion of health care premium costs from the revenue requirement.</t>
  </si>
  <si>
    <t>Employees</t>
  </si>
  <si>
    <t>Expense Portion (from Labor Adj. Ref Schedule 1.12)</t>
  </si>
  <si>
    <t>Capitalized Portion (from Labor Adj. Ref Schedule 1.12)</t>
  </si>
  <si>
    <t>Total Expense Adjustment</t>
  </si>
  <si>
    <t>= (E) - (A)</t>
  </si>
  <si>
    <t>Both Bargaining and Non-Bargaining Unit Employees of Jackson Purchase are covered by the National Electrical Contractors Association/Internal Brotherhood of Electrical Workers ("NECA/IBEW") Welfare Trust Plan, which utilizes the Anthem BlueCross/BlueShield PPO network.  Under this Plan, one premium is paid by Jackson Purchase to NECA/IBEW for medical, dental, and vision coverage for its 68 employee workforce.  Bargaining Unit Employees in turn contribute/reimburse 10% and Non-Bargaining Unit Employees contribute/reimburse 5% of the premium paid by Jackson Purchase.  The contribution/reimbursement rates are the same within these two classes of employees regardless of whether they elect individual or family coverage.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</si>
</sst>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(#\)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00_);_(* \(#,##0.000\);_(* &quot;-&quot;??_);_(@_)"/>
    <numFmt numFmtId="168" formatCode="_(&quot;$&quot;* #,##0.000000_);_(&quot;$&quot;* \(#,##0.000000\);_(&quot;$&quot;* &quot;-&quot;??_);_(@_)"/>
    <numFmt numFmtId="169" formatCode="_(&quot;$&quot;* #,##0.00000_);_(&quot;$&quot;* \(#,##0.00000\);_(&quot;$&quot;* &quot;-&quot;??_);_(@_)"/>
    <numFmt numFmtId="170" formatCode="_(* #,##0.00000_);_(* \(#,##0.00000\);_(* &quot;-&quot;??_);_(@_)"/>
    <numFmt numFmtId="171" formatCode="0.0%"/>
    <numFmt numFmtId="172" formatCode="m/d/yy;@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2"/>
      <color theme="1"/>
      <name val="Arial"/>
      <family val="2"/>
    </font>
    <font>
      <sz val="12"/>
      <name val="P-TIMES"/>
    </font>
    <font>
      <sz val="10"/>
      <name val="MS Sans Serif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i/>
      <sz val="10"/>
      <color theme="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u/>
      <sz val="10"/>
      <color theme="1"/>
      <name val="Arial"/>
      <family val="2"/>
    </font>
    <font>
      <i/>
      <sz val="11"/>
      <color theme="1"/>
      <name val="Arial"/>
      <family val="2"/>
    </font>
    <font>
      <u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rgb="FF0033CC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438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164" fontId="5" fillId="0" borderId="1" xfId="0" quotePrefix="1" applyNumberFormat="1" applyFont="1" applyBorder="1" applyAlignment="1">
      <alignment horizontal="center"/>
    </xf>
    <xf numFmtId="0" fontId="6" fillId="0" borderId="0" xfId="0" applyFont="1" applyFill="1"/>
    <xf numFmtId="165" fontId="3" fillId="0" borderId="0" xfId="1" applyNumberFormat="1" applyFont="1" applyFill="1"/>
    <xf numFmtId="165" fontId="7" fillId="0" borderId="0" xfId="1" applyNumberFormat="1" applyFont="1" applyFill="1"/>
    <xf numFmtId="0" fontId="3" fillId="0" borderId="2" xfId="0" applyFont="1" applyFill="1" applyBorder="1"/>
    <xf numFmtId="165" fontId="7" fillId="0" borderId="2" xfId="1" applyNumberFormat="1" applyFont="1" applyFill="1" applyBorder="1"/>
    <xf numFmtId="10" fontId="7" fillId="0" borderId="0" xfId="3" applyNumberFormat="1" applyFont="1" applyFill="1" applyBorder="1"/>
    <xf numFmtId="166" fontId="3" fillId="0" borderId="0" xfId="2" applyNumberFormat="1" applyFont="1" applyFill="1"/>
    <xf numFmtId="43" fontId="3" fillId="0" borderId="0" xfId="1" applyFont="1" applyFill="1"/>
    <xf numFmtId="0" fontId="3" fillId="0" borderId="3" xfId="0" applyFont="1" applyFill="1" applyBorder="1"/>
    <xf numFmtId="0" fontId="3" fillId="0" borderId="4" xfId="0" applyFont="1" applyFill="1" applyBorder="1"/>
    <xf numFmtId="165" fontId="7" fillId="0" borderId="5" xfId="1" applyNumberFormat="1" applyFont="1" applyFill="1" applyBorder="1"/>
    <xf numFmtId="0" fontId="3" fillId="0" borderId="0" xfId="0" applyFont="1" applyFill="1" applyAlignment="1">
      <alignment horizontal="right"/>
    </xf>
    <xf numFmtId="0" fontId="3" fillId="0" borderId="0" xfId="0" applyFont="1"/>
    <xf numFmtId="0" fontId="7" fillId="0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164" fontId="7" fillId="0" borderId="1" xfId="0" quotePrefix="1" applyNumberFormat="1" applyFont="1" applyBorder="1" applyAlignment="1">
      <alignment horizontal="center"/>
    </xf>
    <xf numFmtId="164" fontId="7" fillId="0" borderId="0" xfId="0" quotePrefix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1" applyNumberFormat="1" applyFont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65" fontId="3" fillId="0" borderId="4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1" applyNumberFormat="1" applyFont="1" applyBorder="1"/>
    <xf numFmtId="10" fontId="7" fillId="0" borderId="0" xfId="3" applyNumberFormat="1" applyFont="1" applyFill="1"/>
    <xf numFmtId="2" fontId="3" fillId="0" borderId="0" xfId="0" quotePrefix="1" applyNumberFormat="1" applyFont="1" applyAlignment="1">
      <alignment horizontal="center"/>
    </xf>
    <xf numFmtId="0" fontId="2" fillId="0" borderId="0" xfId="6" applyFont="1" applyAlignment="1">
      <alignment horizontal="right"/>
    </xf>
    <xf numFmtId="0" fontId="3" fillId="0" borderId="0" xfId="6" applyFont="1"/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3" fillId="0" borderId="0" xfId="2" applyNumberFormat="1" applyFont="1"/>
    <xf numFmtId="165" fontId="3" fillId="2" borderId="0" xfId="0" applyNumberFormat="1" applyFont="1" applyFill="1"/>
    <xf numFmtId="0" fontId="3" fillId="2" borderId="0" xfId="0" applyFont="1" applyFill="1"/>
    <xf numFmtId="0" fontId="7" fillId="0" borderId="2" xfId="0" applyFont="1" applyBorder="1" applyAlignment="1">
      <alignment horizontal="center"/>
    </xf>
    <xf numFmtId="0" fontId="3" fillId="0" borderId="2" xfId="0" applyFont="1" applyBorder="1"/>
    <xf numFmtId="166" fontId="3" fillId="0" borderId="0" xfId="2" applyNumberFormat="1" applyFont="1" applyBorder="1"/>
    <xf numFmtId="165" fontId="3" fillId="0" borderId="2" xfId="1" applyNumberFormat="1" applyFont="1" applyBorder="1"/>
    <xf numFmtId="0" fontId="3" fillId="0" borderId="0" xfId="0" applyFont="1" applyBorder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165" fontId="3" fillId="0" borderId="0" xfId="0" applyNumberFormat="1" applyFont="1"/>
    <xf numFmtId="0" fontId="2" fillId="0" borderId="0" xfId="0" applyFont="1" applyBorder="1"/>
    <xf numFmtId="169" fontId="3" fillId="0" borderId="0" xfId="2" applyNumberFormat="1" applyFont="1" applyBorder="1"/>
    <xf numFmtId="170" fontId="3" fillId="0" borderId="0" xfId="1" applyNumberFormat="1" applyFont="1" applyBorder="1"/>
    <xf numFmtId="0" fontId="3" fillId="0" borderId="6" xfId="0" applyFont="1" applyBorder="1"/>
    <xf numFmtId="0" fontId="7" fillId="0" borderId="6" xfId="0" applyFont="1" applyBorder="1" applyAlignment="1">
      <alignment horizontal="center"/>
    </xf>
    <xf numFmtId="166" fontId="3" fillId="0" borderId="6" xfId="2" applyNumberFormat="1" applyFont="1" applyBorder="1"/>
    <xf numFmtId="0" fontId="7" fillId="0" borderId="0" xfId="0" applyFont="1" applyBorder="1"/>
    <xf numFmtId="166" fontId="2" fillId="0" borderId="1" xfId="2" applyNumberFormat="1" applyFont="1" applyBorder="1" applyAlignment="1">
      <alignment horizontal="right"/>
    </xf>
    <xf numFmtId="166" fontId="3" fillId="0" borderId="0" xfId="2" applyNumberFormat="1" applyFont="1" applyFill="1" applyBorder="1"/>
    <xf numFmtId="166" fontId="3" fillId="0" borderId="0" xfId="0" applyNumberFormat="1" applyFont="1"/>
    <xf numFmtId="0" fontId="7" fillId="0" borderId="0" xfId="0" applyFont="1"/>
    <xf numFmtId="0" fontId="7" fillId="0" borderId="4" xfId="0" applyFont="1" applyBorder="1"/>
    <xf numFmtId="0" fontId="3" fillId="0" borderId="4" xfId="0" applyFont="1" applyBorder="1"/>
    <xf numFmtId="166" fontId="3" fillId="0" borderId="4" xfId="0" applyNumberFormat="1" applyFont="1" applyBorder="1"/>
    <xf numFmtId="166" fontId="3" fillId="0" borderId="4" xfId="2" applyNumberFormat="1" applyFont="1" applyBorder="1"/>
    <xf numFmtId="0" fontId="13" fillId="0" borderId="0" xfId="0" applyFont="1"/>
    <xf numFmtId="0" fontId="2" fillId="0" borderId="1" xfId="0" applyFont="1" applyBorder="1"/>
    <xf numFmtId="0" fontId="2" fillId="0" borderId="0" xfId="0" applyFont="1" applyFill="1" applyAlignment="1"/>
    <xf numFmtId="165" fontId="7" fillId="0" borderId="7" xfId="1" applyNumberFormat="1" applyFont="1" applyFill="1" applyBorder="1"/>
    <xf numFmtId="0" fontId="6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Border="1" applyProtection="1"/>
    <xf numFmtId="41" fontId="7" fillId="0" borderId="0" xfId="0" applyNumberFormat="1" applyFont="1" applyBorder="1" applyProtection="1"/>
    <xf numFmtId="0" fontId="3" fillId="0" borderId="2" xfId="0" applyFont="1" applyBorder="1" applyAlignment="1">
      <alignment horizontal="right"/>
    </xf>
    <xf numFmtId="41" fontId="3" fillId="0" borderId="2" xfId="0" applyNumberFormat="1" applyFont="1" applyBorder="1"/>
    <xf numFmtId="0" fontId="6" fillId="0" borderId="0" xfId="0" applyFont="1" applyBorder="1" applyAlignment="1">
      <alignment horizontal="left"/>
    </xf>
    <xf numFmtId="171" fontId="7" fillId="0" borderId="0" xfId="0" applyNumberFormat="1" applyFont="1" applyBorder="1" applyProtection="1"/>
    <xf numFmtId="0" fontId="3" fillId="0" borderId="3" xfId="0" applyFont="1" applyBorder="1"/>
    <xf numFmtId="0" fontId="3" fillId="0" borderId="0" xfId="0" applyFont="1" applyBorder="1" applyAlignment="1">
      <alignment horizontal="right"/>
    </xf>
    <xf numFmtId="41" fontId="3" fillId="0" borderId="0" xfId="0" applyNumberFormat="1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top" wrapText="1"/>
    </xf>
    <xf numFmtId="0" fontId="14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right" wrapText="1"/>
    </xf>
    <xf numFmtId="0" fontId="7" fillId="0" borderId="0" xfId="0" applyFont="1" applyProtection="1"/>
    <xf numFmtId="0" fontId="7" fillId="0" borderId="0" xfId="0" applyFont="1" applyBorder="1" applyAlignment="1" applyProtection="1">
      <alignment horizontal="center"/>
    </xf>
    <xf numFmtId="166" fontId="7" fillId="0" borderId="0" xfId="2" applyNumberFormat="1" applyFont="1" applyBorder="1" applyProtection="1"/>
    <xf numFmtId="0" fontId="7" fillId="0" borderId="2" xfId="0" applyFont="1" applyBorder="1" applyAlignment="1" applyProtection="1">
      <alignment horizontal="center"/>
    </xf>
    <xf numFmtId="0" fontId="7" fillId="0" borderId="2" xfId="0" applyFont="1" applyBorder="1"/>
    <xf numFmtId="166" fontId="7" fillId="0" borderId="0" xfId="2" applyNumberFormat="1" applyFont="1" applyBorder="1" applyAlignment="1" applyProtection="1">
      <alignment horizontal="center"/>
    </xf>
    <xf numFmtId="171" fontId="7" fillId="0" borderId="0" xfId="3" applyNumberFormat="1" applyFont="1" applyBorder="1" applyProtection="1"/>
    <xf numFmtId="0" fontId="7" fillId="0" borderId="4" xfId="0" applyFont="1" applyBorder="1" applyAlignment="1" applyProtection="1">
      <alignment horizontal="center"/>
    </xf>
    <xf numFmtId="0" fontId="7" fillId="0" borderId="4" xfId="0" applyFont="1" applyBorder="1" applyProtection="1"/>
    <xf numFmtId="171" fontId="7" fillId="0" borderId="4" xfId="3" applyNumberFormat="1" applyFont="1" applyBorder="1" applyProtection="1"/>
    <xf numFmtId="41" fontId="17" fillId="0" borderId="0" xfId="0" applyNumberFormat="1" applyFont="1" applyBorder="1" applyProtection="1"/>
    <xf numFmtId="0" fontId="5" fillId="0" borderId="0" xfId="6" applyFont="1" applyAlignment="1">
      <alignment horizontal="right"/>
    </xf>
    <xf numFmtId="166" fontId="7" fillId="0" borderId="0" xfId="2" applyNumberFormat="1" applyFont="1"/>
    <xf numFmtId="0" fontId="7" fillId="0" borderId="0" xfId="6" applyFont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3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 wrapText="1"/>
    </xf>
    <xf numFmtId="0" fontId="7" fillId="4" borderId="0" xfId="6" applyFont="1" applyFill="1" applyAlignment="1">
      <alignment horizontal="center"/>
    </xf>
    <xf numFmtId="164" fontId="7" fillId="3" borderId="1" xfId="0" quotePrefix="1" applyNumberFormat="1" applyFont="1" applyFill="1" applyBorder="1" applyAlignment="1">
      <alignment horizontal="center"/>
    </xf>
    <xf numFmtId="0" fontId="7" fillId="0" borderId="0" xfId="0" applyFont="1" applyAlignment="1">
      <alignment horizontal="centerContinuous"/>
    </xf>
    <xf numFmtId="0" fontId="7" fillId="4" borderId="0" xfId="0" applyFont="1" applyFill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9" xfId="0" applyFont="1" applyBorder="1" applyAlignment="1">
      <alignment horizontal="centerContinuous"/>
    </xf>
    <xf numFmtId="0" fontId="7" fillId="0" borderId="10" xfId="0" applyFont="1" applyBorder="1" applyAlignment="1">
      <alignment horizontal="centerContinuous"/>
    </xf>
    <xf numFmtId="166" fontId="7" fillId="0" borderId="0" xfId="2" applyNumberFormat="1" applyFont="1" applyAlignment="1">
      <alignment horizontal="center" wrapText="1"/>
    </xf>
    <xf numFmtId="171" fontId="7" fillId="0" borderId="0" xfId="3" applyNumberFormat="1" applyFont="1"/>
    <xf numFmtId="14" fontId="7" fillId="0" borderId="0" xfId="0" applyNumberFormat="1" applyFont="1" applyAlignment="1">
      <alignment horizontal="center"/>
    </xf>
    <xf numFmtId="14" fontId="7" fillId="0" borderId="0" xfId="0" applyNumberFormat="1" applyFont="1"/>
    <xf numFmtId="0" fontId="7" fillId="4" borderId="0" xfId="0" applyFont="1" applyFill="1" applyBorder="1" applyAlignment="1">
      <alignment horizontal="center"/>
    </xf>
    <xf numFmtId="0" fontId="7" fillId="0" borderId="17" xfId="0" applyFont="1" applyBorder="1"/>
    <xf numFmtId="0" fontId="7" fillId="0" borderId="18" xfId="0" applyFont="1" applyBorder="1"/>
    <xf numFmtId="0" fontId="7" fillId="0" borderId="20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0" borderId="0" xfId="0" applyFont="1" applyAlignment="1"/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7" fillId="4" borderId="13" xfId="0" applyFont="1" applyFill="1" applyBorder="1" applyAlignment="1">
      <alignment horizontal="center" wrapText="1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172" fontId="7" fillId="0" borderId="0" xfId="0" applyNumberFormat="1" applyFont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172" fontId="7" fillId="0" borderId="0" xfId="0" applyNumberFormat="1" applyFont="1" applyFill="1" applyAlignment="1">
      <alignment horizontal="center"/>
    </xf>
    <xf numFmtId="166" fontId="7" fillId="0" borderId="0" xfId="2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172" fontId="7" fillId="0" borderId="0" xfId="0" applyNumberFormat="1" applyFont="1" applyAlignment="1">
      <alignment horizontal="center" wrapText="1"/>
    </xf>
    <xf numFmtId="1" fontId="7" fillId="0" borderId="0" xfId="1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12" fillId="0" borderId="0" xfId="0" applyFont="1"/>
    <xf numFmtId="0" fontId="5" fillId="0" borderId="0" xfId="0" applyFont="1" applyAlignment="1">
      <alignment horizontal="center"/>
    </xf>
    <xf numFmtId="43" fontId="7" fillId="0" borderId="0" xfId="1" applyNumberFormat="1" applyFont="1"/>
    <xf numFmtId="43" fontId="7" fillId="4" borderId="0" xfId="1" applyNumberFormat="1" applyFont="1" applyFill="1"/>
    <xf numFmtId="41" fontId="7" fillId="0" borderId="0" xfId="1" applyNumberFormat="1" applyFont="1"/>
    <xf numFmtId="0" fontId="7" fillId="0" borderId="0" xfId="0" applyFont="1" applyAlignment="1">
      <alignment horizontal="left"/>
    </xf>
    <xf numFmtId="2" fontId="7" fillId="0" borderId="0" xfId="0" applyNumberFormat="1" applyFont="1"/>
    <xf numFmtId="37" fontId="7" fillId="0" borderId="0" xfId="0" applyNumberFormat="1" applyFont="1"/>
    <xf numFmtId="166" fontId="7" fillId="0" borderId="0" xfId="0" applyNumberFormat="1" applyFont="1"/>
    <xf numFmtId="0" fontId="7" fillId="0" borderId="0" xfId="0" applyFont="1" applyFill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43" fontId="5" fillId="0" borderId="2" xfId="1" applyNumberFormat="1" applyFont="1" applyBorder="1"/>
    <xf numFmtId="41" fontId="5" fillId="0" borderId="2" xfId="1" applyNumberFormat="1" applyFont="1" applyBorder="1"/>
    <xf numFmtId="38" fontId="5" fillId="0" borderId="2" xfId="1" applyNumberFormat="1" applyFont="1" applyBorder="1"/>
    <xf numFmtId="166" fontId="7" fillId="0" borderId="2" xfId="2" applyNumberFormat="1" applyFont="1" applyBorder="1"/>
    <xf numFmtId="43" fontId="5" fillId="0" borderId="0" xfId="1" applyNumberFormat="1" applyFont="1"/>
    <xf numFmtId="43" fontId="5" fillId="4" borderId="0" xfId="1" applyNumberFormat="1" applyFont="1" applyFill="1"/>
    <xf numFmtId="41" fontId="5" fillId="0" borderId="0" xfId="1" applyNumberFormat="1" applyFont="1"/>
    <xf numFmtId="0" fontId="5" fillId="0" borderId="0" xfId="0" applyFont="1"/>
    <xf numFmtId="4" fontId="7" fillId="0" borderId="0" xfId="0" applyNumberFormat="1" applyFont="1" applyFill="1" applyBorder="1" applyAlignment="1" applyProtection="1">
      <alignment vertical="top"/>
    </xf>
    <xf numFmtId="166" fontId="5" fillId="0" borderId="0" xfId="2" quotePrefix="1" applyNumberFormat="1" applyFont="1" applyBorder="1" applyAlignment="1">
      <alignment horizontal="center"/>
    </xf>
    <xf numFmtId="166" fontId="5" fillId="0" borderId="0" xfId="0" quotePrefix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6" fontId="5" fillId="0" borderId="1" xfId="2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7" fillId="0" borderId="0" xfId="2" applyNumberFormat="1" applyFont="1"/>
    <xf numFmtId="44" fontId="7" fillId="0" borderId="0" xfId="0" applyNumberFormat="1" applyFont="1"/>
    <xf numFmtId="43" fontId="7" fillId="0" borderId="0" xfId="0" applyNumberFormat="1" applyFont="1"/>
    <xf numFmtId="165" fontId="7" fillId="4" borderId="0" xfId="1" applyNumberFormat="1" applyFont="1" applyFill="1"/>
    <xf numFmtId="165" fontId="7" fillId="4" borderId="0" xfId="1" applyNumberFormat="1" applyFont="1" applyFill="1" applyAlignment="1">
      <alignment horizontal="center" wrapText="1"/>
    </xf>
    <xf numFmtId="165" fontId="7" fillId="4" borderId="0" xfId="1" applyNumberFormat="1" applyFont="1" applyFill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43" fontId="7" fillId="4" borderId="0" xfId="1" applyNumberFormat="1" applyFont="1" applyFill="1" applyAlignment="1">
      <alignment vertical="center"/>
    </xf>
    <xf numFmtId="0" fontId="7" fillId="4" borderId="0" xfId="0" applyFont="1" applyFill="1" applyAlignment="1">
      <alignment horizontal="center" vertical="center" wrapText="1"/>
    </xf>
    <xf numFmtId="0" fontId="7" fillId="4" borderId="0" xfId="6" applyFont="1" applyFill="1" applyAlignment="1">
      <alignment horizontal="center" vertical="center"/>
    </xf>
    <xf numFmtId="43" fontId="7" fillId="0" borderId="0" xfId="0" applyNumberFormat="1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166" fontId="7" fillId="0" borderId="0" xfId="2" applyNumberFormat="1" applyFont="1" applyAlignment="1">
      <alignment vertical="center"/>
    </xf>
    <xf numFmtId="0" fontId="14" fillId="0" borderId="0" xfId="0" applyFont="1" applyAlignment="1" applyProtection="1">
      <alignment horizontal="center"/>
    </xf>
    <xf numFmtId="0" fontId="14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0" fontId="7" fillId="0" borderId="2" xfId="0" applyFont="1" applyBorder="1" applyProtection="1"/>
    <xf numFmtId="171" fontId="7" fillId="0" borderId="2" xfId="3" applyNumberFormat="1" applyFont="1" applyBorder="1" applyProtection="1"/>
    <xf numFmtId="166" fontId="7" fillId="0" borderId="0" xfId="0" applyNumberFormat="1" applyFont="1" applyBorder="1"/>
    <xf numFmtId="166" fontId="7" fillId="0" borderId="2" xfId="0" applyNumberFormat="1" applyFont="1" applyBorder="1"/>
    <xf numFmtId="166" fontId="7" fillId="0" borderId="4" xfId="2" applyNumberFormat="1" applyFont="1" applyBorder="1" applyAlignment="1" applyProtection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 applyProtection="1">
      <alignment horizontal="right"/>
    </xf>
    <xf numFmtId="2" fontId="7" fillId="0" borderId="0" xfId="0" applyNumberFormat="1" applyFont="1" applyAlignment="1">
      <alignment horizontal="center"/>
    </xf>
    <xf numFmtId="166" fontId="7" fillId="0" borderId="0" xfId="2" applyNumberFormat="1" applyFont="1" applyProtection="1"/>
    <xf numFmtId="44" fontId="7" fillId="0" borderId="0" xfId="2" applyFont="1"/>
    <xf numFmtId="166" fontId="7" fillId="0" borderId="0" xfId="1" applyNumberFormat="1" applyFont="1"/>
    <xf numFmtId="166" fontId="7" fillId="0" borderId="1" xfId="1" applyNumberFormat="1" applyFont="1" applyBorder="1"/>
    <xf numFmtId="166" fontId="7" fillId="0" borderId="1" xfId="0" applyNumberFormat="1" applyFont="1" applyBorder="1"/>
    <xf numFmtId="2" fontId="7" fillId="0" borderId="0" xfId="0" quotePrefix="1" applyNumberFormat="1" applyFont="1" applyAlignment="1">
      <alignment horizontal="center"/>
    </xf>
    <xf numFmtId="2" fontId="7" fillId="0" borderId="0" xfId="0" applyNumberFormat="1" applyFont="1" applyBorder="1" applyAlignment="1">
      <alignment horizontal="center"/>
    </xf>
    <xf numFmtId="171" fontId="7" fillId="0" borderId="2" xfId="3" applyNumberFormat="1" applyFont="1" applyBorder="1"/>
    <xf numFmtId="9" fontId="7" fillId="0" borderId="0" xfId="3" applyFont="1"/>
    <xf numFmtId="166" fontId="3" fillId="0" borderId="2" xfId="2" applyNumberFormat="1" applyFont="1" applyBorder="1"/>
    <xf numFmtId="41" fontId="3" fillId="0" borderId="0" xfId="0" applyNumberFormat="1" applyFont="1"/>
    <xf numFmtId="166" fontId="2" fillId="0" borderId="3" xfId="2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166" fontId="7" fillId="0" borderId="0" xfId="2" applyNumberFormat="1" applyFont="1" applyAlignment="1">
      <alignment horizontal="left" vertical="top"/>
    </xf>
    <xf numFmtId="165" fontId="2" fillId="0" borderId="0" xfId="1" applyNumberFormat="1" applyFont="1" applyFill="1" applyAlignment="1"/>
    <xf numFmtId="165" fontId="2" fillId="0" borderId="0" xfId="1" applyNumberFormat="1" applyFont="1" applyFill="1" applyAlignment="1">
      <alignment horizontal="center"/>
    </xf>
    <xf numFmtId="0" fontId="19" fillId="0" borderId="0" xfId="0" applyFont="1" applyFill="1"/>
    <xf numFmtId="165" fontId="7" fillId="0" borderId="0" xfId="1" applyNumberFormat="1" applyFont="1" applyProtection="1"/>
    <xf numFmtId="165" fontId="7" fillId="0" borderId="2" xfId="1" applyNumberFormat="1" applyFont="1" applyBorder="1" applyProtection="1"/>
    <xf numFmtId="165" fontId="7" fillId="0" borderId="0" xfId="1" applyNumberFormat="1" applyFont="1" applyFill="1" applyProtection="1"/>
    <xf numFmtId="165" fontId="7" fillId="0" borderId="4" xfId="1" applyNumberFormat="1" applyFont="1" applyBorder="1" applyProtection="1"/>
    <xf numFmtId="0" fontId="3" fillId="0" borderId="0" xfId="0" applyFont="1" applyFill="1" applyBorder="1"/>
    <xf numFmtId="165" fontId="7" fillId="0" borderId="0" xfId="1" applyNumberFormat="1" applyFont="1" applyBorder="1" applyProtection="1"/>
    <xf numFmtId="0" fontId="19" fillId="0" borderId="0" xfId="0" applyFont="1" applyFill="1" applyAlignment="1">
      <alignment horizontal="left"/>
    </xf>
    <xf numFmtId="0" fontId="20" fillId="0" borderId="0" xfId="7" applyFont="1" applyFill="1" applyAlignment="1">
      <alignment horizontal="centerContinuous"/>
    </xf>
    <xf numFmtId="0" fontId="20" fillId="0" borderId="0" xfId="7" applyFont="1" applyFill="1" applyAlignment="1">
      <alignment horizontal="right"/>
    </xf>
    <xf numFmtId="0" fontId="20" fillId="0" borderId="0" xfId="7" applyFont="1" applyFill="1"/>
    <xf numFmtId="0" fontId="20" fillId="0" borderId="1" xfId="7" applyFont="1" applyFill="1" applyBorder="1" applyAlignment="1">
      <alignment horizontal="center" wrapText="1"/>
    </xf>
    <xf numFmtId="37" fontId="20" fillId="0" borderId="0" xfId="7" applyNumberFormat="1" applyFont="1" applyFill="1" applyProtection="1"/>
    <xf numFmtId="0" fontId="21" fillId="0" borderId="0" xfId="7" applyFont="1" applyFill="1"/>
    <xf numFmtId="165" fontId="20" fillId="0" borderId="0" xfId="1" applyNumberFormat="1" applyFont="1" applyFill="1"/>
    <xf numFmtId="0" fontId="20" fillId="0" borderId="28" xfId="7" applyFont="1" applyFill="1" applyBorder="1"/>
    <xf numFmtId="0" fontId="20" fillId="0" borderId="29" xfId="7" applyFont="1" applyFill="1" applyBorder="1"/>
    <xf numFmtId="37" fontId="20" fillId="0" borderId="0" xfId="7" applyNumberFormat="1" applyFont="1" applyFill="1"/>
    <xf numFmtId="0" fontId="18" fillId="0" borderId="0" xfId="7" applyFont="1" applyFill="1" applyAlignment="1"/>
    <xf numFmtId="0" fontId="2" fillId="0" borderId="0" xfId="0" applyFont="1" applyFill="1" applyAlignment="1">
      <alignment horizontal="left"/>
    </xf>
    <xf numFmtId="166" fontId="5" fillId="0" borderId="0" xfId="2" applyNumberFormat="1" applyFont="1"/>
    <xf numFmtId="0" fontId="20" fillId="0" borderId="0" xfId="7" applyFont="1" applyFill="1" applyAlignment="1">
      <alignment horizontal="center"/>
    </xf>
    <xf numFmtId="0" fontId="20" fillId="0" borderId="0" xfId="7" applyFont="1" applyFill="1" applyBorder="1"/>
    <xf numFmtId="37" fontId="20" fillId="0" borderId="0" xfId="7" applyNumberFormat="1" applyFont="1" applyFill="1" applyBorder="1" applyProtection="1"/>
    <xf numFmtId="165" fontId="20" fillId="0" borderId="0" xfId="1" applyNumberFormat="1" applyFont="1" applyFill="1" applyProtection="1"/>
    <xf numFmtId="165" fontId="20" fillId="0" borderId="28" xfId="1" applyNumberFormat="1" applyFont="1" applyFill="1" applyBorder="1" applyProtection="1"/>
    <xf numFmtId="165" fontId="20" fillId="0" borderId="0" xfId="1" applyNumberFormat="1" applyFont="1" applyFill="1" applyAlignment="1" applyProtection="1">
      <alignment horizontal="right"/>
    </xf>
    <xf numFmtId="165" fontId="20" fillId="0" borderId="29" xfId="1" applyNumberFormat="1" applyFont="1" applyFill="1" applyBorder="1" applyProtection="1"/>
    <xf numFmtId="0" fontId="20" fillId="0" borderId="3" xfId="7" applyFont="1" applyFill="1" applyBorder="1" applyAlignment="1">
      <alignment horizontal="center" wrapText="1"/>
    </xf>
    <xf numFmtId="0" fontId="20" fillId="0" borderId="3" xfId="7" applyFont="1" applyFill="1" applyBorder="1" applyAlignment="1">
      <alignment horizontal="center"/>
    </xf>
    <xf numFmtId="2" fontId="20" fillId="0" borderId="3" xfId="7" applyNumberFormat="1" applyFont="1" applyFill="1" applyBorder="1" applyAlignment="1">
      <alignment horizontal="center"/>
    </xf>
    <xf numFmtId="0" fontId="20" fillId="0" borderId="3" xfId="7" applyFont="1" applyFill="1" applyBorder="1"/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7" fillId="0" borderId="0" xfId="0" applyFont="1" applyAlignment="1">
      <alignment horizontal="center" wrapText="1"/>
    </xf>
    <xf numFmtId="166" fontId="7" fillId="0" borderId="2" xfId="2" applyNumberFormat="1" applyFont="1" applyBorder="1" applyAlignment="1" applyProtection="1">
      <alignment horizontal="center"/>
    </xf>
    <xf numFmtId="0" fontId="22" fillId="0" borderId="0" xfId="0" applyFont="1"/>
    <xf numFmtId="0" fontId="23" fillId="0" borderId="0" xfId="0" applyFont="1"/>
    <xf numFmtId="0" fontId="23" fillId="0" borderId="0" xfId="0" applyFont="1" applyFill="1"/>
    <xf numFmtId="0" fontId="22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wrapText="1"/>
    </xf>
    <xf numFmtId="0" fontId="23" fillId="0" borderId="0" xfId="0" applyFont="1" applyAlignment="1">
      <alignment horizontal="center"/>
    </xf>
    <xf numFmtId="44" fontId="23" fillId="0" borderId="0" xfId="2" applyFont="1"/>
    <xf numFmtId="44" fontId="23" fillId="0" borderId="0" xfId="0" applyNumberFormat="1" applyFont="1"/>
    <xf numFmtId="44" fontId="23" fillId="0" borderId="0" xfId="2" applyFont="1" applyFill="1"/>
    <xf numFmtId="43" fontId="23" fillId="0" borderId="0" xfId="1" applyFont="1"/>
    <xf numFmtId="43" fontId="23" fillId="0" borderId="0" xfId="0" applyNumberFormat="1" applyFont="1"/>
    <xf numFmtId="43" fontId="23" fillId="0" borderId="0" xfId="1" applyFont="1" applyFill="1"/>
    <xf numFmtId="43" fontId="23" fillId="0" borderId="1" xfId="0" applyNumberFormat="1" applyFont="1" applyBorder="1"/>
    <xf numFmtId="44" fontId="22" fillId="0" borderId="2" xfId="0" applyNumberFormat="1" applyFont="1" applyFill="1" applyBorder="1"/>
    <xf numFmtId="0" fontId="24" fillId="0" borderId="0" xfId="0" applyFont="1"/>
    <xf numFmtId="0" fontId="23" fillId="0" borderId="0" xfId="0" applyFont="1" applyAlignment="1">
      <alignment horizontal="right"/>
    </xf>
    <xf numFmtId="44" fontId="23" fillId="0" borderId="0" xfId="0" applyNumberFormat="1" applyFont="1" applyFill="1"/>
    <xf numFmtId="0" fontId="22" fillId="0" borderId="0" xfId="0" applyFont="1" applyAlignment="1">
      <alignment horizontal="right"/>
    </xf>
    <xf numFmtId="44" fontId="23" fillId="0" borderId="2" xfId="0" applyNumberFormat="1" applyFont="1" applyBorder="1"/>
    <xf numFmtId="0" fontId="3" fillId="5" borderId="0" xfId="0" applyFont="1" applyFill="1"/>
    <xf numFmtId="165" fontId="3" fillId="5" borderId="0" xfId="0" applyNumberFormat="1" applyFont="1" applyFill="1"/>
    <xf numFmtId="165" fontId="3" fillId="5" borderId="2" xfId="0" applyNumberFormat="1" applyFont="1" applyFill="1" applyBorder="1"/>
    <xf numFmtId="165" fontId="3" fillId="5" borderId="30" xfId="0" applyNumberFormat="1" applyFont="1" applyFill="1" applyBorder="1"/>
    <xf numFmtId="165" fontId="3" fillId="5" borderId="31" xfId="0" applyNumberFormat="1" applyFont="1" applyFill="1" applyBorder="1"/>
    <xf numFmtId="165" fontId="3" fillId="5" borderId="32" xfId="0" applyNumberFormat="1" applyFont="1" applyFill="1" applyBorder="1"/>
    <xf numFmtId="165" fontId="3" fillId="5" borderId="1" xfId="0" applyNumberFormat="1" applyFont="1" applyFill="1" applyBorder="1"/>
    <xf numFmtId="165" fontId="3" fillId="5" borderId="33" xfId="0" applyNumberFormat="1" applyFont="1" applyFill="1" applyBorder="1"/>
    <xf numFmtId="0" fontId="25" fillId="5" borderId="0" xfId="0" applyFont="1" applyFill="1"/>
    <xf numFmtId="0" fontId="22" fillId="0" borderId="0" xfId="0" applyFont="1" applyFill="1"/>
    <xf numFmtId="0" fontId="23" fillId="0" borderId="0" xfId="0" applyFont="1" applyFill="1" applyAlignment="1">
      <alignment horizontal="center"/>
    </xf>
    <xf numFmtId="43" fontId="23" fillId="0" borderId="1" xfId="1" applyFont="1" applyBorder="1"/>
    <xf numFmtId="0" fontId="22" fillId="0" borderId="1" xfId="0" applyFont="1" applyBorder="1"/>
    <xf numFmtId="0" fontId="22" fillId="0" borderId="0" xfId="0" applyFont="1" applyAlignment="1">
      <alignment horizontal="center" wrapText="1"/>
    </xf>
    <xf numFmtId="0" fontId="22" fillId="0" borderId="1" xfId="0" quotePrefix="1" applyFont="1" applyBorder="1" applyAlignment="1">
      <alignment horizontal="center"/>
    </xf>
    <xf numFmtId="40" fontId="23" fillId="0" borderId="0" xfId="0" applyNumberFormat="1" applyFont="1" applyFill="1" applyBorder="1" applyAlignment="1" applyProtection="1">
      <protection locked="0"/>
    </xf>
    <xf numFmtId="165" fontId="23" fillId="0" borderId="0" xfId="1" applyNumberFormat="1" applyFont="1"/>
    <xf numFmtId="0" fontId="26" fillId="0" borderId="0" xfId="0" quotePrefix="1" applyFont="1"/>
    <xf numFmtId="0" fontId="26" fillId="0" borderId="0" xfId="0" applyFont="1"/>
    <xf numFmtId="43" fontId="23" fillId="0" borderId="0" xfId="1" applyFont="1" applyProtection="1">
      <protection locked="0"/>
    </xf>
    <xf numFmtId="43" fontId="23" fillId="0" borderId="0" xfId="1" quotePrefix="1" applyFont="1" applyProtection="1">
      <protection locked="0"/>
    </xf>
    <xf numFmtId="43" fontId="23" fillId="0" borderId="0" xfId="1" applyFont="1" applyBorder="1" applyProtection="1">
      <protection locked="0"/>
    </xf>
    <xf numFmtId="0" fontId="22" fillId="0" borderId="0" xfId="0" applyFont="1" applyBorder="1" applyAlignment="1">
      <alignment horizontal="center" wrapText="1"/>
    </xf>
    <xf numFmtId="0" fontId="23" fillId="0" borderId="0" xfId="0" applyFont="1" applyBorder="1"/>
    <xf numFmtId="0" fontId="22" fillId="0" borderId="0" xfId="0" quotePrefix="1" applyFont="1" applyBorder="1" applyAlignment="1">
      <alignment horizontal="center"/>
    </xf>
    <xf numFmtId="40" fontId="23" fillId="0" borderId="0" xfId="1" applyNumberFormat="1" applyFont="1" applyBorder="1" applyProtection="1">
      <protection locked="0"/>
    </xf>
    <xf numFmtId="40" fontId="23" fillId="0" borderId="0" xfId="1" applyNumberFormat="1" applyFont="1" applyFill="1" applyBorder="1"/>
    <xf numFmtId="0" fontId="23" fillId="0" borderId="4" xfId="0" applyFont="1" applyBorder="1"/>
    <xf numFmtId="43" fontId="23" fillId="0" borderId="0" xfId="1" applyNumberFormat="1" applyFont="1"/>
    <xf numFmtId="165" fontId="23" fillId="0" borderId="0" xfId="1" applyNumberFormat="1" applyFont="1" applyBorder="1"/>
    <xf numFmtId="168" fontId="23" fillId="0" borderId="0" xfId="2" applyNumberFormat="1" applyFont="1"/>
    <xf numFmtId="44" fontId="23" fillId="0" borderId="1" xfId="0" applyNumberFormat="1" applyFont="1" applyBorder="1"/>
    <xf numFmtId="0" fontId="20" fillId="0" borderId="0" xfId="0" applyFont="1" applyFill="1"/>
    <xf numFmtId="165" fontId="23" fillId="0" borderId="0" xfId="1" applyNumberFormat="1" applyFont="1" applyFill="1"/>
    <xf numFmtId="166" fontId="23" fillId="0" borderId="0" xfId="2" applyNumberFormat="1" applyFont="1" applyFill="1"/>
    <xf numFmtId="0" fontId="23" fillId="0" borderId="2" xfId="0" applyFont="1" applyBorder="1"/>
    <xf numFmtId="0" fontId="28" fillId="0" borderId="0" xfId="0" applyFont="1"/>
    <xf numFmtId="0" fontId="2" fillId="0" borderId="0" xfId="0" applyFont="1" applyFill="1"/>
    <xf numFmtId="165" fontId="3" fillId="0" borderId="0" xfId="0" applyNumberFormat="1" applyFont="1" applyFill="1"/>
    <xf numFmtId="10" fontId="3" fillId="0" borderId="0" xfId="3" applyNumberFormat="1" applyFont="1" applyFill="1"/>
    <xf numFmtId="44" fontId="23" fillId="0" borderId="0" xfId="1" applyNumberFormat="1" applyFont="1" applyBorder="1"/>
    <xf numFmtId="0" fontId="23" fillId="0" borderId="0" xfId="0" applyFont="1" applyAlignment="1">
      <alignment horizontal="left"/>
    </xf>
    <xf numFmtId="0" fontId="27" fillId="0" borderId="0" xfId="0" applyFont="1"/>
    <xf numFmtId="44" fontId="23" fillId="0" borderId="4" xfId="1" applyNumberFormat="1" applyFont="1" applyBorder="1"/>
    <xf numFmtId="44" fontId="23" fillId="0" borderId="0" xfId="1" applyNumberFormat="1" applyFont="1" applyProtection="1">
      <protection locked="0"/>
    </xf>
    <xf numFmtId="44" fontId="23" fillId="0" borderId="0" xfId="1" applyNumberFormat="1" applyFont="1" applyFill="1"/>
    <xf numFmtId="43" fontId="23" fillId="0" borderId="0" xfId="1" applyFont="1" applyFill="1" applyBorder="1" applyAlignment="1" applyProtection="1">
      <protection locked="0"/>
    </xf>
    <xf numFmtId="43" fontId="23" fillId="0" borderId="1" xfId="1" applyFont="1" applyFill="1" applyBorder="1" applyAlignment="1" applyProtection="1">
      <protection locked="0"/>
    </xf>
    <xf numFmtId="0" fontId="2" fillId="0" borderId="0" xfId="6" applyFont="1" applyAlignment="1"/>
    <xf numFmtId="0" fontId="12" fillId="0" borderId="0" xfId="0" applyFont="1" applyAlignment="1"/>
    <xf numFmtId="44" fontId="23" fillId="0" borderId="1" xfId="0" applyNumberFormat="1" applyFont="1" applyFill="1" applyBorder="1"/>
    <xf numFmtId="0" fontId="3" fillId="0" borderId="0" xfId="0" applyFont="1" applyAlignment="1">
      <alignment vertical="top" wrapText="1"/>
    </xf>
    <xf numFmtId="44" fontId="22" fillId="0" borderId="2" xfId="0" applyNumberFormat="1" applyFont="1" applyBorder="1"/>
    <xf numFmtId="166" fontId="23" fillId="0" borderId="0" xfId="2" applyNumberFormat="1" applyFont="1" applyProtection="1">
      <protection locked="0"/>
    </xf>
    <xf numFmtId="166" fontId="23" fillId="0" borderId="0" xfId="1" applyNumberFormat="1" applyFont="1" applyProtection="1">
      <protection locked="0"/>
    </xf>
    <xf numFmtId="166" fontId="23" fillId="0" borderId="0" xfId="1" applyNumberFormat="1" applyFont="1" applyFill="1"/>
    <xf numFmtId="166" fontId="23" fillId="0" borderId="0" xfId="1" applyNumberFormat="1" applyFont="1" applyFill="1" applyBorder="1" applyAlignment="1" applyProtection="1">
      <protection locked="0"/>
    </xf>
    <xf numFmtId="166" fontId="23" fillId="0" borderId="1" xfId="1" applyNumberFormat="1" applyFont="1" applyFill="1" applyBorder="1" applyAlignment="1" applyProtection="1">
      <protection locked="0"/>
    </xf>
    <xf numFmtId="166" fontId="23" fillId="0" borderId="1" xfId="1" applyNumberFormat="1" applyFont="1" applyFill="1" applyBorder="1"/>
    <xf numFmtId="166" fontId="23" fillId="0" borderId="1" xfId="1" applyNumberFormat="1" applyFont="1" applyBorder="1" applyProtection="1">
      <protection locked="0"/>
    </xf>
    <xf numFmtId="166" fontId="23" fillId="0" borderId="2" xfId="2" applyNumberFormat="1" applyFont="1" applyFill="1" applyBorder="1"/>
    <xf numFmtId="0" fontId="23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166" fontId="3" fillId="0" borderId="2" xfId="2" applyNumberFormat="1" applyFont="1" applyFill="1" applyBorder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44" fontId="3" fillId="0" borderId="0" xfId="2" applyFont="1" applyBorder="1" applyProtection="1">
      <protection locked="0"/>
    </xf>
    <xf numFmtId="44" fontId="3" fillId="0" borderId="0" xfId="2" applyFont="1" applyFill="1" applyBorder="1"/>
    <xf numFmtId="40" fontId="3" fillId="0" borderId="0" xfId="1" applyNumberFormat="1" applyFont="1" applyBorder="1" applyProtection="1">
      <protection locked="0"/>
    </xf>
    <xf numFmtId="44" fontId="3" fillId="0" borderId="3" xfId="2" applyFont="1" applyBorder="1" applyProtection="1">
      <protection locked="0"/>
    </xf>
    <xf numFmtId="44" fontId="3" fillId="0" borderId="3" xfId="2" applyFont="1" applyFill="1" applyBorder="1"/>
    <xf numFmtId="40" fontId="3" fillId="0" borderId="0" xfId="1" applyNumberFormat="1" applyFont="1" applyBorder="1" applyAlignment="1" applyProtection="1">
      <alignment horizontal="center"/>
      <protection locked="0"/>
    </xf>
    <xf numFmtId="40" fontId="2" fillId="0" borderId="0" xfId="1" applyNumberFormat="1" applyFont="1" applyBorder="1" applyAlignment="1" applyProtection="1">
      <alignment horizontal="center"/>
      <protection locked="0"/>
    </xf>
    <xf numFmtId="44" fontId="2" fillId="0" borderId="1" xfId="2" quotePrefix="1" applyFont="1" applyBorder="1" applyAlignment="1">
      <alignment horizontal="center" wrapText="1"/>
    </xf>
    <xf numFmtId="44" fontId="2" fillId="0" borderId="1" xfId="2" quotePrefix="1" applyFont="1" applyBorder="1" applyAlignment="1">
      <alignment horizontal="center"/>
    </xf>
    <xf numFmtId="44" fontId="3" fillId="0" borderId="0" xfId="2" applyFont="1" applyFill="1" applyBorder="1" applyAlignment="1" applyProtection="1">
      <protection locked="0"/>
    </xf>
    <xf numFmtId="40" fontId="2" fillId="0" borderId="0" xfId="0" applyNumberFormat="1" applyFont="1" applyFill="1" applyBorder="1" applyAlignment="1" applyProtection="1">
      <alignment horizontal="center"/>
      <protection locked="0"/>
    </xf>
    <xf numFmtId="40" fontId="3" fillId="0" borderId="0" xfId="0" applyNumberFormat="1" applyFont="1" applyFill="1" applyBorder="1" applyAlignment="1" applyProtection="1">
      <protection locked="0"/>
    </xf>
    <xf numFmtId="44" fontId="3" fillId="0" borderId="4" xfId="2" applyFont="1" applyFill="1" applyBorder="1" applyAlignment="1" applyProtection="1">
      <protection locked="0"/>
    </xf>
    <xf numFmtId="44" fontId="7" fillId="0" borderId="4" xfId="2" applyFont="1" applyFill="1" applyBorder="1" applyAlignment="1" applyProtection="1">
      <protection locked="0"/>
    </xf>
    <xf numFmtId="40" fontId="3" fillId="0" borderId="0" xfId="1" applyNumberFormat="1" applyFont="1" applyFill="1" applyBorder="1"/>
    <xf numFmtId="0" fontId="3" fillId="0" borderId="0" xfId="0" quotePrefix="1" applyFont="1"/>
    <xf numFmtId="166" fontId="5" fillId="0" borderId="5" xfId="0" applyNumberFormat="1" applyFont="1" applyBorder="1"/>
    <xf numFmtId="41" fontId="3" fillId="0" borderId="4" xfId="0" applyNumberFormat="1" applyFont="1" applyBorder="1"/>
    <xf numFmtId="41" fontId="2" fillId="0" borderId="4" xfId="0" applyNumberFormat="1" applyFont="1" applyBorder="1"/>
    <xf numFmtId="41" fontId="17" fillId="2" borderId="0" xfId="0" applyNumberFormat="1" applyFont="1" applyFill="1" applyBorder="1" applyProtection="1"/>
    <xf numFmtId="166" fontId="3" fillId="2" borderId="0" xfId="2" applyNumberFormat="1" applyFont="1" applyFill="1" applyBorder="1"/>
    <xf numFmtId="171" fontId="7" fillId="0" borderId="0" xfId="3" applyNumberFormat="1" applyFont="1" applyFill="1" applyBorder="1" applyProtection="1"/>
    <xf numFmtId="171" fontId="7" fillId="0" borderId="2" xfId="3" applyNumberFormat="1" applyFont="1" applyFill="1" applyBorder="1" applyProtection="1"/>
    <xf numFmtId="166" fontId="7" fillId="0" borderId="5" xfId="2" applyNumberFormat="1" applyFont="1" applyBorder="1" applyAlignment="1" applyProtection="1">
      <alignment horizontal="center"/>
    </xf>
    <xf numFmtId="0" fontId="2" fillId="0" borderId="3" xfId="0" applyFont="1" applyBorder="1" applyAlignment="1">
      <alignment horizontal="right"/>
    </xf>
    <xf numFmtId="41" fontId="2" fillId="0" borderId="3" xfId="0" applyNumberFormat="1" applyFont="1" applyBorder="1"/>
    <xf numFmtId="166" fontId="2" fillId="0" borderId="4" xfId="2" applyNumberFormat="1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66" fontId="23" fillId="0" borderId="0" xfId="2" applyNumberFormat="1" applyFont="1"/>
    <xf numFmtId="166" fontId="23" fillId="0" borderId="0" xfId="0" applyNumberFormat="1" applyFont="1"/>
    <xf numFmtId="166" fontId="23" fillId="0" borderId="2" xfId="0" applyNumberFormat="1" applyFont="1" applyBorder="1"/>
    <xf numFmtId="165" fontId="23" fillId="0" borderId="1" xfId="1" applyNumberFormat="1" applyFont="1" applyBorder="1"/>
    <xf numFmtId="0" fontId="5" fillId="0" borderId="0" xfId="0" applyFont="1" applyBorder="1"/>
    <xf numFmtId="43" fontId="5" fillId="0" borderId="0" xfId="1" applyNumberFormat="1" applyFont="1" applyBorder="1"/>
    <xf numFmtId="165" fontId="5" fillId="0" borderId="0" xfId="1" applyNumberFormat="1" applyFont="1" applyBorder="1"/>
    <xf numFmtId="43" fontId="7" fillId="0" borderId="2" xfId="1" applyNumberFormat="1" applyFont="1" applyBorder="1"/>
    <xf numFmtId="165" fontId="7" fillId="0" borderId="2" xfId="1" applyNumberFormat="1" applyFont="1" applyBorder="1"/>
    <xf numFmtId="43" fontId="7" fillId="0" borderId="0" xfId="1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0" fontId="7" fillId="0" borderId="4" xfId="0" applyFont="1" applyFill="1" applyBorder="1" applyAlignment="1">
      <alignment horizontal="left" vertical="center"/>
    </xf>
    <xf numFmtId="166" fontId="7" fillId="0" borderId="4" xfId="0" applyNumberFormat="1" applyFont="1" applyBorder="1" applyAlignment="1">
      <alignment vertical="center"/>
    </xf>
    <xf numFmtId="0" fontId="12" fillId="0" borderId="0" xfId="0" applyFont="1" applyAlignment="1">
      <alignment horizontal="center"/>
    </xf>
    <xf numFmtId="165" fontId="7" fillId="0" borderId="3" xfId="1" applyNumberFormat="1" applyFont="1" applyFill="1" applyBorder="1"/>
    <xf numFmtId="165" fontId="7" fillId="0" borderId="4" xfId="1" applyNumberFormat="1" applyFont="1" applyFill="1" applyBorder="1"/>
    <xf numFmtId="167" fontId="7" fillId="0" borderId="0" xfId="1" applyNumberFormat="1" applyFont="1" applyFill="1"/>
    <xf numFmtId="43" fontId="7" fillId="0" borderId="0" xfId="1" applyNumberFormat="1" applyFont="1" applyFill="1"/>
    <xf numFmtId="43" fontId="7" fillId="0" borderId="5" xfId="1" applyNumberFormat="1" applyFont="1" applyFill="1" applyBorder="1"/>
    <xf numFmtId="10" fontId="7" fillId="0" borderId="0" xfId="0" applyNumberFormat="1" applyFont="1" applyFill="1" applyBorder="1" applyProtection="1"/>
    <xf numFmtId="10" fontId="7" fillId="0" borderId="0" xfId="0" applyNumberFormat="1" applyFont="1" applyBorder="1" applyProtection="1"/>
    <xf numFmtId="41" fontId="7" fillId="0" borderId="0" xfId="0" applyNumberFormat="1" applyFont="1" applyFill="1" applyBorder="1" applyProtection="1"/>
    <xf numFmtId="0" fontId="22" fillId="0" borderId="0" xfId="0" applyFont="1" applyBorder="1"/>
    <xf numFmtId="43" fontId="7" fillId="0" borderId="0" xfId="1" applyNumberFormat="1" applyFont="1" applyBorder="1"/>
    <xf numFmtId="165" fontId="7" fillId="0" borderId="0" xfId="1" applyNumberFormat="1" applyFont="1" applyBorder="1"/>
    <xf numFmtId="0" fontId="23" fillId="0" borderId="0" xfId="0" quotePrefix="1" applyFont="1"/>
    <xf numFmtId="0" fontId="2" fillId="0" borderId="0" xfId="0" applyFont="1" applyAlignment="1">
      <alignment horizontal="center"/>
    </xf>
    <xf numFmtId="0" fontId="20" fillId="0" borderId="0" xfId="7" applyFont="1" applyFill="1" applyAlignment="1">
      <alignment horizontal="center"/>
    </xf>
    <xf numFmtId="0" fontId="2" fillId="0" borderId="0" xfId="0" applyFont="1" applyAlignment="1">
      <alignment horizontal="center"/>
    </xf>
    <xf numFmtId="0" fontId="20" fillId="0" borderId="0" xfId="7" applyFont="1" applyFill="1" applyAlignment="1">
      <alignment horizontal="center"/>
    </xf>
    <xf numFmtId="0" fontId="2" fillId="0" borderId="0" xfId="6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166" fontId="7" fillId="0" borderId="2" xfId="2" applyNumberFormat="1" applyFont="1" applyBorder="1" applyAlignment="1" applyProtection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vertical="top" wrapText="1"/>
    </xf>
    <xf numFmtId="166" fontId="7" fillId="0" borderId="4" xfId="2" applyNumberFormat="1" applyFont="1" applyBorder="1" applyAlignment="1" applyProtection="1">
      <alignment horizontal="center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9" xfId="0" quotePrefix="1" applyFont="1" applyBorder="1" applyAlignment="1">
      <alignment horizontal="left" wrapText="1"/>
    </xf>
    <xf numFmtId="0" fontId="7" fillId="0" borderId="20" xfId="0" quotePrefix="1" applyFont="1" applyBorder="1" applyAlignment="1">
      <alignment horizontal="left" wrapText="1"/>
    </xf>
    <xf numFmtId="0" fontId="5" fillId="0" borderId="0" xfId="6" applyFont="1" applyAlignment="1">
      <alignment horizontal="center"/>
    </xf>
    <xf numFmtId="0" fontId="23" fillId="0" borderId="0" xfId="0" applyFont="1" applyAlignment="1">
      <alignment vertical="top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6" fontId="2" fillId="0" borderId="1" xfId="2" applyNumberFormat="1" applyFont="1" applyBorder="1" applyAlignment="1">
      <alignment horizontal="center" wrapText="1"/>
    </xf>
    <xf numFmtId="10" fontId="29" fillId="6" borderId="0" xfId="3" applyNumberFormat="1" applyFont="1" applyFill="1" applyBorder="1"/>
    <xf numFmtId="44" fontId="3" fillId="0" borderId="0" xfId="0" applyNumberFormat="1" applyFont="1" applyBorder="1"/>
    <xf numFmtId="171" fontId="3" fillId="0" borderId="0" xfId="3" applyNumberFormat="1" applyFont="1"/>
    <xf numFmtId="171" fontId="3" fillId="0" borderId="2" xfId="3" applyNumberFormat="1" applyFont="1" applyBorder="1"/>
    <xf numFmtId="44" fontId="3" fillId="0" borderId="2" xfId="0" applyNumberFormat="1" applyFont="1" applyBorder="1"/>
    <xf numFmtId="166" fontId="3" fillId="0" borderId="0" xfId="2" applyNumberFormat="1" applyFont="1" applyBorder="1" applyAlignment="1">
      <alignment horizontal="center"/>
    </xf>
    <xf numFmtId="166" fontId="3" fillId="0" borderId="0" xfId="3" applyNumberFormat="1" applyFont="1" applyBorder="1"/>
    <xf numFmtId="166" fontId="3" fillId="0" borderId="0" xfId="1" applyNumberFormat="1" applyFont="1"/>
    <xf numFmtId="166" fontId="3" fillId="0" borderId="2" xfId="0" applyNumberFormat="1" applyFont="1" applyBorder="1"/>
    <xf numFmtId="166" fontId="3" fillId="0" borderId="0" xfId="0" applyNumberFormat="1" applyFont="1" applyBorder="1"/>
    <xf numFmtId="166" fontId="3" fillId="0" borderId="0" xfId="1" applyNumberFormat="1" applyFont="1" applyBorder="1" applyProtection="1">
      <protection locked="0"/>
    </xf>
    <xf numFmtId="166" fontId="3" fillId="0" borderId="5" xfId="0" applyNumberFormat="1" applyFont="1" applyBorder="1"/>
    <xf numFmtId="0" fontId="23" fillId="0" borderId="0" xfId="0" applyFont="1" applyAlignment="1">
      <alignment horizontal="left" vertical="top" wrapText="1"/>
    </xf>
  </cellXfs>
  <cellStyles count="13">
    <cellStyle name="Comma" xfId="1" builtinId="3"/>
    <cellStyle name="Comma 2" xfId="4"/>
    <cellStyle name="Comma 3" xfId="9"/>
    <cellStyle name="Currency" xfId="2" builtinId="4"/>
    <cellStyle name="Currency 2" xfId="5"/>
    <cellStyle name="Currency 3" xfId="10"/>
    <cellStyle name="Normal" xfId="0" builtinId="0"/>
    <cellStyle name="Normal 2" xfId="6"/>
    <cellStyle name="Normal 3" xfId="7"/>
    <cellStyle name="Normal 4" xfId="8"/>
    <cellStyle name="Normal 5" xfId="11"/>
    <cellStyle name="Percent" xfId="3" builtinId="5"/>
    <cellStyle name="Percent 2" xfId="12"/>
  </cellStyles>
  <dxfs count="0"/>
  <tableStyles count="0" defaultTableStyle="TableStyleMedium2" defaultPivotStyle="PivotStyleLight16"/>
  <colors>
    <mruColors>
      <color rgb="FF0000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tabSelected="1" topLeftCell="A22" zoomScale="75" zoomScaleNormal="75" workbookViewId="0">
      <selection activeCell="F48" sqref="F48"/>
    </sheetView>
  </sheetViews>
  <sheetFormatPr defaultRowHeight="12.75"/>
  <cols>
    <col min="1" max="1" width="9.140625" style="5"/>
    <col min="2" max="2" width="33.28515625" style="2" bestFit="1" customWidth="1"/>
    <col min="3" max="3" width="16.5703125" style="2" customWidth="1"/>
    <col min="4" max="4" width="14" style="2" customWidth="1"/>
    <col min="5" max="5" width="15.42578125" style="2" customWidth="1"/>
    <col min="6" max="6" width="18.140625" style="2" customWidth="1"/>
    <col min="7" max="7" width="4.5703125" style="2" customWidth="1"/>
    <col min="8" max="8" width="10.5703125" style="2" bestFit="1" customWidth="1"/>
    <col min="9" max="16384" width="9.140625" style="2"/>
  </cols>
  <sheetData>
    <row r="1" spans="1:8">
      <c r="A1" s="69" t="s">
        <v>0</v>
      </c>
      <c r="B1" s="69"/>
      <c r="C1" s="69"/>
      <c r="D1" s="69"/>
      <c r="E1" s="69"/>
      <c r="F1" s="4"/>
      <c r="G1" s="69"/>
    </row>
    <row r="2" spans="1:8">
      <c r="A2" s="69" t="s">
        <v>1</v>
      </c>
      <c r="B2" s="69"/>
      <c r="C2" s="69"/>
      <c r="D2" s="69"/>
      <c r="E2" s="69"/>
      <c r="F2" s="69"/>
      <c r="G2" s="69"/>
    </row>
    <row r="3" spans="1:8">
      <c r="A3" s="69" t="s">
        <v>2</v>
      </c>
      <c r="B3" s="69"/>
      <c r="C3" s="69"/>
      <c r="D3" s="69"/>
      <c r="E3" s="69"/>
      <c r="F3" s="69"/>
      <c r="G3" s="69"/>
    </row>
    <row r="4" spans="1:8">
      <c r="A4" s="1"/>
      <c r="E4" s="3"/>
      <c r="F4" s="69"/>
      <c r="G4" s="4"/>
    </row>
    <row r="5" spans="1:8">
      <c r="C5" s="1" t="s">
        <v>3</v>
      </c>
      <c r="D5" s="1" t="s">
        <v>5</v>
      </c>
      <c r="E5" s="1" t="s">
        <v>4</v>
      </c>
      <c r="F5" s="1" t="s">
        <v>6</v>
      </c>
      <c r="G5" s="4"/>
    </row>
    <row r="6" spans="1:8">
      <c r="A6" s="1" t="s">
        <v>7</v>
      </c>
      <c r="B6" s="1" t="s">
        <v>8</v>
      </c>
      <c r="C6" s="1" t="s">
        <v>9</v>
      </c>
      <c r="D6" s="1" t="s">
        <v>10</v>
      </c>
      <c r="E6" s="1" t="s">
        <v>485</v>
      </c>
      <c r="F6" s="1" t="s">
        <v>485</v>
      </c>
      <c r="G6" s="4"/>
    </row>
    <row r="7" spans="1:8" s="311" customFormat="1">
      <c r="A7" s="6" t="s">
        <v>11</v>
      </c>
      <c r="B7" s="7">
        <v>1</v>
      </c>
      <c r="C7" s="7">
        <f>B7+1</f>
        <v>2</v>
      </c>
      <c r="D7" s="7">
        <f>C7+1</f>
        <v>3</v>
      </c>
      <c r="E7" s="7" t="s">
        <v>12</v>
      </c>
      <c r="F7" s="7" t="s">
        <v>13</v>
      </c>
    </row>
    <row r="8" spans="1:8">
      <c r="A8" s="5">
        <v>1</v>
      </c>
      <c r="B8" s="8" t="s">
        <v>15</v>
      </c>
      <c r="C8" s="312"/>
    </row>
    <row r="9" spans="1:8">
      <c r="A9" s="5">
        <f>A8+1</f>
        <v>2</v>
      </c>
      <c r="B9" s="2" t="s">
        <v>16</v>
      </c>
      <c r="C9" s="10">
        <v>69594978</v>
      </c>
      <c r="D9" s="10">
        <f>PFAs!D25</f>
        <v>-4728533.384291999</v>
      </c>
      <c r="E9" s="10">
        <f>C9+D9</f>
        <v>64866444.615708001</v>
      </c>
      <c r="F9" s="10">
        <f>E9+E49</f>
        <v>66170908.647641733</v>
      </c>
      <c r="G9" s="9"/>
      <c r="H9" s="312"/>
    </row>
    <row r="10" spans="1:8">
      <c r="A10" s="5">
        <f t="shared" ref="A10:A52" si="0">A9+1</f>
        <v>3</v>
      </c>
      <c r="B10" s="2" t="s">
        <v>17</v>
      </c>
      <c r="C10" s="10">
        <v>1293318</v>
      </c>
      <c r="D10" s="10">
        <v>0</v>
      </c>
      <c r="E10" s="10">
        <f>C10+D10</f>
        <v>1293318</v>
      </c>
      <c r="F10" s="10">
        <f>E10</f>
        <v>1293318</v>
      </c>
      <c r="G10" s="9"/>
    </row>
    <row r="11" spans="1:8">
      <c r="A11" s="5">
        <f t="shared" si="0"/>
        <v>4</v>
      </c>
      <c r="B11" s="11" t="s">
        <v>18</v>
      </c>
      <c r="C11" s="12">
        <f>SUM(C9:C10)</f>
        <v>70888296</v>
      </c>
      <c r="D11" s="12">
        <f>SUM(D9:D10)</f>
        <v>-4728533.384291999</v>
      </c>
      <c r="E11" s="12">
        <f>SUM(E9:E10)</f>
        <v>66159762.615708001</v>
      </c>
      <c r="F11" s="12">
        <f>SUM(F9:F10)</f>
        <v>67464226.647641733</v>
      </c>
      <c r="G11" s="9"/>
      <c r="H11" s="13"/>
    </row>
    <row r="12" spans="1:8">
      <c r="A12" s="5">
        <f t="shared" si="0"/>
        <v>5</v>
      </c>
      <c r="C12" s="10"/>
      <c r="D12" s="10"/>
      <c r="E12" s="10"/>
      <c r="F12" s="10"/>
      <c r="G12" s="14"/>
    </row>
    <row r="13" spans="1:8">
      <c r="A13" s="5">
        <f t="shared" si="0"/>
        <v>6</v>
      </c>
      <c r="B13" s="8" t="s">
        <v>19</v>
      </c>
      <c r="C13" s="10"/>
      <c r="D13" s="10"/>
      <c r="E13" s="10"/>
      <c r="F13" s="10"/>
      <c r="G13" s="14"/>
    </row>
    <row r="14" spans="1:8">
      <c r="A14" s="5">
        <f t="shared" si="0"/>
        <v>7</v>
      </c>
      <c r="B14" s="2" t="s">
        <v>20</v>
      </c>
      <c r="C14" s="10">
        <v>53014406</v>
      </c>
      <c r="D14" s="10">
        <f>'Adj IS'!S16+'Adj IS'!S15</f>
        <v>-4718706.05</v>
      </c>
      <c r="E14" s="10">
        <f t="shared" ref="E14:E20" si="1">C14+D14</f>
        <v>48295699.950000003</v>
      </c>
      <c r="F14" s="10">
        <f>E14</f>
        <v>48295699.950000003</v>
      </c>
      <c r="G14" s="14"/>
    </row>
    <row r="15" spans="1:8">
      <c r="A15" s="5">
        <f t="shared" si="0"/>
        <v>8</v>
      </c>
      <c r="B15" s="2" t="s">
        <v>21</v>
      </c>
      <c r="C15" s="10">
        <v>2737035</v>
      </c>
      <c r="D15" s="10">
        <f>'Adj IS'!S17</f>
        <v>63313.734304129983</v>
      </c>
      <c r="E15" s="10">
        <f t="shared" si="1"/>
        <v>2800348.7343041301</v>
      </c>
      <c r="F15" s="10">
        <f t="shared" ref="F15:F20" si="2">E15</f>
        <v>2800348.7343041301</v>
      </c>
      <c r="G15" s="14"/>
    </row>
    <row r="16" spans="1:8">
      <c r="A16" s="5">
        <f t="shared" si="0"/>
        <v>9</v>
      </c>
      <c r="B16" s="2" t="s">
        <v>22</v>
      </c>
      <c r="C16" s="10">
        <v>3502718</v>
      </c>
      <c r="D16" s="10">
        <f>'Adj IS'!S18</f>
        <v>96441.254111948161</v>
      </c>
      <c r="E16" s="10">
        <f t="shared" si="1"/>
        <v>3599159.254111948</v>
      </c>
      <c r="F16" s="10">
        <f t="shared" si="2"/>
        <v>3599159.254111948</v>
      </c>
      <c r="G16" s="14"/>
    </row>
    <row r="17" spans="1:7">
      <c r="A17" s="5">
        <f t="shared" si="0"/>
        <v>10</v>
      </c>
      <c r="B17" s="2" t="s">
        <v>23</v>
      </c>
      <c r="C17" s="10">
        <v>1292803</v>
      </c>
      <c r="D17" s="10">
        <f>'Adj IS'!S19</f>
        <v>54183.489941816777</v>
      </c>
      <c r="E17" s="10">
        <f t="shared" si="1"/>
        <v>1346986.4899418168</v>
      </c>
      <c r="F17" s="10">
        <f t="shared" si="2"/>
        <v>1346986.4899418168</v>
      </c>
      <c r="G17" s="14"/>
    </row>
    <row r="18" spans="1:7">
      <c r="A18" s="5">
        <f t="shared" si="0"/>
        <v>11</v>
      </c>
      <c r="B18" s="2" t="s">
        <v>24</v>
      </c>
      <c r="C18" s="10">
        <v>81347</v>
      </c>
      <c r="D18" s="10">
        <f>'Adj IS'!S20</f>
        <v>4583.2476249952715</v>
      </c>
      <c r="E18" s="10">
        <f t="shared" si="1"/>
        <v>85930.247624995274</v>
      </c>
      <c r="F18" s="10">
        <f t="shared" si="2"/>
        <v>85930.247624995274</v>
      </c>
      <c r="G18" s="15"/>
    </row>
    <row r="19" spans="1:7">
      <c r="A19" s="5">
        <f t="shared" si="0"/>
        <v>12</v>
      </c>
      <c r="B19" s="2" t="s">
        <v>25</v>
      </c>
      <c r="C19" s="10">
        <v>0</v>
      </c>
      <c r="D19" s="10">
        <f>'Adj IS'!S21</f>
        <v>0</v>
      </c>
      <c r="E19" s="10">
        <f t="shared" si="1"/>
        <v>0</v>
      </c>
      <c r="F19" s="10">
        <f t="shared" si="2"/>
        <v>0</v>
      </c>
    </row>
    <row r="20" spans="1:7">
      <c r="A20" s="5">
        <f t="shared" si="0"/>
        <v>13</v>
      </c>
      <c r="B20" s="2" t="s">
        <v>26</v>
      </c>
      <c r="C20" s="10">
        <v>2116296</v>
      </c>
      <c r="D20" s="10">
        <f>'Adj IS'!S22</f>
        <v>-100124.52951658476</v>
      </c>
      <c r="E20" s="10">
        <f t="shared" si="1"/>
        <v>2016171.4704834153</v>
      </c>
      <c r="F20" s="10">
        <f t="shared" si="2"/>
        <v>2016171.4704834153</v>
      </c>
    </row>
    <row r="21" spans="1:7">
      <c r="A21" s="5">
        <f t="shared" si="0"/>
        <v>14</v>
      </c>
      <c r="B21" s="11" t="s">
        <v>27</v>
      </c>
      <c r="C21" s="12">
        <f>SUM(C14:C20)</f>
        <v>62744605</v>
      </c>
      <c r="D21" s="12">
        <f t="shared" ref="D21:F21" si="3">SUM(D14:D20)</f>
        <v>-4600308.8535336945</v>
      </c>
      <c r="E21" s="12">
        <f t="shared" si="3"/>
        <v>58144296.146466307</v>
      </c>
      <c r="F21" s="12">
        <f t="shared" si="3"/>
        <v>58144296.146466307</v>
      </c>
    </row>
    <row r="22" spans="1:7">
      <c r="A22" s="5">
        <f t="shared" si="0"/>
        <v>15</v>
      </c>
      <c r="C22" s="10"/>
      <c r="D22" s="10"/>
      <c r="E22" s="10"/>
      <c r="F22" s="10"/>
    </row>
    <row r="23" spans="1:7">
      <c r="A23" s="5">
        <f t="shared" si="0"/>
        <v>16</v>
      </c>
      <c r="B23" s="2" t="s">
        <v>28</v>
      </c>
      <c r="C23" s="10">
        <v>5696129</v>
      </c>
      <c r="D23" s="10">
        <f>'Adj IS'!S25</f>
        <v>51518.91117542181</v>
      </c>
      <c r="E23" s="10">
        <f>C23+D23</f>
        <v>5747647.9111754214</v>
      </c>
      <c r="F23" s="10">
        <f>E23</f>
        <v>5747647.9111754214</v>
      </c>
    </row>
    <row r="24" spans="1:7">
      <c r="A24" s="5">
        <f t="shared" si="0"/>
        <v>17</v>
      </c>
      <c r="B24" s="2" t="s">
        <v>29</v>
      </c>
      <c r="C24" s="10">
        <v>81520</v>
      </c>
      <c r="D24" s="10">
        <f>'Adj IS'!S26</f>
        <v>0</v>
      </c>
      <c r="E24" s="10">
        <f>C24+D24</f>
        <v>81520</v>
      </c>
      <c r="F24" s="10">
        <f t="shared" ref="F24:F27" si="4">E24</f>
        <v>81520</v>
      </c>
    </row>
    <row r="25" spans="1:7">
      <c r="A25" s="5">
        <f t="shared" si="0"/>
        <v>18</v>
      </c>
      <c r="B25" s="2" t="s">
        <v>30</v>
      </c>
      <c r="C25" s="10">
        <v>2124754</v>
      </c>
      <c r="D25" s="10">
        <f>'Adj IS'!S27</f>
        <v>-82948.219999999972</v>
      </c>
      <c r="E25" s="10">
        <f>C25+D25</f>
        <v>2041805.78</v>
      </c>
      <c r="F25" s="10">
        <f t="shared" si="4"/>
        <v>2041805.78</v>
      </c>
    </row>
    <row r="26" spans="1:7">
      <c r="A26" s="5">
        <f t="shared" si="0"/>
        <v>19</v>
      </c>
      <c r="B26" s="2" t="s">
        <v>31</v>
      </c>
      <c r="C26" s="10">
        <v>17395</v>
      </c>
      <c r="D26" s="10">
        <f>'Adj IS'!S28</f>
        <v>39940.770000000004</v>
      </c>
      <c r="E26" s="10">
        <f>C26+D26</f>
        <v>57335.770000000004</v>
      </c>
      <c r="F26" s="10">
        <f t="shared" si="4"/>
        <v>57335.770000000004</v>
      </c>
    </row>
    <row r="27" spans="1:7">
      <c r="A27" s="5">
        <f t="shared" si="0"/>
        <v>20</v>
      </c>
      <c r="B27" s="2" t="s">
        <v>32</v>
      </c>
      <c r="C27" s="10">
        <v>1915</v>
      </c>
      <c r="D27" s="10">
        <f>'Adj IS'!S29</f>
        <v>0</v>
      </c>
      <c r="E27" s="10">
        <f>C27+D27</f>
        <v>1915</v>
      </c>
      <c r="F27" s="10">
        <f t="shared" si="4"/>
        <v>1915</v>
      </c>
    </row>
    <row r="28" spans="1:7">
      <c r="A28" s="5">
        <f t="shared" si="0"/>
        <v>21</v>
      </c>
      <c r="C28" s="10"/>
      <c r="D28" s="10"/>
      <c r="E28" s="10"/>
      <c r="F28" s="10"/>
    </row>
    <row r="29" spans="1:7">
      <c r="A29" s="5">
        <f t="shared" si="0"/>
        <v>22</v>
      </c>
      <c r="B29" s="16" t="s">
        <v>33</v>
      </c>
      <c r="C29" s="386">
        <f t="shared" ref="C29:F29" si="5">SUM(C21:C27)</f>
        <v>70666318</v>
      </c>
      <c r="D29" s="386">
        <f t="shared" si="5"/>
        <v>-4591797.3923582733</v>
      </c>
      <c r="E29" s="386">
        <f t="shared" si="5"/>
        <v>66074520.607641734</v>
      </c>
      <c r="F29" s="386">
        <f t="shared" si="5"/>
        <v>66074520.607641734</v>
      </c>
    </row>
    <row r="30" spans="1:7">
      <c r="A30" s="5">
        <f t="shared" si="0"/>
        <v>23</v>
      </c>
      <c r="C30" s="10"/>
      <c r="D30" s="10"/>
      <c r="E30" s="10"/>
      <c r="F30" s="10"/>
    </row>
    <row r="31" spans="1:7" ht="13.5" thickBot="1">
      <c r="A31" s="5">
        <f t="shared" si="0"/>
        <v>24</v>
      </c>
      <c r="B31" s="17" t="s">
        <v>34</v>
      </c>
      <c r="C31" s="387">
        <f t="shared" ref="C31:F31" si="6">C11-C29</f>
        <v>221978</v>
      </c>
      <c r="D31" s="387">
        <f t="shared" si="6"/>
        <v>-136735.99193372577</v>
      </c>
      <c r="E31" s="387">
        <f t="shared" si="6"/>
        <v>85242.008066266775</v>
      </c>
      <c r="F31" s="387">
        <f t="shared" si="6"/>
        <v>1389706.0399999991</v>
      </c>
    </row>
    <row r="32" spans="1:7" ht="13.5" thickTop="1">
      <c r="A32" s="5">
        <f t="shared" si="0"/>
        <v>25</v>
      </c>
      <c r="C32" s="10"/>
      <c r="D32" s="10"/>
      <c r="E32" s="10"/>
      <c r="F32" s="10"/>
    </row>
    <row r="33" spans="1:6">
      <c r="A33" s="5">
        <f t="shared" si="0"/>
        <v>26</v>
      </c>
      <c r="B33" s="2" t="s">
        <v>35</v>
      </c>
      <c r="C33" s="10">
        <v>382496</v>
      </c>
      <c r="D33" s="10">
        <f>'Adj IS'!S34</f>
        <v>0</v>
      </c>
      <c r="E33" s="10">
        <f>C33+D33</f>
        <v>382496</v>
      </c>
      <c r="F33" s="10">
        <f>E33</f>
        <v>382496</v>
      </c>
    </row>
    <row r="34" spans="1:6">
      <c r="A34" s="5" t="s">
        <v>36</v>
      </c>
      <c r="B34" s="2" t="s">
        <v>37</v>
      </c>
      <c r="C34" s="10">
        <v>0</v>
      </c>
      <c r="D34" s="10">
        <v>0</v>
      </c>
      <c r="E34" s="10">
        <f>C34+D34</f>
        <v>0</v>
      </c>
      <c r="F34" s="10">
        <f>E34</f>
        <v>0</v>
      </c>
    </row>
    <row r="35" spans="1:6">
      <c r="A35" s="5">
        <f>A33+1</f>
        <v>27</v>
      </c>
      <c r="B35" s="2" t="s">
        <v>38</v>
      </c>
      <c r="C35" s="10">
        <v>59456</v>
      </c>
      <c r="D35" s="10">
        <f>'Adj IS'!S35</f>
        <v>-41846.26</v>
      </c>
      <c r="E35" s="10">
        <f>C35+D35</f>
        <v>17609.739999999998</v>
      </c>
      <c r="F35" s="10">
        <f>E35</f>
        <v>17609.739999999998</v>
      </c>
    </row>
    <row r="36" spans="1:6">
      <c r="A36" s="5">
        <f t="shared" si="0"/>
        <v>28</v>
      </c>
      <c r="B36" s="2" t="s">
        <v>39</v>
      </c>
      <c r="C36" s="10">
        <v>0</v>
      </c>
      <c r="D36" s="10">
        <f>'Adj IS'!S36</f>
        <v>0</v>
      </c>
      <c r="E36" s="10">
        <f>C36+D36</f>
        <v>0</v>
      </c>
      <c r="F36" s="388">
        <f>E36</f>
        <v>0</v>
      </c>
    </row>
    <row r="37" spans="1:6">
      <c r="A37" s="5">
        <f t="shared" si="0"/>
        <v>29</v>
      </c>
      <c r="B37" s="2" t="s">
        <v>40</v>
      </c>
      <c r="C37" s="10">
        <v>251994</v>
      </c>
      <c r="D37" s="10">
        <f>'Adj IS'!S37</f>
        <v>0</v>
      </c>
      <c r="E37" s="10">
        <f>C37+D37</f>
        <v>251994</v>
      </c>
      <c r="F37" s="10">
        <f>E37</f>
        <v>251994</v>
      </c>
    </row>
    <row r="38" spans="1:6">
      <c r="A38" s="5">
        <f t="shared" si="0"/>
        <v>30</v>
      </c>
      <c r="C38" s="10"/>
      <c r="D38" s="10"/>
      <c r="E38" s="10"/>
      <c r="F38" s="10"/>
    </row>
    <row r="39" spans="1:6" ht="13.5" thickBot="1">
      <c r="A39" s="5">
        <f t="shared" si="0"/>
        <v>31</v>
      </c>
      <c r="B39" s="17" t="s">
        <v>41</v>
      </c>
      <c r="C39" s="387">
        <f t="shared" ref="C39:F39" si="7">C31+SUM(C33:C37)</f>
        <v>915924</v>
      </c>
      <c r="D39" s="387">
        <f t="shared" si="7"/>
        <v>-178582.25193372578</v>
      </c>
      <c r="E39" s="387">
        <f t="shared" si="7"/>
        <v>737341.74806626677</v>
      </c>
      <c r="F39" s="387">
        <f t="shared" si="7"/>
        <v>2041805.7799999991</v>
      </c>
    </row>
    <row r="40" spans="1:6" ht="13.5" thickTop="1">
      <c r="A40" s="5">
        <f t="shared" si="0"/>
        <v>32</v>
      </c>
      <c r="C40" s="10"/>
      <c r="D40" s="10"/>
      <c r="E40" s="10"/>
      <c r="F40" s="10"/>
    </row>
    <row r="41" spans="1:6">
      <c r="A41" s="5">
        <f t="shared" si="0"/>
        <v>33</v>
      </c>
      <c r="B41" s="2" t="s">
        <v>42</v>
      </c>
      <c r="C41" s="10">
        <v>124779</v>
      </c>
      <c r="D41" s="10"/>
      <c r="E41" s="10">
        <f>C41</f>
        <v>124779</v>
      </c>
      <c r="F41" s="10">
        <f>C41</f>
        <v>124779</v>
      </c>
    </row>
    <row r="42" spans="1:6">
      <c r="A42" s="5">
        <f t="shared" si="0"/>
        <v>34</v>
      </c>
      <c r="B42" s="2" t="s">
        <v>43</v>
      </c>
      <c r="C42" s="389">
        <f>(C31+C41+C25)/C25</f>
        <v>1.1631986573504509</v>
      </c>
      <c r="D42" s="10"/>
      <c r="E42" s="389">
        <f>(E31+E41+E25)/E25</f>
        <v>1.1028604239068551</v>
      </c>
      <c r="F42" s="389">
        <f>(F31+F41+F25)/F25</f>
        <v>1.7417380511088569</v>
      </c>
    </row>
    <row r="43" spans="1:6">
      <c r="A43" s="5">
        <f t="shared" si="0"/>
        <v>35</v>
      </c>
      <c r="B43" s="2" t="s">
        <v>44</v>
      </c>
      <c r="C43" s="389">
        <f>(C39+C25)/C25</f>
        <v>1.4310729618581728</v>
      </c>
      <c r="D43" s="10"/>
      <c r="E43" s="389">
        <f>(E39+E25)/E25</f>
        <v>1.3611223727979977</v>
      </c>
      <c r="F43" s="390">
        <f>(F39+F25)/F25</f>
        <v>1.9999999999999996</v>
      </c>
    </row>
    <row r="44" spans="1:6">
      <c r="A44" s="5">
        <f t="shared" si="0"/>
        <v>36</v>
      </c>
      <c r="B44" s="2" t="s">
        <v>45</v>
      </c>
      <c r="C44" s="389">
        <f>(C25+C39-C36)/C25</f>
        <v>1.4310729618581728</v>
      </c>
      <c r="D44" s="10"/>
      <c r="E44" s="389">
        <f>(E25+E39-E36)/E25</f>
        <v>1.3611223727979977</v>
      </c>
      <c r="F44" s="389">
        <f>(F25+F39-F36)/F25</f>
        <v>1.9999999999999996</v>
      </c>
    </row>
    <row r="45" spans="1:6">
      <c r="A45" s="5">
        <f t="shared" si="0"/>
        <v>37</v>
      </c>
      <c r="C45" s="103"/>
      <c r="D45" s="10"/>
      <c r="E45" s="103"/>
      <c r="F45" s="103"/>
    </row>
    <row r="46" spans="1:6">
      <c r="A46" s="5">
        <f t="shared" si="0"/>
        <v>38</v>
      </c>
      <c r="B46" s="2" t="s">
        <v>46</v>
      </c>
      <c r="C46" s="389">
        <v>2</v>
      </c>
      <c r="D46" s="10"/>
      <c r="E46" s="389">
        <v>2</v>
      </c>
      <c r="F46" s="389">
        <v>2</v>
      </c>
    </row>
    <row r="47" spans="1:6">
      <c r="A47" s="5">
        <f t="shared" si="0"/>
        <v>39</v>
      </c>
      <c r="B47" s="2" t="s">
        <v>47</v>
      </c>
      <c r="C47" s="10">
        <f>C46*C25-C25</f>
        <v>2124754</v>
      </c>
      <c r="D47" s="10"/>
      <c r="E47" s="10">
        <f>E46*E25-E25</f>
        <v>2041805.78</v>
      </c>
      <c r="F47" s="10">
        <f>F46*F25-F25</f>
        <v>2041805.78</v>
      </c>
    </row>
    <row r="48" spans="1:6">
      <c r="A48" s="5">
        <f t="shared" si="0"/>
        <v>40</v>
      </c>
      <c r="B48" s="2" t="s">
        <v>48</v>
      </c>
      <c r="C48" s="10">
        <f>C29+C47</f>
        <v>72791072</v>
      </c>
      <c r="D48" s="10"/>
      <c r="E48" s="10">
        <f>E29+E47</f>
        <v>68116326.387641728</v>
      </c>
      <c r="F48" s="10">
        <f>F29+F47</f>
        <v>68116326.387641728</v>
      </c>
    </row>
    <row r="49" spans="1:6">
      <c r="A49" s="5">
        <f t="shared" si="0"/>
        <v>41</v>
      </c>
      <c r="B49" s="2" t="s">
        <v>49</v>
      </c>
      <c r="C49" s="10">
        <f>C47-C39</f>
        <v>1208830</v>
      </c>
      <c r="D49" s="10"/>
      <c r="E49" s="18">
        <f>E47-E39</f>
        <v>1304464.0319337333</v>
      </c>
      <c r="F49" s="10">
        <f>F47-F39</f>
        <v>0</v>
      </c>
    </row>
    <row r="50" spans="1:6">
      <c r="A50" s="5">
        <f t="shared" si="0"/>
        <v>42</v>
      </c>
      <c r="C50" s="10"/>
      <c r="D50" s="9"/>
      <c r="E50" s="10"/>
      <c r="F50" s="10"/>
    </row>
    <row r="51" spans="1:6">
      <c r="A51" s="5">
        <f t="shared" si="0"/>
        <v>43</v>
      </c>
      <c r="C51" s="312"/>
      <c r="D51" s="19" t="s">
        <v>570</v>
      </c>
      <c r="E51" s="34"/>
      <c r="F51" s="70">
        <f>F39-E39</f>
        <v>1304464.0319337323</v>
      </c>
    </row>
    <row r="52" spans="1:6">
      <c r="A52" s="5">
        <f t="shared" si="0"/>
        <v>44</v>
      </c>
      <c r="C52" s="313"/>
      <c r="D52" s="19" t="s">
        <v>571</v>
      </c>
      <c r="E52" s="10"/>
      <c r="F52" s="34">
        <f>F51/E11</f>
        <v>1.9716878966310251E-2</v>
      </c>
    </row>
    <row r="53" spans="1:6">
      <c r="F53" s="312"/>
    </row>
    <row r="55" spans="1:6">
      <c r="E55" s="312"/>
    </row>
  </sheetData>
  <pageMargins left="0.7" right="0.7" top="0.75" bottom="0.75" header="0.3" footer="0.3"/>
  <pageSetup scale="84" orientation="portrait" r:id="rId1"/>
  <headerFooter>
    <oddFooter>&amp;RExhibit  JW-2
Page &amp;P of &amp;N</oddFooter>
  </headerFooter>
  <ignoredErrors>
    <ignoredError sqref="E7:F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opLeftCell="A19" zoomScale="75" zoomScaleNormal="75" workbookViewId="0">
      <selection activeCell="M12" sqref="M12"/>
    </sheetView>
  </sheetViews>
  <sheetFormatPr defaultRowHeight="14.25"/>
  <cols>
    <col min="1" max="1" width="8" style="251" bestFit="1" customWidth="1"/>
    <col min="2" max="2" width="11.7109375" style="251" bestFit="1" customWidth="1"/>
    <col min="3" max="3" width="10.85546875" style="251" customWidth="1"/>
    <col min="4" max="4" width="14.28515625" style="251" customWidth="1"/>
    <col min="5" max="5" width="15.28515625" style="251" customWidth="1"/>
    <col min="6" max="6" width="13.140625" style="251" customWidth="1"/>
    <col min="7" max="7" width="14.28515625" style="251" customWidth="1"/>
    <col min="8" max="8" width="17.5703125" style="251" customWidth="1"/>
    <col min="9" max="9" width="12.5703125" style="251" customWidth="1"/>
    <col min="10" max="10" width="10.5703125" style="251" customWidth="1"/>
    <col min="11" max="11" width="11.140625" style="251" customWidth="1"/>
    <col min="12" max="12" width="13.28515625" style="251" customWidth="1"/>
    <col min="13" max="16384" width="9.140625" style="251"/>
  </cols>
  <sheetData>
    <row r="1" spans="1:15" s="20" customFormat="1" ht="15" customHeight="1">
      <c r="G1" s="36"/>
      <c r="L1" s="36" t="s">
        <v>598</v>
      </c>
    </row>
    <row r="2" spans="1:15" s="20" customFormat="1" ht="20.25" customHeight="1">
      <c r="G2" s="36"/>
      <c r="H2" s="36"/>
    </row>
    <row r="3" spans="1:15" s="20" customFormat="1" ht="12.75">
      <c r="G3" s="36"/>
      <c r="H3" s="36"/>
    </row>
    <row r="4" spans="1:15" s="20" customFormat="1" ht="12.75">
      <c r="A4" s="402" t="s">
        <v>0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322"/>
      <c r="N4" s="322"/>
      <c r="O4" s="322"/>
    </row>
    <row r="5" spans="1:15" s="20" customFormat="1" ht="12.75">
      <c r="A5" s="402" t="s">
        <v>2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</row>
    <row r="6" spans="1:15" s="20" customFormat="1" ht="12.75"/>
    <row r="7" spans="1:15" s="37" customFormat="1" ht="15" customHeight="1">
      <c r="A7" s="403" t="s">
        <v>599</v>
      </c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</row>
    <row r="8" spans="1:15" s="37" customFormat="1" ht="15" customHeight="1">
      <c r="A8" s="385"/>
      <c r="B8" s="385"/>
      <c r="C8" s="385"/>
      <c r="D8" s="385"/>
      <c r="E8" s="385"/>
      <c r="F8" s="385"/>
      <c r="G8" s="385"/>
      <c r="H8" s="385"/>
      <c r="I8" s="385"/>
      <c r="J8" s="385"/>
      <c r="K8" s="385"/>
      <c r="L8" s="385"/>
    </row>
    <row r="9" spans="1:15" ht="42.75" customHeight="1">
      <c r="A9" s="250"/>
      <c r="B9" s="287" t="s">
        <v>96</v>
      </c>
      <c r="C9" s="287" t="s">
        <v>97</v>
      </c>
      <c r="D9" s="287" t="s">
        <v>633</v>
      </c>
      <c r="E9" s="287" t="s">
        <v>634</v>
      </c>
      <c r="F9" s="287" t="s">
        <v>635</v>
      </c>
      <c r="G9" s="287" t="s">
        <v>636</v>
      </c>
      <c r="H9" s="287" t="s">
        <v>637</v>
      </c>
      <c r="I9" s="287" t="s">
        <v>98</v>
      </c>
      <c r="J9" s="287" t="s">
        <v>99</v>
      </c>
      <c r="K9" s="287" t="s">
        <v>99</v>
      </c>
      <c r="L9" s="287" t="s">
        <v>110</v>
      </c>
    </row>
    <row r="10" spans="1:15" ht="15">
      <c r="A10" s="394" t="s">
        <v>100</v>
      </c>
      <c r="B10" s="298" t="s">
        <v>101</v>
      </c>
      <c r="C10" s="298" t="s">
        <v>102</v>
      </c>
      <c r="D10" s="298" t="s">
        <v>103</v>
      </c>
      <c r="E10" s="298" t="s">
        <v>104</v>
      </c>
      <c r="F10" s="298" t="s">
        <v>105</v>
      </c>
      <c r="G10" s="298" t="s">
        <v>106</v>
      </c>
      <c r="H10" s="298" t="s">
        <v>107</v>
      </c>
      <c r="I10" s="298" t="s">
        <v>108</v>
      </c>
      <c r="J10" s="298" t="s">
        <v>109</v>
      </c>
      <c r="K10" s="298" t="s">
        <v>108</v>
      </c>
      <c r="L10" s="255" t="s">
        <v>151</v>
      </c>
    </row>
    <row r="11" spans="1:15" s="253" customFormat="1" ht="15">
      <c r="A11" s="257" t="s">
        <v>125</v>
      </c>
      <c r="B11" s="257" t="s">
        <v>126</v>
      </c>
      <c r="C11" s="257" t="s">
        <v>127</v>
      </c>
      <c r="D11" s="257" t="s">
        <v>75</v>
      </c>
      <c r="E11" s="257" t="s">
        <v>129</v>
      </c>
      <c r="F11" s="257" t="s">
        <v>564</v>
      </c>
      <c r="G11" s="257" t="s">
        <v>565</v>
      </c>
      <c r="H11" s="257" t="s">
        <v>566</v>
      </c>
      <c r="I11" s="257" t="s">
        <v>640</v>
      </c>
      <c r="J11" s="257" t="s">
        <v>641</v>
      </c>
      <c r="K11" s="257" t="s">
        <v>643</v>
      </c>
      <c r="L11" s="257" t="s">
        <v>642</v>
      </c>
    </row>
    <row r="12" spans="1:15">
      <c r="A12" s="251" t="s">
        <v>111</v>
      </c>
      <c r="B12" s="327">
        <v>-200</v>
      </c>
      <c r="C12" s="327">
        <v>0</v>
      </c>
      <c r="D12" s="308">
        <v>0</v>
      </c>
      <c r="E12" s="327">
        <v>0</v>
      </c>
      <c r="F12" s="327">
        <v>0</v>
      </c>
      <c r="G12" s="327">
        <v>0</v>
      </c>
      <c r="H12" s="327">
        <v>-9200</v>
      </c>
      <c r="I12" s="327">
        <v>-3323.5</v>
      </c>
      <c r="J12" s="327">
        <v>-800.9</v>
      </c>
      <c r="K12" s="327">
        <v>-5261.05</v>
      </c>
      <c r="L12" s="327">
        <f>SUM(B12:K12)</f>
        <v>-18785.45</v>
      </c>
    </row>
    <row r="13" spans="1:15">
      <c r="A13" s="251" t="s">
        <v>112</v>
      </c>
      <c r="B13" s="328">
        <v>-100</v>
      </c>
      <c r="C13" s="328">
        <v>0</v>
      </c>
      <c r="D13" s="329">
        <v>0</v>
      </c>
      <c r="E13" s="328">
        <v>0</v>
      </c>
      <c r="F13" s="328">
        <v>0</v>
      </c>
      <c r="G13" s="328">
        <v>0</v>
      </c>
      <c r="H13" s="328">
        <v>0</v>
      </c>
      <c r="I13" s="328">
        <v>-3323.5</v>
      </c>
      <c r="J13" s="328">
        <v>-800.9</v>
      </c>
      <c r="K13" s="328">
        <v>-5261.05</v>
      </c>
      <c r="L13" s="328">
        <f t="shared" ref="L13:L23" si="0">SUM(B13:K13)</f>
        <v>-9485.4500000000007</v>
      </c>
    </row>
    <row r="14" spans="1:15">
      <c r="A14" s="251" t="s">
        <v>113</v>
      </c>
      <c r="B14" s="328">
        <v>-200</v>
      </c>
      <c r="C14" s="328">
        <v>0</v>
      </c>
      <c r="D14" s="329">
        <v>0</v>
      </c>
      <c r="E14" s="328">
        <v>0</v>
      </c>
      <c r="F14" s="328">
        <v>0</v>
      </c>
      <c r="G14" s="328">
        <v>-1540.76</v>
      </c>
      <c r="H14" s="328">
        <v>0</v>
      </c>
      <c r="I14" s="328">
        <v>-3323.5</v>
      </c>
      <c r="J14" s="328">
        <v>-800.9</v>
      </c>
      <c r="K14" s="328">
        <v>-5261.05</v>
      </c>
      <c r="L14" s="328">
        <f t="shared" si="0"/>
        <v>-11126.21</v>
      </c>
    </row>
    <row r="15" spans="1:15">
      <c r="A15" s="251" t="s">
        <v>114</v>
      </c>
      <c r="B15" s="328">
        <v>0</v>
      </c>
      <c r="C15" s="328">
        <v>-274.39999999999998</v>
      </c>
      <c r="D15" s="329">
        <v>0</v>
      </c>
      <c r="E15" s="328">
        <v>0</v>
      </c>
      <c r="F15" s="328">
        <v>0</v>
      </c>
      <c r="G15" s="328">
        <v>0</v>
      </c>
      <c r="H15" s="328">
        <v>-250</v>
      </c>
      <c r="I15" s="328">
        <v>-3323.5</v>
      </c>
      <c r="J15" s="328">
        <v>-800.9</v>
      </c>
      <c r="K15" s="328">
        <v>-5261.05</v>
      </c>
      <c r="L15" s="328">
        <f t="shared" si="0"/>
        <v>-9909.85</v>
      </c>
    </row>
    <row r="16" spans="1:15">
      <c r="A16" s="251" t="s">
        <v>83</v>
      </c>
      <c r="B16" s="328">
        <v>-100</v>
      </c>
      <c r="C16" s="328">
        <v>-15.6</v>
      </c>
      <c r="D16" s="329">
        <v>0</v>
      </c>
      <c r="E16" s="328">
        <v>-5360.51</v>
      </c>
      <c r="F16" s="328">
        <v>-1099.22</v>
      </c>
      <c r="G16" s="328">
        <v>0</v>
      </c>
      <c r="H16" s="328">
        <v>-675</v>
      </c>
      <c r="I16" s="328">
        <v>-3323.5</v>
      </c>
      <c r="J16" s="328">
        <v>-800.9</v>
      </c>
      <c r="K16" s="328">
        <v>-5261.05</v>
      </c>
      <c r="L16" s="328">
        <f t="shared" si="0"/>
        <v>-16635.780000000002</v>
      </c>
    </row>
    <row r="17" spans="1:12">
      <c r="A17" s="251" t="s">
        <v>115</v>
      </c>
      <c r="B17" s="328">
        <v>0</v>
      </c>
      <c r="C17" s="328">
        <v>0</v>
      </c>
      <c r="D17" s="329">
        <v>-2140.8000000000002</v>
      </c>
      <c r="E17" s="328">
        <v>-4910</v>
      </c>
      <c r="F17" s="328">
        <v>-1975.84</v>
      </c>
      <c r="G17" s="328">
        <v>0</v>
      </c>
      <c r="H17" s="328">
        <v>-300</v>
      </c>
      <c r="I17" s="328">
        <v>-3323.5</v>
      </c>
      <c r="J17" s="328">
        <v>-800.9</v>
      </c>
      <c r="K17" s="328">
        <v>-5261.05</v>
      </c>
      <c r="L17" s="328">
        <f t="shared" si="0"/>
        <v>-18712.09</v>
      </c>
    </row>
    <row r="18" spans="1:12">
      <c r="A18" s="251" t="s">
        <v>116</v>
      </c>
      <c r="B18" s="328">
        <v>0</v>
      </c>
      <c r="C18" s="328">
        <v>0</v>
      </c>
      <c r="D18" s="329">
        <v>-300</v>
      </c>
      <c r="E18" s="328">
        <v>0</v>
      </c>
      <c r="F18" s="328">
        <v>0</v>
      </c>
      <c r="G18" s="328">
        <v>0</v>
      </c>
      <c r="H18" s="328">
        <v>0</v>
      </c>
      <c r="I18" s="328">
        <v>-3325.67</v>
      </c>
      <c r="J18" s="328">
        <v>-800.9</v>
      </c>
      <c r="K18" s="328">
        <v>-5261.05</v>
      </c>
      <c r="L18" s="328">
        <f t="shared" si="0"/>
        <v>-9687.619999999999</v>
      </c>
    </row>
    <row r="19" spans="1:12">
      <c r="A19" s="251" t="s">
        <v>117</v>
      </c>
      <c r="B19" s="328">
        <v>0</v>
      </c>
      <c r="C19" s="328">
        <v>0</v>
      </c>
      <c r="D19" s="329">
        <v>0</v>
      </c>
      <c r="E19" s="328">
        <v>0</v>
      </c>
      <c r="F19" s="328">
        <v>0</v>
      </c>
      <c r="G19" s="328">
        <v>0</v>
      </c>
      <c r="H19" s="328">
        <v>0</v>
      </c>
      <c r="I19" s="328">
        <v>-3325.67</v>
      </c>
      <c r="J19" s="328">
        <v>-800.9</v>
      </c>
      <c r="K19" s="328">
        <v>-5261.05</v>
      </c>
      <c r="L19" s="328">
        <f t="shared" si="0"/>
        <v>-9387.619999999999</v>
      </c>
    </row>
    <row r="20" spans="1:12">
      <c r="A20" s="251" t="s">
        <v>118</v>
      </c>
      <c r="B20" s="328">
        <v>0</v>
      </c>
      <c r="C20" s="328">
        <v>-31.2</v>
      </c>
      <c r="D20" s="329">
        <v>0</v>
      </c>
      <c r="E20" s="328">
        <v>0</v>
      </c>
      <c r="F20" s="328">
        <v>0</v>
      </c>
      <c r="G20" s="328">
        <v>-1498.84</v>
      </c>
      <c r="H20" s="328">
        <v>-350</v>
      </c>
      <c r="I20" s="328">
        <v>-3325.67</v>
      </c>
      <c r="J20" s="328">
        <v>-800.9</v>
      </c>
      <c r="K20" s="328">
        <v>-5261.05</v>
      </c>
      <c r="L20" s="328">
        <f t="shared" si="0"/>
        <v>-11267.66</v>
      </c>
    </row>
    <row r="21" spans="1:12">
      <c r="A21" s="251" t="s">
        <v>119</v>
      </c>
      <c r="B21" s="330">
        <v>-300</v>
      </c>
      <c r="C21" s="330">
        <v>0</v>
      </c>
      <c r="D21" s="329">
        <v>0</v>
      </c>
      <c r="E21" s="330">
        <v>0</v>
      </c>
      <c r="F21" s="330">
        <v>0</v>
      </c>
      <c r="G21" s="330">
        <v>-1593.66</v>
      </c>
      <c r="H21" s="330">
        <v>-350</v>
      </c>
      <c r="I21" s="328">
        <v>-3325.67</v>
      </c>
      <c r="J21" s="328">
        <v>-800.9</v>
      </c>
      <c r="K21" s="328">
        <v>-5261.05</v>
      </c>
      <c r="L21" s="328">
        <f t="shared" si="0"/>
        <v>-11631.279999999999</v>
      </c>
    </row>
    <row r="22" spans="1:12">
      <c r="A22" s="251" t="s">
        <v>120</v>
      </c>
      <c r="B22" s="330">
        <v>-1000</v>
      </c>
      <c r="C22" s="330">
        <v>0</v>
      </c>
      <c r="D22" s="329">
        <v>0</v>
      </c>
      <c r="E22" s="330">
        <v>0</v>
      </c>
      <c r="F22" s="330">
        <v>0</v>
      </c>
      <c r="G22" s="330">
        <v>0</v>
      </c>
      <c r="H22" s="330">
        <v>1500</v>
      </c>
      <c r="I22" s="328">
        <v>-3325.67</v>
      </c>
      <c r="J22" s="328">
        <v>-800.9</v>
      </c>
      <c r="K22" s="328">
        <v>-5261.05</v>
      </c>
      <c r="L22" s="328">
        <f t="shared" si="0"/>
        <v>-8887.6200000000008</v>
      </c>
    </row>
    <row r="23" spans="1:12">
      <c r="A23" s="251" t="s">
        <v>121</v>
      </c>
      <c r="B23" s="331">
        <v>-15.39</v>
      </c>
      <c r="C23" s="331">
        <v>0</v>
      </c>
      <c r="D23" s="332">
        <v>0</v>
      </c>
      <c r="E23" s="331">
        <v>0</v>
      </c>
      <c r="F23" s="331">
        <v>0</v>
      </c>
      <c r="G23" s="331">
        <v>0</v>
      </c>
      <c r="H23" s="331">
        <v>-100</v>
      </c>
      <c r="I23" s="333">
        <v>-3325.67</v>
      </c>
      <c r="J23" s="333">
        <v>-800.9</v>
      </c>
      <c r="K23" s="333">
        <v>-5261.05</v>
      </c>
      <c r="L23" s="328">
        <f t="shared" si="0"/>
        <v>-9503.01</v>
      </c>
    </row>
    <row r="24" spans="1:12">
      <c r="A24" s="251" t="s">
        <v>57</v>
      </c>
      <c r="B24" s="308">
        <f>SUM(B12:B23)</f>
        <v>-1915.39</v>
      </c>
      <c r="C24" s="308">
        <f t="shared" ref="C24:L24" si="1">SUM(C12:C23)</f>
        <v>-321.2</v>
      </c>
      <c r="D24" s="308">
        <f t="shared" si="1"/>
        <v>-2440.8000000000002</v>
      </c>
      <c r="E24" s="308">
        <f t="shared" si="1"/>
        <v>-10270.51</v>
      </c>
      <c r="F24" s="308">
        <f t="shared" si="1"/>
        <v>-3075.06</v>
      </c>
      <c r="G24" s="308">
        <f t="shared" si="1"/>
        <v>-4633.26</v>
      </c>
      <c r="H24" s="308">
        <f t="shared" si="1"/>
        <v>-9725</v>
      </c>
      <c r="I24" s="308">
        <f t="shared" si="1"/>
        <v>-39895.01999999999</v>
      </c>
      <c r="J24" s="308">
        <f t="shared" si="1"/>
        <v>-9610.7999999999975</v>
      </c>
      <c r="K24" s="308">
        <f t="shared" si="1"/>
        <v>-63132.600000000013</v>
      </c>
      <c r="L24" s="334">
        <f t="shared" si="1"/>
        <v>-145019.64000000001</v>
      </c>
    </row>
    <row r="25" spans="1:12">
      <c r="B25" s="290"/>
      <c r="C25" s="290"/>
      <c r="D25" s="290"/>
      <c r="E25" s="290"/>
      <c r="F25" s="290"/>
      <c r="G25" s="290"/>
    </row>
    <row r="26" spans="1:12">
      <c r="B26" s="290"/>
      <c r="C26" s="290"/>
      <c r="D26" s="290"/>
      <c r="E26" s="290"/>
      <c r="F26" s="290"/>
      <c r="G26" s="290"/>
    </row>
    <row r="27" spans="1:12" ht="35.25" customHeight="1">
      <c r="B27" s="437" t="s">
        <v>600</v>
      </c>
      <c r="C27" s="437"/>
      <c r="D27" s="437"/>
      <c r="E27" s="437"/>
      <c r="F27" s="437"/>
      <c r="G27" s="437"/>
      <c r="H27" s="437"/>
      <c r="I27" s="437"/>
      <c r="J27" s="437"/>
      <c r="K27" s="437"/>
      <c r="L27" s="437"/>
    </row>
    <row r="28" spans="1:12">
      <c r="B28" s="290"/>
      <c r="C28" s="290"/>
      <c r="D28" s="290"/>
      <c r="E28" s="290"/>
      <c r="F28" s="290"/>
      <c r="G28" s="290"/>
      <c r="H28" s="290"/>
      <c r="I28" s="290"/>
      <c r="J28" s="290"/>
      <c r="K28" s="290"/>
    </row>
    <row r="30" spans="1:12">
      <c r="B30" s="290"/>
      <c r="C30" s="290"/>
      <c r="D30" s="290"/>
      <c r="E30" s="290"/>
      <c r="F30" s="290"/>
      <c r="G30" s="290"/>
      <c r="H30" s="290"/>
      <c r="I30" s="290"/>
      <c r="J30" s="290"/>
      <c r="K30" s="290"/>
    </row>
    <row r="31" spans="1:12">
      <c r="B31" s="290"/>
      <c r="C31" s="290"/>
      <c r="D31" s="290"/>
      <c r="E31" s="290"/>
      <c r="F31" s="290"/>
      <c r="G31" s="290"/>
      <c r="H31" s="290"/>
      <c r="I31" s="290"/>
      <c r="J31" s="290"/>
      <c r="K31" s="290"/>
    </row>
    <row r="32" spans="1:12">
      <c r="B32" s="290"/>
      <c r="C32" s="290"/>
      <c r="D32" s="290"/>
      <c r="E32" s="290"/>
      <c r="F32" s="290"/>
      <c r="G32" s="290"/>
      <c r="H32" s="290"/>
      <c r="I32" s="290"/>
      <c r="J32" s="290"/>
      <c r="K32" s="290"/>
    </row>
    <row r="33" spans="2:11">
      <c r="B33" s="290"/>
      <c r="C33" s="290"/>
      <c r="D33" s="290"/>
      <c r="E33" s="290"/>
      <c r="F33" s="290"/>
      <c r="G33" s="290"/>
      <c r="H33" s="290"/>
      <c r="I33" s="290"/>
      <c r="J33" s="290"/>
      <c r="K33" s="290"/>
    </row>
    <row r="34" spans="2:11">
      <c r="B34" s="290"/>
      <c r="C34" s="290"/>
      <c r="D34" s="290"/>
      <c r="E34" s="290"/>
      <c r="F34" s="290"/>
      <c r="G34" s="290"/>
      <c r="H34" s="290"/>
      <c r="I34" s="290"/>
      <c r="J34" s="290"/>
      <c r="K34" s="290"/>
    </row>
    <row r="35" spans="2:11">
      <c r="B35" s="290"/>
      <c r="C35" s="290"/>
      <c r="D35" s="290"/>
      <c r="E35" s="290"/>
      <c r="F35" s="290"/>
      <c r="G35" s="290"/>
      <c r="H35" s="290"/>
      <c r="I35" s="290"/>
      <c r="J35" s="290"/>
      <c r="K35" s="290"/>
    </row>
    <row r="36" spans="2:11">
      <c r="B36" s="290"/>
      <c r="C36" s="290"/>
      <c r="D36" s="290"/>
      <c r="E36" s="290"/>
      <c r="F36" s="290"/>
      <c r="G36" s="290"/>
      <c r="H36" s="290"/>
      <c r="I36" s="290"/>
      <c r="J36" s="290"/>
      <c r="K36" s="290"/>
    </row>
    <row r="37" spans="2:11">
      <c r="B37" s="290"/>
      <c r="C37" s="290"/>
      <c r="D37" s="290"/>
      <c r="E37" s="290"/>
      <c r="F37" s="290"/>
      <c r="G37" s="290"/>
      <c r="H37" s="290"/>
      <c r="I37" s="290"/>
      <c r="J37" s="290"/>
      <c r="K37" s="290"/>
    </row>
    <row r="38" spans="2:11">
      <c r="B38" s="290"/>
      <c r="C38" s="290"/>
      <c r="D38" s="290"/>
      <c r="E38" s="290"/>
      <c r="F38" s="290"/>
      <c r="G38" s="290"/>
      <c r="H38" s="290"/>
      <c r="I38" s="290"/>
      <c r="J38" s="290"/>
      <c r="K38" s="290"/>
    </row>
    <row r="39" spans="2:11">
      <c r="B39" s="290"/>
      <c r="C39" s="290"/>
      <c r="D39" s="290"/>
      <c r="E39" s="290"/>
      <c r="F39" s="290"/>
      <c r="G39" s="290"/>
      <c r="H39" s="290"/>
      <c r="I39" s="290"/>
      <c r="J39" s="290"/>
      <c r="K39" s="290"/>
    </row>
    <row r="40" spans="2:11">
      <c r="B40" s="290"/>
    </row>
    <row r="41" spans="2:11">
      <c r="B41" s="290"/>
    </row>
  </sheetData>
  <mergeCells count="4">
    <mergeCell ref="A4:L4"/>
    <mergeCell ref="A5:L5"/>
    <mergeCell ref="A7:L7"/>
    <mergeCell ref="B27:L27"/>
  </mergeCells>
  <printOptions horizontalCentered="1"/>
  <pageMargins left="0.7" right="0.7" top="0.75" bottom="0.75" header="0.3" footer="0.3"/>
  <pageSetup scale="80" orientation="landscape" r:id="rId1"/>
  <headerFooter>
    <oddFooter>&amp;RExhibit JW-2
Page &amp;P of &amp;N</oddFooter>
  </headerFooter>
  <ignoredErrors>
    <ignoredError sqref="B10:K10" numberStoredAsText="1"/>
    <ignoredError sqref="L12:L23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view="pageBreakPreview" zoomScale="75" zoomScaleNormal="75" zoomScaleSheetLayoutView="75" workbookViewId="0">
      <selection activeCell="I4" sqref="I4"/>
    </sheetView>
  </sheetViews>
  <sheetFormatPr defaultRowHeight="14.25"/>
  <cols>
    <col min="1" max="1" width="13.42578125" style="251" customWidth="1"/>
    <col min="2" max="13" width="8.7109375" style="251" customWidth="1"/>
    <col min="14" max="14" width="11.42578125" style="251" customWidth="1"/>
    <col min="15" max="15" width="2.28515625" style="251" customWidth="1"/>
    <col min="16" max="16384" width="9.140625" style="251"/>
  </cols>
  <sheetData>
    <row r="1" spans="1:16" s="20" customFormat="1" ht="15" customHeight="1">
      <c r="G1" s="36"/>
      <c r="N1" s="36" t="s">
        <v>601</v>
      </c>
    </row>
    <row r="2" spans="1:16" s="20" customFormat="1" ht="20.25" customHeight="1">
      <c r="G2" s="36"/>
      <c r="H2" s="36"/>
    </row>
    <row r="3" spans="1:16" s="20" customFormat="1" ht="12.75">
      <c r="G3" s="36"/>
      <c r="H3" s="36"/>
    </row>
    <row r="4" spans="1:16" s="20" customFormat="1" ht="12.75">
      <c r="A4" s="402" t="s">
        <v>0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322"/>
    </row>
    <row r="5" spans="1:16" s="20" customFormat="1" ht="12.75">
      <c r="A5" s="402" t="s">
        <v>2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</row>
    <row r="6" spans="1:16" s="20" customFormat="1" ht="12.75"/>
    <row r="7" spans="1:16" s="37" customFormat="1" ht="15" customHeight="1">
      <c r="A7" s="403" t="s">
        <v>602</v>
      </c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</row>
    <row r="8" spans="1:16" s="20" customFormat="1" ht="12.75"/>
    <row r="10" spans="1:16" ht="15">
      <c r="A10" s="257" t="s">
        <v>606</v>
      </c>
      <c r="B10" s="257" t="s">
        <v>111</v>
      </c>
      <c r="C10" s="257" t="s">
        <v>112</v>
      </c>
      <c r="D10" s="257" t="s">
        <v>113</v>
      </c>
      <c r="E10" s="257" t="s">
        <v>114</v>
      </c>
      <c r="F10" s="257" t="s">
        <v>83</v>
      </c>
      <c r="G10" s="257" t="s">
        <v>115</v>
      </c>
      <c r="H10" s="257" t="s">
        <v>116</v>
      </c>
      <c r="I10" s="257" t="s">
        <v>117</v>
      </c>
      <c r="J10" s="257" t="s">
        <v>118</v>
      </c>
      <c r="K10" s="257" t="s">
        <v>119</v>
      </c>
      <c r="L10" s="257" t="s">
        <v>120</v>
      </c>
      <c r="M10" s="257" t="s">
        <v>121</v>
      </c>
      <c r="N10" s="258" t="s">
        <v>57</v>
      </c>
      <c r="O10" s="258"/>
      <c r="P10" s="255"/>
    </row>
    <row r="11" spans="1:16">
      <c r="A11" s="260">
        <v>1</v>
      </c>
      <c r="B11" s="372">
        <v>186</v>
      </c>
      <c r="C11" s="372">
        <v>169.08</v>
      </c>
      <c r="D11" s="372">
        <v>211.35</v>
      </c>
      <c r="E11" s="372">
        <v>177.54</v>
      </c>
      <c r="F11" s="372">
        <v>169.08</v>
      </c>
      <c r="G11" s="372">
        <v>219.81</v>
      </c>
      <c r="H11" s="372">
        <v>181.18</v>
      </c>
      <c r="I11" s="372">
        <v>173.64</v>
      </c>
      <c r="J11" s="372">
        <v>225.73</v>
      </c>
      <c r="K11" s="372">
        <v>181.23</v>
      </c>
      <c r="L11" s="372">
        <v>182.32</v>
      </c>
      <c r="M11" s="372">
        <v>225.73</v>
      </c>
      <c r="N11" s="372">
        <f t="shared" ref="N11:N26" si="0">SUM(B11:M11)</f>
        <v>2302.6900000000005</v>
      </c>
      <c r="O11" s="290">
        <v>580</v>
      </c>
    </row>
    <row r="12" spans="1:16">
      <c r="A12" s="260">
        <v>2</v>
      </c>
      <c r="B12" s="290">
        <v>284.08</v>
      </c>
      <c r="C12" s="290">
        <v>284.08</v>
      </c>
      <c r="D12" s="290">
        <v>355.1</v>
      </c>
      <c r="E12" s="290">
        <v>284.08</v>
      </c>
      <c r="F12" s="290">
        <v>284.08</v>
      </c>
      <c r="G12" s="290">
        <v>355.1</v>
      </c>
      <c r="H12" s="290">
        <v>289.83</v>
      </c>
      <c r="I12" s="290">
        <v>291.76</v>
      </c>
      <c r="J12" s="290">
        <v>364.7</v>
      </c>
      <c r="K12" s="290">
        <v>291.76</v>
      </c>
      <c r="L12" s="290">
        <v>291.76</v>
      </c>
      <c r="M12" s="290">
        <v>364.7</v>
      </c>
      <c r="N12" s="290">
        <f t="shared" si="0"/>
        <v>3741.0299999999997</v>
      </c>
      <c r="O12" s="290">
        <v>580</v>
      </c>
    </row>
    <row r="13" spans="1:16">
      <c r="A13" s="260">
        <v>3</v>
      </c>
      <c r="B13" s="290">
        <v>286.24</v>
      </c>
      <c r="C13" s="290">
        <v>286.24</v>
      </c>
      <c r="D13" s="290">
        <v>357.8</v>
      </c>
      <c r="E13" s="290">
        <v>286.24</v>
      </c>
      <c r="F13" s="290">
        <v>286.24</v>
      </c>
      <c r="G13" s="290">
        <v>357.8</v>
      </c>
      <c r="H13" s="290">
        <v>292.04000000000002</v>
      </c>
      <c r="I13" s="290">
        <v>294</v>
      </c>
      <c r="J13" s="290">
        <v>367.5</v>
      </c>
      <c r="K13" s="290">
        <v>279.3</v>
      </c>
      <c r="L13" s="290">
        <v>220.5</v>
      </c>
      <c r="M13" s="290">
        <v>367.5</v>
      </c>
      <c r="N13" s="290">
        <f t="shared" si="0"/>
        <v>3681.4</v>
      </c>
      <c r="O13" s="290">
        <v>580</v>
      </c>
    </row>
    <row r="14" spans="1:16">
      <c r="A14" s="260">
        <v>4</v>
      </c>
      <c r="B14" s="290">
        <v>127.96</v>
      </c>
      <c r="C14" s="290">
        <v>127.56</v>
      </c>
      <c r="D14" s="290">
        <v>159.44999999999999</v>
      </c>
      <c r="E14" s="290">
        <v>130.35</v>
      </c>
      <c r="F14" s="290">
        <v>127.96</v>
      </c>
      <c r="G14" s="290">
        <v>160.63999999999999</v>
      </c>
      <c r="H14" s="290">
        <v>130.15</v>
      </c>
      <c r="I14" s="290">
        <v>131</v>
      </c>
      <c r="J14" s="290">
        <v>163.75</v>
      </c>
      <c r="K14" s="290">
        <v>131</v>
      </c>
      <c r="L14" s="290">
        <v>131.82</v>
      </c>
      <c r="M14" s="290">
        <v>166.62</v>
      </c>
      <c r="N14" s="290">
        <f t="shared" si="0"/>
        <v>1688.2599999999998</v>
      </c>
      <c r="O14" s="290">
        <v>903</v>
      </c>
    </row>
    <row r="15" spans="1:16">
      <c r="A15" s="260">
        <v>5</v>
      </c>
      <c r="B15" s="290">
        <v>217.2</v>
      </c>
      <c r="C15" s="290">
        <v>217.2</v>
      </c>
      <c r="D15" s="290">
        <v>271.5</v>
      </c>
      <c r="E15" s="290">
        <v>217.2</v>
      </c>
      <c r="F15" s="290">
        <v>217.2</v>
      </c>
      <c r="G15" s="290">
        <v>271.5</v>
      </c>
      <c r="H15" s="290">
        <v>224.04</v>
      </c>
      <c r="I15" s="290">
        <v>226.32</v>
      </c>
      <c r="J15" s="290">
        <v>282.89999999999998</v>
      </c>
      <c r="K15" s="290">
        <v>226.32</v>
      </c>
      <c r="L15" s="290">
        <v>226.32</v>
      </c>
      <c r="M15" s="290">
        <v>282.89999999999998</v>
      </c>
      <c r="N15" s="290">
        <f t="shared" si="0"/>
        <v>2880.6000000000004</v>
      </c>
      <c r="O15" s="290">
        <v>901</v>
      </c>
    </row>
    <row r="16" spans="1:16">
      <c r="A16" s="260">
        <v>6</v>
      </c>
      <c r="B16" s="290">
        <v>224.64</v>
      </c>
      <c r="C16" s="290">
        <v>224.64</v>
      </c>
      <c r="D16" s="290">
        <v>280.8</v>
      </c>
      <c r="E16" s="290">
        <v>224.64</v>
      </c>
      <c r="F16" s="290">
        <v>224.64</v>
      </c>
      <c r="G16" s="290">
        <v>280.8</v>
      </c>
      <c r="H16" s="290">
        <v>229.19</v>
      </c>
      <c r="I16" s="290">
        <v>230.72</v>
      </c>
      <c r="J16" s="290">
        <v>288.39999999999998</v>
      </c>
      <c r="K16" s="290">
        <v>230.72</v>
      </c>
      <c r="L16" s="290">
        <v>230.72</v>
      </c>
      <c r="M16" s="290">
        <v>288.39999999999998</v>
      </c>
      <c r="N16" s="290">
        <f t="shared" si="0"/>
        <v>2958.3099999999995</v>
      </c>
      <c r="O16" s="290">
        <v>580</v>
      </c>
    </row>
    <row r="17" spans="1:15">
      <c r="A17" s="260">
        <v>7</v>
      </c>
      <c r="B17" s="290">
        <v>193.36</v>
      </c>
      <c r="C17" s="290">
        <v>193.36</v>
      </c>
      <c r="D17" s="290">
        <v>241.7</v>
      </c>
      <c r="E17" s="290">
        <v>193.36</v>
      </c>
      <c r="F17" s="290">
        <v>193.36</v>
      </c>
      <c r="G17" s="290">
        <v>241.7</v>
      </c>
      <c r="H17" s="290">
        <v>197.27</v>
      </c>
      <c r="I17" s="290">
        <v>198.56</v>
      </c>
      <c r="J17" s="290">
        <v>248.2</v>
      </c>
      <c r="K17" s="290">
        <v>198.56</v>
      </c>
      <c r="L17" s="290">
        <v>198.56</v>
      </c>
      <c r="M17" s="290">
        <v>248.2</v>
      </c>
      <c r="N17" s="290">
        <f t="shared" si="0"/>
        <v>2546.19</v>
      </c>
      <c r="O17" s="290">
        <v>920</v>
      </c>
    </row>
    <row r="18" spans="1:15">
      <c r="A18" s="260">
        <v>8</v>
      </c>
      <c r="B18" s="290">
        <v>146.63999999999999</v>
      </c>
      <c r="C18" s="290">
        <v>150.29</v>
      </c>
      <c r="D18" s="290">
        <v>186.95</v>
      </c>
      <c r="E18" s="290">
        <v>153.51</v>
      </c>
      <c r="F18" s="290">
        <v>147.55000000000001</v>
      </c>
      <c r="G18" s="290">
        <v>183.3</v>
      </c>
      <c r="H18" s="290">
        <v>153.27000000000001</v>
      </c>
      <c r="I18" s="290">
        <v>150.6</v>
      </c>
      <c r="J18" s="290">
        <v>188.25</v>
      </c>
      <c r="K18" s="290">
        <v>150.6</v>
      </c>
      <c r="L18" s="290">
        <v>154.83000000000001</v>
      </c>
      <c r="M18" s="290">
        <v>188.25</v>
      </c>
      <c r="N18" s="290">
        <f t="shared" si="0"/>
        <v>1954.0399999999995</v>
      </c>
      <c r="O18" s="290">
        <v>583</v>
      </c>
    </row>
    <row r="19" spans="1:15">
      <c r="A19" s="260">
        <v>9</v>
      </c>
      <c r="B19" s="290">
        <v>133.57</v>
      </c>
      <c r="C19" s="290">
        <v>129.52000000000001</v>
      </c>
      <c r="D19" s="290">
        <v>162.1</v>
      </c>
      <c r="E19" s="290">
        <v>134.38</v>
      </c>
      <c r="F19" s="290">
        <v>130.74</v>
      </c>
      <c r="G19" s="290">
        <v>163.93</v>
      </c>
      <c r="H19" s="290">
        <v>135.31</v>
      </c>
      <c r="I19" s="290">
        <v>134.52000000000001</v>
      </c>
      <c r="J19" s="290">
        <v>167.1</v>
      </c>
      <c r="K19" s="290">
        <v>134.1</v>
      </c>
      <c r="L19" s="290">
        <v>133.68</v>
      </c>
      <c r="M19" s="290">
        <v>168.26</v>
      </c>
      <c r="N19" s="290">
        <f t="shared" si="0"/>
        <v>1727.2099999999998</v>
      </c>
      <c r="O19" s="290">
        <v>588</v>
      </c>
    </row>
    <row r="20" spans="1:15">
      <c r="A20" s="260">
        <v>10</v>
      </c>
      <c r="B20" s="290">
        <v>197.32</v>
      </c>
      <c r="C20" s="290">
        <v>197.32</v>
      </c>
      <c r="D20" s="290">
        <v>246.65</v>
      </c>
      <c r="E20" s="290">
        <v>197.32</v>
      </c>
      <c r="F20" s="290">
        <v>197.32</v>
      </c>
      <c r="G20" s="290">
        <v>250.96</v>
      </c>
      <c r="H20" s="290">
        <v>201.93</v>
      </c>
      <c r="I20" s="290">
        <v>202.64</v>
      </c>
      <c r="J20" s="290">
        <v>253.93</v>
      </c>
      <c r="K20" s="290">
        <v>202.64</v>
      </c>
      <c r="L20" s="290">
        <v>202.64</v>
      </c>
      <c r="M20" s="290">
        <v>253.3</v>
      </c>
      <c r="N20" s="290">
        <f t="shared" si="0"/>
        <v>2603.9700000000003</v>
      </c>
      <c r="O20" s="290">
        <v>920</v>
      </c>
    </row>
    <row r="21" spans="1:15">
      <c r="A21" s="260">
        <v>11</v>
      </c>
      <c r="B21" s="290">
        <v>158.99</v>
      </c>
      <c r="C21" s="290">
        <v>152.43</v>
      </c>
      <c r="D21" s="290">
        <v>187.05</v>
      </c>
      <c r="E21" s="290">
        <v>149.63999999999999</v>
      </c>
      <c r="F21" s="290">
        <v>151.51</v>
      </c>
      <c r="G21" s="290">
        <v>188.92</v>
      </c>
      <c r="H21" s="290">
        <v>152.66</v>
      </c>
      <c r="I21" s="290">
        <v>153.68</v>
      </c>
      <c r="J21" s="290">
        <v>192.1</v>
      </c>
      <c r="K21" s="290">
        <v>153.68</v>
      </c>
      <c r="L21" s="290">
        <v>153.68</v>
      </c>
      <c r="M21" s="290">
        <v>192.1</v>
      </c>
      <c r="N21" s="290">
        <f t="shared" si="0"/>
        <v>1986.44</v>
      </c>
      <c r="O21" s="290">
        <v>920</v>
      </c>
    </row>
    <row r="22" spans="1:15">
      <c r="A22" s="260">
        <v>12</v>
      </c>
      <c r="B22" s="290">
        <v>165.04</v>
      </c>
      <c r="C22" s="290">
        <v>157.36000000000001</v>
      </c>
      <c r="D22" s="290">
        <v>197.58</v>
      </c>
      <c r="E22" s="290">
        <v>165.06</v>
      </c>
      <c r="F22" s="290">
        <v>158.16</v>
      </c>
      <c r="G22" s="290">
        <v>204.7</v>
      </c>
      <c r="H22" s="290">
        <v>169.19</v>
      </c>
      <c r="I22" s="290">
        <v>162.30000000000001</v>
      </c>
      <c r="J22" s="290">
        <v>211.07</v>
      </c>
      <c r="K22" s="290">
        <v>162.80000000000001</v>
      </c>
      <c r="L22" s="290">
        <v>169.21</v>
      </c>
      <c r="M22" s="290">
        <v>203.91</v>
      </c>
      <c r="N22" s="290">
        <f t="shared" si="0"/>
        <v>2126.3799999999997</v>
      </c>
      <c r="O22" s="290">
        <v>588</v>
      </c>
    </row>
    <row r="23" spans="1:15">
      <c r="A23" s="260">
        <v>13</v>
      </c>
      <c r="B23" s="290">
        <v>190.71</v>
      </c>
      <c r="C23" s="290">
        <v>174.13</v>
      </c>
      <c r="D23" s="290">
        <v>207.3</v>
      </c>
      <c r="E23" s="290">
        <v>182.42</v>
      </c>
      <c r="F23" s="290">
        <v>174.13</v>
      </c>
      <c r="G23" s="290">
        <v>223.88</v>
      </c>
      <c r="H23" s="290">
        <v>178.38</v>
      </c>
      <c r="I23" s="290">
        <v>175.4</v>
      </c>
      <c r="J23" s="290">
        <v>222.46</v>
      </c>
      <c r="K23" s="290">
        <v>171.12</v>
      </c>
      <c r="L23" s="290">
        <v>179.68</v>
      </c>
      <c r="M23" s="290">
        <v>231.02</v>
      </c>
      <c r="N23" s="290">
        <f t="shared" si="0"/>
        <v>2310.63</v>
      </c>
      <c r="O23" s="290">
        <v>580</v>
      </c>
    </row>
    <row r="24" spans="1:15">
      <c r="A24" s="260">
        <v>14</v>
      </c>
      <c r="B24" s="290">
        <v>164.08</v>
      </c>
      <c r="C24" s="290">
        <v>164.08</v>
      </c>
      <c r="D24" s="290">
        <v>205.1</v>
      </c>
      <c r="E24" s="290">
        <v>165.11</v>
      </c>
      <c r="F24" s="290">
        <v>164.08</v>
      </c>
      <c r="G24" s="290">
        <v>205.1</v>
      </c>
      <c r="H24" s="290">
        <v>167.4</v>
      </c>
      <c r="I24" s="290">
        <v>168.52</v>
      </c>
      <c r="J24" s="290">
        <v>210.65</v>
      </c>
      <c r="K24" s="290">
        <v>168.52</v>
      </c>
      <c r="L24" s="290">
        <v>176.42</v>
      </c>
      <c r="M24" s="290">
        <v>227.49</v>
      </c>
      <c r="N24" s="290">
        <f t="shared" si="0"/>
        <v>2186.5500000000002</v>
      </c>
      <c r="O24" s="290">
        <v>920</v>
      </c>
    </row>
    <row r="25" spans="1:15">
      <c r="A25" s="260">
        <v>15</v>
      </c>
      <c r="B25" s="290">
        <v>218.72</v>
      </c>
      <c r="C25" s="290">
        <v>218.72</v>
      </c>
      <c r="D25" s="290">
        <v>273.39999999999998</v>
      </c>
      <c r="E25" s="290">
        <v>218.72</v>
      </c>
      <c r="F25" s="290">
        <v>218.72</v>
      </c>
      <c r="G25" s="290">
        <v>273.39999999999998</v>
      </c>
      <c r="H25" s="290">
        <v>223.15</v>
      </c>
      <c r="I25" s="290">
        <v>224.64</v>
      </c>
      <c r="J25" s="290">
        <v>280.8</v>
      </c>
      <c r="K25" s="290">
        <v>224.64</v>
      </c>
      <c r="L25" s="290">
        <v>224.64</v>
      </c>
      <c r="M25" s="290">
        <v>280.8</v>
      </c>
      <c r="N25" s="290">
        <f t="shared" si="0"/>
        <v>2880.35</v>
      </c>
      <c r="O25" s="290">
        <v>925</v>
      </c>
    </row>
    <row r="26" spans="1:15">
      <c r="A26" s="260">
        <v>16</v>
      </c>
      <c r="B26" s="375">
        <v>417.71</v>
      </c>
      <c r="C26" s="375">
        <v>416.4</v>
      </c>
      <c r="D26" s="375">
        <v>520.5</v>
      </c>
      <c r="E26" s="375">
        <v>430.72</v>
      </c>
      <c r="F26" s="375">
        <v>416.4</v>
      </c>
      <c r="G26" s="375">
        <v>125</v>
      </c>
      <c r="H26" s="375">
        <v>0</v>
      </c>
      <c r="I26" s="375">
        <v>0</v>
      </c>
      <c r="J26" s="375">
        <v>0</v>
      </c>
      <c r="K26" s="375">
        <v>0</v>
      </c>
      <c r="L26" s="375">
        <v>0</v>
      </c>
      <c r="M26" s="375">
        <v>0</v>
      </c>
      <c r="N26" s="375">
        <f t="shared" si="0"/>
        <v>2326.73</v>
      </c>
      <c r="O26" s="290">
        <v>580</v>
      </c>
    </row>
    <row r="27" spans="1:15">
      <c r="A27" s="335" t="s">
        <v>57</v>
      </c>
      <c r="B27" s="372">
        <f t="shared" ref="B27:N27" si="1">SUM(B11:B26)</f>
        <v>3312.2599999999998</v>
      </c>
      <c r="C27" s="372">
        <f t="shared" si="1"/>
        <v>3262.4100000000003</v>
      </c>
      <c r="D27" s="372">
        <f t="shared" si="1"/>
        <v>4064.3300000000004</v>
      </c>
      <c r="E27" s="372">
        <f t="shared" si="1"/>
        <v>3310.29</v>
      </c>
      <c r="F27" s="372">
        <f t="shared" si="1"/>
        <v>3261.1699999999996</v>
      </c>
      <c r="G27" s="372">
        <f t="shared" si="1"/>
        <v>3706.54</v>
      </c>
      <c r="H27" s="372">
        <f t="shared" si="1"/>
        <v>2924.9900000000002</v>
      </c>
      <c r="I27" s="372">
        <f t="shared" si="1"/>
        <v>2918.2999999999997</v>
      </c>
      <c r="J27" s="372">
        <f t="shared" si="1"/>
        <v>3667.5400000000004</v>
      </c>
      <c r="K27" s="372">
        <f t="shared" si="1"/>
        <v>2906.9899999999993</v>
      </c>
      <c r="L27" s="372">
        <f t="shared" si="1"/>
        <v>2876.7799999999993</v>
      </c>
      <c r="M27" s="372">
        <f t="shared" si="1"/>
        <v>3689.1800000000003</v>
      </c>
      <c r="N27" s="372">
        <f t="shared" si="1"/>
        <v>39900.780000000006</v>
      </c>
    </row>
    <row r="28" spans="1:15">
      <c r="B28" s="373"/>
      <c r="C28" s="373"/>
      <c r="D28" s="373"/>
      <c r="E28" s="373"/>
      <c r="F28" s="373"/>
      <c r="G28" s="373"/>
      <c r="H28" s="373"/>
      <c r="I28" s="373"/>
      <c r="J28" s="373"/>
      <c r="K28" s="373"/>
      <c r="L28" s="373"/>
      <c r="M28" s="373"/>
      <c r="N28" s="373"/>
    </row>
    <row r="29" spans="1:15">
      <c r="B29" s="373"/>
      <c r="C29" s="373"/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3"/>
    </row>
    <row r="30" spans="1:15">
      <c r="B30" s="373"/>
      <c r="C30" s="373"/>
      <c r="D30" s="373"/>
      <c r="E30" s="373"/>
      <c r="F30" s="373"/>
      <c r="G30" s="373"/>
      <c r="H30" s="373"/>
      <c r="I30" s="373"/>
      <c r="J30" s="373" t="s">
        <v>153</v>
      </c>
      <c r="L30" s="373"/>
      <c r="M30" s="373"/>
      <c r="N30" s="373">
        <f>N27</f>
        <v>39900.780000000006</v>
      </c>
    </row>
    <row r="31" spans="1:15">
      <c r="B31" s="373"/>
      <c r="C31" s="373"/>
      <c r="D31" s="373"/>
      <c r="E31" s="373"/>
      <c r="F31" s="373"/>
      <c r="G31" s="373"/>
      <c r="H31" s="373"/>
      <c r="I31" s="373"/>
      <c r="J31" s="373" t="s">
        <v>154</v>
      </c>
      <c r="L31" s="373"/>
      <c r="M31" s="373"/>
      <c r="N31" s="372">
        <v>0</v>
      </c>
    </row>
    <row r="32" spans="1:15">
      <c r="B32" s="373"/>
      <c r="C32" s="373"/>
      <c r="D32" s="373"/>
      <c r="E32" s="373"/>
      <c r="F32" s="373"/>
      <c r="G32" s="373"/>
      <c r="H32" s="373"/>
      <c r="I32" s="373"/>
      <c r="J32" s="374" t="s">
        <v>10</v>
      </c>
      <c r="K32" s="309"/>
      <c r="L32" s="374"/>
      <c r="M32" s="374"/>
      <c r="N32" s="374">
        <f>N31-N30</f>
        <v>-39900.780000000006</v>
      </c>
    </row>
    <row r="34" spans="1:14" ht="14.25" customHeight="1">
      <c r="A34" s="404" t="s">
        <v>603</v>
      </c>
      <c r="B34" s="404"/>
      <c r="C34" s="404"/>
      <c r="D34" s="404"/>
      <c r="E34" s="404"/>
      <c r="F34" s="404"/>
      <c r="G34" s="404"/>
      <c r="H34" s="404"/>
      <c r="I34" s="404"/>
      <c r="J34" s="404"/>
      <c r="K34" s="404"/>
      <c r="L34" s="404"/>
      <c r="M34" s="404"/>
      <c r="N34" s="404"/>
    </row>
    <row r="35" spans="1:14">
      <c r="A35" s="404" t="s">
        <v>604</v>
      </c>
      <c r="B35" s="404"/>
      <c r="C35" s="404"/>
      <c r="D35" s="404"/>
      <c r="E35" s="404"/>
      <c r="F35" s="404"/>
      <c r="G35" s="404"/>
      <c r="H35" s="404"/>
      <c r="I35" s="404"/>
      <c r="J35" s="404"/>
      <c r="K35" s="404"/>
      <c r="L35" s="404"/>
      <c r="M35" s="404"/>
      <c r="N35" s="404"/>
    </row>
    <row r="36" spans="1:14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</row>
    <row r="37" spans="1:14">
      <c r="A37" s="207"/>
      <c r="B37" s="207"/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</row>
    <row r="38" spans="1:14">
      <c r="A38" s="269" t="s">
        <v>122</v>
      </c>
    </row>
    <row r="39" spans="1:14" ht="15">
      <c r="A39" s="257" t="s">
        <v>123</v>
      </c>
      <c r="B39" s="257" t="s">
        <v>111</v>
      </c>
      <c r="C39" s="257" t="s">
        <v>112</v>
      </c>
      <c r="D39" s="257" t="s">
        <v>113</v>
      </c>
      <c r="E39" s="257" t="s">
        <v>114</v>
      </c>
      <c r="F39" s="257" t="s">
        <v>83</v>
      </c>
      <c r="G39" s="257" t="s">
        <v>115</v>
      </c>
      <c r="H39" s="257" t="s">
        <v>116</v>
      </c>
      <c r="I39" s="257" t="s">
        <v>117</v>
      </c>
      <c r="J39" s="257" t="s">
        <v>118</v>
      </c>
      <c r="K39" s="257" t="s">
        <v>119</v>
      </c>
      <c r="L39" s="257" t="s">
        <v>120</v>
      </c>
      <c r="M39" s="257" t="s">
        <v>121</v>
      </c>
      <c r="N39" s="258" t="s">
        <v>57</v>
      </c>
    </row>
    <row r="40" spans="1:14">
      <c r="A40" s="260">
        <v>580</v>
      </c>
      <c r="B40" s="261">
        <f t="shared" ref="B40:N46" si="2">SUMIF($O$11:$O$26,$A40,B$11:B$26)</f>
        <v>1589.3799999999999</v>
      </c>
      <c r="C40" s="261">
        <f t="shared" si="2"/>
        <v>1554.5700000000002</v>
      </c>
      <c r="D40" s="261">
        <f t="shared" si="2"/>
        <v>1932.85</v>
      </c>
      <c r="E40" s="261">
        <f t="shared" si="2"/>
        <v>1585.64</v>
      </c>
      <c r="F40" s="261">
        <f t="shared" si="2"/>
        <v>1554.5700000000002</v>
      </c>
      <c r="G40" s="261">
        <f t="shared" si="2"/>
        <v>1562.3899999999999</v>
      </c>
      <c r="H40" s="261">
        <f t="shared" si="2"/>
        <v>1170.6199999999999</v>
      </c>
      <c r="I40" s="261">
        <f t="shared" si="2"/>
        <v>1165.52</v>
      </c>
      <c r="J40" s="261">
        <f t="shared" si="2"/>
        <v>1468.79</v>
      </c>
      <c r="K40" s="261">
        <f t="shared" si="2"/>
        <v>1154.1300000000001</v>
      </c>
      <c r="L40" s="261">
        <f t="shared" si="2"/>
        <v>1104.98</v>
      </c>
      <c r="M40" s="261">
        <f t="shared" si="2"/>
        <v>1477.35</v>
      </c>
      <c r="N40" s="264">
        <f t="shared" si="2"/>
        <v>17320.79</v>
      </c>
    </row>
    <row r="41" spans="1:14">
      <c r="A41" s="260">
        <v>583</v>
      </c>
      <c r="B41" s="264">
        <f t="shared" si="2"/>
        <v>146.63999999999999</v>
      </c>
      <c r="C41" s="264">
        <f t="shared" si="2"/>
        <v>150.29</v>
      </c>
      <c r="D41" s="264">
        <f t="shared" si="2"/>
        <v>186.95</v>
      </c>
      <c r="E41" s="264">
        <f t="shared" si="2"/>
        <v>153.51</v>
      </c>
      <c r="F41" s="264">
        <f t="shared" si="2"/>
        <v>147.55000000000001</v>
      </c>
      <c r="G41" s="264">
        <f t="shared" si="2"/>
        <v>183.3</v>
      </c>
      <c r="H41" s="264">
        <f t="shared" si="2"/>
        <v>153.27000000000001</v>
      </c>
      <c r="I41" s="264">
        <f t="shared" si="2"/>
        <v>150.6</v>
      </c>
      <c r="J41" s="264">
        <f t="shared" si="2"/>
        <v>188.25</v>
      </c>
      <c r="K41" s="264">
        <f t="shared" si="2"/>
        <v>150.6</v>
      </c>
      <c r="L41" s="264">
        <f t="shared" si="2"/>
        <v>154.83000000000001</v>
      </c>
      <c r="M41" s="264">
        <f t="shared" si="2"/>
        <v>188.25</v>
      </c>
      <c r="N41" s="264">
        <f t="shared" si="2"/>
        <v>1954.0399999999995</v>
      </c>
    </row>
    <row r="42" spans="1:14">
      <c r="A42" s="260">
        <v>588</v>
      </c>
      <c r="B42" s="264">
        <f t="shared" si="2"/>
        <v>298.61</v>
      </c>
      <c r="C42" s="264">
        <f t="shared" si="2"/>
        <v>286.88</v>
      </c>
      <c r="D42" s="264">
        <f t="shared" si="2"/>
        <v>359.68</v>
      </c>
      <c r="E42" s="264">
        <f t="shared" si="2"/>
        <v>299.44</v>
      </c>
      <c r="F42" s="264">
        <f t="shared" si="2"/>
        <v>288.89999999999998</v>
      </c>
      <c r="G42" s="264">
        <f t="shared" si="2"/>
        <v>368.63</v>
      </c>
      <c r="H42" s="264">
        <f t="shared" si="2"/>
        <v>304.5</v>
      </c>
      <c r="I42" s="264">
        <f t="shared" si="2"/>
        <v>296.82000000000005</v>
      </c>
      <c r="J42" s="264">
        <f t="shared" si="2"/>
        <v>378.16999999999996</v>
      </c>
      <c r="K42" s="264">
        <f t="shared" si="2"/>
        <v>296.89999999999998</v>
      </c>
      <c r="L42" s="264">
        <f t="shared" si="2"/>
        <v>302.89</v>
      </c>
      <c r="M42" s="264">
        <f t="shared" si="2"/>
        <v>372.16999999999996</v>
      </c>
      <c r="N42" s="264">
        <f t="shared" si="2"/>
        <v>3853.5899999999992</v>
      </c>
    </row>
    <row r="43" spans="1:14">
      <c r="A43" s="260">
        <v>901</v>
      </c>
      <c r="B43" s="264">
        <f t="shared" si="2"/>
        <v>217.2</v>
      </c>
      <c r="C43" s="264">
        <f t="shared" si="2"/>
        <v>217.2</v>
      </c>
      <c r="D43" s="264">
        <f t="shared" si="2"/>
        <v>271.5</v>
      </c>
      <c r="E43" s="264">
        <f t="shared" si="2"/>
        <v>217.2</v>
      </c>
      <c r="F43" s="264">
        <f t="shared" si="2"/>
        <v>217.2</v>
      </c>
      <c r="G43" s="264">
        <f t="shared" si="2"/>
        <v>271.5</v>
      </c>
      <c r="H43" s="264">
        <f t="shared" si="2"/>
        <v>224.04</v>
      </c>
      <c r="I43" s="264">
        <f t="shared" si="2"/>
        <v>226.32</v>
      </c>
      <c r="J43" s="264">
        <f t="shared" si="2"/>
        <v>282.89999999999998</v>
      </c>
      <c r="K43" s="264">
        <f t="shared" si="2"/>
        <v>226.32</v>
      </c>
      <c r="L43" s="264">
        <f t="shared" si="2"/>
        <v>226.32</v>
      </c>
      <c r="M43" s="264">
        <f t="shared" si="2"/>
        <v>282.89999999999998</v>
      </c>
      <c r="N43" s="264">
        <f t="shared" si="2"/>
        <v>2880.6000000000004</v>
      </c>
    </row>
    <row r="44" spans="1:14">
      <c r="A44" s="260">
        <v>903</v>
      </c>
      <c r="B44" s="264">
        <f t="shared" si="2"/>
        <v>127.96</v>
      </c>
      <c r="C44" s="264">
        <f t="shared" si="2"/>
        <v>127.56</v>
      </c>
      <c r="D44" s="264">
        <f t="shared" si="2"/>
        <v>159.44999999999999</v>
      </c>
      <c r="E44" s="264">
        <f t="shared" si="2"/>
        <v>130.35</v>
      </c>
      <c r="F44" s="264">
        <f t="shared" si="2"/>
        <v>127.96</v>
      </c>
      <c r="G44" s="264">
        <f t="shared" si="2"/>
        <v>160.63999999999999</v>
      </c>
      <c r="H44" s="264">
        <f t="shared" si="2"/>
        <v>130.15</v>
      </c>
      <c r="I44" s="264">
        <f t="shared" si="2"/>
        <v>131</v>
      </c>
      <c r="J44" s="264">
        <f t="shared" si="2"/>
        <v>163.75</v>
      </c>
      <c r="K44" s="264">
        <f t="shared" si="2"/>
        <v>131</v>
      </c>
      <c r="L44" s="264">
        <f t="shared" si="2"/>
        <v>131.82</v>
      </c>
      <c r="M44" s="264">
        <f t="shared" si="2"/>
        <v>166.62</v>
      </c>
      <c r="N44" s="264">
        <f t="shared" si="2"/>
        <v>1688.2599999999998</v>
      </c>
    </row>
    <row r="45" spans="1:14">
      <c r="A45" s="260">
        <v>920</v>
      </c>
      <c r="B45" s="264">
        <f t="shared" si="2"/>
        <v>713.75000000000011</v>
      </c>
      <c r="C45" s="264">
        <f t="shared" si="2"/>
        <v>707.19</v>
      </c>
      <c r="D45" s="264">
        <f t="shared" si="2"/>
        <v>880.50000000000011</v>
      </c>
      <c r="E45" s="264">
        <f t="shared" si="2"/>
        <v>705.43</v>
      </c>
      <c r="F45" s="264">
        <f t="shared" si="2"/>
        <v>706.2700000000001</v>
      </c>
      <c r="G45" s="264">
        <f t="shared" si="2"/>
        <v>886.68</v>
      </c>
      <c r="H45" s="264">
        <f t="shared" si="2"/>
        <v>719.26</v>
      </c>
      <c r="I45" s="264">
        <f t="shared" si="2"/>
        <v>723.4</v>
      </c>
      <c r="J45" s="264">
        <f t="shared" si="2"/>
        <v>904.88</v>
      </c>
      <c r="K45" s="264">
        <f t="shared" si="2"/>
        <v>723.4</v>
      </c>
      <c r="L45" s="264">
        <f t="shared" si="2"/>
        <v>731.3</v>
      </c>
      <c r="M45" s="264">
        <f t="shared" si="2"/>
        <v>921.09</v>
      </c>
      <c r="N45" s="264">
        <f t="shared" si="2"/>
        <v>9323.1500000000015</v>
      </c>
    </row>
    <row r="46" spans="1:14">
      <c r="A46" s="260">
        <v>925</v>
      </c>
      <c r="B46" s="264">
        <f t="shared" si="2"/>
        <v>218.72</v>
      </c>
      <c r="C46" s="264">
        <f t="shared" si="2"/>
        <v>218.72</v>
      </c>
      <c r="D46" s="264">
        <f t="shared" si="2"/>
        <v>273.39999999999998</v>
      </c>
      <c r="E46" s="264">
        <f t="shared" si="2"/>
        <v>218.72</v>
      </c>
      <c r="F46" s="264">
        <f t="shared" si="2"/>
        <v>218.72</v>
      </c>
      <c r="G46" s="264">
        <f t="shared" si="2"/>
        <v>273.39999999999998</v>
      </c>
      <c r="H46" s="264">
        <f t="shared" si="2"/>
        <v>223.15</v>
      </c>
      <c r="I46" s="264">
        <f t="shared" si="2"/>
        <v>224.64</v>
      </c>
      <c r="J46" s="264">
        <f t="shared" si="2"/>
        <v>280.8</v>
      </c>
      <c r="K46" s="264">
        <f t="shared" si="2"/>
        <v>224.64</v>
      </c>
      <c r="L46" s="264">
        <f t="shared" si="2"/>
        <v>224.64</v>
      </c>
      <c r="M46" s="264">
        <f t="shared" si="2"/>
        <v>280.8</v>
      </c>
      <c r="N46" s="264">
        <f t="shared" si="2"/>
        <v>2880.35</v>
      </c>
    </row>
    <row r="47" spans="1:14">
      <c r="A47" s="335" t="s">
        <v>110</v>
      </c>
      <c r="B47" s="273">
        <f>SUM(B40:B46)</f>
        <v>3312.2599999999998</v>
      </c>
      <c r="C47" s="273">
        <f t="shared" ref="C47:N47" si="3">SUM(C40:C46)</f>
        <v>3262.41</v>
      </c>
      <c r="D47" s="273">
        <f t="shared" si="3"/>
        <v>4064.3299999999995</v>
      </c>
      <c r="E47" s="273">
        <f t="shared" si="3"/>
        <v>3310.2899999999995</v>
      </c>
      <c r="F47" s="273">
        <f t="shared" si="3"/>
        <v>3261.1699999999996</v>
      </c>
      <c r="G47" s="273">
        <f t="shared" si="3"/>
        <v>3706.5399999999995</v>
      </c>
      <c r="H47" s="273">
        <f t="shared" si="3"/>
        <v>2924.9900000000002</v>
      </c>
      <c r="I47" s="273">
        <f t="shared" si="3"/>
        <v>2918.2999999999997</v>
      </c>
      <c r="J47" s="273">
        <f t="shared" si="3"/>
        <v>3667.5400000000004</v>
      </c>
      <c r="K47" s="273">
        <f t="shared" si="3"/>
        <v>2906.99</v>
      </c>
      <c r="L47" s="273">
        <f t="shared" si="3"/>
        <v>2876.7799999999993</v>
      </c>
      <c r="M47" s="273">
        <f t="shared" si="3"/>
        <v>3689.1800000000003</v>
      </c>
      <c r="N47" s="273">
        <f t="shared" si="3"/>
        <v>39900.780000000006</v>
      </c>
    </row>
    <row r="49" spans="1:14">
      <c r="A49" s="251" t="s">
        <v>152</v>
      </c>
      <c r="B49" s="262">
        <f t="shared" ref="B49:N49" si="4">B47-B27</f>
        <v>0</v>
      </c>
      <c r="C49" s="262">
        <f t="shared" si="4"/>
        <v>0</v>
      </c>
      <c r="D49" s="262">
        <f t="shared" si="4"/>
        <v>0</v>
      </c>
      <c r="E49" s="262">
        <f t="shared" si="4"/>
        <v>0</v>
      </c>
      <c r="F49" s="262">
        <f t="shared" si="4"/>
        <v>0</v>
      </c>
      <c r="G49" s="262">
        <f t="shared" si="4"/>
        <v>0</v>
      </c>
      <c r="H49" s="262">
        <f t="shared" si="4"/>
        <v>0</v>
      </c>
      <c r="I49" s="262">
        <f t="shared" si="4"/>
        <v>0</v>
      </c>
      <c r="J49" s="262">
        <f t="shared" si="4"/>
        <v>0</v>
      </c>
      <c r="K49" s="262">
        <f t="shared" si="4"/>
        <v>0</v>
      </c>
      <c r="L49" s="262">
        <f t="shared" si="4"/>
        <v>0</v>
      </c>
      <c r="M49" s="262">
        <f t="shared" si="4"/>
        <v>0</v>
      </c>
      <c r="N49" s="262">
        <f t="shared" si="4"/>
        <v>0</v>
      </c>
    </row>
  </sheetData>
  <mergeCells count="5">
    <mergeCell ref="A35:N35"/>
    <mergeCell ref="A34:N34"/>
    <mergeCell ref="A4:N4"/>
    <mergeCell ref="A5:N5"/>
    <mergeCell ref="A7:N7"/>
  </mergeCells>
  <printOptions horizontalCentered="1"/>
  <pageMargins left="0.7" right="0.7" top="0.75" bottom="0.75" header="0.3" footer="0.3"/>
  <pageSetup scale="94" orientation="landscape" r:id="rId1"/>
  <headerFooter>
    <oddFooter>&amp;RExhibit JW-2
Page &amp;P of &amp;N</oddFooter>
  </headerFooter>
  <rowBreaks count="1" manualBreakCount="1">
    <brk id="37" max="13" man="1"/>
  </rowBreaks>
  <ignoredErrors>
    <ignoredError sqref="N11:N26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view="pageBreakPreview" zoomScale="75" zoomScaleNormal="100" zoomScaleSheetLayoutView="75" workbookViewId="0">
      <selection activeCell="I4" sqref="I4"/>
    </sheetView>
  </sheetViews>
  <sheetFormatPr defaultRowHeight="14.25"/>
  <cols>
    <col min="1" max="1" width="11.5703125" style="251" customWidth="1"/>
    <col min="2" max="2" width="14.5703125" style="251" customWidth="1"/>
    <col min="3" max="3" width="12.42578125" style="251" customWidth="1"/>
    <col min="4" max="7" width="16.85546875" style="251" customWidth="1"/>
    <col min="8" max="8" width="16.85546875" style="252" customWidth="1"/>
    <col min="9" max="9" width="9.140625" style="251"/>
    <col min="10" max="10" width="11.28515625" style="251" bestFit="1" customWidth="1"/>
    <col min="11" max="11" width="9.140625" style="251"/>
    <col min="12" max="12" width="11.28515625" style="251" bestFit="1" customWidth="1"/>
    <col min="13" max="16384" width="9.140625" style="251"/>
  </cols>
  <sheetData>
    <row r="1" spans="1:15" s="20" customFormat="1" ht="15" customHeight="1">
      <c r="G1" s="36"/>
      <c r="H1" s="36" t="s">
        <v>605</v>
      </c>
    </row>
    <row r="2" spans="1:15" s="20" customFormat="1" ht="20.25" customHeight="1">
      <c r="G2" s="36"/>
      <c r="H2" s="36"/>
    </row>
    <row r="3" spans="1:15" s="20" customFormat="1" ht="12.75">
      <c r="G3" s="36"/>
      <c r="H3" s="36"/>
    </row>
    <row r="4" spans="1:15" s="20" customFormat="1" ht="12.75">
      <c r="A4" s="402" t="s">
        <v>0</v>
      </c>
      <c r="B4" s="402"/>
      <c r="C4" s="402"/>
      <c r="D4" s="402"/>
      <c r="E4" s="402"/>
      <c r="F4" s="402"/>
      <c r="G4" s="402"/>
      <c r="H4" s="402"/>
      <c r="I4" s="322"/>
      <c r="J4" s="322"/>
      <c r="K4" s="322"/>
      <c r="L4" s="322"/>
      <c r="M4" s="322"/>
      <c r="N4" s="322"/>
      <c r="O4" s="322"/>
    </row>
    <row r="5" spans="1:15" s="20" customFormat="1" ht="12.75">
      <c r="A5" s="402" t="s">
        <v>2</v>
      </c>
      <c r="B5" s="402"/>
      <c r="C5" s="402"/>
      <c r="D5" s="402"/>
      <c r="E5" s="402"/>
      <c r="F5" s="402"/>
      <c r="G5" s="402"/>
      <c r="H5" s="402"/>
      <c r="I5" s="322"/>
      <c r="J5" s="322"/>
      <c r="K5" s="322"/>
      <c r="L5" s="322"/>
    </row>
    <row r="6" spans="1:15" s="20" customFormat="1" ht="12.75"/>
    <row r="7" spans="1:15" s="37" customFormat="1" ht="15" customHeight="1">
      <c r="A7" s="403" t="s">
        <v>145</v>
      </c>
      <c r="B7" s="403"/>
      <c r="C7" s="403"/>
      <c r="D7" s="403"/>
      <c r="E7" s="403"/>
      <c r="F7" s="403"/>
      <c r="G7" s="403"/>
      <c r="H7" s="403"/>
      <c r="I7" s="323"/>
      <c r="J7" s="323"/>
      <c r="K7" s="323"/>
      <c r="L7" s="323"/>
    </row>
    <row r="8" spans="1:15" s="20" customFormat="1" ht="12.75"/>
    <row r="9" spans="1:15" ht="15">
      <c r="A9" s="253" t="s">
        <v>125</v>
      </c>
      <c r="B9" s="253" t="s">
        <v>126</v>
      </c>
      <c r="C9" s="253" t="s">
        <v>127</v>
      </c>
      <c r="D9" s="253" t="s">
        <v>75</v>
      </c>
      <c r="E9" s="253" t="s">
        <v>129</v>
      </c>
      <c r="F9" s="253" t="s">
        <v>564</v>
      </c>
      <c r="G9" s="253" t="s">
        <v>565</v>
      </c>
      <c r="H9" s="253" t="s">
        <v>566</v>
      </c>
    </row>
    <row r="10" spans="1:15" ht="15">
      <c r="A10" s="254"/>
      <c r="B10" s="255"/>
      <c r="C10" s="255"/>
      <c r="D10" s="256"/>
      <c r="E10" s="256"/>
      <c r="F10" s="256"/>
      <c r="G10" s="256" t="s">
        <v>567</v>
      </c>
      <c r="H10" s="256" t="s">
        <v>568</v>
      </c>
      <c r="I10" s="256"/>
    </row>
    <row r="11" spans="1:15" ht="31.5" customHeight="1">
      <c r="A11" s="257" t="s">
        <v>606</v>
      </c>
      <c r="B11" s="259" t="s">
        <v>607</v>
      </c>
      <c r="C11" s="258" t="s">
        <v>553</v>
      </c>
      <c r="D11" s="259" t="s">
        <v>554</v>
      </c>
      <c r="E11" s="259" t="s">
        <v>555</v>
      </c>
      <c r="F11" s="259" t="s">
        <v>556</v>
      </c>
      <c r="G11" s="259" t="s">
        <v>569</v>
      </c>
      <c r="H11" s="259" t="s">
        <v>557</v>
      </c>
      <c r="I11" s="256"/>
    </row>
    <row r="12" spans="1:15">
      <c r="A12" s="260">
        <v>1</v>
      </c>
      <c r="B12" s="261">
        <v>248.04000000000002</v>
      </c>
      <c r="C12" s="260">
        <v>580</v>
      </c>
      <c r="D12" s="261">
        <v>27.13</v>
      </c>
      <c r="E12" s="262">
        <f>+D12*2080</f>
        <v>56430.400000000001</v>
      </c>
      <c r="F12" s="261">
        <f>IF(E12&gt;50000,50000,E12)</f>
        <v>50000</v>
      </c>
      <c r="G12" s="261">
        <f>+E12*2</f>
        <v>112860.8</v>
      </c>
      <c r="H12" s="263">
        <f>((G12-F12)/G12)*B12</f>
        <v>138.15242167342427</v>
      </c>
      <c r="I12" s="264"/>
      <c r="J12" s="262"/>
      <c r="L12" s="262"/>
    </row>
    <row r="13" spans="1:15">
      <c r="A13" s="260">
        <v>2</v>
      </c>
      <c r="B13" s="265">
        <v>419.52</v>
      </c>
      <c r="C13" s="260">
        <v>580</v>
      </c>
      <c r="D13" s="264">
        <v>45.587000000000003</v>
      </c>
      <c r="E13" s="264">
        <f t="shared" ref="E13:E46" si="0">+D13*2080</f>
        <v>94820.96</v>
      </c>
      <c r="F13" s="264">
        <f t="shared" ref="F13:F46" si="1">IF(E13&gt;50000,50000,E13)</f>
        <v>50000</v>
      </c>
      <c r="G13" s="264">
        <f t="shared" ref="G13:G46" si="2">+E13*2</f>
        <v>189641.92</v>
      </c>
      <c r="H13" s="266">
        <f t="shared" ref="H13:H46" si="3">((G13-F13)/G13)*B13</f>
        <v>308.9115438105668</v>
      </c>
    </row>
    <row r="14" spans="1:15">
      <c r="A14" s="260">
        <v>3</v>
      </c>
      <c r="B14" s="265">
        <v>423.96000000000004</v>
      </c>
      <c r="C14" s="260">
        <v>580</v>
      </c>
      <c r="D14" s="264">
        <v>48.075000000000003</v>
      </c>
      <c r="E14" s="264">
        <f t="shared" si="0"/>
        <v>99996</v>
      </c>
      <c r="F14" s="264">
        <f t="shared" si="1"/>
        <v>50000</v>
      </c>
      <c r="G14" s="264">
        <f t="shared" si="2"/>
        <v>199992</v>
      </c>
      <c r="H14" s="266">
        <f t="shared" si="3"/>
        <v>317.96576023040927</v>
      </c>
    </row>
    <row r="15" spans="1:15">
      <c r="A15" s="260">
        <v>4</v>
      </c>
      <c r="B15" s="265">
        <v>189.48000000000005</v>
      </c>
      <c r="C15" s="260">
        <v>903</v>
      </c>
      <c r="D15" s="264">
        <v>20.47</v>
      </c>
      <c r="E15" s="264">
        <f t="shared" si="0"/>
        <v>42577.599999999999</v>
      </c>
      <c r="F15" s="264">
        <f t="shared" si="1"/>
        <v>42577.599999999999</v>
      </c>
      <c r="G15" s="264">
        <f t="shared" si="2"/>
        <v>85155.199999999997</v>
      </c>
      <c r="H15" s="266">
        <f t="shared" si="3"/>
        <v>94.740000000000023</v>
      </c>
    </row>
    <row r="16" spans="1:15">
      <c r="A16" s="260">
        <v>5</v>
      </c>
      <c r="B16" s="265">
        <v>320.28000000000003</v>
      </c>
      <c r="C16" s="260">
        <v>901</v>
      </c>
      <c r="D16" s="264">
        <v>35.36</v>
      </c>
      <c r="E16" s="264">
        <f t="shared" si="0"/>
        <v>73548.800000000003</v>
      </c>
      <c r="F16" s="264">
        <f t="shared" si="1"/>
        <v>50000</v>
      </c>
      <c r="G16" s="264">
        <f t="shared" si="2"/>
        <v>147097.60000000001</v>
      </c>
      <c r="H16" s="266">
        <f t="shared" si="3"/>
        <v>211.4135059171598</v>
      </c>
    </row>
    <row r="17" spans="1:8">
      <c r="A17" s="260">
        <v>6</v>
      </c>
      <c r="B17" s="265">
        <v>333.84</v>
      </c>
      <c r="C17" s="260">
        <v>580</v>
      </c>
      <c r="D17" s="264">
        <v>36.048999999999999</v>
      </c>
      <c r="E17" s="264">
        <f t="shared" si="0"/>
        <v>74981.919999999998</v>
      </c>
      <c r="F17" s="264">
        <f t="shared" si="1"/>
        <v>50000</v>
      </c>
      <c r="G17" s="264">
        <f t="shared" si="2"/>
        <v>149963.84</v>
      </c>
      <c r="H17" s="266">
        <f t="shared" si="3"/>
        <v>222.53316763294401</v>
      </c>
    </row>
    <row r="18" spans="1:8">
      <c r="A18" s="260">
        <v>7</v>
      </c>
      <c r="B18" s="265">
        <v>284.16000000000003</v>
      </c>
      <c r="C18" s="260">
        <v>920</v>
      </c>
      <c r="D18" s="264">
        <v>31.027000000000001</v>
      </c>
      <c r="E18" s="264">
        <f t="shared" si="0"/>
        <v>64536.160000000003</v>
      </c>
      <c r="F18" s="264">
        <f t="shared" si="1"/>
        <v>50000</v>
      </c>
      <c r="G18" s="264">
        <f t="shared" si="2"/>
        <v>129072.32000000001</v>
      </c>
      <c r="H18" s="266">
        <f t="shared" si="3"/>
        <v>174.0821769624967</v>
      </c>
    </row>
    <row r="19" spans="1:8">
      <c r="A19" s="260">
        <v>8</v>
      </c>
      <c r="B19" s="265">
        <v>216.48</v>
      </c>
      <c r="C19" s="260">
        <v>583</v>
      </c>
      <c r="D19" s="264">
        <v>23.53</v>
      </c>
      <c r="E19" s="264">
        <f t="shared" si="0"/>
        <v>48942.400000000001</v>
      </c>
      <c r="F19" s="264">
        <f t="shared" si="1"/>
        <v>48942.400000000001</v>
      </c>
      <c r="G19" s="264">
        <f t="shared" si="2"/>
        <v>97884.800000000003</v>
      </c>
      <c r="H19" s="266">
        <f t="shared" si="3"/>
        <v>108.24</v>
      </c>
    </row>
    <row r="20" spans="1:8">
      <c r="A20" s="260">
        <v>9</v>
      </c>
      <c r="B20" s="265">
        <v>193.91999999999996</v>
      </c>
      <c r="C20" s="260">
        <v>588</v>
      </c>
      <c r="D20" s="264">
        <v>20.89</v>
      </c>
      <c r="E20" s="264">
        <f t="shared" si="0"/>
        <v>43451.200000000004</v>
      </c>
      <c r="F20" s="264">
        <f t="shared" si="1"/>
        <v>43451.200000000004</v>
      </c>
      <c r="G20" s="264">
        <f t="shared" si="2"/>
        <v>86902.400000000009</v>
      </c>
      <c r="H20" s="266">
        <f t="shared" si="3"/>
        <v>96.95999999999998</v>
      </c>
    </row>
    <row r="21" spans="1:8">
      <c r="A21" s="260">
        <v>10</v>
      </c>
      <c r="B21" s="265">
        <v>293.15999999999997</v>
      </c>
      <c r="C21" s="260">
        <v>920</v>
      </c>
      <c r="D21" s="264">
        <v>31.66</v>
      </c>
      <c r="E21" s="264">
        <f t="shared" si="0"/>
        <v>65852.800000000003</v>
      </c>
      <c r="F21" s="264">
        <f t="shared" si="1"/>
        <v>50000</v>
      </c>
      <c r="G21" s="264">
        <f t="shared" si="2"/>
        <v>131705.60000000001</v>
      </c>
      <c r="H21" s="266">
        <f t="shared" si="3"/>
        <v>181.86632683803876</v>
      </c>
    </row>
    <row r="22" spans="1:8">
      <c r="A22" s="260">
        <v>11</v>
      </c>
      <c r="B22" s="265">
        <v>206.29999999999995</v>
      </c>
      <c r="C22" s="260">
        <v>920</v>
      </c>
      <c r="D22" s="264">
        <v>24.01</v>
      </c>
      <c r="E22" s="264">
        <f t="shared" si="0"/>
        <v>49940.800000000003</v>
      </c>
      <c r="F22" s="264">
        <f t="shared" si="1"/>
        <v>49940.800000000003</v>
      </c>
      <c r="G22" s="264">
        <f t="shared" si="2"/>
        <v>99881.600000000006</v>
      </c>
      <c r="H22" s="266">
        <f t="shared" si="3"/>
        <v>103.14999999999998</v>
      </c>
    </row>
    <row r="23" spans="1:8">
      <c r="A23" s="260">
        <v>12</v>
      </c>
      <c r="B23" s="265">
        <v>225.48000000000005</v>
      </c>
      <c r="C23" s="260">
        <v>588</v>
      </c>
      <c r="D23" s="264">
        <v>24.64</v>
      </c>
      <c r="E23" s="264">
        <f t="shared" si="0"/>
        <v>51251.200000000004</v>
      </c>
      <c r="F23" s="264">
        <f t="shared" si="1"/>
        <v>50000</v>
      </c>
      <c r="G23" s="264">
        <f t="shared" si="2"/>
        <v>102502.40000000001</v>
      </c>
      <c r="H23" s="266">
        <f t="shared" si="3"/>
        <v>115.49233141858144</v>
      </c>
    </row>
    <row r="24" spans="1:8">
      <c r="A24" s="260">
        <v>13</v>
      </c>
      <c r="B24" s="265">
        <v>102.49</v>
      </c>
      <c r="C24" s="260">
        <v>580</v>
      </c>
      <c r="D24" s="264">
        <v>26.74</v>
      </c>
      <c r="E24" s="264">
        <f t="shared" si="0"/>
        <v>55619.199999999997</v>
      </c>
      <c r="F24" s="264">
        <f t="shared" si="1"/>
        <v>50000</v>
      </c>
      <c r="G24" s="264">
        <f t="shared" si="2"/>
        <v>111238.39999999999</v>
      </c>
      <c r="H24" s="266">
        <f t="shared" si="3"/>
        <v>56.422275185547427</v>
      </c>
    </row>
    <row r="25" spans="1:8">
      <c r="A25" s="260">
        <v>14</v>
      </c>
      <c r="B25" s="265">
        <v>153.36000000000001</v>
      </c>
      <c r="C25" s="260">
        <v>910</v>
      </c>
      <c r="D25" s="264">
        <v>16.48</v>
      </c>
      <c r="E25" s="264">
        <f t="shared" si="0"/>
        <v>34278.400000000001</v>
      </c>
      <c r="F25" s="264">
        <f t="shared" si="1"/>
        <v>34278.400000000001</v>
      </c>
      <c r="G25" s="264">
        <f t="shared" si="2"/>
        <v>68556.800000000003</v>
      </c>
      <c r="H25" s="266">
        <f t="shared" si="3"/>
        <v>76.680000000000007</v>
      </c>
    </row>
    <row r="26" spans="1:8">
      <c r="A26" s="260">
        <v>15</v>
      </c>
      <c r="B26" s="265">
        <v>243.60000000000002</v>
      </c>
      <c r="C26" s="260">
        <v>920</v>
      </c>
      <c r="D26" s="264">
        <v>26.33</v>
      </c>
      <c r="E26" s="264">
        <f t="shared" si="0"/>
        <v>54766.399999999994</v>
      </c>
      <c r="F26" s="264">
        <f t="shared" si="1"/>
        <v>50000</v>
      </c>
      <c r="G26" s="264">
        <f t="shared" si="2"/>
        <v>109532.79999999999</v>
      </c>
      <c r="H26" s="266">
        <f t="shared" si="3"/>
        <v>132.40043238189841</v>
      </c>
    </row>
    <row r="27" spans="1:8">
      <c r="A27" s="260">
        <v>16</v>
      </c>
      <c r="B27" s="265">
        <v>324.72000000000003</v>
      </c>
      <c r="C27" s="260">
        <v>925</v>
      </c>
      <c r="D27" s="264">
        <v>35.1</v>
      </c>
      <c r="E27" s="264">
        <f t="shared" si="0"/>
        <v>73008</v>
      </c>
      <c r="F27" s="264">
        <f t="shared" si="1"/>
        <v>50000</v>
      </c>
      <c r="G27" s="264">
        <f t="shared" si="2"/>
        <v>146016</v>
      </c>
      <c r="H27" s="266">
        <f t="shared" si="3"/>
        <v>213.52670611439845</v>
      </c>
    </row>
    <row r="28" spans="1:8">
      <c r="A28" s="260">
        <v>17</v>
      </c>
      <c r="B28" s="265">
        <v>184.92000000000002</v>
      </c>
      <c r="C28" s="260">
        <v>580</v>
      </c>
      <c r="D28" s="264">
        <v>20.07</v>
      </c>
      <c r="E28" s="264">
        <f t="shared" si="0"/>
        <v>41745.599999999999</v>
      </c>
      <c r="F28" s="264">
        <f t="shared" si="1"/>
        <v>41745.599999999999</v>
      </c>
      <c r="G28" s="264">
        <f t="shared" si="2"/>
        <v>83491.199999999997</v>
      </c>
      <c r="H28" s="266">
        <f t="shared" si="3"/>
        <v>92.460000000000008</v>
      </c>
    </row>
    <row r="29" spans="1:8">
      <c r="A29" s="260">
        <v>18</v>
      </c>
      <c r="B29" s="265">
        <v>157.91999999999996</v>
      </c>
      <c r="C29" s="260">
        <v>903</v>
      </c>
      <c r="D29" s="264">
        <v>17.100000000000001</v>
      </c>
      <c r="E29" s="264">
        <f t="shared" si="0"/>
        <v>35568</v>
      </c>
      <c r="F29" s="264">
        <f t="shared" si="1"/>
        <v>35568</v>
      </c>
      <c r="G29" s="264">
        <f t="shared" si="2"/>
        <v>71136</v>
      </c>
      <c r="H29" s="266">
        <f t="shared" si="3"/>
        <v>78.95999999999998</v>
      </c>
    </row>
    <row r="30" spans="1:8">
      <c r="A30" s="260">
        <v>19</v>
      </c>
      <c r="B30" s="265">
        <v>134.19</v>
      </c>
      <c r="C30" s="260">
        <v>920</v>
      </c>
      <c r="D30" s="264">
        <v>24.72</v>
      </c>
      <c r="E30" s="264">
        <f t="shared" si="0"/>
        <v>51417.599999999999</v>
      </c>
      <c r="F30" s="264">
        <f t="shared" si="1"/>
        <v>50000</v>
      </c>
      <c r="G30" s="264">
        <f t="shared" si="2"/>
        <v>102835.2</v>
      </c>
      <c r="H30" s="266">
        <f t="shared" si="3"/>
        <v>68.944831030619866</v>
      </c>
    </row>
    <row r="31" spans="1:8">
      <c r="A31" s="260">
        <v>20</v>
      </c>
      <c r="B31" s="265">
        <v>175.92000000000002</v>
      </c>
      <c r="C31" s="260">
        <v>580</v>
      </c>
      <c r="D31" s="264">
        <v>30.04</v>
      </c>
      <c r="E31" s="264">
        <f t="shared" si="0"/>
        <v>62483.199999999997</v>
      </c>
      <c r="F31" s="264">
        <f t="shared" si="1"/>
        <v>50000</v>
      </c>
      <c r="G31" s="264">
        <f t="shared" si="2"/>
        <v>124966.39999999999</v>
      </c>
      <c r="H31" s="266">
        <f t="shared" si="3"/>
        <v>105.53307999590291</v>
      </c>
    </row>
    <row r="32" spans="1:8">
      <c r="A32" s="260">
        <v>21</v>
      </c>
      <c r="B32" s="265">
        <v>175.92000000000002</v>
      </c>
      <c r="C32" s="260">
        <v>903</v>
      </c>
      <c r="D32" s="264">
        <v>18.899999999999999</v>
      </c>
      <c r="E32" s="264">
        <f t="shared" si="0"/>
        <v>39312</v>
      </c>
      <c r="F32" s="264">
        <f t="shared" si="1"/>
        <v>39312</v>
      </c>
      <c r="G32" s="264">
        <f t="shared" si="2"/>
        <v>78624</v>
      </c>
      <c r="H32" s="266">
        <f t="shared" si="3"/>
        <v>87.960000000000008</v>
      </c>
    </row>
    <row r="33" spans="1:8">
      <c r="A33" s="260">
        <v>22</v>
      </c>
      <c r="B33" s="265">
        <v>207.48</v>
      </c>
      <c r="C33" s="260">
        <v>920</v>
      </c>
      <c r="D33" s="264">
        <v>22.59</v>
      </c>
      <c r="E33" s="264">
        <f t="shared" si="0"/>
        <v>46987.199999999997</v>
      </c>
      <c r="F33" s="264">
        <f t="shared" si="1"/>
        <v>46987.199999999997</v>
      </c>
      <c r="G33" s="264">
        <f t="shared" si="2"/>
        <v>93974.399999999994</v>
      </c>
      <c r="H33" s="266">
        <f t="shared" si="3"/>
        <v>103.74</v>
      </c>
    </row>
    <row r="34" spans="1:8">
      <c r="A34" s="260">
        <v>23</v>
      </c>
      <c r="B34" s="265">
        <v>221.03999999999996</v>
      </c>
      <c r="C34" s="260">
        <v>588</v>
      </c>
      <c r="D34" s="264">
        <v>23.92</v>
      </c>
      <c r="E34" s="264">
        <f t="shared" si="0"/>
        <v>49753.600000000006</v>
      </c>
      <c r="F34" s="264">
        <f t="shared" si="1"/>
        <v>49753.600000000006</v>
      </c>
      <c r="G34" s="264">
        <f t="shared" si="2"/>
        <v>99507.200000000012</v>
      </c>
      <c r="H34" s="266">
        <f t="shared" si="3"/>
        <v>110.51999999999998</v>
      </c>
    </row>
    <row r="35" spans="1:8">
      <c r="A35" s="260">
        <v>24</v>
      </c>
      <c r="B35" s="265">
        <v>166.92000000000002</v>
      </c>
      <c r="C35" s="260">
        <v>903</v>
      </c>
      <c r="D35" s="264">
        <v>18</v>
      </c>
      <c r="E35" s="264">
        <f t="shared" si="0"/>
        <v>37440</v>
      </c>
      <c r="F35" s="264">
        <f t="shared" si="1"/>
        <v>37440</v>
      </c>
      <c r="G35" s="264">
        <f t="shared" si="2"/>
        <v>74880</v>
      </c>
      <c r="H35" s="266">
        <f t="shared" si="3"/>
        <v>83.460000000000008</v>
      </c>
    </row>
    <row r="36" spans="1:8">
      <c r="A36" s="260">
        <v>25</v>
      </c>
      <c r="B36" s="265">
        <v>157.91999999999996</v>
      </c>
      <c r="C36" s="260">
        <v>910</v>
      </c>
      <c r="D36" s="264">
        <v>16.86</v>
      </c>
      <c r="E36" s="264">
        <f t="shared" si="0"/>
        <v>35068.799999999996</v>
      </c>
      <c r="F36" s="264">
        <f t="shared" si="1"/>
        <v>35068.799999999996</v>
      </c>
      <c r="G36" s="264">
        <f t="shared" si="2"/>
        <v>70137.599999999991</v>
      </c>
      <c r="H36" s="266">
        <f t="shared" si="3"/>
        <v>78.95999999999998</v>
      </c>
    </row>
    <row r="37" spans="1:8">
      <c r="A37" s="260">
        <v>26</v>
      </c>
      <c r="B37" s="265">
        <v>266.16000000000003</v>
      </c>
      <c r="C37" s="260">
        <v>920</v>
      </c>
      <c r="D37" s="264">
        <v>39.692999999999998</v>
      </c>
      <c r="E37" s="264">
        <f t="shared" si="0"/>
        <v>82561.440000000002</v>
      </c>
      <c r="F37" s="264">
        <f t="shared" si="1"/>
        <v>50000</v>
      </c>
      <c r="G37" s="264">
        <f t="shared" si="2"/>
        <v>165122.88</v>
      </c>
      <c r="H37" s="266">
        <f t="shared" si="3"/>
        <v>185.5654754858927</v>
      </c>
    </row>
    <row r="38" spans="1:8">
      <c r="A38" s="260">
        <v>27</v>
      </c>
      <c r="B38" s="265">
        <v>166.92000000000002</v>
      </c>
      <c r="C38" s="260">
        <v>903</v>
      </c>
      <c r="D38" s="264">
        <v>18.13</v>
      </c>
      <c r="E38" s="264">
        <f t="shared" si="0"/>
        <v>37710.400000000001</v>
      </c>
      <c r="F38" s="264">
        <f t="shared" si="1"/>
        <v>37710.400000000001</v>
      </c>
      <c r="G38" s="264">
        <f t="shared" si="2"/>
        <v>75420.800000000003</v>
      </c>
      <c r="H38" s="266">
        <f t="shared" si="3"/>
        <v>83.460000000000008</v>
      </c>
    </row>
    <row r="39" spans="1:8">
      <c r="A39" s="260">
        <v>28</v>
      </c>
      <c r="B39" s="265">
        <v>563.88</v>
      </c>
      <c r="C39" s="260">
        <v>580</v>
      </c>
      <c r="D39" s="264">
        <v>62.48</v>
      </c>
      <c r="E39" s="264">
        <f t="shared" si="0"/>
        <v>129958.39999999999</v>
      </c>
      <c r="F39" s="264">
        <f t="shared" si="1"/>
        <v>50000</v>
      </c>
      <c r="G39" s="264">
        <f t="shared" si="2"/>
        <v>259916.79999999999</v>
      </c>
      <c r="H39" s="266">
        <f t="shared" si="3"/>
        <v>455.40682704619326</v>
      </c>
    </row>
    <row r="40" spans="1:8">
      <c r="A40" s="260">
        <v>29</v>
      </c>
      <c r="B40" s="265">
        <v>162.36000000000001</v>
      </c>
      <c r="C40" s="260">
        <v>903</v>
      </c>
      <c r="D40" s="264">
        <v>20.440000000000001</v>
      </c>
      <c r="E40" s="264">
        <f t="shared" si="0"/>
        <v>42515.200000000004</v>
      </c>
      <c r="F40" s="264">
        <f t="shared" si="1"/>
        <v>42515.200000000004</v>
      </c>
      <c r="G40" s="264">
        <f t="shared" si="2"/>
        <v>85030.400000000009</v>
      </c>
      <c r="H40" s="266">
        <f t="shared" si="3"/>
        <v>81.180000000000007</v>
      </c>
    </row>
    <row r="41" spans="1:8">
      <c r="A41" s="260">
        <v>30</v>
      </c>
      <c r="B41" s="265">
        <v>148.79999999999998</v>
      </c>
      <c r="C41" s="260">
        <v>903</v>
      </c>
      <c r="D41" s="264">
        <v>15.72</v>
      </c>
      <c r="E41" s="264">
        <f t="shared" si="0"/>
        <v>32697.600000000002</v>
      </c>
      <c r="F41" s="264">
        <f t="shared" si="1"/>
        <v>32697.600000000002</v>
      </c>
      <c r="G41" s="264">
        <f t="shared" si="2"/>
        <v>65395.200000000004</v>
      </c>
      <c r="H41" s="266">
        <f t="shared" si="3"/>
        <v>74.399999999999991</v>
      </c>
    </row>
    <row r="42" spans="1:8">
      <c r="A42" s="260">
        <v>31</v>
      </c>
      <c r="B42" s="265">
        <v>153.36000000000001</v>
      </c>
      <c r="C42" s="260">
        <v>903</v>
      </c>
      <c r="D42" s="264">
        <v>17.05</v>
      </c>
      <c r="E42" s="264">
        <f t="shared" si="0"/>
        <v>35464</v>
      </c>
      <c r="F42" s="264">
        <f t="shared" si="1"/>
        <v>35464</v>
      </c>
      <c r="G42" s="264">
        <f t="shared" si="2"/>
        <v>70928</v>
      </c>
      <c r="H42" s="266">
        <f t="shared" si="3"/>
        <v>76.680000000000007</v>
      </c>
    </row>
    <row r="43" spans="1:8">
      <c r="A43" s="260">
        <v>32</v>
      </c>
      <c r="B43" s="265">
        <v>676.56000000000006</v>
      </c>
      <c r="C43" s="260">
        <v>920</v>
      </c>
      <c r="D43" s="264">
        <v>75.721000000000004</v>
      </c>
      <c r="E43" s="264">
        <f t="shared" si="0"/>
        <v>157499.68</v>
      </c>
      <c r="F43" s="264">
        <f t="shared" si="1"/>
        <v>50000</v>
      </c>
      <c r="G43" s="264">
        <f t="shared" si="2"/>
        <v>314999.36</v>
      </c>
      <c r="H43" s="266">
        <f t="shared" si="3"/>
        <v>569.16930561890672</v>
      </c>
    </row>
    <row r="44" spans="1:8">
      <c r="A44" s="260">
        <v>33</v>
      </c>
      <c r="B44" s="265">
        <v>239.04000000000002</v>
      </c>
      <c r="C44" s="260">
        <v>580</v>
      </c>
      <c r="D44" s="264">
        <v>27.518000000000001</v>
      </c>
      <c r="E44" s="264">
        <f t="shared" si="0"/>
        <v>57237.440000000002</v>
      </c>
      <c r="F44" s="264">
        <f t="shared" si="1"/>
        <v>50000</v>
      </c>
      <c r="G44" s="264">
        <f t="shared" si="2"/>
        <v>114474.88</v>
      </c>
      <c r="H44" s="266">
        <f t="shared" si="3"/>
        <v>134.63281477298776</v>
      </c>
    </row>
    <row r="45" spans="1:8">
      <c r="A45" s="260">
        <v>34</v>
      </c>
      <c r="B45" s="265">
        <v>180.48000000000002</v>
      </c>
      <c r="C45" s="260">
        <v>588</v>
      </c>
      <c r="D45" s="264">
        <v>20.87</v>
      </c>
      <c r="E45" s="264">
        <f t="shared" si="0"/>
        <v>43409.599999999999</v>
      </c>
      <c r="F45" s="264">
        <f t="shared" si="1"/>
        <v>43409.599999999999</v>
      </c>
      <c r="G45" s="264">
        <f t="shared" si="2"/>
        <v>86819.199999999997</v>
      </c>
      <c r="H45" s="266">
        <f t="shared" si="3"/>
        <v>90.240000000000009</v>
      </c>
    </row>
    <row r="46" spans="1:8">
      <c r="A46" s="260">
        <v>35</v>
      </c>
      <c r="B46" s="267">
        <v>100.38</v>
      </c>
      <c r="C46" s="260">
        <v>920</v>
      </c>
      <c r="D46" s="264">
        <v>42.786000000000001</v>
      </c>
      <c r="E46" s="264">
        <f t="shared" si="0"/>
        <v>88994.880000000005</v>
      </c>
      <c r="F46" s="264">
        <f t="shared" si="1"/>
        <v>50000</v>
      </c>
      <c r="G46" s="264">
        <f t="shared" si="2"/>
        <v>177989.76000000001</v>
      </c>
      <c r="H46" s="266">
        <f t="shared" si="3"/>
        <v>72.181748594975346</v>
      </c>
    </row>
    <row r="47" spans="1:8" ht="15">
      <c r="A47" s="260" t="s">
        <v>57</v>
      </c>
      <c r="B47" s="261">
        <f t="shared" ref="B47" si="4">SUM(B12:B46)</f>
        <v>8418.9599999999973</v>
      </c>
      <c r="C47" s="335"/>
      <c r="D47" s="309"/>
      <c r="E47" s="309"/>
      <c r="F47" s="309"/>
      <c r="G47" s="309"/>
      <c r="H47" s="268">
        <f>SUM(H12:H46)</f>
        <v>5185.9907307109434</v>
      </c>
    </row>
    <row r="49" spans="1:8">
      <c r="G49" s="270" t="s">
        <v>559</v>
      </c>
      <c r="H49" s="271">
        <f>B47-H47</f>
        <v>3232.969269289054</v>
      </c>
    </row>
    <row r="50" spans="1:8">
      <c r="G50" s="270"/>
      <c r="H50" s="271"/>
    </row>
    <row r="51" spans="1:8">
      <c r="G51" s="270"/>
    </row>
    <row r="52" spans="1:8">
      <c r="G52" s="270" t="s">
        <v>128</v>
      </c>
      <c r="H52" s="271">
        <f>B47</f>
        <v>8418.9599999999973</v>
      </c>
    </row>
    <row r="53" spans="1:8">
      <c r="G53" s="270"/>
    </row>
    <row r="54" spans="1:8">
      <c r="G54" s="270" t="s">
        <v>558</v>
      </c>
      <c r="H54" s="271">
        <f>H49</f>
        <v>3232.969269289054</v>
      </c>
    </row>
    <row r="55" spans="1:8">
      <c r="G55" s="270"/>
    </row>
    <row r="56" spans="1:8" ht="15">
      <c r="G56" s="272" t="s">
        <v>10</v>
      </c>
      <c r="H56" s="271">
        <f>H54-H52</f>
        <v>-5185.9907307109434</v>
      </c>
    </row>
    <row r="58" spans="1:8" s="20" customFormat="1" ht="30" customHeight="1">
      <c r="A58" s="406" t="s">
        <v>608</v>
      </c>
      <c r="B58" s="406"/>
      <c r="C58" s="406"/>
      <c r="D58" s="406"/>
      <c r="E58" s="406"/>
      <c r="F58" s="406"/>
      <c r="G58" s="406"/>
      <c r="H58" s="406"/>
    </row>
    <row r="59" spans="1:8">
      <c r="G59" s="252"/>
      <c r="H59" s="251"/>
    </row>
    <row r="60" spans="1:8">
      <c r="G60" s="252"/>
      <c r="H60" s="251"/>
    </row>
    <row r="61" spans="1:8">
      <c r="G61" s="252"/>
      <c r="H61" s="251"/>
    </row>
    <row r="62" spans="1:8">
      <c r="A62" s="269" t="s">
        <v>122</v>
      </c>
    </row>
    <row r="63" spans="1:8" ht="15">
      <c r="A63" s="257" t="s">
        <v>123</v>
      </c>
      <c r="B63" s="258" t="s">
        <v>57</v>
      </c>
      <c r="C63" s="258" t="s">
        <v>10</v>
      </c>
    </row>
    <row r="64" spans="1:8">
      <c r="A64" s="260">
        <v>580</v>
      </c>
      <c r="B64" s="261">
        <f t="shared" ref="B64:B71" si="5">SUMIF($C$12:$C$46,$A64,H$12:H$46)</f>
        <v>1832.0178903479757</v>
      </c>
      <c r="C64" s="262">
        <f>-B64</f>
        <v>-1832.0178903479757</v>
      </c>
    </row>
    <row r="65" spans="1:4">
      <c r="A65" s="260">
        <v>583</v>
      </c>
      <c r="B65" s="261">
        <f t="shared" si="5"/>
        <v>108.24</v>
      </c>
      <c r="C65" s="262">
        <f t="shared" ref="C65:C71" si="6">-B65</f>
        <v>-108.24</v>
      </c>
    </row>
    <row r="66" spans="1:4">
      <c r="A66" s="260">
        <v>588</v>
      </c>
      <c r="B66" s="261">
        <f t="shared" si="5"/>
        <v>413.21233141858141</v>
      </c>
      <c r="C66" s="262">
        <f t="shared" si="6"/>
        <v>-413.21233141858141</v>
      </c>
    </row>
    <row r="67" spans="1:4">
      <c r="A67" s="260">
        <v>901</v>
      </c>
      <c r="B67" s="261">
        <f t="shared" si="5"/>
        <v>211.4135059171598</v>
      </c>
      <c r="C67" s="262">
        <f t="shared" si="6"/>
        <v>-211.4135059171598</v>
      </c>
    </row>
    <row r="68" spans="1:4">
      <c r="A68" s="260">
        <v>903</v>
      </c>
      <c r="B68" s="261">
        <f t="shared" si="5"/>
        <v>660.84000000000015</v>
      </c>
      <c r="C68" s="262">
        <f t="shared" si="6"/>
        <v>-660.84000000000015</v>
      </c>
    </row>
    <row r="69" spans="1:4">
      <c r="A69" s="260">
        <v>910</v>
      </c>
      <c r="B69" s="261">
        <f t="shared" si="5"/>
        <v>155.63999999999999</v>
      </c>
      <c r="C69" s="262">
        <f t="shared" si="6"/>
        <v>-155.63999999999999</v>
      </c>
    </row>
    <row r="70" spans="1:4">
      <c r="A70" s="260">
        <v>920</v>
      </c>
      <c r="B70" s="261">
        <f t="shared" si="5"/>
        <v>1591.1002969128285</v>
      </c>
      <c r="C70" s="262">
        <f t="shared" si="6"/>
        <v>-1591.1002969128285</v>
      </c>
    </row>
    <row r="71" spans="1:4">
      <c r="A71" s="260">
        <v>925</v>
      </c>
      <c r="B71" s="261">
        <f t="shared" si="5"/>
        <v>213.52670611439845</v>
      </c>
      <c r="C71" s="262">
        <f t="shared" si="6"/>
        <v>-213.52670611439845</v>
      </c>
    </row>
    <row r="73" spans="1:4">
      <c r="A73" s="224" t="s">
        <v>541</v>
      </c>
      <c r="B73" s="262"/>
      <c r="D73" s="262">
        <f>-B64+-B65+-B66</f>
        <v>-2353.4702217665572</v>
      </c>
    </row>
    <row r="74" spans="1:4">
      <c r="A74" s="224" t="s">
        <v>542</v>
      </c>
      <c r="B74" s="262"/>
    </row>
    <row r="75" spans="1:4">
      <c r="A75" s="224" t="s">
        <v>221</v>
      </c>
      <c r="B75" s="262"/>
      <c r="D75" s="262">
        <f>-B67-B68-B69</f>
        <v>-1027.8935059171599</v>
      </c>
    </row>
    <row r="76" spans="1:4">
      <c r="A76" s="224" t="s">
        <v>24</v>
      </c>
    </row>
    <row r="77" spans="1:4">
      <c r="A77" s="224" t="s">
        <v>543</v>
      </c>
    </row>
    <row r="78" spans="1:4">
      <c r="A78" s="224" t="s">
        <v>544</v>
      </c>
      <c r="D78" s="262">
        <f>-B70+-B71</f>
        <v>-1804.6270030272269</v>
      </c>
    </row>
    <row r="79" spans="1:4">
      <c r="D79" s="273">
        <f>SUM(D73:D78)</f>
        <v>-5185.9907307109443</v>
      </c>
    </row>
  </sheetData>
  <mergeCells count="4">
    <mergeCell ref="A58:H58"/>
    <mergeCell ref="A4:H4"/>
    <mergeCell ref="A5:H5"/>
    <mergeCell ref="A7:H7"/>
  </mergeCells>
  <printOptions horizontalCentered="1"/>
  <pageMargins left="0.7" right="0.7" top="0.75" bottom="0.75" header="0.3" footer="0.3"/>
  <pageSetup scale="70" orientation="portrait" r:id="rId1"/>
  <headerFooter>
    <oddFooter>&amp;RExhibit JW-2
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3" zoomScale="75" zoomScaleNormal="75" workbookViewId="0">
      <selection activeCell="I4" sqref="I4"/>
    </sheetView>
  </sheetViews>
  <sheetFormatPr defaultRowHeight="14.25"/>
  <cols>
    <col min="1" max="1" width="6.5703125" style="251" customWidth="1"/>
    <col min="2" max="2" width="37.140625" style="251" customWidth="1"/>
    <col min="3" max="3" width="9.28515625" style="251" customWidth="1"/>
    <col min="4" max="10" width="18.140625" style="251" customWidth="1"/>
    <col min="11" max="11" width="10.5703125" style="251" bestFit="1" customWidth="1"/>
    <col min="12" max="16384" width="9.140625" style="251"/>
  </cols>
  <sheetData>
    <row r="1" spans="1:14" s="20" customFormat="1" ht="15" customHeight="1">
      <c r="D1" s="36" t="s">
        <v>609</v>
      </c>
      <c r="F1" s="36"/>
    </row>
    <row r="2" spans="1:14" s="20" customFormat="1" ht="20.25" customHeight="1">
      <c r="F2" s="36"/>
      <c r="G2" s="36"/>
    </row>
    <row r="3" spans="1:14" s="20" customFormat="1" ht="12.75">
      <c r="F3" s="36"/>
      <c r="G3" s="36"/>
    </row>
    <row r="4" spans="1:14" s="20" customFormat="1" ht="12.75">
      <c r="A4" s="402" t="s">
        <v>0</v>
      </c>
      <c r="B4" s="402"/>
      <c r="C4" s="402"/>
      <c r="D4" s="402"/>
      <c r="E4" s="322"/>
      <c r="F4" s="322"/>
      <c r="G4" s="322"/>
      <c r="H4" s="322"/>
      <c r="I4" s="322"/>
      <c r="J4" s="322"/>
      <c r="K4" s="322"/>
      <c r="L4" s="322"/>
      <c r="M4" s="322"/>
      <c r="N4" s="322"/>
    </row>
    <row r="5" spans="1:14" s="20" customFormat="1" ht="12.75">
      <c r="A5" s="402" t="s">
        <v>2</v>
      </c>
      <c r="B5" s="402"/>
      <c r="C5" s="402"/>
      <c r="D5" s="402"/>
      <c r="E5" s="322"/>
      <c r="F5" s="322"/>
      <c r="G5" s="322"/>
      <c r="H5" s="322"/>
      <c r="I5" s="322"/>
      <c r="J5" s="322"/>
      <c r="K5" s="322"/>
    </row>
    <row r="6" spans="1:14" s="20" customFormat="1" ht="12.75"/>
    <row r="7" spans="1:14" s="37" customFormat="1" ht="15" customHeight="1">
      <c r="A7" s="403" t="s">
        <v>612</v>
      </c>
      <c r="B7" s="403"/>
      <c r="C7" s="403"/>
      <c r="D7" s="403"/>
      <c r="E7" s="323"/>
      <c r="F7" s="323"/>
      <c r="G7" s="323"/>
      <c r="H7" s="323"/>
      <c r="I7" s="323"/>
      <c r="J7" s="323"/>
      <c r="K7" s="323"/>
    </row>
    <row r="8" spans="1:14" s="20" customFormat="1" ht="12.75"/>
    <row r="9" spans="1:14">
      <c r="A9" s="27" t="s">
        <v>7</v>
      </c>
      <c r="B9" s="27" t="s">
        <v>52</v>
      </c>
      <c r="C9" s="27"/>
      <c r="D9" s="27" t="s">
        <v>54</v>
      </c>
    </row>
    <row r="10" spans="1:14" ht="15">
      <c r="A10" s="38" t="s">
        <v>11</v>
      </c>
      <c r="B10" s="39" t="s">
        <v>157</v>
      </c>
      <c r="C10" s="39"/>
      <c r="D10" s="39" t="s">
        <v>158</v>
      </c>
      <c r="E10" s="296"/>
      <c r="F10" s="296"/>
      <c r="G10" s="296"/>
      <c r="H10" s="296"/>
      <c r="I10" s="296"/>
      <c r="J10" s="296"/>
      <c r="K10" s="296"/>
      <c r="L10" s="297"/>
    </row>
    <row r="11" spans="1:14" ht="15">
      <c r="A11" s="27"/>
      <c r="B11" s="20"/>
      <c r="C11" s="20"/>
      <c r="D11" s="20"/>
      <c r="E11" s="298"/>
      <c r="F11" s="298"/>
      <c r="G11" s="296"/>
      <c r="H11" s="298"/>
      <c r="I11" s="298"/>
      <c r="J11" s="298"/>
      <c r="K11" s="298"/>
      <c r="L11" s="297"/>
    </row>
    <row r="12" spans="1:14" ht="15">
      <c r="A12" s="27">
        <v>1</v>
      </c>
      <c r="B12" s="336" t="s">
        <v>124</v>
      </c>
      <c r="C12" s="20"/>
      <c r="D12" s="14">
        <v>45000</v>
      </c>
      <c r="E12" s="299"/>
      <c r="F12" s="299"/>
      <c r="G12" s="296"/>
      <c r="H12" s="299"/>
      <c r="I12" s="299"/>
      <c r="J12" s="299"/>
      <c r="K12" s="299"/>
      <c r="L12" s="299"/>
    </row>
    <row r="13" spans="1:14">
      <c r="A13" s="27">
        <f>A12+1</f>
        <v>2</v>
      </c>
      <c r="B13" s="336" t="s">
        <v>611</v>
      </c>
      <c r="C13" s="20"/>
      <c r="D13" s="14">
        <v>25000</v>
      </c>
      <c r="E13" s="299"/>
      <c r="F13" s="299"/>
      <c r="G13" s="299"/>
      <c r="H13" s="299"/>
      <c r="I13" s="299"/>
      <c r="J13" s="299"/>
      <c r="K13" s="299"/>
      <c r="L13" s="297"/>
    </row>
    <row r="14" spans="1:14">
      <c r="A14" s="27">
        <f t="shared" ref="A14:A25" si="0">A13+1</f>
        <v>3</v>
      </c>
      <c r="B14" s="336" t="s">
        <v>638</v>
      </c>
      <c r="C14" s="20"/>
      <c r="D14" s="14">
        <v>6000</v>
      </c>
      <c r="E14" s="299"/>
      <c r="F14" s="299"/>
      <c r="G14" s="299"/>
      <c r="H14" s="299"/>
      <c r="I14" s="299"/>
      <c r="J14" s="299"/>
      <c r="K14" s="299"/>
      <c r="L14" s="297"/>
    </row>
    <row r="15" spans="1:14">
      <c r="A15" s="27">
        <f t="shared" si="0"/>
        <v>4</v>
      </c>
      <c r="B15" s="45" t="s">
        <v>155</v>
      </c>
      <c r="C15" s="44"/>
      <c r="D15" s="337">
        <f>SUM(D12:D14)</f>
        <v>76000</v>
      </c>
      <c r="E15" s="299"/>
      <c r="F15" s="299"/>
      <c r="G15" s="299"/>
      <c r="H15" s="299"/>
      <c r="I15" s="299"/>
      <c r="J15" s="299"/>
      <c r="K15" s="299"/>
      <c r="L15" s="297"/>
    </row>
    <row r="16" spans="1:14">
      <c r="A16" s="27">
        <f t="shared" si="0"/>
        <v>5</v>
      </c>
      <c r="B16" s="48"/>
      <c r="C16" s="58"/>
      <c r="D16" s="20"/>
      <c r="E16" s="299"/>
      <c r="F16" s="299"/>
      <c r="G16" s="299"/>
      <c r="H16" s="299"/>
      <c r="I16" s="299"/>
      <c r="J16" s="299"/>
      <c r="K16" s="299"/>
      <c r="L16" s="297"/>
    </row>
    <row r="17" spans="1:12">
      <c r="A17" s="27">
        <f t="shared" si="0"/>
        <v>6</v>
      </c>
      <c r="B17" s="58" t="s">
        <v>613</v>
      </c>
      <c r="C17" s="58"/>
      <c r="D17" s="60">
        <f>D15</f>
        <v>76000</v>
      </c>
      <c r="E17" s="299"/>
      <c r="F17" s="299"/>
      <c r="G17" s="299"/>
      <c r="H17" s="299"/>
      <c r="I17" s="299"/>
      <c r="J17" s="299"/>
      <c r="K17" s="299"/>
      <c r="L17" s="297"/>
    </row>
    <row r="18" spans="1:12">
      <c r="A18" s="27">
        <f t="shared" si="0"/>
        <v>7</v>
      </c>
      <c r="B18" s="58" t="s">
        <v>614</v>
      </c>
      <c r="C18" s="58"/>
      <c r="D18" s="60">
        <v>3</v>
      </c>
      <c r="E18" s="299"/>
      <c r="F18" s="299"/>
      <c r="G18" s="299"/>
      <c r="H18" s="299"/>
      <c r="I18" s="299"/>
      <c r="J18" s="299"/>
      <c r="K18" s="299"/>
      <c r="L18" s="297"/>
    </row>
    <row r="19" spans="1:12">
      <c r="A19" s="27">
        <f t="shared" si="0"/>
        <v>8</v>
      </c>
      <c r="B19" s="58" t="s">
        <v>610</v>
      </c>
      <c r="C19" s="58"/>
      <c r="D19" s="60">
        <f>D17/D18</f>
        <v>25333.333333333332</v>
      </c>
      <c r="E19" s="299"/>
      <c r="F19" s="299"/>
      <c r="G19" s="299"/>
      <c r="H19" s="299"/>
      <c r="I19" s="299"/>
      <c r="J19" s="299"/>
      <c r="K19" s="299"/>
      <c r="L19" s="297"/>
    </row>
    <row r="20" spans="1:12">
      <c r="A20" s="27">
        <f t="shared" si="0"/>
        <v>9</v>
      </c>
      <c r="B20" s="58"/>
      <c r="C20" s="58"/>
      <c r="D20" s="60"/>
      <c r="E20" s="299"/>
      <c r="F20" s="299"/>
      <c r="G20" s="299"/>
      <c r="H20" s="299"/>
      <c r="I20" s="299"/>
      <c r="J20" s="299"/>
      <c r="K20" s="299"/>
      <c r="L20" s="297"/>
    </row>
    <row r="21" spans="1:12">
      <c r="A21" s="27">
        <f t="shared" si="0"/>
        <v>10</v>
      </c>
      <c r="B21" s="58" t="s">
        <v>128</v>
      </c>
      <c r="C21" s="58"/>
      <c r="D21" s="60">
        <v>0</v>
      </c>
      <c r="E21" s="299"/>
      <c r="F21" s="299"/>
      <c r="G21" s="299"/>
      <c r="H21" s="299"/>
      <c r="I21" s="299"/>
      <c r="J21" s="299"/>
      <c r="K21" s="299"/>
      <c r="L21" s="297"/>
    </row>
    <row r="22" spans="1:12">
      <c r="A22" s="27">
        <f t="shared" si="0"/>
        <v>11</v>
      </c>
      <c r="B22" s="58"/>
      <c r="C22" s="58"/>
      <c r="D22" s="20"/>
      <c r="E22" s="299"/>
      <c r="F22" s="299"/>
      <c r="G22" s="299"/>
      <c r="H22" s="299"/>
      <c r="I22" s="299"/>
      <c r="J22" s="299"/>
      <c r="K22" s="299"/>
      <c r="L22" s="297"/>
    </row>
    <row r="23" spans="1:12">
      <c r="A23" s="27">
        <f t="shared" si="0"/>
        <v>12</v>
      </c>
      <c r="B23" s="62" t="s">
        <v>176</v>
      </c>
      <c r="C23" s="20"/>
      <c r="D23" s="41">
        <f>D19</f>
        <v>25333.333333333332</v>
      </c>
      <c r="E23" s="299"/>
      <c r="F23" s="299"/>
      <c r="G23" s="299"/>
      <c r="H23" s="299"/>
      <c r="I23" s="299"/>
      <c r="J23" s="299"/>
      <c r="K23" s="299"/>
      <c r="L23" s="297"/>
    </row>
    <row r="24" spans="1:12">
      <c r="A24" s="27">
        <f t="shared" si="0"/>
        <v>13</v>
      </c>
      <c r="B24" s="62"/>
      <c r="C24" s="20"/>
      <c r="D24" s="20"/>
      <c r="E24" s="289"/>
      <c r="F24" s="289"/>
      <c r="G24" s="289"/>
      <c r="H24" s="289"/>
      <c r="I24" s="299"/>
      <c r="J24" s="299"/>
      <c r="K24" s="299"/>
      <c r="L24" s="299"/>
    </row>
    <row r="25" spans="1:12" ht="15" thickBot="1">
      <c r="A25" s="27">
        <f t="shared" si="0"/>
        <v>14</v>
      </c>
      <c r="B25" s="63" t="s">
        <v>10</v>
      </c>
      <c r="C25" s="64"/>
      <c r="D25" s="66">
        <f>ROUND(D23-D21,2)</f>
        <v>25333.33</v>
      </c>
      <c r="E25" s="289"/>
      <c r="F25" s="289"/>
      <c r="G25" s="289"/>
      <c r="H25" s="289"/>
      <c r="I25" s="299"/>
      <c r="J25" s="299"/>
      <c r="K25" s="299"/>
      <c r="L25" s="297"/>
    </row>
    <row r="26" spans="1:12" ht="15" thickTop="1">
      <c r="A26" s="27"/>
      <c r="B26" s="20"/>
      <c r="C26" s="20"/>
      <c r="D26" s="20"/>
      <c r="E26" s="289"/>
      <c r="F26" s="289"/>
      <c r="G26" s="289"/>
      <c r="H26" s="289"/>
      <c r="I26" s="299"/>
      <c r="J26" s="299"/>
      <c r="K26" s="299"/>
      <c r="L26" s="297"/>
    </row>
    <row r="27" spans="1:12">
      <c r="A27" s="27"/>
      <c r="B27" s="20"/>
      <c r="C27" s="20"/>
      <c r="D27" s="20"/>
      <c r="E27" s="300"/>
      <c r="F27" s="300"/>
      <c r="G27" s="300"/>
      <c r="H27" s="300"/>
      <c r="I27" s="300"/>
      <c r="J27" s="300"/>
      <c r="K27" s="300"/>
      <c r="L27" s="297"/>
    </row>
    <row r="28" spans="1:12" ht="29.25" customHeight="1">
      <c r="A28" s="27"/>
      <c r="B28" s="404" t="s">
        <v>615</v>
      </c>
      <c r="C28" s="404"/>
      <c r="D28" s="404"/>
      <c r="E28" s="303"/>
      <c r="F28" s="303"/>
      <c r="G28" s="303"/>
      <c r="H28" s="297"/>
      <c r="I28" s="297"/>
      <c r="J28" s="297"/>
      <c r="K28" s="297"/>
      <c r="L28" s="297"/>
    </row>
    <row r="29" spans="1:12">
      <c r="A29" s="27"/>
      <c r="B29" s="290"/>
      <c r="C29" s="290"/>
      <c r="D29" s="290"/>
      <c r="E29" s="303"/>
      <c r="F29" s="303"/>
      <c r="G29" s="297"/>
      <c r="H29" s="297"/>
      <c r="I29" s="297"/>
      <c r="J29" s="297"/>
      <c r="K29" s="297"/>
    </row>
    <row r="30" spans="1:12">
      <c r="A30" s="20"/>
      <c r="B30" s="290"/>
      <c r="C30" s="290"/>
      <c r="D30" s="290"/>
      <c r="E30" s="290"/>
      <c r="F30" s="290"/>
    </row>
    <row r="31" spans="1:12">
      <c r="A31" s="20"/>
      <c r="B31" s="290"/>
      <c r="C31" s="290"/>
      <c r="D31" s="290"/>
      <c r="E31" s="290"/>
      <c r="F31" s="290"/>
    </row>
    <row r="32" spans="1:12">
      <c r="A32" s="20"/>
      <c r="B32" s="290"/>
      <c r="C32" s="290"/>
      <c r="D32" s="290"/>
      <c r="E32" s="290"/>
      <c r="F32" s="290"/>
    </row>
    <row r="33" spans="2:6">
      <c r="B33" s="290"/>
      <c r="C33" s="290"/>
      <c r="D33" s="290"/>
      <c r="E33" s="290"/>
      <c r="F33" s="302"/>
    </row>
    <row r="34" spans="2:6">
      <c r="E34" s="290"/>
      <c r="F34" s="290"/>
    </row>
    <row r="35" spans="2:6">
      <c r="E35" s="290"/>
      <c r="F35" s="290"/>
    </row>
    <row r="36" spans="2:6">
      <c r="E36" s="290"/>
      <c r="F36" s="290"/>
    </row>
    <row r="37" spans="2:6">
      <c r="E37" s="290"/>
      <c r="F37" s="290"/>
    </row>
  </sheetData>
  <mergeCells count="4">
    <mergeCell ref="A7:D7"/>
    <mergeCell ref="B28:D28"/>
    <mergeCell ref="A4:D4"/>
    <mergeCell ref="A5:D5"/>
  </mergeCells>
  <printOptions horizontalCentered="1"/>
  <pageMargins left="0.7" right="0.7" top="0.75" bottom="0.75" header="0.3" footer="0.3"/>
  <pageSetup orientation="portrait" r:id="rId1"/>
  <headerFooter>
    <oddFooter>&amp;RExhibit JW-2
Page &amp;P of &amp;N</oddFooter>
  </headerFooter>
  <ignoredErrors>
    <ignoredError sqref="B10:D10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zoomScale="75" zoomScaleNormal="75" workbookViewId="0">
      <selection activeCell="I4" sqref="I4"/>
    </sheetView>
  </sheetViews>
  <sheetFormatPr defaultRowHeight="12.75"/>
  <cols>
    <col min="1" max="1" width="4" style="20" customWidth="1"/>
    <col min="2" max="2" width="34" style="20" customWidth="1"/>
    <col min="3" max="5" width="18.140625" style="20" customWidth="1"/>
    <col min="6" max="6" width="7.28515625" style="20" customWidth="1"/>
    <col min="7" max="12" width="18.140625" style="20" customWidth="1"/>
    <col min="13" max="13" width="10.5703125" style="20" bestFit="1" customWidth="1"/>
    <col min="14" max="16384" width="9.140625" style="20"/>
  </cols>
  <sheetData>
    <row r="1" spans="1:15" ht="15" customHeight="1">
      <c r="E1" s="36"/>
      <c r="F1" s="36" t="s">
        <v>645</v>
      </c>
      <c r="G1" s="36"/>
    </row>
    <row r="2" spans="1:15" ht="20.25" customHeight="1">
      <c r="G2" s="36"/>
      <c r="H2" s="36"/>
    </row>
    <row r="3" spans="1:15">
      <c r="G3" s="36"/>
      <c r="H3" s="36"/>
    </row>
    <row r="4" spans="1:15">
      <c r="B4" s="402" t="s">
        <v>0</v>
      </c>
      <c r="C4" s="402"/>
      <c r="D4" s="402"/>
      <c r="E4" s="402"/>
      <c r="F4" s="402"/>
      <c r="G4" s="322"/>
      <c r="H4" s="322"/>
      <c r="I4" s="322"/>
      <c r="J4" s="322"/>
      <c r="K4" s="322"/>
      <c r="L4" s="322"/>
      <c r="M4" s="322"/>
      <c r="N4" s="322"/>
      <c r="O4" s="322"/>
    </row>
    <row r="5" spans="1:15">
      <c r="B5" s="402" t="s">
        <v>2</v>
      </c>
      <c r="C5" s="402"/>
      <c r="D5" s="402"/>
      <c r="E5" s="402"/>
      <c r="F5" s="402"/>
      <c r="G5" s="322"/>
      <c r="H5" s="322"/>
      <c r="I5" s="322"/>
      <c r="J5" s="322"/>
      <c r="K5" s="322"/>
      <c r="L5" s="322"/>
    </row>
    <row r="7" spans="1:15" s="37" customFormat="1" ht="15" customHeight="1">
      <c r="B7" s="403" t="s">
        <v>130</v>
      </c>
      <c r="C7" s="403"/>
      <c r="D7" s="403"/>
      <c r="E7" s="403"/>
      <c r="F7" s="403"/>
      <c r="G7" s="323"/>
      <c r="H7" s="323"/>
      <c r="I7" s="323"/>
      <c r="J7" s="323"/>
      <c r="K7" s="323"/>
      <c r="L7" s="323"/>
    </row>
    <row r="10" spans="1:15">
      <c r="A10" s="336">
        <v>1</v>
      </c>
      <c r="B10" s="206" t="s">
        <v>131</v>
      </c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48"/>
    </row>
    <row r="11" spans="1:15" ht="25.5">
      <c r="A11" s="336">
        <v>2</v>
      </c>
      <c r="B11" s="339" t="s">
        <v>132</v>
      </c>
      <c r="C11" s="340" t="s">
        <v>133</v>
      </c>
      <c r="D11" s="341">
        <v>2018</v>
      </c>
      <c r="E11" s="340" t="s">
        <v>134</v>
      </c>
      <c r="F11" s="340" t="s">
        <v>234</v>
      </c>
      <c r="G11" s="342"/>
      <c r="H11" s="342"/>
      <c r="I11" s="342"/>
      <c r="J11" s="342"/>
      <c r="K11" s="342"/>
      <c r="L11" s="342"/>
      <c r="M11" s="48"/>
    </row>
    <row r="12" spans="1:15">
      <c r="A12" s="336">
        <v>3</v>
      </c>
      <c r="B12" s="20" t="s">
        <v>135</v>
      </c>
      <c r="C12" s="343">
        <v>52704.63</v>
      </c>
      <c r="D12" s="343">
        <v>0</v>
      </c>
      <c r="E12" s="344">
        <f>+D12-C12</f>
        <v>-52704.63</v>
      </c>
      <c r="F12" s="345"/>
      <c r="G12" s="345"/>
      <c r="H12" s="345"/>
      <c r="I12" s="345"/>
      <c r="J12" s="345"/>
      <c r="K12" s="345"/>
      <c r="L12" s="345"/>
      <c r="M12" s="345"/>
    </row>
    <row r="13" spans="1:15">
      <c r="A13" s="336">
        <v>4</v>
      </c>
      <c r="B13" s="20" t="s">
        <v>136</v>
      </c>
      <c r="C13" s="343">
        <v>803895.3</v>
      </c>
      <c r="D13" s="343">
        <v>799952.66</v>
      </c>
      <c r="E13" s="344">
        <f>+D13-C13</f>
        <v>-3942.640000000014</v>
      </c>
      <c r="F13" s="345"/>
      <c r="G13" s="345"/>
      <c r="H13" s="345"/>
      <c r="I13" s="345"/>
      <c r="J13" s="345"/>
      <c r="K13" s="345"/>
      <c r="L13" s="345"/>
      <c r="M13" s="48"/>
    </row>
    <row r="14" spans="1:15">
      <c r="A14" s="336">
        <v>5</v>
      </c>
      <c r="B14" s="20" t="s">
        <v>137</v>
      </c>
      <c r="C14" s="343">
        <v>573393.27</v>
      </c>
      <c r="D14" s="343">
        <v>598596.30000000005</v>
      </c>
      <c r="E14" s="344">
        <f t="shared" ref="E14:E15" si="0">+D14-C14</f>
        <v>25203.030000000028</v>
      </c>
      <c r="F14" s="345"/>
      <c r="G14" s="345"/>
      <c r="H14" s="345"/>
      <c r="I14" s="345"/>
      <c r="J14" s="345"/>
      <c r="K14" s="345"/>
      <c r="L14" s="345"/>
      <c r="M14" s="48"/>
    </row>
    <row r="15" spans="1:15">
      <c r="A15" s="336">
        <v>6</v>
      </c>
      <c r="B15" s="20" t="s">
        <v>138</v>
      </c>
      <c r="C15" s="343">
        <v>694761.08</v>
      </c>
      <c r="D15" s="343">
        <v>643257.1</v>
      </c>
      <c r="E15" s="344">
        <f t="shared" si="0"/>
        <v>-51503.979999999981</v>
      </c>
      <c r="F15" s="345"/>
      <c r="G15" s="345"/>
      <c r="H15" s="345"/>
      <c r="I15" s="345"/>
      <c r="J15" s="345"/>
      <c r="K15" s="345"/>
      <c r="L15" s="345"/>
      <c r="M15" s="48"/>
    </row>
    <row r="16" spans="1:15">
      <c r="A16" s="336">
        <v>7</v>
      </c>
      <c r="B16" s="80" t="s">
        <v>155</v>
      </c>
      <c r="C16" s="346">
        <f>SUM(C12:C15)</f>
        <v>2124754.2800000003</v>
      </c>
      <c r="D16" s="346">
        <f>SUM(D12:D15)</f>
        <v>2041806.06</v>
      </c>
      <c r="E16" s="347">
        <f>SUM(E12:E15)</f>
        <v>-82948.219999999972</v>
      </c>
      <c r="F16" s="348" t="s">
        <v>125</v>
      </c>
      <c r="G16" s="345"/>
      <c r="H16" s="345"/>
      <c r="I16" s="345"/>
      <c r="J16" s="345"/>
      <c r="K16" s="345"/>
      <c r="L16" s="345"/>
      <c r="M16" s="48"/>
    </row>
    <row r="17" spans="1:15">
      <c r="A17" s="336">
        <v>8</v>
      </c>
      <c r="C17" s="343"/>
      <c r="D17" s="343"/>
      <c r="E17" s="344"/>
      <c r="F17" s="349"/>
      <c r="G17" s="345"/>
      <c r="H17" s="345"/>
      <c r="I17" s="345"/>
      <c r="J17" s="345"/>
      <c r="K17" s="345"/>
      <c r="L17" s="345"/>
      <c r="M17" s="48"/>
    </row>
    <row r="18" spans="1:15">
      <c r="A18" s="336">
        <v>9</v>
      </c>
      <c r="C18" s="343"/>
      <c r="D18" s="343"/>
      <c r="E18" s="344"/>
      <c r="F18" s="349"/>
      <c r="G18" s="345"/>
      <c r="H18" s="345"/>
      <c r="I18" s="345"/>
      <c r="J18" s="345"/>
      <c r="K18" s="345"/>
      <c r="L18" s="345"/>
      <c r="M18" s="48"/>
    </row>
    <row r="19" spans="1:15">
      <c r="A19" s="336">
        <v>10</v>
      </c>
      <c r="C19" s="343"/>
      <c r="D19" s="343"/>
      <c r="E19" s="344"/>
      <c r="F19" s="349"/>
      <c r="G19" s="345"/>
      <c r="H19" s="345"/>
      <c r="I19" s="345"/>
      <c r="J19" s="345"/>
      <c r="K19" s="345"/>
      <c r="L19" s="345"/>
      <c r="M19" s="48"/>
    </row>
    <row r="20" spans="1:15">
      <c r="A20" s="336">
        <v>11</v>
      </c>
      <c r="B20" s="206" t="s">
        <v>139</v>
      </c>
      <c r="C20" s="343"/>
      <c r="D20" s="343"/>
      <c r="E20" s="344"/>
      <c r="F20" s="349"/>
      <c r="G20" s="345"/>
      <c r="H20" s="345"/>
      <c r="I20" s="345"/>
      <c r="J20" s="345"/>
      <c r="K20" s="345"/>
      <c r="L20" s="345"/>
      <c r="M20" s="48"/>
    </row>
    <row r="21" spans="1:15" ht="25.5">
      <c r="A21" s="336">
        <v>12</v>
      </c>
      <c r="B21" s="339" t="s">
        <v>140</v>
      </c>
      <c r="C21" s="350" t="s">
        <v>133</v>
      </c>
      <c r="D21" s="351">
        <v>2018</v>
      </c>
      <c r="E21" s="350" t="s">
        <v>134</v>
      </c>
      <c r="F21" s="349"/>
      <c r="G21" s="345"/>
      <c r="H21" s="345"/>
      <c r="I21" s="345"/>
      <c r="J21" s="345"/>
      <c r="K21" s="345"/>
      <c r="L21" s="345"/>
      <c r="M21" s="48"/>
    </row>
    <row r="22" spans="1:15">
      <c r="A22" s="336">
        <v>13</v>
      </c>
      <c r="B22" s="20" t="s">
        <v>141</v>
      </c>
      <c r="C22" s="343">
        <v>2222.59</v>
      </c>
      <c r="D22" s="343">
        <v>42163.360000000001</v>
      </c>
      <c r="E22" s="344">
        <f>+D22-C22</f>
        <v>39940.770000000004</v>
      </c>
      <c r="F22" s="349"/>
      <c r="G22" s="345"/>
      <c r="H22" s="345"/>
      <c r="I22" s="345"/>
      <c r="J22" s="345"/>
      <c r="K22" s="345"/>
      <c r="L22" s="345"/>
      <c r="M22" s="48"/>
    </row>
    <row r="23" spans="1:15">
      <c r="A23" s="336">
        <v>14</v>
      </c>
      <c r="C23" s="343"/>
      <c r="D23" s="343"/>
      <c r="E23" s="344"/>
      <c r="F23" s="349"/>
      <c r="G23" s="345"/>
      <c r="H23" s="345"/>
      <c r="I23" s="345"/>
      <c r="J23" s="345"/>
      <c r="K23" s="345"/>
      <c r="L23" s="345"/>
      <c r="M23" s="48"/>
    </row>
    <row r="24" spans="1:15">
      <c r="A24" s="336">
        <v>15</v>
      </c>
      <c r="B24" s="20" t="s">
        <v>155</v>
      </c>
      <c r="C24" s="346">
        <f>SUM(C22:C23)</f>
        <v>2222.59</v>
      </c>
      <c r="D24" s="346">
        <f t="shared" ref="D24:E24" si="1">SUM(D22:D23)</f>
        <v>42163.360000000001</v>
      </c>
      <c r="E24" s="346">
        <f t="shared" si="1"/>
        <v>39940.770000000004</v>
      </c>
      <c r="F24" s="348" t="s">
        <v>126</v>
      </c>
      <c r="G24" s="345"/>
      <c r="H24" s="345"/>
      <c r="I24" s="345"/>
      <c r="J24" s="345"/>
      <c r="K24" s="345"/>
      <c r="L24" s="345"/>
      <c r="M24" s="48"/>
    </row>
    <row r="25" spans="1:15">
      <c r="A25" s="336">
        <v>16</v>
      </c>
      <c r="C25" s="352"/>
      <c r="D25" s="352"/>
      <c r="E25" s="344"/>
      <c r="F25" s="353"/>
      <c r="G25" s="354"/>
      <c r="H25" s="354"/>
      <c r="I25" s="354"/>
      <c r="J25" s="345"/>
      <c r="K25" s="345"/>
      <c r="L25" s="345"/>
      <c r="M25" s="345"/>
    </row>
    <row r="26" spans="1:15" ht="13.5" thickBot="1">
      <c r="A26" s="336">
        <v>17</v>
      </c>
      <c r="B26" s="64" t="s">
        <v>110</v>
      </c>
      <c r="C26" s="355">
        <f>C24+C16</f>
        <v>2126976.87</v>
      </c>
      <c r="D26" s="355">
        <f t="shared" ref="D26:E26" si="2">D24+D16</f>
        <v>2083969.4200000002</v>
      </c>
      <c r="E26" s="356">
        <f t="shared" si="2"/>
        <v>-43007.449999999968</v>
      </c>
      <c r="F26" s="353"/>
      <c r="G26" s="354"/>
      <c r="H26" s="354"/>
      <c r="I26" s="354"/>
      <c r="J26" s="345"/>
      <c r="K26" s="345"/>
      <c r="L26" s="345"/>
      <c r="M26" s="48"/>
    </row>
    <row r="27" spans="1:15" ht="13.5" thickTop="1">
      <c r="A27" s="336">
        <v>18</v>
      </c>
      <c r="C27" s="354"/>
      <c r="D27" s="354"/>
      <c r="E27" s="357"/>
      <c r="F27" s="353"/>
      <c r="G27" s="354"/>
      <c r="H27" s="354"/>
      <c r="I27" s="354"/>
      <c r="J27" s="345"/>
      <c r="K27" s="345"/>
      <c r="L27" s="345"/>
      <c r="M27" s="48"/>
    </row>
    <row r="28" spans="1:15">
      <c r="A28" s="336">
        <v>19</v>
      </c>
      <c r="B28" s="358" t="s">
        <v>142</v>
      </c>
      <c r="C28" s="28"/>
      <c r="D28" s="28"/>
      <c r="E28" s="28"/>
      <c r="F28" s="28"/>
      <c r="G28" s="28"/>
      <c r="H28" s="28"/>
    </row>
    <row r="29" spans="1:15">
      <c r="A29" s="336">
        <v>20</v>
      </c>
      <c r="B29" s="358" t="s">
        <v>143</v>
      </c>
      <c r="C29" s="28"/>
      <c r="D29" s="28"/>
      <c r="E29" s="28"/>
      <c r="F29" s="28"/>
      <c r="G29" s="28"/>
      <c r="H29" s="28"/>
    </row>
    <row r="30" spans="1:15">
      <c r="C30" s="28"/>
      <c r="D30" s="28"/>
      <c r="E30" s="28"/>
      <c r="F30" s="28"/>
      <c r="G30" s="28"/>
      <c r="H30" s="28"/>
    </row>
    <row r="31" spans="1:15" ht="28.5" customHeight="1">
      <c r="B31" s="404" t="s">
        <v>617</v>
      </c>
      <c r="C31" s="404"/>
      <c r="D31" s="404"/>
      <c r="E31" s="404"/>
      <c r="F31" s="325"/>
      <c r="G31" s="325"/>
      <c r="H31" s="325"/>
      <c r="I31" s="325"/>
      <c r="J31" s="325"/>
      <c r="K31" s="325"/>
      <c r="L31" s="325"/>
      <c r="M31" s="325"/>
      <c r="N31" s="325"/>
      <c r="O31" s="325"/>
    </row>
    <row r="32" spans="1:15">
      <c r="C32" s="28"/>
      <c r="D32" s="28"/>
      <c r="E32" s="28"/>
      <c r="F32" s="28"/>
      <c r="G32" s="28"/>
      <c r="H32" s="28"/>
    </row>
    <row r="33" spans="3:8">
      <c r="C33" s="28"/>
      <c r="D33" s="28"/>
      <c r="E33" s="28"/>
      <c r="F33" s="28"/>
      <c r="G33" s="28"/>
      <c r="H33" s="28"/>
    </row>
    <row r="34" spans="3:8">
      <c r="C34" s="28"/>
      <c r="D34" s="28"/>
      <c r="E34" s="28"/>
      <c r="F34" s="28"/>
      <c r="G34" s="28"/>
      <c r="H34" s="28"/>
    </row>
    <row r="35" spans="3:8">
      <c r="C35" s="28"/>
      <c r="D35" s="28"/>
      <c r="E35" s="28"/>
      <c r="F35" s="28"/>
      <c r="G35" s="28"/>
      <c r="H35" s="28"/>
    </row>
  </sheetData>
  <mergeCells count="4">
    <mergeCell ref="B31:E31"/>
    <mergeCell ref="B4:F4"/>
    <mergeCell ref="B5:F5"/>
    <mergeCell ref="B7:F7"/>
  </mergeCells>
  <printOptions horizontalCentered="1"/>
  <pageMargins left="0.7" right="0.7" top="0.75" bottom="0.75" header="0.3" footer="0.3"/>
  <pageSetup scale="90" orientation="portrait" r:id="rId1"/>
  <headerFooter>
    <oddFooter>&amp;RExhibit JW-2
Page &amp;P of &amp;N</oddFooter>
  </headerFooter>
  <ignoredErrors>
    <ignoredError sqref="C24:E26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view="pageBreakPreview" zoomScale="60" zoomScaleNormal="75" workbookViewId="0">
      <selection activeCell="F29" sqref="F29"/>
    </sheetView>
  </sheetViews>
  <sheetFormatPr defaultRowHeight="12.75"/>
  <cols>
    <col min="1" max="1" width="5.85546875" style="20" customWidth="1"/>
    <col min="2" max="2" width="2.28515625" style="20" customWidth="1"/>
    <col min="3" max="3" width="13.28515625" style="20" customWidth="1"/>
    <col min="4" max="4" width="10.85546875" style="20" customWidth="1"/>
    <col min="5" max="5" width="4.140625" style="20" customWidth="1"/>
    <col min="6" max="7" width="16.7109375" style="20" customWidth="1"/>
    <col min="8" max="8" width="12.5703125" style="20" customWidth="1"/>
    <col min="9" max="9" width="13.42578125" style="20" customWidth="1"/>
    <col min="10" max="10" width="13.42578125" style="20" bestFit="1" customWidth="1"/>
    <col min="11" max="11" width="14.85546875" style="20" customWidth="1"/>
    <col min="12" max="16384" width="9.140625" style="20"/>
  </cols>
  <sheetData>
    <row r="1" spans="1:12">
      <c r="K1" s="36" t="s">
        <v>616</v>
      </c>
    </row>
    <row r="2" spans="1:12">
      <c r="K2" s="36"/>
    </row>
    <row r="3" spans="1:12">
      <c r="K3" s="36"/>
    </row>
    <row r="4" spans="1:12">
      <c r="A4" s="402" t="s">
        <v>0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</row>
    <row r="5" spans="1:12">
      <c r="A5" s="402" t="s">
        <v>2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322"/>
    </row>
    <row r="6" spans="1:12">
      <c r="A6" s="322"/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2"/>
    </row>
    <row r="7" spans="1:12">
      <c r="A7" s="403" t="s">
        <v>61</v>
      </c>
      <c r="B7" s="403"/>
      <c r="C7" s="403"/>
      <c r="D7" s="403"/>
      <c r="E7" s="403"/>
      <c r="F7" s="403"/>
      <c r="G7" s="403"/>
      <c r="H7" s="403"/>
      <c r="I7" s="403"/>
      <c r="J7" s="403"/>
      <c r="K7" s="403"/>
    </row>
    <row r="9" spans="1:12">
      <c r="A9" s="27" t="s">
        <v>7</v>
      </c>
      <c r="C9" s="27" t="s">
        <v>156</v>
      </c>
      <c r="D9" s="27" t="s">
        <v>100</v>
      </c>
      <c r="E9" s="27"/>
      <c r="F9" s="22" t="s">
        <v>186</v>
      </c>
      <c r="G9" s="22" t="s">
        <v>185</v>
      </c>
      <c r="H9" s="22" t="s">
        <v>187</v>
      </c>
      <c r="I9" s="22" t="s">
        <v>188</v>
      </c>
      <c r="J9" s="22" t="s">
        <v>189</v>
      </c>
      <c r="K9" s="27" t="s">
        <v>57</v>
      </c>
    </row>
    <row r="10" spans="1:12">
      <c r="A10" s="38" t="s">
        <v>11</v>
      </c>
      <c r="C10" s="39" t="s">
        <v>157</v>
      </c>
      <c r="D10" s="39" t="s">
        <v>158</v>
      </c>
      <c r="E10" s="27"/>
      <c r="F10" s="39" t="s">
        <v>159</v>
      </c>
      <c r="G10" s="39" t="s">
        <v>12</v>
      </c>
      <c r="H10" s="39" t="s">
        <v>13</v>
      </c>
      <c r="I10" s="39" t="s">
        <v>14</v>
      </c>
      <c r="J10" s="39" t="s">
        <v>160</v>
      </c>
      <c r="K10" s="39" t="s">
        <v>161</v>
      </c>
    </row>
    <row r="11" spans="1:12">
      <c r="A11" s="27"/>
    </row>
    <row r="12" spans="1:12">
      <c r="A12" s="27"/>
    </row>
    <row r="13" spans="1:12">
      <c r="A13" s="27">
        <v>1</v>
      </c>
      <c r="C13" s="27">
        <v>2017</v>
      </c>
      <c r="D13" s="40" t="s">
        <v>111</v>
      </c>
      <c r="E13" s="41"/>
      <c r="F13" s="28">
        <v>25489</v>
      </c>
      <c r="G13" s="28">
        <v>3259</v>
      </c>
      <c r="H13" s="28">
        <v>462</v>
      </c>
      <c r="I13" s="28">
        <v>615</v>
      </c>
      <c r="J13" s="28">
        <v>1</v>
      </c>
      <c r="K13" s="42"/>
    </row>
    <row r="14" spans="1:12">
      <c r="A14" s="27">
        <v>2</v>
      </c>
      <c r="C14" s="27">
        <v>2015</v>
      </c>
      <c r="D14" s="40" t="s">
        <v>112</v>
      </c>
      <c r="E14" s="41"/>
      <c r="F14" s="28">
        <v>25505</v>
      </c>
      <c r="G14" s="28">
        <v>3290</v>
      </c>
      <c r="H14" s="28">
        <v>461</v>
      </c>
      <c r="I14" s="28">
        <v>618</v>
      </c>
      <c r="J14" s="28">
        <v>1</v>
      </c>
      <c r="K14" s="43"/>
    </row>
    <row r="15" spans="1:12">
      <c r="A15" s="27">
        <v>3</v>
      </c>
      <c r="C15" s="27">
        <v>2015</v>
      </c>
      <c r="D15" s="40" t="s">
        <v>113</v>
      </c>
      <c r="E15" s="41"/>
      <c r="F15" s="28">
        <v>25516</v>
      </c>
      <c r="G15" s="28">
        <v>3286</v>
      </c>
      <c r="H15" s="28">
        <v>456</v>
      </c>
      <c r="I15" s="28">
        <v>617</v>
      </c>
      <c r="J15" s="28">
        <v>1</v>
      </c>
      <c r="K15" s="43"/>
    </row>
    <row r="16" spans="1:12">
      <c r="A16" s="27">
        <v>4</v>
      </c>
      <c r="C16" s="27">
        <v>2015</v>
      </c>
      <c r="D16" s="40" t="s">
        <v>114</v>
      </c>
      <c r="E16" s="41"/>
      <c r="F16" s="28">
        <v>25499</v>
      </c>
      <c r="G16" s="28">
        <v>3275</v>
      </c>
      <c r="H16" s="28">
        <v>453</v>
      </c>
      <c r="I16" s="28">
        <v>617</v>
      </c>
      <c r="J16" s="28">
        <v>1</v>
      </c>
      <c r="K16" s="43"/>
    </row>
    <row r="17" spans="1:11">
      <c r="A17" s="27">
        <v>5</v>
      </c>
      <c r="C17" s="27">
        <v>2015</v>
      </c>
      <c r="D17" s="40" t="s">
        <v>83</v>
      </c>
      <c r="E17" s="41"/>
      <c r="F17" s="28">
        <v>25509</v>
      </c>
      <c r="G17" s="28">
        <v>3267</v>
      </c>
      <c r="H17" s="28">
        <v>458</v>
      </c>
      <c r="I17" s="28">
        <v>612</v>
      </c>
      <c r="J17" s="28">
        <v>1</v>
      </c>
      <c r="K17" s="43"/>
    </row>
    <row r="18" spans="1:11">
      <c r="A18" s="27">
        <v>6</v>
      </c>
      <c r="C18" s="27">
        <v>2016</v>
      </c>
      <c r="D18" s="40" t="s">
        <v>115</v>
      </c>
      <c r="E18" s="41"/>
      <c r="F18" s="28">
        <v>25537</v>
      </c>
      <c r="G18" s="28">
        <v>3269</v>
      </c>
      <c r="H18" s="28">
        <v>460</v>
      </c>
      <c r="I18" s="28">
        <v>612</v>
      </c>
      <c r="J18" s="28">
        <v>1</v>
      </c>
      <c r="K18" s="43"/>
    </row>
    <row r="19" spans="1:11">
      <c r="A19" s="27">
        <v>7</v>
      </c>
      <c r="C19" s="27">
        <v>2016</v>
      </c>
      <c r="D19" s="40" t="s">
        <v>116</v>
      </c>
      <c r="E19" s="41"/>
      <c r="F19" s="28">
        <v>25542</v>
      </c>
      <c r="G19" s="28">
        <v>3270</v>
      </c>
      <c r="H19" s="28">
        <v>458</v>
      </c>
      <c r="I19" s="28">
        <v>612</v>
      </c>
      <c r="J19" s="28">
        <v>1</v>
      </c>
      <c r="K19" s="43"/>
    </row>
    <row r="20" spans="1:11">
      <c r="A20" s="27">
        <v>8</v>
      </c>
      <c r="C20" s="27">
        <v>2016</v>
      </c>
      <c r="D20" s="40" t="s">
        <v>117</v>
      </c>
      <c r="E20" s="41"/>
      <c r="F20" s="28">
        <v>25545</v>
      </c>
      <c r="G20" s="28">
        <v>3273</v>
      </c>
      <c r="H20" s="28">
        <v>460</v>
      </c>
      <c r="I20" s="28">
        <v>613</v>
      </c>
      <c r="J20" s="28">
        <v>1</v>
      </c>
      <c r="K20" s="43"/>
    </row>
    <row r="21" spans="1:11">
      <c r="A21" s="27">
        <v>9</v>
      </c>
      <c r="C21" s="27">
        <v>2016</v>
      </c>
      <c r="D21" s="40" t="s">
        <v>118</v>
      </c>
      <c r="E21" s="41"/>
      <c r="F21" s="28">
        <v>25550</v>
      </c>
      <c r="G21" s="28">
        <v>3276</v>
      </c>
      <c r="H21" s="28">
        <v>464</v>
      </c>
      <c r="I21" s="28">
        <v>618</v>
      </c>
      <c r="J21" s="28">
        <v>1</v>
      </c>
      <c r="K21" s="43"/>
    </row>
    <row r="22" spans="1:11">
      <c r="A22" s="27">
        <v>10</v>
      </c>
      <c r="C22" s="27">
        <v>2016</v>
      </c>
      <c r="D22" s="40" t="s">
        <v>119</v>
      </c>
      <c r="E22" s="41"/>
      <c r="F22" s="28">
        <v>25551</v>
      </c>
      <c r="G22" s="28">
        <v>3297</v>
      </c>
      <c r="H22" s="28">
        <v>466</v>
      </c>
      <c r="I22" s="28">
        <v>619</v>
      </c>
      <c r="J22" s="28">
        <v>1</v>
      </c>
      <c r="K22" s="43"/>
    </row>
    <row r="23" spans="1:11">
      <c r="A23" s="27">
        <v>11</v>
      </c>
      <c r="C23" s="27">
        <v>2016</v>
      </c>
      <c r="D23" s="40" t="s">
        <v>120</v>
      </c>
      <c r="E23" s="41"/>
      <c r="F23" s="28">
        <v>25569</v>
      </c>
      <c r="G23" s="28">
        <v>3312</v>
      </c>
      <c r="H23" s="28">
        <v>466</v>
      </c>
      <c r="I23" s="28">
        <v>621</v>
      </c>
      <c r="J23" s="28">
        <v>1</v>
      </c>
      <c r="K23" s="43"/>
    </row>
    <row r="24" spans="1:11">
      <c r="A24" s="27">
        <v>12</v>
      </c>
      <c r="C24" s="27">
        <v>2016</v>
      </c>
      <c r="D24" s="40" t="s">
        <v>121</v>
      </c>
      <c r="E24" s="41"/>
      <c r="F24" s="28">
        <v>25546</v>
      </c>
      <c r="G24" s="28">
        <v>3356</v>
      </c>
      <c r="H24" s="28">
        <v>468</v>
      </c>
      <c r="I24" s="28">
        <v>618</v>
      </c>
      <c r="J24" s="28">
        <v>1</v>
      </c>
      <c r="K24" s="43"/>
    </row>
    <row r="25" spans="1:11">
      <c r="A25" s="27">
        <v>13</v>
      </c>
      <c r="C25" s="44" t="s">
        <v>162</v>
      </c>
      <c r="D25" s="45"/>
      <c r="E25" s="46"/>
      <c r="F25" s="47">
        <f>ROUND(AVERAGE(F13:F24),0)</f>
        <v>25530</v>
      </c>
      <c r="G25" s="47">
        <f>ROUND(AVERAGE(G13:G24),0)</f>
        <v>3286</v>
      </c>
      <c r="H25" s="47">
        <f>ROUND(AVERAGE(H13:H24),0)</f>
        <v>461</v>
      </c>
      <c r="I25" s="47">
        <f>ROUND(AVERAGE(I13:I24),0)</f>
        <v>616</v>
      </c>
      <c r="J25" s="47">
        <f>ROUND(AVERAGE(J13:J24),0)</f>
        <v>1</v>
      </c>
      <c r="K25" s="43"/>
    </row>
    <row r="26" spans="1:11">
      <c r="A26" s="27">
        <v>14</v>
      </c>
      <c r="C26" s="48"/>
    </row>
    <row r="27" spans="1:11">
      <c r="A27" s="27">
        <v>15</v>
      </c>
      <c r="C27" s="49" t="s">
        <v>163</v>
      </c>
      <c r="E27" s="46"/>
      <c r="F27" s="33">
        <f>F24-F25</f>
        <v>16</v>
      </c>
      <c r="G27" s="33">
        <f t="shared" ref="G27:J27" si="0">G24-G25</f>
        <v>70</v>
      </c>
      <c r="H27" s="33">
        <f t="shared" si="0"/>
        <v>7</v>
      </c>
      <c r="I27" s="33">
        <f t="shared" si="0"/>
        <v>2</v>
      </c>
      <c r="J27" s="33">
        <f t="shared" si="0"/>
        <v>0</v>
      </c>
      <c r="K27" s="43"/>
    </row>
    <row r="28" spans="1:11">
      <c r="A28" s="27">
        <v>16</v>
      </c>
      <c r="C28" s="48"/>
      <c r="D28" s="50"/>
      <c r="E28" s="46"/>
      <c r="F28" s="46"/>
      <c r="G28" s="46"/>
    </row>
    <row r="29" spans="1:11">
      <c r="A29" s="27">
        <v>17</v>
      </c>
      <c r="C29" s="48" t="s">
        <v>164</v>
      </c>
      <c r="D29" s="50"/>
      <c r="E29" s="46"/>
      <c r="F29" s="33">
        <v>347394765</v>
      </c>
      <c r="G29" s="33">
        <v>31651234</v>
      </c>
      <c r="H29" s="33">
        <v>11175864</v>
      </c>
      <c r="I29" s="33">
        <v>178038374</v>
      </c>
      <c r="J29" s="33">
        <v>16369364</v>
      </c>
      <c r="K29" s="43"/>
    </row>
    <row r="30" spans="1:11">
      <c r="A30" s="27">
        <v>18</v>
      </c>
      <c r="C30" s="48" t="s">
        <v>165</v>
      </c>
      <c r="D30" s="50"/>
      <c r="E30" s="46"/>
      <c r="F30" s="33">
        <f>F29/F25</f>
        <v>13607.315511163337</v>
      </c>
      <c r="G30" s="33">
        <f t="shared" ref="G30:J30" si="1">G29/G25</f>
        <v>9632.1466828971388</v>
      </c>
      <c r="H30" s="33">
        <f t="shared" si="1"/>
        <v>24242.655097613882</v>
      </c>
      <c r="I30" s="33">
        <f t="shared" si="1"/>
        <v>289023.3344155844</v>
      </c>
      <c r="J30" s="33">
        <f t="shared" si="1"/>
        <v>16369364</v>
      </c>
      <c r="K30" s="43"/>
    </row>
    <row r="31" spans="1:11">
      <c r="A31" s="27">
        <v>19</v>
      </c>
      <c r="C31" s="48" t="s">
        <v>166</v>
      </c>
      <c r="D31" s="50"/>
      <c r="E31" s="46"/>
      <c r="F31" s="33">
        <f>F30*F27</f>
        <v>217717.04817861339</v>
      </c>
      <c r="G31" s="33">
        <f t="shared" ref="G31:J31" si="2">G30*G27</f>
        <v>674250.2678027997</v>
      </c>
      <c r="H31" s="33">
        <f t="shared" si="2"/>
        <v>169698.58568329719</v>
      </c>
      <c r="I31" s="33">
        <f t="shared" si="2"/>
        <v>578046.66883116879</v>
      </c>
      <c r="J31" s="33">
        <f t="shared" si="2"/>
        <v>0</v>
      </c>
      <c r="K31" s="51">
        <f>SUM(F31:J31)</f>
        <v>1639712.5704958793</v>
      </c>
    </row>
    <row r="32" spans="1:11">
      <c r="A32" s="27">
        <v>20</v>
      </c>
      <c r="C32" s="48"/>
      <c r="D32" s="50"/>
      <c r="E32" s="46"/>
      <c r="F32" s="46"/>
      <c r="G32" s="46"/>
    </row>
    <row r="33" spans="1:11">
      <c r="A33" s="27"/>
      <c r="C33" s="48" t="s">
        <v>644</v>
      </c>
      <c r="D33" s="50"/>
      <c r="E33" s="46"/>
      <c r="F33" s="46"/>
      <c r="G33" s="46"/>
    </row>
    <row r="34" spans="1:11">
      <c r="A34" s="27">
        <v>21</v>
      </c>
      <c r="C34" s="52" t="s">
        <v>167</v>
      </c>
      <c r="D34" s="50"/>
      <c r="E34" s="46"/>
      <c r="F34" s="46"/>
      <c r="G34" s="46"/>
    </row>
    <row r="35" spans="1:11">
      <c r="A35" s="27">
        <v>22</v>
      </c>
      <c r="C35" s="48" t="s">
        <v>168</v>
      </c>
      <c r="D35" s="50"/>
      <c r="E35" s="46"/>
      <c r="F35" s="46">
        <v>38824602</v>
      </c>
      <c r="G35" s="46">
        <v>3780496</v>
      </c>
      <c r="H35" s="41">
        <v>2721694</v>
      </c>
      <c r="I35" s="41">
        <v>12707902</v>
      </c>
      <c r="J35" s="41">
        <v>940309</v>
      </c>
      <c r="K35" s="43"/>
    </row>
    <row r="36" spans="1:11">
      <c r="A36" s="27">
        <v>23</v>
      </c>
      <c r="C36" s="48" t="s">
        <v>169</v>
      </c>
      <c r="D36" s="50"/>
      <c r="E36" s="46"/>
      <c r="F36" s="53">
        <f>F35/F29</f>
        <v>0.11175931796208846</v>
      </c>
      <c r="G36" s="53">
        <f t="shared" ref="G36:J36" si="3">G35/G29</f>
        <v>0.11944229409823326</v>
      </c>
      <c r="H36" s="53">
        <f t="shared" si="3"/>
        <v>0.24353320691805125</v>
      </c>
      <c r="I36" s="53">
        <f t="shared" si="3"/>
        <v>7.1377320037757708E-2</v>
      </c>
      <c r="J36" s="53">
        <f t="shared" si="3"/>
        <v>5.7443221373780926E-2</v>
      </c>
      <c r="K36" s="43"/>
    </row>
    <row r="37" spans="1:11">
      <c r="A37" s="27">
        <v>24</v>
      </c>
      <c r="C37" s="48" t="s">
        <v>170</v>
      </c>
      <c r="D37" s="50"/>
      <c r="E37" s="46"/>
      <c r="F37" s="46">
        <f>F36*F31</f>
        <v>24331.908813160986</v>
      </c>
      <c r="G37" s="46">
        <f t="shared" ref="G37:J37" si="4">G36*G31</f>
        <v>80533.998782714538</v>
      </c>
      <c r="H37" s="46">
        <f t="shared" si="4"/>
        <v>41327.240780911066</v>
      </c>
      <c r="I37" s="46">
        <f t="shared" si="4"/>
        <v>41259.422077922078</v>
      </c>
      <c r="J37" s="46">
        <f t="shared" si="4"/>
        <v>0</v>
      </c>
      <c r="K37" s="51">
        <f>SUM(F37:J37)</f>
        <v>187452.57045470865</v>
      </c>
    </row>
    <row r="38" spans="1:11">
      <c r="A38" s="27">
        <v>25</v>
      </c>
      <c r="C38" s="48"/>
      <c r="D38" s="50"/>
      <c r="E38" s="46"/>
      <c r="F38" s="46"/>
      <c r="G38" s="46"/>
      <c r="H38" s="46"/>
      <c r="I38" s="46"/>
      <c r="J38" s="46"/>
    </row>
    <row r="39" spans="1:11">
      <c r="A39" s="27">
        <v>26</v>
      </c>
      <c r="C39" s="52" t="s">
        <v>171</v>
      </c>
      <c r="D39" s="50"/>
      <c r="E39" s="46"/>
      <c r="F39" s="46"/>
      <c r="G39" s="46"/>
      <c r="H39" s="46"/>
      <c r="I39" s="46"/>
      <c r="J39" s="46"/>
    </row>
    <row r="40" spans="1:11">
      <c r="A40" s="27">
        <v>27</v>
      </c>
      <c r="C40" s="48" t="s">
        <v>172</v>
      </c>
      <c r="D40" s="50"/>
      <c r="E40" s="46"/>
      <c r="F40" s="54">
        <f>G57/G58</f>
        <v>9.211567678205404E-2</v>
      </c>
      <c r="G40" s="54">
        <f>F40</f>
        <v>9.211567678205404E-2</v>
      </c>
      <c r="H40" s="54">
        <f t="shared" ref="H40:J40" si="5">G40</f>
        <v>9.211567678205404E-2</v>
      </c>
      <c r="I40" s="54">
        <f t="shared" si="5"/>
        <v>9.211567678205404E-2</v>
      </c>
      <c r="J40" s="54">
        <f t="shared" si="5"/>
        <v>9.211567678205404E-2</v>
      </c>
      <c r="K40" s="43"/>
    </row>
    <row r="41" spans="1:11">
      <c r="A41" s="27">
        <v>28</v>
      </c>
      <c r="C41" s="48" t="s">
        <v>173</v>
      </c>
      <c r="D41" s="50"/>
      <c r="E41" s="46"/>
      <c r="F41" s="46">
        <f>F40*F31</f>
        <v>20055.153239964038</v>
      </c>
      <c r="G41" s="46">
        <f>G40*G31</f>
        <v>62109.019739136078</v>
      </c>
      <c r="H41" s="46">
        <f>H40*H31</f>
        <v>15631.900069174308</v>
      </c>
      <c r="I41" s="46">
        <f>I40*I31</f>
        <v>53247.160110994977</v>
      </c>
      <c r="J41" s="46">
        <f>J40*J31</f>
        <v>0</v>
      </c>
      <c r="K41" s="51">
        <f>SUM(F41:J41)</f>
        <v>151043.23315926941</v>
      </c>
    </row>
    <row r="42" spans="1:11" ht="13.5" thickBot="1">
      <c r="A42" s="27">
        <v>29</v>
      </c>
      <c r="C42" s="55"/>
      <c r="D42" s="56"/>
      <c r="E42" s="57"/>
      <c r="F42" s="57"/>
      <c r="G42" s="57"/>
      <c r="H42" s="57"/>
      <c r="I42" s="57"/>
      <c r="J42" s="57"/>
      <c r="K42" s="55"/>
    </row>
    <row r="43" spans="1:11" ht="13.5" thickTop="1">
      <c r="A43" s="27">
        <v>30</v>
      </c>
      <c r="C43" s="48"/>
      <c r="D43" s="50"/>
      <c r="E43" s="46"/>
    </row>
    <row r="44" spans="1:11">
      <c r="A44" s="27">
        <v>31</v>
      </c>
      <c r="C44" s="48"/>
      <c r="D44" s="58"/>
      <c r="E44" s="46"/>
      <c r="F44" s="59" t="s">
        <v>174</v>
      </c>
      <c r="G44" s="59" t="s">
        <v>54</v>
      </c>
      <c r="I44" s="59" t="s">
        <v>175</v>
      </c>
    </row>
    <row r="45" spans="1:11">
      <c r="A45" s="27">
        <v>32</v>
      </c>
      <c r="C45" s="58" t="s">
        <v>128</v>
      </c>
      <c r="D45" s="58"/>
      <c r="E45" s="46"/>
      <c r="F45" s="60">
        <v>0</v>
      </c>
      <c r="G45" s="60">
        <v>0</v>
      </c>
      <c r="I45" s="61">
        <f>F45-G45</f>
        <v>0</v>
      </c>
    </row>
    <row r="46" spans="1:11">
      <c r="A46" s="27">
        <v>33</v>
      </c>
      <c r="C46" s="58"/>
      <c r="D46" s="58"/>
      <c r="E46" s="46"/>
      <c r="F46" s="46"/>
    </row>
    <row r="47" spans="1:11">
      <c r="A47" s="27">
        <v>34</v>
      </c>
      <c r="C47" s="62" t="s">
        <v>176</v>
      </c>
      <c r="E47" s="41"/>
      <c r="F47" s="41">
        <f>K37</f>
        <v>187452.57045470865</v>
      </c>
      <c r="G47" s="41">
        <f>K41</f>
        <v>151043.23315926941</v>
      </c>
      <c r="I47" s="61">
        <f>F47-G47</f>
        <v>36409.33729543924</v>
      </c>
    </row>
    <row r="48" spans="1:11">
      <c r="A48" s="27">
        <v>35</v>
      </c>
      <c r="C48" s="62"/>
    </row>
    <row r="49" spans="1:11" ht="13.5" thickBot="1">
      <c r="A49" s="27">
        <v>36</v>
      </c>
      <c r="C49" s="63" t="s">
        <v>10</v>
      </c>
      <c r="D49" s="64"/>
      <c r="E49" s="65"/>
      <c r="F49" s="66">
        <f>ROUND(F47-F45,2)</f>
        <v>187452.57</v>
      </c>
      <c r="G49" s="66">
        <f>ROUND(G47-G45,2)</f>
        <v>151043.23000000001</v>
      </c>
      <c r="I49" s="66">
        <f>ROUND(I47-I45,2)</f>
        <v>36409.339999999997</v>
      </c>
    </row>
    <row r="50" spans="1:11" ht="13.5" thickTop="1">
      <c r="A50" s="27">
        <v>37</v>
      </c>
    </row>
    <row r="51" spans="1:11">
      <c r="A51" s="27">
        <v>38</v>
      </c>
    </row>
    <row r="52" spans="1:11">
      <c r="A52" s="27">
        <v>39</v>
      </c>
      <c r="C52" s="67" t="s">
        <v>177</v>
      </c>
      <c r="G52" s="68" t="s">
        <v>178</v>
      </c>
    </row>
    <row r="53" spans="1:11">
      <c r="A53" s="27">
        <v>40</v>
      </c>
      <c r="C53" s="48" t="s">
        <v>179</v>
      </c>
      <c r="D53" s="50"/>
      <c r="E53" s="46"/>
      <c r="G53" s="46">
        <v>53014406.390000001</v>
      </c>
    </row>
    <row r="54" spans="1:11">
      <c r="A54" s="27">
        <v>41</v>
      </c>
      <c r="C54" s="48" t="s">
        <v>180</v>
      </c>
      <c r="D54" s="50"/>
      <c r="E54" s="46"/>
      <c r="G54" s="46">
        <v>788072</v>
      </c>
    </row>
    <row r="55" spans="1:11">
      <c r="A55" s="27">
        <v>42</v>
      </c>
      <c r="C55" s="48" t="s">
        <v>181</v>
      </c>
      <c r="D55" s="50"/>
      <c r="E55" s="46"/>
      <c r="G55" s="46">
        <v>4205571</v>
      </c>
    </row>
    <row r="56" spans="1:11">
      <c r="A56" s="27">
        <v>43</v>
      </c>
      <c r="C56" s="48" t="s">
        <v>190</v>
      </c>
      <c r="D56" s="50"/>
      <c r="E56" s="46"/>
      <c r="G56" s="46">
        <v>-123418</v>
      </c>
    </row>
    <row r="57" spans="1:11">
      <c r="A57" s="27">
        <v>44</v>
      </c>
      <c r="C57" s="48" t="s">
        <v>182</v>
      </c>
      <c r="D57" s="50"/>
      <c r="E57" s="46"/>
      <c r="G57" s="46">
        <f>SUM(G53:G56)</f>
        <v>57884631.390000001</v>
      </c>
    </row>
    <row r="58" spans="1:11">
      <c r="A58" s="27">
        <v>45</v>
      </c>
      <c r="C58" s="48" t="s">
        <v>183</v>
      </c>
      <c r="D58" s="50"/>
      <c r="E58" s="46"/>
      <c r="G58" s="33">
        <v>628390665</v>
      </c>
    </row>
    <row r="60" spans="1:11" ht="12.75" customHeight="1">
      <c r="C60" s="404" t="s">
        <v>184</v>
      </c>
      <c r="D60" s="404"/>
      <c r="E60" s="404"/>
      <c r="F60" s="404"/>
      <c r="G60" s="404"/>
      <c r="H60" s="404"/>
      <c r="I60" s="404"/>
      <c r="J60" s="404"/>
      <c r="K60" s="404"/>
    </row>
  </sheetData>
  <mergeCells count="4">
    <mergeCell ref="A4:K4"/>
    <mergeCell ref="A5:K5"/>
    <mergeCell ref="A7:K7"/>
    <mergeCell ref="C60:K60"/>
  </mergeCells>
  <printOptions horizontalCentered="1"/>
  <pageMargins left="0.25" right="0.25" top="0.75" bottom="0.75" header="0.5" footer="0.25"/>
  <pageSetup scale="98" fitToHeight="2" orientation="landscape" r:id="rId1"/>
  <headerFooter alignWithMargins="0">
    <oddFooter>&amp;RExhibit JW-2
Page &amp;P of &amp;N</oddFooter>
  </headerFooter>
  <rowBreaks count="1" manualBreakCount="1">
    <brk id="33" max="10" man="1"/>
  </rowBreaks>
  <ignoredErrors>
    <ignoredError sqref="C10:K10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82"/>
  <sheetViews>
    <sheetView view="pageBreakPreview" topLeftCell="A108" zoomScaleNormal="100" zoomScaleSheetLayoutView="100" workbookViewId="0">
      <selection activeCell="J122" sqref="J122"/>
    </sheetView>
  </sheetViews>
  <sheetFormatPr defaultRowHeight="12.75"/>
  <cols>
    <col min="1" max="1" width="5.85546875" style="40" customWidth="1"/>
    <col min="2" max="2" width="1.28515625" style="62" customWidth="1"/>
    <col min="3" max="3" width="6.42578125" style="40" customWidth="1"/>
    <col min="4" max="4" width="8.85546875" style="40" customWidth="1"/>
    <col min="5" max="5" width="11.140625" style="62" hidden="1" customWidth="1"/>
    <col min="6" max="6" width="5.42578125" style="40" customWidth="1"/>
    <col min="7" max="7" width="1.42578125" style="40" customWidth="1"/>
    <col min="8" max="8" width="11.140625" style="62" customWidth="1"/>
    <col min="9" max="10" width="10.85546875" style="62" customWidth="1"/>
    <col min="11" max="11" width="1.28515625" style="62" customWidth="1"/>
    <col min="12" max="12" width="11.28515625" style="62" bestFit="1" customWidth="1"/>
    <col min="13" max="14" width="10.85546875" style="62" customWidth="1"/>
    <col min="15" max="15" width="12.28515625" style="62" customWidth="1"/>
    <col min="16" max="16" width="1.140625" style="62" customWidth="1"/>
    <col min="17" max="17" width="8.7109375" style="62" customWidth="1"/>
    <col min="18" max="18" width="0.85546875" style="62" customWidth="1"/>
    <col min="19" max="22" width="10.85546875" style="62" customWidth="1"/>
    <col min="23" max="23" width="1" style="62" customWidth="1"/>
    <col min="24" max="24" width="11.5703125" style="62" customWidth="1"/>
    <col min="25" max="25" width="9.140625" style="62"/>
    <col min="26" max="26" width="12.85546875" style="100" bestFit="1" customWidth="1"/>
    <col min="27" max="27" width="9.7109375" style="62" bestFit="1" customWidth="1"/>
    <col min="28" max="28" width="10.28515625" style="62" bestFit="1" customWidth="1"/>
    <col min="29" max="29" width="9.85546875" style="62" bestFit="1" customWidth="1"/>
    <col min="30" max="16384" width="9.140625" style="62"/>
  </cols>
  <sheetData>
    <row r="1" spans="1:39">
      <c r="X1" s="36" t="s">
        <v>618</v>
      </c>
    </row>
    <row r="2" spans="1:39" ht="9.75" customHeight="1">
      <c r="L2" s="99"/>
    </row>
    <row r="3" spans="1:39">
      <c r="A3" s="420" t="s">
        <v>223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</row>
    <row r="4" spans="1:39">
      <c r="A4" s="420" t="s">
        <v>224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</row>
    <row r="6" spans="1:39" s="101" customFormat="1" ht="15" customHeight="1">
      <c r="A6" s="403" t="s">
        <v>58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3"/>
      <c r="X6" s="403"/>
      <c r="Z6" s="100"/>
    </row>
    <row r="7" spans="1:39" ht="7.5" customHeight="1">
      <c r="W7" s="101"/>
    </row>
    <row r="8" spans="1:39" ht="20.25" customHeight="1">
      <c r="C8" s="411" t="s">
        <v>225</v>
      </c>
      <c r="D8" s="411"/>
      <c r="E8" s="411"/>
      <c r="F8" s="411"/>
      <c r="H8" s="411" t="s">
        <v>226</v>
      </c>
      <c r="I8" s="411"/>
      <c r="J8" s="411"/>
      <c r="L8" s="411" t="s">
        <v>227</v>
      </c>
      <c r="M8" s="411"/>
      <c r="N8" s="411"/>
      <c r="O8" s="411"/>
      <c r="P8" s="50"/>
      <c r="Q8" s="408" t="s">
        <v>228</v>
      </c>
      <c r="S8" s="411" t="s">
        <v>229</v>
      </c>
      <c r="T8" s="411"/>
      <c r="U8" s="411"/>
      <c r="V8" s="411"/>
      <c r="W8" s="101"/>
      <c r="X8" s="408" t="s">
        <v>230</v>
      </c>
    </row>
    <row r="9" spans="1:39" ht="30.75" customHeight="1">
      <c r="A9" s="102" t="s">
        <v>7</v>
      </c>
      <c r="B9" s="103"/>
      <c r="C9" s="102" t="s">
        <v>231</v>
      </c>
      <c r="D9" s="102" t="s">
        <v>232</v>
      </c>
      <c r="E9" s="104" t="s">
        <v>233</v>
      </c>
      <c r="F9" s="102" t="s">
        <v>234</v>
      </c>
      <c r="H9" s="21" t="s">
        <v>235</v>
      </c>
      <c r="I9" s="21" t="s">
        <v>236</v>
      </c>
      <c r="J9" s="21" t="s">
        <v>237</v>
      </c>
      <c r="K9" s="105"/>
      <c r="L9" s="21" t="s">
        <v>235</v>
      </c>
      <c r="M9" s="208" t="s">
        <v>236</v>
      </c>
      <c r="N9" s="21" t="s">
        <v>237</v>
      </c>
      <c r="O9" s="208" t="s">
        <v>57</v>
      </c>
      <c r="P9" s="106"/>
      <c r="Q9" s="408"/>
      <c r="R9" s="106"/>
      <c r="S9" s="208" t="s">
        <v>235</v>
      </c>
      <c r="T9" s="208" t="s">
        <v>236</v>
      </c>
      <c r="U9" s="21" t="s">
        <v>237</v>
      </c>
      <c r="V9" s="208" t="s">
        <v>57</v>
      </c>
      <c r="W9" s="107"/>
      <c r="X9" s="408"/>
    </row>
    <row r="10" spans="1:39">
      <c r="A10" s="24" t="s">
        <v>11</v>
      </c>
      <c r="B10" s="103"/>
      <c r="C10" s="25">
        <v>1</v>
      </c>
      <c r="D10" s="25">
        <f>C10+1</f>
        <v>2</v>
      </c>
      <c r="E10" s="108" t="s">
        <v>238</v>
      </c>
      <c r="F10" s="25">
        <f>D10+1</f>
        <v>3</v>
      </c>
      <c r="H10" s="25">
        <f>F10+1</f>
        <v>4</v>
      </c>
      <c r="I10" s="25">
        <f>H10+1</f>
        <v>5</v>
      </c>
      <c r="J10" s="25">
        <f>I10+1</f>
        <v>6</v>
      </c>
      <c r="K10" s="105"/>
      <c r="L10" s="25">
        <f>J10+1</f>
        <v>7</v>
      </c>
      <c r="M10" s="25">
        <f>L10+1</f>
        <v>8</v>
      </c>
      <c r="N10" s="25">
        <f>M10+1</f>
        <v>9</v>
      </c>
      <c r="O10" s="25">
        <f>N10+1</f>
        <v>10</v>
      </c>
      <c r="P10" s="106"/>
      <c r="Q10" s="25">
        <f>O10+1</f>
        <v>11</v>
      </c>
      <c r="R10" s="106"/>
      <c r="S10" s="25">
        <f>Q10+1</f>
        <v>12</v>
      </c>
      <c r="T10" s="25">
        <f>S10+1</f>
        <v>13</v>
      </c>
      <c r="U10" s="25">
        <f>T10+1</f>
        <v>14</v>
      </c>
      <c r="V10" s="25">
        <f>U10+1</f>
        <v>15</v>
      </c>
      <c r="W10" s="107"/>
      <c r="X10" s="25">
        <f>V10+1</f>
        <v>16</v>
      </c>
    </row>
    <row r="11" spans="1:39">
      <c r="A11" s="102"/>
      <c r="B11" s="103"/>
      <c r="C11" s="102"/>
      <c r="D11" s="102"/>
      <c r="E11" s="103"/>
      <c r="F11" s="102"/>
      <c r="H11" s="103"/>
      <c r="I11" s="103"/>
      <c r="J11" s="103"/>
      <c r="K11" s="105"/>
      <c r="L11" s="103"/>
      <c r="P11" s="106"/>
      <c r="R11" s="106"/>
      <c r="W11" s="107"/>
    </row>
    <row r="12" spans="1:39" ht="20.100000000000001" hidden="1" customHeight="1" thickTop="1" thickBot="1">
      <c r="I12" s="109"/>
      <c r="J12" s="109"/>
      <c r="K12" s="110"/>
      <c r="L12" s="111" t="s">
        <v>227</v>
      </c>
      <c r="M12" s="112"/>
      <c r="N12" s="112"/>
      <c r="O12" s="113"/>
      <c r="P12" s="106"/>
      <c r="Q12" s="208" t="s">
        <v>239</v>
      </c>
      <c r="R12" s="106"/>
      <c r="S12" s="412" t="s">
        <v>240</v>
      </c>
      <c r="T12" s="413"/>
      <c r="U12" s="413"/>
      <c r="V12" s="414"/>
      <c r="W12" s="107"/>
      <c r="Y12" s="208"/>
      <c r="Z12" s="114"/>
      <c r="AA12" s="208"/>
      <c r="AB12" s="208"/>
      <c r="AK12" s="115"/>
      <c r="AM12" s="115"/>
    </row>
    <row r="13" spans="1:39" ht="20.100000000000001" hidden="1" customHeight="1" thickTop="1" thickBot="1">
      <c r="D13" s="116"/>
      <c r="E13" s="117"/>
      <c r="F13" s="116"/>
      <c r="G13" s="116"/>
      <c r="H13" s="415" t="s">
        <v>226</v>
      </c>
      <c r="I13" s="416"/>
      <c r="J13" s="417"/>
      <c r="K13" s="118"/>
      <c r="L13" s="119"/>
      <c r="M13" s="58"/>
      <c r="N13" s="58"/>
      <c r="O13" s="120"/>
      <c r="P13" s="106"/>
      <c r="Q13" s="208" t="s">
        <v>193</v>
      </c>
      <c r="R13" s="106"/>
      <c r="S13" s="418" t="s">
        <v>241</v>
      </c>
      <c r="T13" s="419"/>
      <c r="U13" s="121"/>
      <c r="V13" s="122"/>
      <c r="W13" s="107"/>
      <c r="Y13" s="208"/>
      <c r="Z13" s="114"/>
      <c r="AA13" s="208"/>
      <c r="AB13" s="208"/>
      <c r="AC13" s="40"/>
      <c r="AD13" s="40"/>
      <c r="AE13" s="40"/>
      <c r="AF13" s="40"/>
      <c r="AG13" s="40"/>
      <c r="AK13" s="115"/>
      <c r="AM13" s="115"/>
    </row>
    <row r="14" spans="1:39" s="40" customFormat="1" ht="26.25" hidden="1" thickBot="1">
      <c r="C14" s="40" t="s">
        <v>231</v>
      </c>
      <c r="D14" s="40" t="s">
        <v>242</v>
      </c>
      <c r="E14" s="123" t="s">
        <v>242</v>
      </c>
      <c r="H14" s="124" t="s">
        <v>243</v>
      </c>
      <c r="I14" s="125" t="s">
        <v>244</v>
      </c>
      <c r="J14" s="126" t="s">
        <v>245</v>
      </c>
      <c r="K14" s="127"/>
      <c r="L14" s="124" t="s">
        <v>235</v>
      </c>
      <c r="M14" s="128" t="s">
        <v>236</v>
      </c>
      <c r="N14" s="126" t="s">
        <v>245</v>
      </c>
      <c r="O14" s="129" t="s">
        <v>57</v>
      </c>
      <c r="P14" s="106"/>
      <c r="Q14" s="130" t="s">
        <v>246</v>
      </c>
      <c r="R14" s="106"/>
      <c r="S14" s="131" t="s">
        <v>235</v>
      </c>
      <c r="T14" s="131" t="s">
        <v>236</v>
      </c>
      <c r="U14" s="126" t="s">
        <v>245</v>
      </c>
      <c r="V14" s="132" t="s">
        <v>57</v>
      </c>
      <c r="W14" s="107"/>
      <c r="Y14" s="133"/>
      <c r="Z14" s="134"/>
      <c r="AA14" s="135"/>
      <c r="AB14" s="130"/>
      <c r="AC14" s="136"/>
      <c r="AD14" s="136"/>
      <c r="AE14" s="116"/>
      <c r="AF14" s="116"/>
      <c r="AG14" s="116"/>
      <c r="AJ14" s="137"/>
      <c r="AL14" s="138"/>
    </row>
    <row r="15" spans="1:39">
      <c r="A15" s="40">
        <v>1</v>
      </c>
      <c r="C15" s="139" t="s">
        <v>247</v>
      </c>
      <c r="F15" s="140"/>
      <c r="G15" s="140"/>
      <c r="H15" s="141"/>
      <c r="I15" s="141"/>
      <c r="J15" s="141"/>
      <c r="K15" s="142"/>
      <c r="L15" s="143"/>
      <c r="M15" s="143"/>
      <c r="N15" s="143"/>
      <c r="O15" s="143"/>
      <c r="P15" s="106"/>
      <c r="R15" s="106"/>
      <c r="W15" s="107"/>
    </row>
    <row r="16" spans="1:39">
      <c r="A16" s="40">
        <f>A15+1</f>
        <v>2</v>
      </c>
      <c r="C16" s="40">
        <v>1</v>
      </c>
      <c r="D16" s="40" t="s">
        <v>248</v>
      </c>
      <c r="E16" s="144">
        <v>14</v>
      </c>
      <c r="H16" s="141">
        <v>2080</v>
      </c>
      <c r="I16" s="141"/>
      <c r="J16" s="141">
        <v>32</v>
      </c>
      <c r="K16" s="142"/>
      <c r="L16" s="143">
        <v>76364.73</v>
      </c>
      <c r="M16" s="143"/>
      <c r="N16" s="143">
        <v>1380.81</v>
      </c>
      <c r="O16" s="143">
        <f>SUM(L16:N16)</f>
        <v>77745.539999999994</v>
      </c>
      <c r="P16" s="106"/>
      <c r="Q16" s="145">
        <v>39.692999999999998</v>
      </c>
      <c r="R16" s="106"/>
      <c r="S16" s="146">
        <f t="shared" ref="S16:S27" si="0">2080*Q16</f>
        <v>82561.440000000002</v>
      </c>
      <c r="T16" s="146"/>
      <c r="U16" s="146">
        <f t="shared" ref="U16:U26" si="1">IF(N16=0," ",+J16*Q16)</f>
        <v>1270.1759999999999</v>
      </c>
      <c r="V16" s="146">
        <f t="shared" ref="V16:V28" si="2">SUM(S16:U16)</f>
        <v>83831.616000000009</v>
      </c>
      <c r="W16" s="107"/>
      <c r="X16" s="100">
        <f t="shared" ref="X16:X29" si="3">V16-O16</f>
        <v>6086.0760000000155</v>
      </c>
      <c r="Y16" s="202"/>
      <c r="Z16" s="202"/>
      <c r="AA16" s="147"/>
    </row>
    <row r="17" spans="1:27">
      <c r="A17" s="40">
        <f t="shared" ref="A17:A80" si="4">A16+1</f>
        <v>3</v>
      </c>
      <c r="C17" s="40">
        <v>1</v>
      </c>
      <c r="D17" s="40" t="s">
        <v>249</v>
      </c>
      <c r="E17" s="144">
        <v>16</v>
      </c>
      <c r="H17" s="141">
        <v>2080</v>
      </c>
      <c r="I17" s="141"/>
      <c r="J17" s="141">
        <v>152</v>
      </c>
      <c r="K17" s="142"/>
      <c r="L17" s="143">
        <v>151009.85</v>
      </c>
      <c r="M17" s="143"/>
      <c r="N17" s="143">
        <v>26861.66</v>
      </c>
      <c r="O17" s="143">
        <f t="shared" ref="O17:O28" si="5">SUM(L17:N17)</f>
        <v>177871.51</v>
      </c>
      <c r="P17" s="106"/>
      <c r="Q17" s="145">
        <f>129.81</f>
        <v>129.81</v>
      </c>
      <c r="R17" s="106"/>
      <c r="S17" s="146">
        <f t="shared" si="0"/>
        <v>270004.8</v>
      </c>
      <c r="T17" s="146"/>
      <c r="U17" s="146">
        <f t="shared" si="1"/>
        <v>19731.12</v>
      </c>
      <c r="V17" s="146">
        <f t="shared" si="2"/>
        <v>289735.92</v>
      </c>
      <c r="W17" s="107"/>
      <c r="X17" s="100">
        <f t="shared" si="3"/>
        <v>111864.40999999997</v>
      </c>
      <c r="Z17" s="202"/>
      <c r="AA17" s="147"/>
    </row>
    <row r="18" spans="1:27">
      <c r="A18" s="40">
        <f t="shared" si="4"/>
        <v>4</v>
      </c>
      <c r="C18" s="40">
        <v>1</v>
      </c>
      <c r="D18" s="40" t="s">
        <v>250</v>
      </c>
      <c r="E18" s="144">
        <v>130</v>
      </c>
      <c r="F18" s="40" t="s">
        <v>251</v>
      </c>
      <c r="H18" s="141">
        <v>2032</v>
      </c>
      <c r="I18" s="141"/>
      <c r="J18" s="141">
        <v>52</v>
      </c>
      <c r="K18" s="142"/>
      <c r="L18" s="143">
        <v>92037.13</v>
      </c>
      <c r="M18" s="143"/>
      <c r="N18" s="143">
        <v>5818.48</v>
      </c>
      <c r="O18" s="143">
        <f t="shared" si="5"/>
        <v>97855.61</v>
      </c>
      <c r="P18" s="106"/>
      <c r="Q18" s="145">
        <v>45.936</v>
      </c>
      <c r="R18" s="106"/>
      <c r="S18" s="146">
        <f t="shared" si="0"/>
        <v>95546.880000000005</v>
      </c>
      <c r="T18" s="146"/>
      <c r="U18" s="146">
        <f>IF(N18=0," ",+J18*Q18)+13*325</f>
        <v>6613.6720000000005</v>
      </c>
      <c r="V18" s="146">
        <f t="shared" si="2"/>
        <v>102160.55200000001</v>
      </c>
      <c r="W18" s="107"/>
      <c r="X18" s="100">
        <f t="shared" si="3"/>
        <v>4304.94200000001</v>
      </c>
      <c r="Z18" s="202"/>
      <c r="AA18" s="147"/>
    </row>
    <row r="19" spans="1:27">
      <c r="A19" s="40">
        <f t="shared" si="4"/>
        <v>5</v>
      </c>
      <c r="C19" s="40">
        <v>1</v>
      </c>
      <c r="D19" s="40" t="s">
        <v>252</v>
      </c>
      <c r="E19" s="144">
        <v>136</v>
      </c>
      <c r="F19" s="40" t="s">
        <v>251</v>
      </c>
      <c r="H19" s="141">
        <v>2080</v>
      </c>
      <c r="I19" s="141"/>
      <c r="J19" s="141">
        <v>88</v>
      </c>
      <c r="K19" s="142"/>
      <c r="L19" s="143">
        <v>93526.54</v>
      </c>
      <c r="M19" s="143"/>
      <c r="N19" s="143">
        <v>9970.92</v>
      </c>
      <c r="O19" s="143">
        <f t="shared" si="5"/>
        <v>103497.45999999999</v>
      </c>
      <c r="P19" s="106"/>
      <c r="Q19" s="145">
        <v>45.587000000000003</v>
      </c>
      <c r="R19" s="106"/>
      <c r="S19" s="146">
        <f t="shared" si="0"/>
        <v>94820.96</v>
      </c>
      <c r="T19" s="146"/>
      <c r="U19" s="146">
        <f>IF(N19=0," ",+J19*Q19)+13*325</f>
        <v>8236.6560000000009</v>
      </c>
      <c r="V19" s="146">
        <f t="shared" si="2"/>
        <v>103057.61600000001</v>
      </c>
      <c r="W19" s="107"/>
      <c r="X19" s="100">
        <f t="shared" si="3"/>
        <v>-439.84399999998277</v>
      </c>
      <c r="Z19" s="202"/>
      <c r="AA19" s="147"/>
    </row>
    <row r="20" spans="1:27">
      <c r="A20" s="40">
        <f t="shared" si="4"/>
        <v>6</v>
      </c>
      <c r="C20" s="40">
        <v>1</v>
      </c>
      <c r="D20" s="40" t="s">
        <v>253</v>
      </c>
      <c r="E20" s="144">
        <v>149</v>
      </c>
      <c r="F20" s="40" t="s">
        <v>254</v>
      </c>
      <c r="H20" s="141">
        <v>2080</v>
      </c>
      <c r="I20" s="141"/>
      <c r="J20" s="141">
        <v>168</v>
      </c>
      <c r="K20" s="142"/>
      <c r="L20" s="143">
        <v>72012.710000000006</v>
      </c>
      <c r="M20" s="143"/>
      <c r="N20" s="143">
        <v>12176.3</v>
      </c>
      <c r="O20" s="143">
        <f t="shared" si="5"/>
        <v>84189.010000000009</v>
      </c>
      <c r="P20" s="106"/>
      <c r="Q20" s="145">
        <v>35.36</v>
      </c>
      <c r="R20" s="106"/>
      <c r="S20" s="146">
        <f t="shared" si="0"/>
        <v>73548.800000000003</v>
      </c>
      <c r="T20" s="146"/>
      <c r="U20" s="146">
        <f>IF(N20=0," ",+J20*Q20)+125*52</f>
        <v>12440.48</v>
      </c>
      <c r="V20" s="146">
        <f t="shared" si="2"/>
        <v>85989.28</v>
      </c>
      <c r="W20" s="107"/>
      <c r="X20" s="100">
        <f t="shared" si="3"/>
        <v>1800.2699999999895</v>
      </c>
      <c r="Z20" s="202"/>
      <c r="AA20" s="147"/>
    </row>
    <row r="21" spans="1:27">
      <c r="A21" s="40">
        <f t="shared" si="4"/>
        <v>7</v>
      </c>
      <c r="C21" s="40">
        <v>1</v>
      </c>
      <c r="D21" s="40" t="s">
        <v>255</v>
      </c>
      <c r="E21" s="144">
        <v>157</v>
      </c>
      <c r="H21" s="141">
        <v>632</v>
      </c>
      <c r="I21" s="141"/>
      <c r="J21" s="141">
        <v>0</v>
      </c>
      <c r="K21" s="142"/>
      <c r="L21" s="143">
        <v>27040.9</v>
      </c>
      <c r="M21" s="143"/>
      <c r="N21" s="143">
        <v>110.52</v>
      </c>
      <c r="O21" s="143">
        <f t="shared" si="5"/>
        <v>27151.420000000002</v>
      </c>
      <c r="P21" s="106"/>
      <c r="Q21" s="145">
        <v>42.786000000000001</v>
      </c>
      <c r="R21" s="106"/>
      <c r="S21" s="146">
        <f t="shared" si="0"/>
        <v>88994.880000000005</v>
      </c>
      <c r="T21" s="146"/>
      <c r="U21" s="146">
        <f t="shared" si="1"/>
        <v>0</v>
      </c>
      <c r="V21" s="146">
        <f t="shared" si="2"/>
        <v>88994.880000000005</v>
      </c>
      <c r="W21" s="107"/>
      <c r="X21" s="100">
        <f t="shared" si="3"/>
        <v>61843.460000000006</v>
      </c>
      <c r="Z21" s="202"/>
      <c r="AA21" s="147"/>
    </row>
    <row r="22" spans="1:27">
      <c r="A22" s="40">
        <f t="shared" si="4"/>
        <v>8</v>
      </c>
      <c r="C22" s="40">
        <v>1</v>
      </c>
      <c r="D22" s="40" t="s">
        <v>256</v>
      </c>
      <c r="E22" s="144">
        <v>159</v>
      </c>
      <c r="H22" s="141">
        <v>2080</v>
      </c>
      <c r="I22" s="141"/>
      <c r="J22" s="141">
        <v>136</v>
      </c>
      <c r="K22" s="142"/>
      <c r="L22" s="143">
        <v>63655.17</v>
      </c>
      <c r="M22" s="143"/>
      <c r="N22" s="143">
        <v>4330.33</v>
      </c>
      <c r="O22" s="143">
        <f t="shared" si="5"/>
        <v>67985.5</v>
      </c>
      <c r="P22" s="106"/>
      <c r="Q22" s="145">
        <v>31.027000000000001</v>
      </c>
      <c r="R22" s="106"/>
      <c r="S22" s="146">
        <f t="shared" si="0"/>
        <v>64536.160000000003</v>
      </c>
      <c r="T22" s="146"/>
      <c r="U22" s="146">
        <f t="shared" si="1"/>
        <v>4219.6720000000005</v>
      </c>
      <c r="V22" s="146">
        <f t="shared" si="2"/>
        <v>68755.832000000009</v>
      </c>
      <c r="W22" s="107"/>
      <c r="X22" s="100">
        <f t="shared" si="3"/>
        <v>770.33200000000943</v>
      </c>
      <c r="Z22" s="202"/>
      <c r="AA22" s="147"/>
    </row>
    <row r="23" spans="1:27">
      <c r="A23" s="40">
        <f t="shared" si="4"/>
        <v>9</v>
      </c>
      <c r="C23" s="40">
        <v>1</v>
      </c>
      <c r="D23" s="40" t="s">
        <v>257</v>
      </c>
      <c r="E23" s="144"/>
      <c r="H23" s="141">
        <v>2080</v>
      </c>
      <c r="I23" s="141"/>
      <c r="J23" s="141">
        <v>40</v>
      </c>
      <c r="K23" s="142"/>
      <c r="L23" s="143">
        <v>73958.89</v>
      </c>
      <c r="M23" s="143"/>
      <c r="N23" s="143">
        <v>1829.06</v>
      </c>
      <c r="O23" s="143">
        <f t="shared" si="5"/>
        <v>75787.95</v>
      </c>
      <c r="P23" s="106"/>
      <c r="Q23" s="145">
        <v>36.048999999999999</v>
      </c>
      <c r="R23" s="106"/>
      <c r="S23" s="146">
        <f t="shared" si="0"/>
        <v>74981.919999999998</v>
      </c>
      <c r="T23" s="146"/>
      <c r="U23" s="146">
        <f t="shared" si="1"/>
        <v>1441.96</v>
      </c>
      <c r="V23" s="146">
        <f t="shared" si="2"/>
        <v>76423.88</v>
      </c>
      <c r="W23" s="107"/>
      <c r="X23" s="100">
        <f t="shared" si="3"/>
        <v>635.93000000000757</v>
      </c>
      <c r="Z23" s="202"/>
      <c r="AA23" s="147"/>
    </row>
    <row r="24" spans="1:27">
      <c r="A24" s="40">
        <f>A23+1</f>
        <v>10</v>
      </c>
      <c r="C24" s="40">
        <v>1</v>
      </c>
      <c r="D24" s="40" t="s">
        <v>258</v>
      </c>
      <c r="E24" s="144">
        <v>163</v>
      </c>
      <c r="F24" s="40" t="s">
        <v>251</v>
      </c>
      <c r="H24" s="141">
        <v>2080</v>
      </c>
      <c r="I24" s="141"/>
      <c r="J24" s="141">
        <v>104</v>
      </c>
      <c r="K24" s="142"/>
      <c r="L24" s="143">
        <v>54835.48</v>
      </c>
      <c r="M24" s="143"/>
      <c r="N24" s="143">
        <v>2972.5</v>
      </c>
      <c r="O24" s="143">
        <f t="shared" si="5"/>
        <v>57807.98</v>
      </c>
      <c r="P24" s="106"/>
      <c r="Q24" s="145">
        <v>27.518000000000001</v>
      </c>
      <c r="R24" s="106"/>
      <c r="S24" s="146">
        <f t="shared" si="0"/>
        <v>57237.440000000002</v>
      </c>
      <c r="T24" s="146"/>
      <c r="U24" s="146">
        <f t="shared" si="1"/>
        <v>2861.8720000000003</v>
      </c>
      <c r="V24" s="146">
        <f t="shared" si="2"/>
        <v>60099.312000000005</v>
      </c>
      <c r="W24" s="107"/>
      <c r="X24" s="100">
        <f t="shared" si="3"/>
        <v>2291.3320000000022</v>
      </c>
      <c r="Z24" s="202"/>
      <c r="AA24" s="147"/>
    </row>
    <row r="25" spans="1:27">
      <c r="A25" s="40">
        <f t="shared" si="4"/>
        <v>11</v>
      </c>
      <c r="C25" s="40">
        <v>1</v>
      </c>
      <c r="D25" s="40" t="s">
        <v>259</v>
      </c>
      <c r="E25" s="148">
        <v>171</v>
      </c>
      <c r="F25" s="102" t="s">
        <v>251</v>
      </c>
      <c r="G25" s="102"/>
      <c r="H25" s="141">
        <v>2080</v>
      </c>
      <c r="I25" s="141"/>
      <c r="J25" s="141">
        <v>144</v>
      </c>
      <c r="K25" s="142"/>
      <c r="L25" s="143">
        <v>127238.67</v>
      </c>
      <c r="M25" s="143"/>
      <c r="N25" s="143">
        <v>14675.29</v>
      </c>
      <c r="O25" s="143">
        <f t="shared" si="5"/>
        <v>141913.96</v>
      </c>
      <c r="P25" s="106"/>
      <c r="Q25" s="145">
        <v>62.48</v>
      </c>
      <c r="R25" s="106"/>
      <c r="S25" s="146">
        <f t="shared" si="0"/>
        <v>129958.39999999999</v>
      </c>
      <c r="T25" s="146"/>
      <c r="U25" s="146">
        <f t="shared" si="1"/>
        <v>8997.119999999999</v>
      </c>
      <c r="V25" s="146">
        <f t="shared" si="2"/>
        <v>138955.51999999999</v>
      </c>
      <c r="W25" s="107"/>
      <c r="X25" s="100">
        <f t="shared" si="3"/>
        <v>-2958.4400000000023</v>
      </c>
      <c r="Z25" s="202"/>
      <c r="AA25" s="147"/>
    </row>
    <row r="26" spans="1:27">
      <c r="A26" s="40">
        <f t="shared" si="4"/>
        <v>12</v>
      </c>
      <c r="C26" s="40">
        <v>1</v>
      </c>
      <c r="D26" s="40" t="s">
        <v>260</v>
      </c>
      <c r="E26" s="148"/>
      <c r="F26" s="102"/>
      <c r="G26" s="102"/>
      <c r="H26" s="141">
        <v>2080</v>
      </c>
      <c r="I26" s="141"/>
      <c r="J26" s="141">
        <v>82.01</v>
      </c>
      <c r="K26" s="142"/>
      <c r="L26" s="143">
        <v>72010.929999999993</v>
      </c>
      <c r="M26" s="143"/>
      <c r="N26" s="143">
        <v>2988.02</v>
      </c>
      <c r="O26" s="143">
        <f t="shared" si="5"/>
        <v>74998.95</v>
      </c>
      <c r="P26" s="106"/>
      <c r="Q26" s="145">
        <v>35.1</v>
      </c>
      <c r="R26" s="106"/>
      <c r="S26" s="146">
        <f t="shared" si="0"/>
        <v>73008</v>
      </c>
      <c r="T26" s="146"/>
      <c r="U26" s="146">
        <f t="shared" si="1"/>
        <v>2878.5510000000004</v>
      </c>
      <c r="V26" s="146">
        <f t="shared" si="2"/>
        <v>75886.551000000007</v>
      </c>
      <c r="W26" s="107"/>
      <c r="X26" s="100">
        <f t="shared" si="3"/>
        <v>887.60100000000966</v>
      </c>
      <c r="Z26" s="202"/>
      <c r="AA26" s="147"/>
    </row>
    <row r="27" spans="1:27">
      <c r="A27" s="40">
        <f t="shared" si="4"/>
        <v>13</v>
      </c>
      <c r="C27" s="40">
        <v>1</v>
      </c>
      <c r="D27" s="40" t="s">
        <v>261</v>
      </c>
      <c r="E27" s="148"/>
      <c r="F27" s="102" t="s">
        <v>262</v>
      </c>
      <c r="G27" s="102"/>
      <c r="H27" s="141"/>
      <c r="I27" s="141"/>
      <c r="J27" s="141"/>
      <c r="K27" s="142"/>
      <c r="L27" s="143"/>
      <c r="M27" s="143"/>
      <c r="N27" s="143"/>
      <c r="O27" s="143">
        <f t="shared" si="5"/>
        <v>0</v>
      </c>
      <c r="P27" s="106"/>
      <c r="Q27" s="145">
        <f>145000/2080</f>
        <v>69.711538461538467</v>
      </c>
      <c r="R27" s="106"/>
      <c r="S27" s="146">
        <f t="shared" si="0"/>
        <v>145000</v>
      </c>
      <c r="T27" s="146"/>
      <c r="U27" s="146">
        <f>IF(N27=0,0,+J27*Q27)</f>
        <v>0</v>
      </c>
      <c r="V27" s="146">
        <f t="shared" si="2"/>
        <v>145000</v>
      </c>
      <c r="W27" s="107"/>
      <c r="X27" s="100">
        <f t="shared" si="3"/>
        <v>145000</v>
      </c>
      <c r="Z27" s="202"/>
      <c r="AA27" s="147"/>
    </row>
    <row r="28" spans="1:27">
      <c r="A28" s="40">
        <f t="shared" si="4"/>
        <v>14</v>
      </c>
      <c r="C28" s="40">
        <v>1</v>
      </c>
      <c r="D28" s="40" t="s">
        <v>444</v>
      </c>
      <c r="E28" s="148"/>
      <c r="F28" s="102" t="s">
        <v>263</v>
      </c>
      <c r="G28" s="102"/>
      <c r="H28" s="141"/>
      <c r="I28" s="141"/>
      <c r="J28" s="141"/>
      <c r="K28" s="142"/>
      <c r="L28" s="143"/>
      <c r="M28" s="143"/>
      <c r="N28" s="143">
        <v>75604.509999999995</v>
      </c>
      <c r="O28" s="143">
        <f t="shared" si="5"/>
        <v>75604.509999999995</v>
      </c>
      <c r="P28" s="106"/>
      <c r="Q28" s="145"/>
      <c r="R28" s="106"/>
      <c r="S28" s="146">
        <f>2080*Q28</f>
        <v>0</v>
      </c>
      <c r="T28" s="146"/>
      <c r="U28" s="146">
        <f>IF(N28=0," ",+J28*Q28)</f>
        <v>0</v>
      </c>
      <c r="V28" s="146">
        <f t="shared" si="2"/>
        <v>0</v>
      </c>
      <c r="W28" s="107"/>
      <c r="X28" s="100">
        <f t="shared" si="3"/>
        <v>-75604.509999999995</v>
      </c>
      <c r="Z28" s="202"/>
      <c r="AA28" s="147"/>
    </row>
    <row r="29" spans="1:27">
      <c r="A29" s="40">
        <f t="shared" si="4"/>
        <v>15</v>
      </c>
      <c r="C29" s="44">
        <f>SUM(C16:C28)</f>
        <v>13</v>
      </c>
      <c r="D29" s="149" t="s">
        <v>155</v>
      </c>
      <c r="E29" s="150" t="s">
        <v>155</v>
      </c>
      <c r="F29" s="149"/>
      <c r="G29" s="102"/>
      <c r="H29" s="151">
        <f>SUM(H16:H28)</f>
        <v>21384</v>
      </c>
      <c r="I29" s="151">
        <f>SUM(I16:I28)</f>
        <v>0</v>
      </c>
      <c r="J29" s="151">
        <f>SUM(J16:J28)</f>
        <v>998.01</v>
      </c>
      <c r="K29" s="142"/>
      <c r="L29" s="152">
        <f>SUM(L16:L28)</f>
        <v>903691</v>
      </c>
      <c r="M29" s="152">
        <f>SUM(M16:M28)</f>
        <v>0</v>
      </c>
      <c r="N29" s="152">
        <f>SUM(N16:N28)</f>
        <v>158718.39999999999</v>
      </c>
      <c r="O29" s="152">
        <f>SUM(O16:O28)</f>
        <v>1062409.3999999999</v>
      </c>
      <c r="P29" s="106"/>
      <c r="Q29" s="150"/>
      <c r="R29" s="106"/>
      <c r="S29" s="153">
        <f>SUM(S16:S28)</f>
        <v>1250199.6800000002</v>
      </c>
      <c r="T29" s="153">
        <f>SUM(T16:T28)</f>
        <v>0</v>
      </c>
      <c r="U29" s="153">
        <f>SUM(U16:U28)</f>
        <v>68691.27900000001</v>
      </c>
      <c r="V29" s="153">
        <f>SUM(V16:V28)</f>
        <v>1318890.959</v>
      </c>
      <c r="W29" s="107"/>
      <c r="X29" s="154">
        <f t="shared" si="3"/>
        <v>256481.55900000012</v>
      </c>
      <c r="Y29" s="168"/>
      <c r="Z29" s="202"/>
      <c r="AA29" s="147"/>
    </row>
    <row r="30" spans="1:27">
      <c r="A30" s="40">
        <f t="shared" si="4"/>
        <v>16</v>
      </c>
      <c r="H30" s="141"/>
      <c r="I30" s="141"/>
      <c r="J30" s="141"/>
      <c r="K30" s="142"/>
      <c r="L30" s="143"/>
      <c r="M30" s="143"/>
      <c r="N30" s="143"/>
      <c r="O30" s="143"/>
      <c r="P30" s="106"/>
      <c r="Q30" s="145"/>
      <c r="R30" s="106"/>
      <c r="S30" s="145"/>
      <c r="T30" s="145"/>
      <c r="U30" s="145"/>
      <c r="V30" s="145"/>
      <c r="W30" s="107"/>
      <c r="AA30" s="147"/>
    </row>
    <row r="31" spans="1:27">
      <c r="A31" s="40">
        <f t="shared" si="4"/>
        <v>17</v>
      </c>
      <c r="C31" s="139" t="s">
        <v>264</v>
      </c>
      <c r="F31" s="140"/>
      <c r="G31" s="140"/>
      <c r="H31" s="155"/>
      <c r="I31" s="155"/>
      <c r="J31" s="155"/>
      <c r="K31" s="156"/>
      <c r="L31" s="157"/>
      <c r="M31" s="157"/>
      <c r="N31" s="157"/>
      <c r="O31" s="157"/>
      <c r="P31" s="106"/>
      <c r="Q31" s="158"/>
      <c r="R31" s="106"/>
      <c r="S31" s="158"/>
      <c r="T31" s="158"/>
      <c r="U31" s="158"/>
      <c r="V31" s="158"/>
      <c r="W31" s="107"/>
      <c r="AA31" s="147"/>
    </row>
    <row r="32" spans="1:27">
      <c r="A32" s="40">
        <f t="shared" si="4"/>
        <v>18</v>
      </c>
      <c r="C32" s="40">
        <v>1</v>
      </c>
      <c r="D32" s="40" t="s">
        <v>265</v>
      </c>
      <c r="E32" s="144">
        <v>5</v>
      </c>
      <c r="H32" s="159">
        <v>2154.5</v>
      </c>
      <c r="I32" s="159">
        <v>202.5</v>
      </c>
      <c r="J32" s="159">
        <v>0</v>
      </c>
      <c r="K32" s="142"/>
      <c r="L32" s="143">
        <v>48011.19</v>
      </c>
      <c r="M32" s="143">
        <v>6772.34</v>
      </c>
      <c r="N32" s="143">
        <v>110.67</v>
      </c>
      <c r="O32" s="143">
        <f t="shared" ref="O32:O53" si="6">SUM(L32:N32)</f>
        <v>54894.2</v>
      </c>
      <c r="P32" s="106"/>
      <c r="Q32" s="145">
        <v>22.59</v>
      </c>
      <c r="R32" s="106"/>
      <c r="S32" s="146">
        <f t="shared" ref="S32:S95" si="7">2080*Q32</f>
        <v>46987.199999999997</v>
      </c>
      <c r="T32" s="146">
        <f t="shared" ref="T32:T53" si="8">(+I32*Q32)*1.5</f>
        <v>6861.7125000000005</v>
      </c>
      <c r="U32" s="146">
        <f t="shared" ref="U32:U53" si="9">IF(N32=0," ",+J32*Q32)</f>
        <v>0</v>
      </c>
      <c r="V32" s="146">
        <f t="shared" ref="V32:V53" si="10">SUM(S32:U32)</f>
        <v>53848.912499999999</v>
      </c>
      <c r="W32" s="107"/>
      <c r="X32" s="100">
        <f t="shared" ref="X32:X53" si="11">V32-O32</f>
        <v>-1045.2874999999985</v>
      </c>
      <c r="AA32" s="147"/>
    </row>
    <row r="33" spans="1:27">
      <c r="A33" s="40">
        <f t="shared" si="4"/>
        <v>19</v>
      </c>
      <c r="C33" s="40">
        <v>1</v>
      </c>
      <c r="D33" s="40" t="s">
        <v>266</v>
      </c>
      <c r="E33" s="144">
        <v>8</v>
      </c>
      <c r="H33" s="159">
        <v>2084.5</v>
      </c>
      <c r="I33" s="159">
        <v>228.5</v>
      </c>
      <c r="J33" s="159">
        <v>96.05</v>
      </c>
      <c r="K33" s="142"/>
      <c r="L33" s="143">
        <v>65096.01</v>
      </c>
      <c r="M33" s="143">
        <v>10647.96</v>
      </c>
      <c r="N33" s="143">
        <v>3151.53</v>
      </c>
      <c r="O33" s="143">
        <f t="shared" si="6"/>
        <v>78895.5</v>
      </c>
      <c r="P33" s="106"/>
      <c r="Q33" s="145">
        <v>31.66</v>
      </c>
      <c r="R33" s="106"/>
      <c r="S33" s="146">
        <f t="shared" si="7"/>
        <v>65852.800000000003</v>
      </c>
      <c r="T33" s="146">
        <f t="shared" si="8"/>
        <v>10851.465</v>
      </c>
      <c r="U33" s="146">
        <f t="shared" si="9"/>
        <v>3040.9429999999998</v>
      </c>
      <c r="V33" s="146">
        <f t="shared" si="10"/>
        <v>79745.207999999999</v>
      </c>
      <c r="W33" s="107"/>
      <c r="X33" s="100">
        <f t="shared" si="11"/>
        <v>849.70799999999872</v>
      </c>
      <c r="AA33" s="147"/>
    </row>
    <row r="34" spans="1:27">
      <c r="A34" s="40">
        <f t="shared" si="4"/>
        <v>20</v>
      </c>
      <c r="C34" s="40">
        <v>1</v>
      </c>
      <c r="D34" s="40" t="s">
        <v>267</v>
      </c>
      <c r="E34" s="144">
        <v>10</v>
      </c>
      <c r="H34" s="159">
        <v>2104.5</v>
      </c>
      <c r="I34" s="159">
        <v>224.5</v>
      </c>
      <c r="J34" s="159">
        <v>25.02</v>
      </c>
      <c r="K34" s="142"/>
      <c r="L34" s="143">
        <v>54665.599999999999</v>
      </c>
      <c r="M34" s="143">
        <v>8722.25</v>
      </c>
      <c r="N34" s="143">
        <v>769.46</v>
      </c>
      <c r="O34" s="143">
        <f t="shared" si="6"/>
        <v>64157.31</v>
      </c>
      <c r="P34" s="106"/>
      <c r="Q34" s="145">
        <v>26.33</v>
      </c>
      <c r="R34" s="106"/>
      <c r="S34" s="146">
        <f t="shared" si="7"/>
        <v>54766.399999999994</v>
      </c>
      <c r="T34" s="146">
        <f t="shared" si="8"/>
        <v>8866.6275000000005</v>
      </c>
      <c r="U34" s="146">
        <f t="shared" si="9"/>
        <v>658.77659999999992</v>
      </c>
      <c r="V34" s="146">
        <f t="shared" si="10"/>
        <v>64291.804099999994</v>
      </c>
      <c r="W34" s="107"/>
      <c r="X34" s="100">
        <f t="shared" si="11"/>
        <v>134.49409999999625</v>
      </c>
      <c r="AA34" s="147"/>
    </row>
    <row r="35" spans="1:27">
      <c r="A35" s="40">
        <f t="shared" si="4"/>
        <v>21</v>
      </c>
      <c r="C35" s="40">
        <v>1</v>
      </c>
      <c r="D35" s="40" t="s">
        <v>268</v>
      </c>
      <c r="E35" s="144">
        <v>11</v>
      </c>
      <c r="H35" s="159">
        <v>2074</v>
      </c>
      <c r="I35" s="159">
        <v>30</v>
      </c>
      <c r="J35" s="159">
        <v>52.13</v>
      </c>
      <c r="K35" s="142"/>
      <c r="L35" s="143">
        <v>32431.759999999998</v>
      </c>
      <c r="M35" s="143">
        <v>704.04</v>
      </c>
      <c r="N35" s="143">
        <v>804.39</v>
      </c>
      <c r="O35" s="143">
        <f t="shared" si="6"/>
        <v>33940.189999999995</v>
      </c>
      <c r="P35" s="106"/>
      <c r="Q35" s="145">
        <v>15.72</v>
      </c>
      <c r="R35" s="106"/>
      <c r="S35" s="146">
        <f t="shared" si="7"/>
        <v>32697.600000000002</v>
      </c>
      <c r="T35" s="146">
        <f t="shared" si="8"/>
        <v>707.40000000000009</v>
      </c>
      <c r="U35" s="146">
        <f t="shared" si="9"/>
        <v>819.48360000000002</v>
      </c>
      <c r="V35" s="146">
        <f t="shared" si="10"/>
        <v>34224.4836</v>
      </c>
      <c r="W35" s="107"/>
      <c r="X35" s="100">
        <f t="shared" si="11"/>
        <v>284.29360000000452</v>
      </c>
      <c r="AA35" s="147"/>
    </row>
    <row r="36" spans="1:27">
      <c r="A36" s="40">
        <f t="shared" si="4"/>
        <v>22</v>
      </c>
      <c r="C36" s="40">
        <v>1</v>
      </c>
      <c r="D36" s="40" t="s">
        <v>269</v>
      </c>
      <c r="E36" s="144">
        <v>13</v>
      </c>
      <c r="H36" s="159">
        <v>2088.5</v>
      </c>
      <c r="I36" s="159">
        <v>33</v>
      </c>
      <c r="J36" s="159">
        <v>36</v>
      </c>
      <c r="K36" s="142"/>
      <c r="L36" s="143">
        <v>33952.17</v>
      </c>
      <c r="M36" s="143">
        <v>809.66</v>
      </c>
      <c r="N36" s="143">
        <v>703.95</v>
      </c>
      <c r="O36" s="143">
        <f t="shared" si="6"/>
        <v>35465.78</v>
      </c>
      <c r="P36" s="106"/>
      <c r="Q36" s="145">
        <v>16.48</v>
      </c>
      <c r="R36" s="106"/>
      <c r="S36" s="146">
        <f t="shared" si="7"/>
        <v>34278.400000000001</v>
      </c>
      <c r="T36" s="146">
        <f t="shared" si="8"/>
        <v>815.76</v>
      </c>
      <c r="U36" s="146">
        <f t="shared" si="9"/>
        <v>593.28</v>
      </c>
      <c r="V36" s="146">
        <f t="shared" si="10"/>
        <v>35687.440000000002</v>
      </c>
      <c r="W36" s="107"/>
      <c r="X36" s="100">
        <f t="shared" si="11"/>
        <v>221.66000000000349</v>
      </c>
      <c r="AA36" s="147"/>
    </row>
    <row r="37" spans="1:27">
      <c r="A37" s="40">
        <f t="shared" si="4"/>
        <v>23</v>
      </c>
      <c r="C37" s="40">
        <v>1</v>
      </c>
      <c r="D37" s="40" t="s">
        <v>270</v>
      </c>
      <c r="E37" s="144">
        <v>15</v>
      </c>
      <c r="H37" s="159">
        <v>2196</v>
      </c>
      <c r="I37" s="159">
        <v>1008.5</v>
      </c>
      <c r="J37" s="159">
        <v>176</v>
      </c>
      <c r="K37" s="142"/>
      <c r="L37" s="143">
        <v>57764.88</v>
      </c>
      <c r="M37" s="143">
        <v>39831.01</v>
      </c>
      <c r="N37" s="143">
        <v>4979.8100000000004</v>
      </c>
      <c r="O37" s="143">
        <f t="shared" si="6"/>
        <v>102575.7</v>
      </c>
      <c r="P37" s="106"/>
      <c r="Q37" s="145">
        <v>26.74</v>
      </c>
      <c r="R37" s="106"/>
      <c r="S37" s="146">
        <f t="shared" si="7"/>
        <v>55619.199999999997</v>
      </c>
      <c r="T37" s="146">
        <f t="shared" si="8"/>
        <v>40450.934999999998</v>
      </c>
      <c r="U37" s="146">
        <f t="shared" si="9"/>
        <v>4706.24</v>
      </c>
      <c r="V37" s="146">
        <f t="shared" si="10"/>
        <v>100776.375</v>
      </c>
      <c r="W37" s="107"/>
      <c r="X37" s="100">
        <f t="shared" si="11"/>
        <v>-1799.3249999999971</v>
      </c>
      <c r="AA37" s="147"/>
    </row>
    <row r="38" spans="1:27">
      <c r="A38" s="40">
        <f t="shared" si="4"/>
        <v>24</v>
      </c>
      <c r="C38" s="40">
        <v>1</v>
      </c>
      <c r="D38" s="40" t="s">
        <v>271</v>
      </c>
      <c r="E38" s="144">
        <v>22</v>
      </c>
      <c r="H38" s="159">
        <v>2092.5</v>
      </c>
      <c r="I38" s="159">
        <v>67.5</v>
      </c>
      <c r="J38" s="159">
        <v>146</v>
      </c>
      <c r="K38" s="142"/>
      <c r="L38" s="143">
        <v>34802.589999999997</v>
      </c>
      <c r="M38" s="143">
        <v>1672.52</v>
      </c>
      <c r="N38" s="143">
        <v>2572.2199999999998</v>
      </c>
      <c r="O38" s="143">
        <f t="shared" si="6"/>
        <v>39047.329999999994</v>
      </c>
      <c r="P38" s="106"/>
      <c r="Q38" s="145">
        <v>16.86</v>
      </c>
      <c r="R38" s="106"/>
      <c r="S38" s="146">
        <f t="shared" si="7"/>
        <v>35068.799999999996</v>
      </c>
      <c r="T38" s="146">
        <f t="shared" si="8"/>
        <v>1707.0749999999998</v>
      </c>
      <c r="U38" s="146">
        <f t="shared" si="9"/>
        <v>2461.56</v>
      </c>
      <c r="V38" s="146">
        <f t="shared" si="10"/>
        <v>39237.43499999999</v>
      </c>
      <c r="W38" s="107"/>
      <c r="X38" s="100">
        <f t="shared" si="11"/>
        <v>190.10499999999593</v>
      </c>
      <c r="AA38" s="147"/>
    </row>
    <row r="39" spans="1:27">
      <c r="A39" s="40">
        <f t="shared" si="4"/>
        <v>25</v>
      </c>
      <c r="C39" s="40">
        <v>1</v>
      </c>
      <c r="D39" s="40" t="s">
        <v>272</v>
      </c>
      <c r="E39" s="148">
        <v>24</v>
      </c>
      <c r="H39" s="159">
        <v>2100</v>
      </c>
      <c r="I39" s="159">
        <v>47.5</v>
      </c>
      <c r="J39" s="159">
        <v>45</v>
      </c>
      <c r="K39" s="142"/>
      <c r="L39" s="143">
        <v>39049.58</v>
      </c>
      <c r="M39" s="143">
        <v>1323.21</v>
      </c>
      <c r="N39" s="143">
        <v>961.17</v>
      </c>
      <c r="O39" s="143">
        <f t="shared" si="6"/>
        <v>41333.96</v>
      </c>
      <c r="P39" s="106"/>
      <c r="Q39" s="145">
        <v>18.899999999999999</v>
      </c>
      <c r="R39" s="106"/>
      <c r="S39" s="146">
        <f t="shared" si="7"/>
        <v>39312</v>
      </c>
      <c r="T39" s="146">
        <f t="shared" si="8"/>
        <v>1346.6249999999998</v>
      </c>
      <c r="U39" s="146">
        <f t="shared" si="9"/>
        <v>850.49999999999989</v>
      </c>
      <c r="V39" s="146">
        <f t="shared" si="10"/>
        <v>41509.125</v>
      </c>
      <c r="W39" s="107"/>
      <c r="X39" s="100">
        <f t="shared" si="11"/>
        <v>175.16500000000087</v>
      </c>
      <c r="AA39" s="147"/>
    </row>
    <row r="40" spans="1:27">
      <c r="A40" s="40">
        <f t="shared" si="4"/>
        <v>26</v>
      </c>
      <c r="C40" s="40">
        <v>1</v>
      </c>
      <c r="D40" s="40" t="s">
        <v>273</v>
      </c>
      <c r="E40" s="144">
        <v>25</v>
      </c>
      <c r="H40" s="159">
        <v>2094</v>
      </c>
      <c r="I40" s="159">
        <v>40.5</v>
      </c>
      <c r="J40" s="159">
        <v>0</v>
      </c>
      <c r="K40" s="142"/>
      <c r="L40" s="143">
        <v>35317.360000000001</v>
      </c>
      <c r="M40" s="143">
        <v>1021.3</v>
      </c>
      <c r="N40" s="143">
        <v>221.34</v>
      </c>
      <c r="O40" s="143">
        <f t="shared" si="6"/>
        <v>36560</v>
      </c>
      <c r="P40" s="106"/>
      <c r="Q40" s="145">
        <v>17.100000000000001</v>
      </c>
      <c r="R40" s="106"/>
      <c r="S40" s="146">
        <f t="shared" si="7"/>
        <v>35568</v>
      </c>
      <c r="T40" s="146">
        <f t="shared" si="8"/>
        <v>1038.825</v>
      </c>
      <c r="U40" s="146">
        <f t="shared" si="9"/>
        <v>0</v>
      </c>
      <c r="V40" s="146">
        <f t="shared" si="10"/>
        <v>36606.824999999997</v>
      </c>
      <c r="W40" s="107"/>
      <c r="X40" s="100">
        <f t="shared" si="11"/>
        <v>46.82499999999709</v>
      </c>
      <c r="AA40" s="147"/>
    </row>
    <row r="41" spans="1:27">
      <c r="A41" s="40">
        <f t="shared" si="4"/>
        <v>27</v>
      </c>
      <c r="C41" s="40">
        <v>1</v>
      </c>
      <c r="D41" s="40" t="s">
        <v>274</v>
      </c>
      <c r="E41" s="144">
        <v>31</v>
      </c>
      <c r="H41" s="159">
        <v>2085</v>
      </c>
      <c r="I41" s="159">
        <v>122</v>
      </c>
      <c r="J41" s="159">
        <v>111.98</v>
      </c>
      <c r="K41" s="142"/>
      <c r="L41" s="143">
        <v>34175.550000000003</v>
      </c>
      <c r="M41" s="143">
        <v>3085.36</v>
      </c>
      <c r="N41" s="143">
        <v>2018.75</v>
      </c>
      <c r="O41" s="143">
        <f t="shared" si="6"/>
        <v>39279.660000000003</v>
      </c>
      <c r="P41" s="106"/>
      <c r="Q41" s="145">
        <v>17.05</v>
      </c>
      <c r="R41" s="106"/>
      <c r="S41" s="146">
        <f t="shared" si="7"/>
        <v>35464</v>
      </c>
      <c r="T41" s="146">
        <f t="shared" si="8"/>
        <v>3120.1499999999996</v>
      </c>
      <c r="U41" s="146">
        <f t="shared" si="9"/>
        <v>1909.2590000000002</v>
      </c>
      <c r="V41" s="146">
        <f t="shared" si="10"/>
        <v>40493.409</v>
      </c>
      <c r="W41" s="107"/>
      <c r="X41" s="100">
        <f t="shared" si="11"/>
        <v>1213.7489999999962</v>
      </c>
      <c r="AA41" s="147"/>
    </row>
    <row r="42" spans="1:27">
      <c r="A42" s="40">
        <f t="shared" si="4"/>
        <v>28</v>
      </c>
      <c r="C42" s="40">
        <v>1</v>
      </c>
      <c r="D42" s="40" t="s">
        <v>275</v>
      </c>
      <c r="E42" s="144">
        <v>38</v>
      </c>
      <c r="H42" s="159">
        <v>2090.5</v>
      </c>
      <c r="I42" s="159">
        <v>31.5</v>
      </c>
      <c r="J42" s="159">
        <v>0</v>
      </c>
      <c r="K42" s="142"/>
      <c r="L42" s="143">
        <v>42206.13</v>
      </c>
      <c r="M42" s="143">
        <v>955.08</v>
      </c>
      <c r="N42" s="143">
        <v>110.67</v>
      </c>
      <c r="O42" s="143">
        <f t="shared" si="6"/>
        <v>43271.88</v>
      </c>
      <c r="P42" s="106"/>
      <c r="Q42" s="145">
        <v>20.47</v>
      </c>
      <c r="R42" s="106"/>
      <c r="S42" s="146">
        <f t="shared" si="7"/>
        <v>42577.599999999999</v>
      </c>
      <c r="T42" s="146">
        <f t="shared" si="8"/>
        <v>967.20749999999998</v>
      </c>
      <c r="U42" s="146">
        <f t="shared" si="9"/>
        <v>0</v>
      </c>
      <c r="V42" s="146">
        <f t="shared" si="10"/>
        <v>43544.807499999995</v>
      </c>
      <c r="W42" s="107"/>
      <c r="X42" s="100">
        <f t="shared" si="11"/>
        <v>272.92749999999796</v>
      </c>
      <c r="AA42" s="147"/>
    </row>
    <row r="43" spans="1:27">
      <c r="A43" s="40">
        <f t="shared" si="4"/>
        <v>29</v>
      </c>
      <c r="C43" s="40">
        <v>1</v>
      </c>
      <c r="D43" s="40" t="s">
        <v>276</v>
      </c>
      <c r="E43" s="144">
        <v>40</v>
      </c>
      <c r="H43" s="159">
        <v>2153.5</v>
      </c>
      <c r="I43" s="159">
        <v>100</v>
      </c>
      <c r="J43" s="159">
        <v>40</v>
      </c>
      <c r="K43" s="142"/>
      <c r="L43" s="143">
        <v>45205.73</v>
      </c>
      <c r="M43" s="143">
        <v>3137.87</v>
      </c>
      <c r="N43" s="143">
        <v>945.42</v>
      </c>
      <c r="O43" s="143">
        <f t="shared" si="6"/>
        <v>49289.020000000004</v>
      </c>
      <c r="P43" s="106"/>
      <c r="Q43" s="145">
        <v>20.87</v>
      </c>
      <c r="R43" s="106"/>
      <c r="S43" s="146">
        <f t="shared" si="7"/>
        <v>43409.599999999999</v>
      </c>
      <c r="T43" s="146">
        <f t="shared" si="8"/>
        <v>3130.5</v>
      </c>
      <c r="U43" s="146">
        <f t="shared" si="9"/>
        <v>834.80000000000007</v>
      </c>
      <c r="V43" s="146">
        <f t="shared" si="10"/>
        <v>47374.9</v>
      </c>
      <c r="W43" s="107"/>
      <c r="X43" s="100">
        <f t="shared" si="11"/>
        <v>-1914.1200000000026</v>
      </c>
      <c r="AA43" s="147"/>
    </row>
    <row r="44" spans="1:27">
      <c r="A44" s="40">
        <f t="shared" si="4"/>
        <v>30</v>
      </c>
      <c r="C44" s="40">
        <v>1</v>
      </c>
      <c r="D44" s="40" t="s">
        <v>277</v>
      </c>
      <c r="E44" s="144">
        <v>41</v>
      </c>
      <c r="H44" s="159">
        <v>2145</v>
      </c>
      <c r="I44" s="159">
        <v>153.5</v>
      </c>
      <c r="J44" s="159">
        <v>44</v>
      </c>
      <c r="K44" s="142"/>
      <c r="L44" s="143">
        <v>51904.76</v>
      </c>
      <c r="M44" s="143">
        <v>5522.7</v>
      </c>
      <c r="N44" s="143">
        <v>1163.0999999999999</v>
      </c>
      <c r="O44" s="143">
        <f t="shared" si="6"/>
        <v>58590.559999999998</v>
      </c>
      <c r="P44" s="106"/>
      <c r="Q44" s="145">
        <v>23.92</v>
      </c>
      <c r="R44" s="106"/>
      <c r="S44" s="146">
        <f t="shared" si="7"/>
        <v>49753.600000000006</v>
      </c>
      <c r="T44" s="146">
        <f t="shared" si="8"/>
        <v>5507.58</v>
      </c>
      <c r="U44" s="146">
        <f t="shared" si="9"/>
        <v>1052.48</v>
      </c>
      <c r="V44" s="146">
        <f t="shared" si="10"/>
        <v>56313.660000000011</v>
      </c>
      <c r="W44" s="107"/>
      <c r="X44" s="100">
        <f t="shared" si="11"/>
        <v>-2276.8999999999869</v>
      </c>
      <c r="AA44" s="147"/>
    </row>
    <row r="45" spans="1:27">
      <c r="A45" s="40">
        <f t="shared" si="4"/>
        <v>31</v>
      </c>
      <c r="C45" s="40">
        <v>1</v>
      </c>
      <c r="D45" s="40" t="s">
        <v>278</v>
      </c>
      <c r="E45" s="144">
        <v>43</v>
      </c>
      <c r="H45" s="159">
        <v>2103.5</v>
      </c>
      <c r="I45" s="159">
        <v>44</v>
      </c>
      <c r="J45" s="159">
        <v>71.459999999999994</v>
      </c>
      <c r="K45" s="142"/>
      <c r="L45" s="143">
        <v>37614.31</v>
      </c>
      <c r="M45" s="143">
        <v>1175.3599999999999</v>
      </c>
      <c r="N45" s="143">
        <v>1406.22</v>
      </c>
      <c r="O45" s="143">
        <f t="shared" si="6"/>
        <v>40195.89</v>
      </c>
      <c r="P45" s="106"/>
      <c r="Q45" s="145">
        <v>18.13</v>
      </c>
      <c r="R45" s="106"/>
      <c r="S45" s="146">
        <f t="shared" si="7"/>
        <v>37710.400000000001</v>
      </c>
      <c r="T45" s="146">
        <f t="shared" si="8"/>
        <v>1196.58</v>
      </c>
      <c r="U45" s="146">
        <f t="shared" si="9"/>
        <v>1295.5697999999998</v>
      </c>
      <c r="V45" s="146">
        <f t="shared" si="10"/>
        <v>40202.549800000001</v>
      </c>
      <c r="W45" s="107"/>
      <c r="X45" s="100">
        <f t="shared" si="11"/>
        <v>6.6598000000012689</v>
      </c>
      <c r="AA45" s="147"/>
    </row>
    <row r="46" spans="1:27">
      <c r="A46" s="40">
        <f t="shared" si="4"/>
        <v>32</v>
      </c>
      <c r="C46" s="40">
        <v>1</v>
      </c>
      <c r="D46" s="40" t="s">
        <v>279</v>
      </c>
      <c r="E46" s="144">
        <v>50</v>
      </c>
      <c r="F46" s="40" t="s">
        <v>263</v>
      </c>
      <c r="H46" s="159">
        <v>1329.84</v>
      </c>
      <c r="I46" s="159">
        <v>13.5</v>
      </c>
      <c r="J46" s="159">
        <v>0</v>
      </c>
      <c r="K46" s="142"/>
      <c r="L46" s="143">
        <v>32173.34</v>
      </c>
      <c r="M46" s="143">
        <v>489.42</v>
      </c>
      <c r="N46" s="143">
        <v>0</v>
      </c>
      <c r="O46" s="143">
        <f t="shared" si="6"/>
        <v>32662.76</v>
      </c>
      <c r="P46" s="106"/>
      <c r="Q46" s="145">
        <v>0</v>
      </c>
      <c r="R46" s="106"/>
      <c r="S46" s="146">
        <f t="shared" si="7"/>
        <v>0</v>
      </c>
      <c r="T46" s="146">
        <f t="shared" si="8"/>
        <v>0</v>
      </c>
      <c r="U46" s="146">
        <f>IF(N46=0,0,+J46*Q46)</f>
        <v>0</v>
      </c>
      <c r="V46" s="146">
        <f t="shared" si="10"/>
        <v>0</v>
      </c>
      <c r="W46" s="107"/>
      <c r="X46" s="100">
        <f t="shared" si="11"/>
        <v>-32662.76</v>
      </c>
      <c r="AA46" s="147"/>
    </row>
    <row r="47" spans="1:27">
      <c r="A47" s="40">
        <f t="shared" si="4"/>
        <v>33</v>
      </c>
      <c r="C47" s="40">
        <v>1</v>
      </c>
      <c r="D47" s="40" t="s">
        <v>280</v>
      </c>
      <c r="E47" s="144">
        <v>138</v>
      </c>
      <c r="H47" s="159">
        <v>2105</v>
      </c>
      <c r="I47" s="159">
        <v>103.5</v>
      </c>
      <c r="J47" s="159">
        <v>85</v>
      </c>
      <c r="K47" s="142"/>
      <c r="L47" s="143">
        <v>48848.36</v>
      </c>
      <c r="M47" s="143">
        <v>3582.86</v>
      </c>
      <c r="N47" s="143">
        <v>2110.1</v>
      </c>
      <c r="O47" s="143">
        <f t="shared" si="6"/>
        <v>54541.32</v>
      </c>
      <c r="P47" s="106"/>
      <c r="Q47" s="145">
        <v>23.53</v>
      </c>
      <c r="R47" s="106"/>
      <c r="S47" s="146">
        <f t="shared" si="7"/>
        <v>48942.400000000001</v>
      </c>
      <c r="T47" s="146">
        <f t="shared" si="8"/>
        <v>3653.0325000000003</v>
      </c>
      <c r="U47" s="146">
        <f t="shared" si="9"/>
        <v>2000.0500000000002</v>
      </c>
      <c r="V47" s="146">
        <f t="shared" si="10"/>
        <v>54595.482500000006</v>
      </c>
      <c r="W47" s="107"/>
      <c r="X47" s="100">
        <f t="shared" si="11"/>
        <v>54.162500000005821</v>
      </c>
      <c r="AA47" s="147"/>
    </row>
    <row r="48" spans="1:27">
      <c r="A48" s="40">
        <f t="shared" si="4"/>
        <v>34</v>
      </c>
      <c r="C48" s="40">
        <v>1</v>
      </c>
      <c r="D48" s="40" t="s">
        <v>281</v>
      </c>
      <c r="E48" s="144">
        <v>139</v>
      </c>
      <c r="H48" s="159">
        <v>2086.5</v>
      </c>
      <c r="I48" s="159">
        <v>29</v>
      </c>
      <c r="J48" s="159">
        <v>76</v>
      </c>
      <c r="K48" s="142"/>
      <c r="L48" s="143">
        <v>37047.32</v>
      </c>
      <c r="M48" s="143">
        <v>769.97</v>
      </c>
      <c r="N48" s="143">
        <v>1478.68</v>
      </c>
      <c r="O48" s="143">
        <f t="shared" si="6"/>
        <v>39295.97</v>
      </c>
      <c r="P48" s="106"/>
      <c r="Q48" s="145">
        <v>18</v>
      </c>
      <c r="R48" s="106"/>
      <c r="S48" s="146">
        <f t="shared" si="7"/>
        <v>37440</v>
      </c>
      <c r="T48" s="146">
        <f t="shared" si="8"/>
        <v>783</v>
      </c>
      <c r="U48" s="146">
        <f t="shared" si="9"/>
        <v>1368</v>
      </c>
      <c r="V48" s="146">
        <f t="shared" si="10"/>
        <v>39591</v>
      </c>
      <c r="W48" s="107"/>
      <c r="X48" s="100">
        <f t="shared" si="11"/>
        <v>295.02999999999884</v>
      </c>
      <c r="AA48" s="147"/>
    </row>
    <row r="49" spans="1:29">
      <c r="A49" s="40">
        <f t="shared" si="4"/>
        <v>35</v>
      </c>
      <c r="C49" s="40">
        <v>1</v>
      </c>
      <c r="D49" s="40" t="s">
        <v>282</v>
      </c>
      <c r="E49" s="144">
        <v>144</v>
      </c>
      <c r="H49" s="159">
        <v>2097</v>
      </c>
      <c r="I49" s="159">
        <v>26.5</v>
      </c>
      <c r="J49" s="159">
        <v>0</v>
      </c>
      <c r="K49" s="142"/>
      <c r="L49" s="143">
        <v>49657.9</v>
      </c>
      <c r="M49" s="143">
        <v>936.92</v>
      </c>
      <c r="N49" s="143">
        <v>110.65</v>
      </c>
      <c r="O49" s="143">
        <f t="shared" si="6"/>
        <v>50705.47</v>
      </c>
      <c r="P49" s="106"/>
      <c r="Q49" s="145">
        <v>24.01</v>
      </c>
      <c r="R49" s="106"/>
      <c r="S49" s="146">
        <f t="shared" si="7"/>
        <v>49940.800000000003</v>
      </c>
      <c r="T49" s="146">
        <f t="shared" si="8"/>
        <v>954.39750000000004</v>
      </c>
      <c r="U49" s="146">
        <f t="shared" si="9"/>
        <v>0</v>
      </c>
      <c r="V49" s="146">
        <f t="shared" si="10"/>
        <v>50895.197500000002</v>
      </c>
      <c r="W49" s="107"/>
      <c r="X49" s="100">
        <f t="shared" si="11"/>
        <v>189.72750000000087</v>
      </c>
      <c r="AA49" s="147"/>
    </row>
    <row r="50" spans="1:29">
      <c r="A50" s="40">
        <f t="shared" si="4"/>
        <v>36</v>
      </c>
      <c r="C50" s="40">
        <v>1</v>
      </c>
      <c r="D50" s="40" t="s">
        <v>283</v>
      </c>
      <c r="E50" s="144">
        <v>164</v>
      </c>
      <c r="H50" s="159">
        <v>2208.5</v>
      </c>
      <c r="I50" s="159">
        <v>434</v>
      </c>
      <c r="J50" s="159">
        <v>36</v>
      </c>
      <c r="K50" s="142"/>
      <c r="L50" s="143">
        <v>43620.6</v>
      </c>
      <c r="M50" s="143">
        <v>12859.6</v>
      </c>
      <c r="N50" s="143">
        <v>831.8</v>
      </c>
      <c r="O50" s="143">
        <f t="shared" si="6"/>
        <v>57312</v>
      </c>
      <c r="P50" s="106"/>
      <c r="Q50" s="145">
        <v>20.07</v>
      </c>
      <c r="R50" s="106"/>
      <c r="S50" s="146">
        <f t="shared" si="7"/>
        <v>41745.599999999999</v>
      </c>
      <c r="T50" s="146">
        <f t="shared" si="8"/>
        <v>13065.570000000002</v>
      </c>
      <c r="U50" s="146">
        <f t="shared" si="9"/>
        <v>722.52</v>
      </c>
      <c r="V50" s="146">
        <f t="shared" si="10"/>
        <v>55533.689999999995</v>
      </c>
      <c r="W50" s="107"/>
      <c r="X50" s="100">
        <f t="shared" si="11"/>
        <v>-1778.3100000000049</v>
      </c>
      <c r="AA50" s="147"/>
    </row>
    <row r="51" spans="1:29">
      <c r="A51" s="40">
        <f t="shared" si="4"/>
        <v>37</v>
      </c>
      <c r="C51" s="40">
        <v>1</v>
      </c>
      <c r="D51" s="40" t="s">
        <v>284</v>
      </c>
      <c r="E51" s="144">
        <v>166</v>
      </c>
      <c r="H51" s="159">
        <v>2089.5</v>
      </c>
      <c r="I51" s="159">
        <v>53</v>
      </c>
      <c r="J51" s="159">
        <v>36</v>
      </c>
      <c r="K51" s="142"/>
      <c r="L51" s="143">
        <v>37101.279999999999</v>
      </c>
      <c r="M51" s="143">
        <v>1480.18</v>
      </c>
      <c r="N51" s="143">
        <v>846.52</v>
      </c>
      <c r="O51" s="143">
        <f t="shared" si="6"/>
        <v>39427.979999999996</v>
      </c>
      <c r="P51" s="106"/>
      <c r="Q51" s="145">
        <v>20.440000000000001</v>
      </c>
      <c r="R51" s="106"/>
      <c r="S51" s="146">
        <f t="shared" si="7"/>
        <v>42515.200000000004</v>
      </c>
      <c r="T51" s="146">
        <f t="shared" si="8"/>
        <v>1624.9800000000002</v>
      </c>
      <c r="U51" s="146">
        <f t="shared" si="9"/>
        <v>735.84</v>
      </c>
      <c r="V51" s="146">
        <f t="shared" si="10"/>
        <v>44876.020000000004</v>
      </c>
      <c r="W51" s="107"/>
      <c r="X51" s="100">
        <f t="shared" si="11"/>
        <v>5448.0400000000081</v>
      </c>
      <c r="AA51" s="147"/>
    </row>
    <row r="52" spans="1:29">
      <c r="A52" s="40">
        <f t="shared" si="4"/>
        <v>38</v>
      </c>
      <c r="C52" s="40">
        <v>1</v>
      </c>
      <c r="D52" s="40" t="s">
        <v>285</v>
      </c>
      <c r="E52" s="148">
        <v>169</v>
      </c>
      <c r="F52" s="102"/>
      <c r="G52" s="102"/>
      <c r="H52" s="159">
        <v>2130.5</v>
      </c>
      <c r="I52" s="159">
        <v>157</v>
      </c>
      <c r="J52" s="159">
        <v>176</v>
      </c>
      <c r="K52" s="142"/>
      <c r="L52" s="143">
        <v>53163.94</v>
      </c>
      <c r="M52" s="143">
        <v>5843.68</v>
      </c>
      <c r="N52" s="143">
        <v>4447.25</v>
      </c>
      <c r="O52" s="143">
        <f t="shared" si="6"/>
        <v>63454.87</v>
      </c>
      <c r="P52" s="106"/>
      <c r="Q52" s="145">
        <v>24.64</v>
      </c>
      <c r="R52" s="106"/>
      <c r="S52" s="146">
        <f t="shared" si="7"/>
        <v>51251.200000000004</v>
      </c>
      <c r="T52" s="146">
        <f t="shared" si="8"/>
        <v>5802.72</v>
      </c>
      <c r="U52" s="146">
        <f t="shared" si="9"/>
        <v>4336.6400000000003</v>
      </c>
      <c r="V52" s="146">
        <f t="shared" si="10"/>
        <v>61390.560000000005</v>
      </c>
      <c r="W52" s="107"/>
      <c r="X52" s="100">
        <f t="shared" si="11"/>
        <v>-2064.3099999999977</v>
      </c>
      <c r="AA52" s="147"/>
    </row>
    <row r="53" spans="1:29">
      <c r="A53" s="40">
        <f t="shared" si="4"/>
        <v>39</v>
      </c>
      <c r="C53" s="40">
        <v>1</v>
      </c>
      <c r="D53" s="40" t="s">
        <v>286</v>
      </c>
      <c r="E53" s="148">
        <v>174</v>
      </c>
      <c r="F53" s="102"/>
      <c r="G53" s="102"/>
      <c r="H53" s="159">
        <v>2000</v>
      </c>
      <c r="I53" s="159">
        <v>379</v>
      </c>
      <c r="J53" s="159">
        <v>80</v>
      </c>
      <c r="K53" s="142"/>
      <c r="L53" s="143">
        <v>77775.39</v>
      </c>
      <c r="M53" s="143">
        <v>26899.86</v>
      </c>
      <c r="N53" s="143">
        <v>3219.32</v>
      </c>
      <c r="O53" s="143">
        <f t="shared" si="6"/>
        <v>107894.57</v>
      </c>
      <c r="P53" s="106"/>
      <c r="Q53" s="145">
        <v>38.869999999999997</v>
      </c>
      <c r="R53" s="106"/>
      <c r="S53" s="146">
        <f t="shared" si="7"/>
        <v>80849.599999999991</v>
      </c>
      <c r="T53" s="146">
        <f t="shared" si="8"/>
        <v>22097.595000000001</v>
      </c>
      <c r="U53" s="146">
        <f t="shared" si="9"/>
        <v>3109.6</v>
      </c>
      <c r="V53" s="146">
        <f t="shared" si="10"/>
        <v>106056.795</v>
      </c>
      <c r="W53" s="107"/>
      <c r="X53" s="100">
        <f t="shared" si="11"/>
        <v>-1837.7750000000087</v>
      </c>
      <c r="AA53" s="147"/>
    </row>
    <row r="54" spans="1:29">
      <c r="C54" s="40" t="s">
        <v>644</v>
      </c>
      <c r="E54" s="148"/>
      <c r="F54" s="102"/>
      <c r="G54" s="102"/>
      <c r="H54" s="159"/>
      <c r="I54" s="159"/>
      <c r="J54" s="159"/>
      <c r="K54" s="142"/>
      <c r="L54" s="143"/>
      <c r="M54" s="143"/>
      <c r="N54" s="143"/>
      <c r="O54" s="143"/>
      <c r="P54" s="106"/>
      <c r="Q54" s="145"/>
      <c r="R54" s="106"/>
      <c r="S54" s="146"/>
      <c r="T54" s="146"/>
      <c r="U54" s="146"/>
      <c r="V54" s="146"/>
      <c r="W54" s="107"/>
      <c r="X54" s="100"/>
      <c r="AA54" s="147"/>
    </row>
    <row r="55" spans="1:29" ht="20.25" customHeight="1">
      <c r="C55" s="411" t="s">
        <v>225</v>
      </c>
      <c r="D55" s="411"/>
      <c r="E55" s="411"/>
      <c r="F55" s="411"/>
      <c r="H55" s="411" t="s">
        <v>226</v>
      </c>
      <c r="I55" s="411"/>
      <c r="J55" s="411"/>
      <c r="K55" s="142"/>
      <c r="L55" s="411" t="s">
        <v>227</v>
      </c>
      <c r="M55" s="411"/>
      <c r="N55" s="411"/>
      <c r="O55" s="411"/>
      <c r="P55" s="106"/>
      <c r="Q55" s="408" t="s">
        <v>228</v>
      </c>
      <c r="R55" s="106"/>
      <c r="S55" s="411" t="s">
        <v>229</v>
      </c>
      <c r="T55" s="411"/>
      <c r="U55" s="411"/>
      <c r="V55" s="411"/>
      <c r="W55" s="107"/>
      <c r="X55" s="408" t="s">
        <v>230</v>
      </c>
      <c r="AA55" s="147"/>
    </row>
    <row r="56" spans="1:29" ht="31.5" customHeight="1">
      <c r="A56" s="102" t="s">
        <v>7</v>
      </c>
      <c r="B56" s="103"/>
      <c r="C56" s="102" t="s">
        <v>231</v>
      </c>
      <c r="D56" s="102" t="s">
        <v>232</v>
      </c>
      <c r="E56" s="104" t="s">
        <v>233</v>
      </c>
      <c r="F56" s="102" t="s">
        <v>234</v>
      </c>
      <c r="H56" s="21" t="s">
        <v>235</v>
      </c>
      <c r="I56" s="21" t="s">
        <v>236</v>
      </c>
      <c r="J56" s="21" t="s">
        <v>237</v>
      </c>
      <c r="K56" s="105"/>
      <c r="L56" s="21" t="s">
        <v>235</v>
      </c>
      <c r="M56" s="208" t="s">
        <v>236</v>
      </c>
      <c r="N56" s="21" t="s">
        <v>237</v>
      </c>
      <c r="O56" s="208" t="s">
        <v>57</v>
      </c>
      <c r="P56" s="106"/>
      <c r="Q56" s="408"/>
      <c r="R56" s="106"/>
      <c r="S56" s="208" t="s">
        <v>235</v>
      </c>
      <c r="T56" s="208" t="s">
        <v>236</v>
      </c>
      <c r="U56" s="21" t="s">
        <v>237</v>
      </c>
      <c r="V56" s="208" t="s">
        <v>57</v>
      </c>
      <c r="W56" s="107"/>
      <c r="X56" s="408"/>
      <c r="AA56" s="147"/>
    </row>
    <row r="57" spans="1:29">
      <c r="A57" s="24" t="s">
        <v>11</v>
      </c>
      <c r="B57" s="103"/>
      <c r="C57" s="25">
        <v>1</v>
      </c>
      <c r="D57" s="25">
        <f>C57+1</f>
        <v>2</v>
      </c>
      <c r="E57" s="108" t="s">
        <v>238</v>
      </c>
      <c r="F57" s="25">
        <f>D57+1</f>
        <v>3</v>
      </c>
      <c r="H57" s="25">
        <f>F57+1</f>
        <v>4</v>
      </c>
      <c r="I57" s="25">
        <f>H57+1</f>
        <v>5</v>
      </c>
      <c r="J57" s="25">
        <f>I57+1</f>
        <v>6</v>
      </c>
      <c r="K57" s="105"/>
      <c r="L57" s="25">
        <f>J57+1</f>
        <v>7</v>
      </c>
      <c r="M57" s="25">
        <f>L57+1</f>
        <v>8</v>
      </c>
      <c r="N57" s="25">
        <f>M57+1</f>
        <v>9</v>
      </c>
      <c r="O57" s="25">
        <f>N57+1</f>
        <v>10</v>
      </c>
      <c r="P57" s="106"/>
      <c r="Q57" s="25">
        <f>O57+1</f>
        <v>11</v>
      </c>
      <c r="R57" s="106"/>
      <c r="S57" s="25">
        <f>Q57+1</f>
        <v>12</v>
      </c>
      <c r="T57" s="25">
        <f>S57+1</f>
        <v>13</v>
      </c>
      <c r="U57" s="25">
        <f>T57+1</f>
        <v>14</v>
      </c>
      <c r="V57" s="25">
        <f>U57+1</f>
        <v>15</v>
      </c>
      <c r="W57" s="107"/>
      <c r="X57" s="25">
        <f>V57+1</f>
        <v>16</v>
      </c>
      <c r="AA57" s="147"/>
    </row>
    <row r="58" spans="1:29">
      <c r="A58" s="40">
        <f>A53+1</f>
        <v>40</v>
      </c>
      <c r="C58" s="40">
        <v>1</v>
      </c>
      <c r="D58" s="40" t="s">
        <v>287</v>
      </c>
      <c r="E58" s="148">
        <v>176</v>
      </c>
      <c r="F58" s="102"/>
      <c r="G58" s="102"/>
      <c r="H58" s="141">
        <v>2151</v>
      </c>
      <c r="I58" s="141">
        <v>410</v>
      </c>
      <c r="J58" s="141">
        <v>176</v>
      </c>
      <c r="K58" s="142"/>
      <c r="L58" s="143">
        <v>57567.11</v>
      </c>
      <c r="M58" s="143">
        <v>16449.7</v>
      </c>
      <c r="N58" s="143">
        <v>4885.5200000000004</v>
      </c>
      <c r="O58" s="143">
        <f>SUM(L58:N58)</f>
        <v>78902.33</v>
      </c>
      <c r="P58" s="106"/>
      <c r="Q58" s="145">
        <v>27.13</v>
      </c>
      <c r="R58" s="106"/>
      <c r="S58" s="146">
        <f t="shared" si="7"/>
        <v>56430.400000000001</v>
      </c>
      <c r="T58" s="146">
        <f>(+I58*Q58)*1.5</f>
        <v>16684.949999999997</v>
      </c>
      <c r="U58" s="146">
        <f>IF(N58=0,0,+J58*Q58)</f>
        <v>4774.88</v>
      </c>
      <c r="V58" s="146">
        <f>SUM(S58:U58)</f>
        <v>77890.23000000001</v>
      </c>
      <c r="W58" s="107"/>
      <c r="X58" s="100">
        <f>V58-O58</f>
        <v>-1012.0999999999913</v>
      </c>
      <c r="Z58" s="202"/>
      <c r="AA58" s="147"/>
    </row>
    <row r="59" spans="1:29">
      <c r="A59" s="40">
        <f t="shared" si="4"/>
        <v>41</v>
      </c>
      <c r="C59" s="40">
        <v>1</v>
      </c>
      <c r="D59" s="40" t="s">
        <v>288</v>
      </c>
      <c r="E59" s="148">
        <v>182</v>
      </c>
      <c r="F59" s="102"/>
      <c r="G59" s="102"/>
      <c r="H59" s="141">
        <v>2100.5</v>
      </c>
      <c r="I59" s="141">
        <v>67.5</v>
      </c>
      <c r="J59" s="141">
        <v>120</v>
      </c>
      <c r="K59" s="142"/>
      <c r="L59" s="143">
        <v>43184.7</v>
      </c>
      <c r="M59" s="143">
        <v>2080.11</v>
      </c>
      <c r="N59" s="143">
        <v>2617.48</v>
      </c>
      <c r="O59" s="143">
        <f>SUM(L59:N59)</f>
        <v>47882.29</v>
      </c>
      <c r="P59" s="106"/>
      <c r="Q59" s="145">
        <v>20.89</v>
      </c>
      <c r="R59" s="106"/>
      <c r="S59" s="146">
        <f t="shared" si="7"/>
        <v>43451.200000000004</v>
      </c>
      <c r="T59" s="146">
        <f>(+I59*Q59)*1.5</f>
        <v>2115.1125000000002</v>
      </c>
      <c r="U59" s="146">
        <f t="shared" ref="U59:U98" si="12">IF(N59=0,0,+J59*Q59)</f>
        <v>2506.8000000000002</v>
      </c>
      <c r="V59" s="146">
        <f>SUM(S59:U59)</f>
        <v>48073.11250000001</v>
      </c>
      <c r="W59" s="107"/>
      <c r="X59" s="100">
        <f>V59-O59</f>
        <v>190.82250000000931</v>
      </c>
      <c r="AA59" s="147"/>
    </row>
    <row r="60" spans="1:29">
      <c r="A60" s="40">
        <f>A59+1</f>
        <v>42</v>
      </c>
      <c r="C60" s="40">
        <v>1</v>
      </c>
      <c r="D60" s="40" t="s">
        <v>289</v>
      </c>
      <c r="E60" s="148"/>
      <c r="F60" s="102" t="s">
        <v>262</v>
      </c>
      <c r="G60" s="102"/>
      <c r="H60" s="141"/>
      <c r="I60" s="141"/>
      <c r="J60" s="141"/>
      <c r="K60" s="142"/>
      <c r="L60" s="143"/>
      <c r="M60" s="143"/>
      <c r="N60" s="143"/>
      <c r="O60" s="143">
        <f t="shared" ref="O60:O62" si="13">SUM(L60:N60)</f>
        <v>0</v>
      </c>
      <c r="P60" s="106"/>
      <c r="Q60" s="145">
        <f>1039.04*0.025</f>
        <v>25.975999999999999</v>
      </c>
      <c r="R60" s="106"/>
      <c r="S60" s="146">
        <f t="shared" si="7"/>
        <v>54030.080000000002</v>
      </c>
      <c r="T60" s="146">
        <f t="shared" ref="T60:T64" si="14">(+I60*Q60)*1.5</f>
        <v>0</v>
      </c>
      <c r="U60" s="146">
        <f t="shared" si="12"/>
        <v>0</v>
      </c>
      <c r="V60" s="146">
        <f t="shared" ref="V60:V64" si="15">SUM(S60:U60)</f>
        <v>54030.080000000002</v>
      </c>
      <c r="W60" s="107"/>
      <c r="X60" s="100">
        <f t="shared" ref="X60:X98" si="16">V60-O60</f>
        <v>54030.080000000002</v>
      </c>
      <c r="AA60" s="147"/>
    </row>
    <row r="61" spans="1:29">
      <c r="A61" s="40">
        <f t="shared" si="4"/>
        <v>43</v>
      </c>
      <c r="C61" s="40">
        <v>1</v>
      </c>
      <c r="D61" s="40" t="s">
        <v>290</v>
      </c>
      <c r="E61" s="148"/>
      <c r="F61" s="102" t="s">
        <v>262</v>
      </c>
      <c r="G61" s="102"/>
      <c r="H61" s="141"/>
      <c r="I61" s="141"/>
      <c r="J61" s="141"/>
      <c r="K61" s="142"/>
      <c r="L61" s="143"/>
      <c r="M61" s="143"/>
      <c r="N61" s="143"/>
      <c r="O61" s="143"/>
      <c r="P61" s="106"/>
      <c r="Q61" s="145">
        <v>20.260000000000002</v>
      </c>
      <c r="R61" s="106"/>
      <c r="S61" s="146">
        <f t="shared" si="7"/>
        <v>42140.800000000003</v>
      </c>
      <c r="T61" s="146">
        <f t="shared" si="14"/>
        <v>0</v>
      </c>
      <c r="U61" s="146">
        <f t="shared" si="12"/>
        <v>0</v>
      </c>
      <c r="V61" s="146">
        <f t="shared" si="15"/>
        <v>42140.800000000003</v>
      </c>
      <c r="W61" s="107"/>
      <c r="X61" s="100">
        <f t="shared" si="16"/>
        <v>42140.800000000003</v>
      </c>
      <c r="Z61" s="234" t="s">
        <v>291</v>
      </c>
      <c r="AA61" s="147"/>
    </row>
    <row r="62" spans="1:29">
      <c r="A62" s="40">
        <f t="shared" si="4"/>
        <v>44</v>
      </c>
      <c r="C62" s="40">
        <v>1</v>
      </c>
      <c r="D62" s="40" t="s">
        <v>292</v>
      </c>
      <c r="E62" s="148"/>
      <c r="F62" s="102" t="s">
        <v>262</v>
      </c>
      <c r="G62" s="102"/>
      <c r="H62" s="141"/>
      <c r="I62" s="141"/>
      <c r="J62" s="141"/>
      <c r="K62" s="142"/>
      <c r="L62" s="143"/>
      <c r="M62" s="143"/>
      <c r="N62" s="143"/>
      <c r="O62" s="143">
        <f t="shared" si="13"/>
        <v>0</v>
      </c>
      <c r="P62" s="106"/>
      <c r="Q62" s="145">
        <f>1250*0.025</f>
        <v>31.25</v>
      </c>
      <c r="R62" s="106"/>
      <c r="S62" s="146">
        <f t="shared" si="7"/>
        <v>65000</v>
      </c>
      <c r="T62" s="146">
        <f t="shared" si="14"/>
        <v>0</v>
      </c>
      <c r="U62" s="146">
        <f t="shared" si="12"/>
        <v>0</v>
      </c>
      <c r="V62" s="146">
        <f t="shared" si="15"/>
        <v>65000</v>
      </c>
      <c r="W62" s="107"/>
      <c r="X62" s="100">
        <f t="shared" si="16"/>
        <v>65000</v>
      </c>
      <c r="AA62" s="147"/>
    </row>
    <row r="63" spans="1:29">
      <c r="A63" s="40">
        <f t="shared" si="4"/>
        <v>45</v>
      </c>
      <c r="C63" s="40">
        <v>1</v>
      </c>
      <c r="D63" s="40" t="s">
        <v>293</v>
      </c>
      <c r="E63" s="148"/>
      <c r="F63" s="102" t="s">
        <v>262</v>
      </c>
      <c r="G63" s="102"/>
      <c r="H63" s="141"/>
      <c r="I63" s="141"/>
      <c r="J63" s="141"/>
      <c r="K63" s="142"/>
      <c r="L63" s="143"/>
      <c r="M63" s="143"/>
      <c r="N63" s="143"/>
      <c r="O63" s="143"/>
      <c r="P63" s="106"/>
      <c r="Q63" s="145">
        <f>24.04*1</f>
        <v>24.04</v>
      </c>
      <c r="R63" s="106"/>
      <c r="S63" s="146">
        <f t="shared" si="7"/>
        <v>50003.199999999997</v>
      </c>
      <c r="T63" s="146">
        <f t="shared" si="14"/>
        <v>0</v>
      </c>
      <c r="U63" s="146">
        <f t="shared" si="12"/>
        <v>0</v>
      </c>
      <c r="V63" s="146">
        <f t="shared" si="15"/>
        <v>50003.199999999997</v>
      </c>
      <c r="W63" s="107"/>
      <c r="X63" s="100">
        <f t="shared" si="16"/>
        <v>50003.199999999997</v>
      </c>
      <c r="Z63" s="160" t="s">
        <v>294</v>
      </c>
      <c r="AA63" s="161" t="s">
        <v>294</v>
      </c>
      <c r="AB63" s="140" t="s">
        <v>295</v>
      </c>
      <c r="AC63" s="162" t="s">
        <v>296</v>
      </c>
    </row>
    <row r="64" spans="1:29">
      <c r="A64" s="40">
        <f t="shared" si="4"/>
        <v>46</v>
      </c>
      <c r="C64" s="40">
        <v>1</v>
      </c>
      <c r="D64" s="40" t="s">
        <v>297</v>
      </c>
      <c r="E64" s="148"/>
      <c r="F64" s="102" t="s">
        <v>262</v>
      </c>
      <c r="G64" s="102"/>
      <c r="H64" s="141"/>
      <c r="I64" s="141"/>
      <c r="J64" s="141"/>
      <c r="K64" s="142"/>
      <c r="L64" s="143"/>
      <c r="M64" s="143"/>
      <c r="N64" s="143"/>
      <c r="O64" s="143"/>
      <c r="P64" s="106"/>
      <c r="Q64" s="145">
        <f>1090.99*0.025</f>
        <v>27.274750000000001</v>
      </c>
      <c r="R64" s="106"/>
      <c r="S64" s="146">
        <f t="shared" si="7"/>
        <v>56731.48</v>
      </c>
      <c r="T64" s="146">
        <f t="shared" si="14"/>
        <v>0</v>
      </c>
      <c r="U64" s="146">
        <f t="shared" si="12"/>
        <v>0</v>
      </c>
      <c r="V64" s="146">
        <f t="shared" si="15"/>
        <v>56731.48</v>
      </c>
      <c r="W64" s="107"/>
      <c r="X64" s="100">
        <f t="shared" si="16"/>
        <v>56731.48</v>
      </c>
      <c r="Z64" s="163" t="s">
        <v>298</v>
      </c>
      <c r="AA64" s="164" t="s">
        <v>299</v>
      </c>
      <c r="AB64" s="165" t="s">
        <v>300</v>
      </c>
      <c r="AC64" s="165" t="s">
        <v>301</v>
      </c>
    </row>
    <row r="65" spans="1:29">
      <c r="A65" s="40">
        <f t="shared" si="4"/>
        <v>47</v>
      </c>
      <c r="C65" s="40">
        <v>1</v>
      </c>
      <c r="D65" s="40" t="s">
        <v>302</v>
      </c>
      <c r="E65" s="148">
        <v>185</v>
      </c>
      <c r="F65" s="102" t="s">
        <v>303</v>
      </c>
      <c r="G65" s="102"/>
      <c r="H65" s="141">
        <v>1112</v>
      </c>
      <c r="I65" s="141">
        <v>156.5</v>
      </c>
      <c r="J65" s="141">
        <v>32</v>
      </c>
      <c r="K65" s="142"/>
      <c r="L65" s="143">
        <v>38677.32</v>
      </c>
      <c r="M65" s="143">
        <v>8923.4</v>
      </c>
      <c r="N65" s="143">
        <v>674.85</v>
      </c>
      <c r="O65" s="143">
        <f t="shared" ref="O65:O70" si="17">SUM(L65:N65)</f>
        <v>48275.57</v>
      </c>
      <c r="P65" s="106"/>
      <c r="Q65" s="145">
        <v>35.340000000000003</v>
      </c>
      <c r="R65" s="106"/>
      <c r="S65" s="146">
        <f t="shared" si="7"/>
        <v>73507.200000000012</v>
      </c>
      <c r="T65" s="146">
        <f t="shared" ref="T65:T98" si="18">(+I65*Q65)*1.5+AC65</f>
        <v>9054.4462320143903</v>
      </c>
      <c r="U65" s="146">
        <f t="shared" si="12"/>
        <v>1130.8800000000001</v>
      </c>
      <c r="V65" s="146">
        <f t="shared" ref="V65:V70" si="19">SUM(S65:U65)</f>
        <v>83692.52623201441</v>
      </c>
      <c r="W65" s="107"/>
      <c r="X65" s="100">
        <f t="shared" si="16"/>
        <v>35416.95623201441</v>
      </c>
      <c r="Z65" s="166">
        <f>+L65/H65</f>
        <v>34.781762589928057</v>
      </c>
      <c r="AA65" s="167">
        <f>+Z65*1.5</f>
        <v>52.172643884892082</v>
      </c>
      <c r="AB65" s="168">
        <f>+AA65*I65</f>
        <v>8165.0187679856108</v>
      </c>
      <c r="AC65" s="168">
        <f>+M65-AB65</f>
        <v>758.38123201438884</v>
      </c>
    </row>
    <row r="66" spans="1:29">
      <c r="A66" s="40">
        <f t="shared" si="4"/>
        <v>48</v>
      </c>
      <c r="C66" s="40">
        <v>1</v>
      </c>
      <c r="D66" s="40" t="s">
        <v>304</v>
      </c>
      <c r="E66" s="148">
        <v>187</v>
      </c>
      <c r="F66" s="102" t="s">
        <v>303</v>
      </c>
      <c r="G66" s="102"/>
      <c r="H66" s="141">
        <v>2056</v>
      </c>
      <c r="I66" s="141">
        <v>180.5</v>
      </c>
      <c r="J66" s="141">
        <v>65.569999999999993</v>
      </c>
      <c r="K66" s="142"/>
      <c r="L66" s="143">
        <v>67428.73</v>
      </c>
      <c r="M66" s="143">
        <v>8955.65</v>
      </c>
      <c r="N66" s="143">
        <v>2310.8200000000002</v>
      </c>
      <c r="O66" s="143">
        <f t="shared" si="17"/>
        <v>78695.199999999997</v>
      </c>
      <c r="P66" s="106"/>
      <c r="Q66" s="145">
        <v>33.57</v>
      </c>
      <c r="R66" s="106"/>
      <c r="S66" s="146">
        <f t="shared" si="7"/>
        <v>69825.600000000006</v>
      </c>
      <c r="T66" s="146">
        <f t="shared" si="18"/>
        <v>9165.1902200875484</v>
      </c>
      <c r="U66" s="146">
        <f t="shared" si="12"/>
        <v>2201.1848999999997</v>
      </c>
      <c r="V66" s="146">
        <f t="shared" si="19"/>
        <v>81191.975120087547</v>
      </c>
      <c r="W66" s="107"/>
      <c r="X66" s="100">
        <f t="shared" si="16"/>
        <v>2496.77512008755</v>
      </c>
      <c r="Z66" s="166">
        <f t="shared" ref="Z66:Z98" si="20">+L66/H66</f>
        <v>32.796074902723731</v>
      </c>
      <c r="AA66" s="167">
        <f t="shared" ref="AA66:AA98" si="21">+Z66*1.5</f>
        <v>49.194112354085597</v>
      </c>
      <c r="AB66" s="168">
        <f t="shared" ref="AB66:AB98" si="22">+AA66*I66</f>
        <v>8879.5372799124507</v>
      </c>
      <c r="AC66" s="168">
        <f t="shared" ref="AC66:AC98" si="23">+M66-AB66</f>
        <v>76.112720087548951</v>
      </c>
    </row>
    <row r="67" spans="1:29">
      <c r="A67" s="40">
        <f t="shared" si="4"/>
        <v>49</v>
      </c>
      <c r="C67" s="40">
        <v>1</v>
      </c>
      <c r="D67" s="40" t="s">
        <v>305</v>
      </c>
      <c r="E67" s="148">
        <v>188</v>
      </c>
      <c r="F67" s="102" t="s">
        <v>306</v>
      </c>
      <c r="G67" s="102"/>
      <c r="H67" s="141">
        <v>806.15</v>
      </c>
      <c r="I67" s="141">
        <v>58.5</v>
      </c>
      <c r="J67" s="141">
        <v>0</v>
      </c>
      <c r="K67" s="142"/>
      <c r="L67" s="143">
        <v>21805.67</v>
      </c>
      <c r="M67" s="143">
        <v>2402.41</v>
      </c>
      <c r="N67" s="143">
        <v>0</v>
      </c>
      <c r="O67" s="143">
        <f t="shared" si="17"/>
        <v>24208.079999999998</v>
      </c>
      <c r="P67" s="106"/>
      <c r="Q67" s="145">
        <v>0</v>
      </c>
      <c r="R67" s="106"/>
      <c r="S67" s="146">
        <f t="shared" si="7"/>
        <v>0</v>
      </c>
      <c r="T67" s="146">
        <v>0</v>
      </c>
      <c r="U67" s="146">
        <f t="shared" si="12"/>
        <v>0</v>
      </c>
      <c r="V67" s="146">
        <f t="shared" si="19"/>
        <v>0</v>
      </c>
      <c r="W67" s="107"/>
      <c r="X67" s="100">
        <f t="shared" si="16"/>
        <v>-24208.079999999998</v>
      </c>
      <c r="Z67" s="166">
        <f t="shared" si="20"/>
        <v>27.049147181045711</v>
      </c>
      <c r="AA67" s="167">
        <f t="shared" si="21"/>
        <v>40.573720771568567</v>
      </c>
      <c r="AB67" s="168">
        <f t="shared" si="22"/>
        <v>2373.5626651367611</v>
      </c>
      <c r="AC67" s="168">
        <f t="shared" si="23"/>
        <v>28.847334863238757</v>
      </c>
    </row>
    <row r="68" spans="1:29">
      <c r="A68" s="40">
        <f t="shared" si="4"/>
        <v>50</v>
      </c>
      <c r="C68" s="40">
        <v>1</v>
      </c>
      <c r="D68" s="40" t="s">
        <v>307</v>
      </c>
      <c r="E68" s="148">
        <v>189</v>
      </c>
      <c r="F68" s="102" t="s">
        <v>303</v>
      </c>
      <c r="G68" s="102"/>
      <c r="H68" s="141">
        <v>2032</v>
      </c>
      <c r="I68" s="141">
        <v>264</v>
      </c>
      <c r="J68" s="141">
        <v>14.67</v>
      </c>
      <c r="K68" s="142"/>
      <c r="L68" s="143">
        <v>57159.12</v>
      </c>
      <c r="M68" s="143">
        <v>11357.31</v>
      </c>
      <c r="N68" s="143">
        <v>550.15</v>
      </c>
      <c r="O68" s="143">
        <f t="shared" si="17"/>
        <v>69066.58</v>
      </c>
      <c r="P68" s="106"/>
      <c r="Q68" s="145">
        <v>30.04</v>
      </c>
      <c r="R68" s="106"/>
      <c r="S68" s="146">
        <f t="shared" si="7"/>
        <v>62483.199999999997</v>
      </c>
      <c r="T68" s="146">
        <f t="shared" si="18"/>
        <v>12113.872677165355</v>
      </c>
      <c r="U68" s="146">
        <f t="shared" si="12"/>
        <v>440.68680000000001</v>
      </c>
      <c r="V68" s="146">
        <f t="shared" si="19"/>
        <v>75037.759477165353</v>
      </c>
      <c r="W68" s="107"/>
      <c r="X68" s="100">
        <f t="shared" si="16"/>
        <v>5971.1794771653513</v>
      </c>
      <c r="Z68" s="166">
        <f t="shared" si="20"/>
        <v>28.129488188976378</v>
      </c>
      <c r="AA68" s="167">
        <f t="shared" si="21"/>
        <v>42.194232283464565</v>
      </c>
      <c r="AB68" s="168">
        <f t="shared" si="22"/>
        <v>11139.277322834645</v>
      </c>
      <c r="AC68" s="168">
        <f t="shared" si="23"/>
        <v>218.03267716535447</v>
      </c>
    </row>
    <row r="69" spans="1:29">
      <c r="A69" s="40">
        <f t="shared" si="4"/>
        <v>51</v>
      </c>
      <c r="C69" s="40">
        <v>1</v>
      </c>
      <c r="D69" s="40" t="s">
        <v>308</v>
      </c>
      <c r="E69" s="148">
        <v>192</v>
      </c>
      <c r="F69" s="102" t="s">
        <v>303</v>
      </c>
      <c r="G69" s="102"/>
      <c r="H69" s="141">
        <v>2040</v>
      </c>
      <c r="I69" s="141">
        <v>352</v>
      </c>
      <c r="J69" s="141">
        <v>6.67</v>
      </c>
      <c r="K69" s="142"/>
      <c r="L69" s="143">
        <v>55562.879999999997</v>
      </c>
      <c r="M69" s="143">
        <v>14856.25</v>
      </c>
      <c r="N69" s="143">
        <v>309.77999999999997</v>
      </c>
      <c r="O69" s="143">
        <f t="shared" si="17"/>
        <v>70728.91</v>
      </c>
      <c r="P69" s="106"/>
      <c r="Q69" s="145">
        <v>30.04</v>
      </c>
      <c r="R69" s="106"/>
      <c r="S69" s="146">
        <f t="shared" si="7"/>
        <v>62483.199999999997</v>
      </c>
      <c r="T69" s="146">
        <f t="shared" si="18"/>
        <v>16336.389294117645</v>
      </c>
      <c r="U69" s="146">
        <f t="shared" si="12"/>
        <v>200.36679999999998</v>
      </c>
      <c r="V69" s="146">
        <f t="shared" si="19"/>
        <v>79019.956094117646</v>
      </c>
      <c r="W69" s="107"/>
      <c r="X69" s="100">
        <f t="shared" si="16"/>
        <v>8291.0460941176425</v>
      </c>
      <c r="Z69" s="166">
        <f t="shared" si="20"/>
        <v>27.23670588235294</v>
      </c>
      <c r="AA69" s="167">
        <f t="shared" si="21"/>
        <v>40.855058823529411</v>
      </c>
      <c r="AB69" s="168">
        <f t="shared" si="22"/>
        <v>14380.980705882354</v>
      </c>
      <c r="AC69" s="168">
        <f t="shared" si="23"/>
        <v>475.2692941176465</v>
      </c>
    </row>
    <row r="70" spans="1:29">
      <c r="A70" s="40">
        <f t="shared" si="4"/>
        <v>52</v>
      </c>
      <c r="C70" s="40">
        <v>1</v>
      </c>
      <c r="D70" s="40" t="s">
        <v>309</v>
      </c>
      <c r="E70" s="148">
        <v>193</v>
      </c>
      <c r="F70" s="102" t="s">
        <v>303</v>
      </c>
      <c r="G70" s="102"/>
      <c r="H70" s="141">
        <v>1824</v>
      </c>
      <c r="I70" s="141">
        <v>873.5</v>
      </c>
      <c r="J70" s="141">
        <v>120.67</v>
      </c>
      <c r="K70" s="142"/>
      <c r="L70" s="143">
        <v>65513.279999999999</v>
      </c>
      <c r="M70" s="143">
        <v>54068.480000000003</v>
      </c>
      <c r="N70" s="143">
        <v>133.15</v>
      </c>
      <c r="O70" s="143">
        <f t="shared" si="17"/>
        <v>119714.91</v>
      </c>
      <c r="P70" s="106"/>
      <c r="Q70" s="145">
        <v>35.340000000000003</v>
      </c>
      <c r="R70" s="106"/>
      <c r="S70" s="146">
        <f t="shared" si="7"/>
        <v>73507.200000000012</v>
      </c>
      <c r="T70" s="146">
        <f t="shared" si="18"/>
        <v>53311.9830263158</v>
      </c>
      <c r="U70" s="146">
        <f t="shared" si="12"/>
        <v>4264.4778000000006</v>
      </c>
      <c r="V70" s="146">
        <f t="shared" si="19"/>
        <v>131083.66082631581</v>
      </c>
      <c r="W70" s="107"/>
      <c r="X70" s="100">
        <f t="shared" si="16"/>
        <v>11368.750826315809</v>
      </c>
      <c r="Z70" s="166">
        <f t="shared" si="20"/>
        <v>35.917368421052629</v>
      </c>
      <c r="AA70" s="167">
        <f t="shared" si="21"/>
        <v>53.876052631578943</v>
      </c>
      <c r="AB70" s="168">
        <f t="shared" si="22"/>
        <v>47060.731973684204</v>
      </c>
      <c r="AC70" s="168">
        <f t="shared" si="23"/>
        <v>7007.7480263157995</v>
      </c>
    </row>
    <row r="71" spans="1:29">
      <c r="A71" s="40">
        <f t="shared" si="4"/>
        <v>53</v>
      </c>
      <c r="C71" s="40">
        <v>1</v>
      </c>
      <c r="D71" s="40" t="s">
        <v>310</v>
      </c>
      <c r="E71" s="148"/>
      <c r="F71" s="102" t="s">
        <v>303</v>
      </c>
      <c r="G71" s="102"/>
      <c r="H71" s="141">
        <v>1992</v>
      </c>
      <c r="I71" s="141">
        <v>447</v>
      </c>
      <c r="J71" s="141">
        <v>72.67</v>
      </c>
      <c r="K71" s="142"/>
      <c r="L71" s="143">
        <v>77192.03</v>
      </c>
      <c r="M71" s="143">
        <v>31332.78</v>
      </c>
      <c r="N71" s="143">
        <v>2934.14</v>
      </c>
      <c r="O71" s="143">
        <f t="shared" ref="O71:O98" si="24">SUM(L71:N71)</f>
        <v>111458.95</v>
      </c>
      <c r="P71" s="106"/>
      <c r="Q71" s="145">
        <v>38.869999999999997</v>
      </c>
      <c r="R71" s="106"/>
      <c r="S71" s="146">
        <f t="shared" si="7"/>
        <v>80849.599999999991</v>
      </c>
      <c r="T71" s="146">
        <f t="shared" si="18"/>
        <v>31412.55670933735</v>
      </c>
      <c r="U71" s="146">
        <f t="shared" si="12"/>
        <v>2824.6828999999998</v>
      </c>
      <c r="V71" s="146">
        <f t="shared" ref="V71:V98" si="25">SUM(S71:U71)</f>
        <v>115086.83960933734</v>
      </c>
      <c r="W71" s="107"/>
      <c r="X71" s="100">
        <f t="shared" si="16"/>
        <v>3627.8896093373478</v>
      </c>
      <c r="Z71" s="166">
        <f t="shared" si="20"/>
        <v>38.751019076305219</v>
      </c>
      <c r="AA71" s="167">
        <f t="shared" si="21"/>
        <v>58.126528614457825</v>
      </c>
      <c r="AB71" s="168">
        <f t="shared" si="22"/>
        <v>25982.558290662648</v>
      </c>
      <c r="AC71" s="168">
        <f t="shared" si="23"/>
        <v>5350.2217093373511</v>
      </c>
    </row>
    <row r="72" spans="1:29">
      <c r="A72" s="40">
        <f t="shared" si="4"/>
        <v>54</v>
      </c>
      <c r="C72" s="40">
        <v>1</v>
      </c>
      <c r="D72" s="40" t="s">
        <v>311</v>
      </c>
      <c r="E72" s="148"/>
      <c r="F72" s="102" t="s">
        <v>303</v>
      </c>
      <c r="G72" s="102"/>
      <c r="H72" s="141">
        <v>2008.5</v>
      </c>
      <c r="I72" s="141">
        <v>323</v>
      </c>
      <c r="J72" s="141">
        <v>72</v>
      </c>
      <c r="K72" s="142"/>
      <c r="L72" s="143">
        <v>77372.25</v>
      </c>
      <c r="M72" s="143">
        <v>23366.080000000002</v>
      </c>
      <c r="N72" s="143">
        <v>2908.12</v>
      </c>
      <c r="O72" s="143">
        <f t="shared" si="24"/>
        <v>103646.45</v>
      </c>
      <c r="P72" s="106"/>
      <c r="Q72" s="145">
        <v>38.869999999999997</v>
      </c>
      <c r="R72" s="106"/>
      <c r="S72" s="146">
        <f t="shared" si="7"/>
        <v>80849.599999999991</v>
      </c>
      <c r="T72" s="146">
        <f t="shared" si="18"/>
        <v>23534.489884241972</v>
      </c>
      <c r="U72" s="146">
        <f t="shared" si="12"/>
        <v>2798.64</v>
      </c>
      <c r="V72" s="146">
        <f t="shared" si="25"/>
        <v>107182.72988424196</v>
      </c>
      <c r="W72" s="107"/>
      <c r="X72" s="100">
        <f t="shared" si="16"/>
        <v>3536.2798842419579</v>
      </c>
      <c r="Z72" s="166">
        <f t="shared" si="20"/>
        <v>38.522404779686333</v>
      </c>
      <c r="AA72" s="167">
        <f t="shared" si="21"/>
        <v>57.783607169529503</v>
      </c>
      <c r="AB72" s="168">
        <f t="shared" si="22"/>
        <v>18664.10511575803</v>
      </c>
      <c r="AC72" s="168">
        <f t="shared" si="23"/>
        <v>4701.9748842419722</v>
      </c>
    </row>
    <row r="73" spans="1:29">
      <c r="A73" s="40">
        <f t="shared" si="4"/>
        <v>55</v>
      </c>
      <c r="C73" s="40">
        <v>1</v>
      </c>
      <c r="D73" s="40" t="s">
        <v>312</v>
      </c>
      <c r="E73" s="148"/>
      <c r="F73" s="102" t="s">
        <v>303</v>
      </c>
      <c r="G73" s="102"/>
      <c r="H73" s="141">
        <v>2064</v>
      </c>
      <c r="I73" s="141">
        <v>59.5</v>
      </c>
      <c r="J73" s="141">
        <v>0</v>
      </c>
      <c r="K73" s="142"/>
      <c r="L73" s="143">
        <v>67690.080000000002</v>
      </c>
      <c r="M73" s="143">
        <v>3111.82</v>
      </c>
      <c r="N73" s="143">
        <v>109.22</v>
      </c>
      <c r="O73" s="143">
        <f t="shared" si="24"/>
        <v>70911.12000000001</v>
      </c>
      <c r="P73" s="106"/>
      <c r="Q73" s="145">
        <v>33.57</v>
      </c>
      <c r="R73" s="106"/>
      <c r="S73" s="146">
        <f t="shared" si="7"/>
        <v>69825.600000000006</v>
      </c>
      <c r="T73" s="146">
        <f t="shared" si="18"/>
        <v>3180.9368604651163</v>
      </c>
      <c r="U73" s="146">
        <f t="shared" si="12"/>
        <v>0</v>
      </c>
      <c r="V73" s="146">
        <f t="shared" si="25"/>
        <v>73006.536860465116</v>
      </c>
      <c r="W73" s="107"/>
      <c r="X73" s="100">
        <f t="shared" si="16"/>
        <v>2095.4168604651059</v>
      </c>
      <c r="Z73" s="166">
        <f t="shared" si="20"/>
        <v>32.79558139534884</v>
      </c>
      <c r="AA73" s="167">
        <f t="shared" si="21"/>
        <v>49.193372093023257</v>
      </c>
      <c r="AB73" s="168">
        <f t="shared" si="22"/>
        <v>2927.0056395348838</v>
      </c>
      <c r="AC73" s="168">
        <f t="shared" si="23"/>
        <v>184.81436046511635</v>
      </c>
    </row>
    <row r="74" spans="1:29">
      <c r="A74" s="40">
        <f t="shared" si="4"/>
        <v>56</v>
      </c>
      <c r="C74" s="40">
        <v>1</v>
      </c>
      <c r="D74" s="40" t="s">
        <v>313</v>
      </c>
      <c r="E74" s="148"/>
      <c r="F74" s="102" t="s">
        <v>303</v>
      </c>
      <c r="G74" s="102"/>
      <c r="H74" s="141">
        <v>2005</v>
      </c>
      <c r="I74" s="141">
        <v>446</v>
      </c>
      <c r="J74" s="141">
        <v>40</v>
      </c>
      <c r="K74" s="142"/>
      <c r="L74" s="143">
        <v>71372.990000000005</v>
      </c>
      <c r="M74" s="143">
        <v>30102.98</v>
      </c>
      <c r="N74" s="143">
        <v>1523.2</v>
      </c>
      <c r="O74" s="143">
        <f t="shared" si="24"/>
        <v>102999.17</v>
      </c>
      <c r="P74" s="106"/>
      <c r="Q74" s="145">
        <v>35.340000000000003</v>
      </c>
      <c r="R74" s="106"/>
      <c r="S74" s="146">
        <f t="shared" si="7"/>
        <v>73507.200000000012</v>
      </c>
      <c r="T74" s="146">
        <f t="shared" si="18"/>
        <v>29930.711665835413</v>
      </c>
      <c r="U74" s="146">
        <f t="shared" si="12"/>
        <v>1413.6000000000001</v>
      </c>
      <c r="V74" s="146">
        <f t="shared" si="25"/>
        <v>104851.51166583542</v>
      </c>
      <c r="W74" s="107"/>
      <c r="X74" s="100">
        <f t="shared" si="16"/>
        <v>1852.3416658354254</v>
      </c>
      <c r="Z74" s="166">
        <f t="shared" si="20"/>
        <v>35.597501246882793</v>
      </c>
      <c r="AA74" s="167">
        <f t="shared" si="21"/>
        <v>53.396251870324193</v>
      </c>
      <c r="AB74" s="168">
        <f t="shared" si="22"/>
        <v>23814.728334164589</v>
      </c>
      <c r="AC74" s="168">
        <f t="shared" si="23"/>
        <v>6288.2516658354107</v>
      </c>
    </row>
    <row r="75" spans="1:29">
      <c r="A75" s="40">
        <f t="shared" si="4"/>
        <v>57</v>
      </c>
      <c r="C75" s="40">
        <v>1</v>
      </c>
      <c r="D75" s="40" t="s">
        <v>314</v>
      </c>
      <c r="E75" s="148"/>
      <c r="F75" s="102" t="s">
        <v>306</v>
      </c>
      <c r="G75" s="102"/>
      <c r="H75" s="141">
        <v>129</v>
      </c>
      <c r="I75" s="141">
        <v>0</v>
      </c>
      <c r="J75" s="141">
        <v>0</v>
      </c>
      <c r="K75" s="142"/>
      <c r="L75" s="143">
        <v>4436.3100000000004</v>
      </c>
      <c r="M75" s="143">
        <v>0</v>
      </c>
      <c r="N75" s="143">
        <v>0</v>
      </c>
      <c r="O75" s="143">
        <f t="shared" si="24"/>
        <v>4436.3100000000004</v>
      </c>
      <c r="P75" s="106"/>
      <c r="Q75" s="145">
        <v>0</v>
      </c>
      <c r="R75" s="106"/>
      <c r="S75" s="146">
        <f t="shared" si="7"/>
        <v>0</v>
      </c>
      <c r="T75" s="146">
        <f t="shared" si="18"/>
        <v>0</v>
      </c>
      <c r="U75" s="146">
        <f t="shared" si="12"/>
        <v>0</v>
      </c>
      <c r="V75" s="146">
        <f t="shared" si="25"/>
        <v>0</v>
      </c>
      <c r="W75" s="107"/>
      <c r="X75" s="100">
        <f t="shared" si="16"/>
        <v>-4436.3100000000004</v>
      </c>
      <c r="Z75" s="166">
        <f t="shared" si="20"/>
        <v>34.39</v>
      </c>
      <c r="AA75" s="167">
        <f t="shared" si="21"/>
        <v>51.585000000000001</v>
      </c>
      <c r="AB75" s="168">
        <f t="shared" si="22"/>
        <v>0</v>
      </c>
      <c r="AC75" s="168">
        <f t="shared" si="23"/>
        <v>0</v>
      </c>
    </row>
    <row r="76" spans="1:29">
      <c r="A76" s="40">
        <f t="shared" si="4"/>
        <v>58</v>
      </c>
      <c r="C76" s="40">
        <v>1</v>
      </c>
      <c r="D76" s="40" t="s">
        <v>315</v>
      </c>
      <c r="E76" s="148"/>
      <c r="F76" s="102" t="s">
        <v>303</v>
      </c>
      <c r="G76" s="102"/>
      <c r="H76" s="141">
        <v>1980.5</v>
      </c>
      <c r="I76" s="141">
        <v>482</v>
      </c>
      <c r="J76" s="141">
        <v>30.5</v>
      </c>
      <c r="K76" s="142"/>
      <c r="L76" s="143">
        <v>70290.17</v>
      </c>
      <c r="M76" s="143">
        <v>29720.58</v>
      </c>
      <c r="N76" s="143">
        <v>1187.32</v>
      </c>
      <c r="O76" s="143">
        <f t="shared" si="24"/>
        <v>101198.07</v>
      </c>
      <c r="P76" s="106"/>
      <c r="Q76" s="145">
        <v>35.340000000000003</v>
      </c>
      <c r="R76" s="106"/>
      <c r="S76" s="146">
        <f t="shared" si="7"/>
        <v>73507.200000000012</v>
      </c>
      <c r="T76" s="146">
        <f t="shared" si="18"/>
        <v>29611.317742994197</v>
      </c>
      <c r="U76" s="146">
        <f t="shared" si="12"/>
        <v>1077.8700000000001</v>
      </c>
      <c r="V76" s="146">
        <f t="shared" si="25"/>
        <v>104196.38774299421</v>
      </c>
      <c r="W76" s="107"/>
      <c r="X76" s="100">
        <f t="shared" si="16"/>
        <v>2998.3177429942007</v>
      </c>
      <c r="Z76" s="166">
        <f t="shared" si="20"/>
        <v>35.49112345367331</v>
      </c>
      <c r="AA76" s="167">
        <f t="shared" si="21"/>
        <v>53.236685180509966</v>
      </c>
      <c r="AB76" s="168">
        <f t="shared" si="22"/>
        <v>25660.082257005804</v>
      </c>
      <c r="AC76" s="168">
        <f t="shared" si="23"/>
        <v>4060.4977429941973</v>
      </c>
    </row>
    <row r="77" spans="1:29">
      <c r="A77" s="40">
        <f t="shared" si="4"/>
        <v>59</v>
      </c>
      <c r="C77" s="40">
        <v>1</v>
      </c>
      <c r="D77" s="40" t="s">
        <v>316</v>
      </c>
      <c r="E77" s="148"/>
      <c r="F77" s="102" t="s">
        <v>303</v>
      </c>
      <c r="G77" s="102"/>
      <c r="H77" s="141">
        <v>1952</v>
      </c>
      <c r="I77" s="141">
        <v>692</v>
      </c>
      <c r="J77" s="141">
        <v>29.21</v>
      </c>
      <c r="K77" s="142"/>
      <c r="L77" s="143">
        <v>70996.42</v>
      </c>
      <c r="M77" s="143">
        <v>43134.77</v>
      </c>
      <c r="N77" s="143">
        <v>1141.72</v>
      </c>
      <c r="O77" s="143">
        <f t="shared" si="24"/>
        <v>115272.91</v>
      </c>
      <c r="P77" s="106"/>
      <c r="Q77" s="145">
        <v>35.340000000000003</v>
      </c>
      <c r="R77" s="106"/>
      <c r="S77" s="146">
        <f t="shared" si="7"/>
        <v>73507.200000000012</v>
      </c>
      <c r="T77" s="146">
        <f t="shared" si="18"/>
        <v>42064.470758196723</v>
      </c>
      <c r="U77" s="146">
        <f t="shared" si="12"/>
        <v>1032.2814000000001</v>
      </c>
      <c r="V77" s="146">
        <f t="shared" si="25"/>
        <v>116603.95215819674</v>
      </c>
      <c r="W77" s="107"/>
      <c r="X77" s="100">
        <f t="shared" si="16"/>
        <v>1331.0421581967385</v>
      </c>
      <c r="Z77" s="166">
        <f t="shared" si="20"/>
        <v>36.371116803278689</v>
      </c>
      <c r="AA77" s="167">
        <f t="shared" si="21"/>
        <v>54.556675204918037</v>
      </c>
      <c r="AB77" s="168">
        <f t="shared" si="22"/>
        <v>37753.219241803279</v>
      </c>
      <c r="AC77" s="168">
        <f t="shared" si="23"/>
        <v>5381.5507581967177</v>
      </c>
    </row>
    <row r="78" spans="1:29">
      <c r="A78" s="40">
        <f t="shared" si="4"/>
        <v>60</v>
      </c>
      <c r="C78" s="40">
        <v>1</v>
      </c>
      <c r="D78" s="40" t="s">
        <v>317</v>
      </c>
      <c r="E78" s="148"/>
      <c r="F78" s="102" t="s">
        <v>303</v>
      </c>
      <c r="G78" s="102"/>
      <c r="H78" s="141">
        <v>1936</v>
      </c>
      <c r="I78" s="141">
        <v>854</v>
      </c>
      <c r="J78" s="141">
        <v>125.94</v>
      </c>
      <c r="K78" s="142"/>
      <c r="L78" s="143">
        <v>55768.24</v>
      </c>
      <c r="M78" s="143">
        <v>36697.32</v>
      </c>
      <c r="N78" s="143">
        <v>3934.24</v>
      </c>
      <c r="O78" s="143">
        <f t="shared" si="24"/>
        <v>96399.8</v>
      </c>
      <c r="P78" s="106"/>
      <c r="Q78" s="145">
        <v>30.04</v>
      </c>
      <c r="R78" s="106"/>
      <c r="S78" s="146">
        <f t="shared" si="7"/>
        <v>62483.199999999997</v>
      </c>
      <c r="T78" s="146">
        <f t="shared" si="18"/>
        <v>38278.19045454546</v>
      </c>
      <c r="U78" s="146">
        <f t="shared" si="12"/>
        <v>3783.2375999999999</v>
      </c>
      <c r="V78" s="146">
        <f t="shared" si="25"/>
        <v>104544.62805454545</v>
      </c>
      <c r="W78" s="107"/>
      <c r="X78" s="100">
        <f t="shared" si="16"/>
        <v>8144.8280545454472</v>
      </c>
      <c r="Z78" s="166">
        <f t="shared" si="20"/>
        <v>28.80590909090909</v>
      </c>
      <c r="AA78" s="167">
        <f t="shared" si="21"/>
        <v>43.208863636363631</v>
      </c>
      <c r="AB78" s="168">
        <f t="shared" si="22"/>
        <v>36900.369545454538</v>
      </c>
      <c r="AC78" s="168">
        <f t="shared" si="23"/>
        <v>-203.04954545453802</v>
      </c>
    </row>
    <row r="79" spans="1:29">
      <c r="A79" s="40">
        <f t="shared" si="4"/>
        <v>61</v>
      </c>
      <c r="C79" s="40">
        <v>1</v>
      </c>
      <c r="D79" s="40" t="s">
        <v>318</v>
      </c>
      <c r="E79" s="148"/>
      <c r="F79" s="102" t="s">
        <v>303</v>
      </c>
      <c r="G79" s="102"/>
      <c r="H79" s="141">
        <v>2064</v>
      </c>
      <c r="I79" s="141">
        <v>144</v>
      </c>
      <c r="J79" s="141">
        <v>51</v>
      </c>
      <c r="K79" s="142"/>
      <c r="L79" s="143">
        <v>55572.480000000003</v>
      </c>
      <c r="M79" s="143">
        <v>5828.72</v>
      </c>
      <c r="N79" s="143">
        <v>1516.13</v>
      </c>
      <c r="O79" s="143">
        <f t="shared" si="24"/>
        <v>62917.33</v>
      </c>
      <c r="P79" s="106"/>
      <c r="Q79" s="145">
        <v>27.57</v>
      </c>
      <c r="R79" s="106"/>
      <c r="S79" s="146">
        <f t="shared" si="7"/>
        <v>57345.599999999999</v>
      </c>
      <c r="T79" s="146">
        <f t="shared" si="18"/>
        <v>5968.1153488372092</v>
      </c>
      <c r="U79" s="146">
        <f t="shared" si="12"/>
        <v>1406.07</v>
      </c>
      <c r="V79" s="146">
        <f t="shared" si="25"/>
        <v>64719.785348837206</v>
      </c>
      <c r="W79" s="107"/>
      <c r="X79" s="100">
        <f t="shared" si="16"/>
        <v>1802.4553488372039</v>
      </c>
      <c r="Z79" s="166">
        <f t="shared" si="20"/>
        <v>26.924651162790699</v>
      </c>
      <c r="AA79" s="167">
        <f t="shared" si="21"/>
        <v>40.38697674418605</v>
      </c>
      <c r="AB79" s="168">
        <f t="shared" si="22"/>
        <v>5815.7246511627909</v>
      </c>
      <c r="AC79" s="168">
        <f t="shared" si="23"/>
        <v>12.995348837209349</v>
      </c>
    </row>
    <row r="80" spans="1:29">
      <c r="A80" s="40">
        <f t="shared" si="4"/>
        <v>62</v>
      </c>
      <c r="C80" s="40">
        <v>1</v>
      </c>
      <c r="D80" s="40" t="s">
        <v>319</v>
      </c>
      <c r="E80" s="148"/>
      <c r="F80" s="102" t="s">
        <v>303</v>
      </c>
      <c r="G80" s="102"/>
      <c r="H80" s="141">
        <v>2040</v>
      </c>
      <c r="I80" s="141">
        <v>407</v>
      </c>
      <c r="J80" s="141">
        <v>136</v>
      </c>
      <c r="K80" s="142"/>
      <c r="L80" s="143">
        <v>78927.89</v>
      </c>
      <c r="M80" s="143">
        <v>26584.32</v>
      </c>
      <c r="N80" s="143">
        <v>5395.81</v>
      </c>
      <c r="O80" s="143">
        <f t="shared" si="24"/>
        <v>110908.01999999999</v>
      </c>
      <c r="P80" s="106"/>
      <c r="Q80" s="145">
        <v>38.869999999999997</v>
      </c>
      <c r="R80" s="106"/>
      <c r="S80" s="146">
        <f t="shared" si="7"/>
        <v>80849.599999999991</v>
      </c>
      <c r="T80" s="146">
        <f t="shared" si="18"/>
        <v>26694.123213235296</v>
      </c>
      <c r="U80" s="146">
        <f t="shared" si="12"/>
        <v>5286.32</v>
      </c>
      <c r="V80" s="146">
        <f t="shared" si="25"/>
        <v>112830.0432132353</v>
      </c>
      <c r="W80" s="107"/>
      <c r="X80" s="100">
        <f t="shared" si="16"/>
        <v>1922.0232132353121</v>
      </c>
      <c r="Z80" s="166">
        <f t="shared" si="20"/>
        <v>38.690142156862741</v>
      </c>
      <c r="AA80" s="167">
        <f t="shared" si="21"/>
        <v>58.035213235294108</v>
      </c>
      <c r="AB80" s="168">
        <f t="shared" si="22"/>
        <v>23620.331786764702</v>
      </c>
      <c r="AC80" s="168">
        <f t="shared" si="23"/>
        <v>2963.9882132352977</v>
      </c>
    </row>
    <row r="81" spans="1:29">
      <c r="A81" s="40">
        <f t="shared" ref="A81:A109" si="26">A80+1</f>
        <v>63</v>
      </c>
      <c r="C81" s="40">
        <v>1</v>
      </c>
      <c r="D81" s="40" t="s">
        <v>320</v>
      </c>
      <c r="E81" s="148"/>
      <c r="F81" s="102" t="s">
        <v>303</v>
      </c>
      <c r="G81" s="102"/>
      <c r="H81" s="141">
        <v>80</v>
      </c>
      <c r="I81" s="141">
        <v>9</v>
      </c>
      <c r="J81" s="141">
        <v>0</v>
      </c>
      <c r="K81" s="142"/>
      <c r="L81" s="143">
        <v>1413.61</v>
      </c>
      <c r="M81" s="143">
        <v>238.55</v>
      </c>
      <c r="N81" s="143">
        <v>0</v>
      </c>
      <c r="O81" s="143">
        <f t="shared" si="24"/>
        <v>1652.1599999999999</v>
      </c>
      <c r="P81" s="106"/>
      <c r="Q81" s="145">
        <v>17.670000000000002</v>
      </c>
      <c r="R81" s="106"/>
      <c r="S81" s="146">
        <f t="shared" si="7"/>
        <v>36753.600000000006</v>
      </c>
      <c r="T81" s="146">
        <f t="shared" si="18"/>
        <v>238.54831250000007</v>
      </c>
      <c r="U81" s="146">
        <f t="shared" si="12"/>
        <v>0</v>
      </c>
      <c r="V81" s="146">
        <f t="shared" si="25"/>
        <v>36992.148312500009</v>
      </c>
      <c r="W81" s="107"/>
      <c r="X81" s="100">
        <f t="shared" si="16"/>
        <v>35339.988312500005</v>
      </c>
      <c r="Z81" s="166">
        <f t="shared" si="20"/>
        <v>17.670124999999999</v>
      </c>
      <c r="AA81" s="167">
        <f t="shared" si="21"/>
        <v>26.505187499999998</v>
      </c>
      <c r="AB81" s="168">
        <f t="shared" si="22"/>
        <v>238.54668749999999</v>
      </c>
      <c r="AC81" s="168">
        <f t="shared" si="23"/>
        <v>3.3125000000211458E-3</v>
      </c>
    </row>
    <row r="82" spans="1:29">
      <c r="A82" s="40">
        <f t="shared" si="26"/>
        <v>64</v>
      </c>
      <c r="C82" s="40">
        <v>1</v>
      </c>
      <c r="D82" s="40" t="s">
        <v>321</v>
      </c>
      <c r="E82" s="148"/>
      <c r="F82" s="102" t="s">
        <v>306</v>
      </c>
      <c r="G82" s="102"/>
      <c r="H82" s="141">
        <v>1948.04</v>
      </c>
      <c r="I82" s="141">
        <v>901</v>
      </c>
      <c r="J82" s="141">
        <v>0</v>
      </c>
      <c r="K82" s="142"/>
      <c r="L82" s="143">
        <v>70871.45</v>
      </c>
      <c r="M82" s="143">
        <v>58629.08</v>
      </c>
      <c r="N82" s="143">
        <v>1753.31</v>
      </c>
      <c r="O82" s="143">
        <f t="shared" si="24"/>
        <v>131253.84</v>
      </c>
      <c r="P82" s="106"/>
      <c r="Q82" s="145">
        <v>0</v>
      </c>
      <c r="R82" s="106"/>
      <c r="S82" s="146">
        <f t="shared" si="7"/>
        <v>0</v>
      </c>
      <c r="T82" s="146">
        <v>0</v>
      </c>
      <c r="U82" s="146">
        <f t="shared" si="12"/>
        <v>0</v>
      </c>
      <c r="V82" s="146">
        <f t="shared" si="25"/>
        <v>0</v>
      </c>
      <c r="W82" s="107"/>
      <c r="X82" s="100">
        <f t="shared" si="16"/>
        <v>-131253.84</v>
      </c>
      <c r="Z82" s="166">
        <f t="shared" si="20"/>
        <v>36.380900802858257</v>
      </c>
      <c r="AA82" s="167">
        <f t="shared" si="21"/>
        <v>54.571351204287382</v>
      </c>
      <c r="AB82" s="168">
        <f t="shared" si="22"/>
        <v>49168.787435062928</v>
      </c>
      <c r="AC82" s="168">
        <f t="shared" si="23"/>
        <v>9460.2925649370736</v>
      </c>
    </row>
    <row r="83" spans="1:29">
      <c r="A83" s="40">
        <f t="shared" si="26"/>
        <v>65</v>
      </c>
      <c r="C83" s="40">
        <v>1</v>
      </c>
      <c r="D83" s="40" t="s">
        <v>322</v>
      </c>
      <c r="E83" s="148"/>
      <c r="F83" s="102" t="s">
        <v>303</v>
      </c>
      <c r="G83" s="102"/>
      <c r="H83" s="141">
        <v>1984</v>
      </c>
      <c r="I83" s="141">
        <v>507.5</v>
      </c>
      <c r="J83" s="141">
        <v>40</v>
      </c>
      <c r="K83" s="142"/>
      <c r="L83" s="143">
        <v>70972.17</v>
      </c>
      <c r="M83" s="143">
        <v>33557.949999999997</v>
      </c>
      <c r="N83" s="143">
        <v>1632.73</v>
      </c>
      <c r="O83" s="143">
        <f t="shared" si="24"/>
        <v>106162.84999999999</v>
      </c>
      <c r="P83" s="106"/>
      <c r="Q83" s="145">
        <v>35.340000000000003</v>
      </c>
      <c r="R83" s="106"/>
      <c r="S83" s="146">
        <f t="shared" si="7"/>
        <v>73507.200000000012</v>
      </c>
      <c r="T83" s="146">
        <f t="shared" si="18"/>
        <v>33228.889711441538</v>
      </c>
      <c r="U83" s="146">
        <f t="shared" si="12"/>
        <v>1413.6000000000001</v>
      </c>
      <c r="V83" s="146">
        <f t="shared" si="25"/>
        <v>108149.68971144155</v>
      </c>
      <c r="W83" s="107"/>
      <c r="X83" s="100">
        <f t="shared" si="16"/>
        <v>1986.8397114415566</v>
      </c>
      <c r="Z83" s="166">
        <f t="shared" si="20"/>
        <v>35.772263104838707</v>
      </c>
      <c r="AA83" s="167">
        <f t="shared" si="21"/>
        <v>53.658394657258057</v>
      </c>
      <c r="AB83" s="168">
        <f t="shared" si="22"/>
        <v>27231.635288558464</v>
      </c>
      <c r="AC83" s="168">
        <f t="shared" si="23"/>
        <v>6326.3147114415333</v>
      </c>
    </row>
    <row r="84" spans="1:29">
      <c r="A84" s="40">
        <f t="shared" si="26"/>
        <v>66</v>
      </c>
      <c r="C84" s="40">
        <v>1</v>
      </c>
      <c r="D84" s="40" t="s">
        <v>323</v>
      </c>
      <c r="E84" s="148"/>
      <c r="F84" s="102" t="s">
        <v>303</v>
      </c>
      <c r="G84" s="102"/>
      <c r="H84" s="141">
        <v>2008</v>
      </c>
      <c r="I84" s="141">
        <v>410</v>
      </c>
      <c r="J84" s="141">
        <v>40</v>
      </c>
      <c r="K84" s="142"/>
      <c r="L84" s="143">
        <v>72125.77</v>
      </c>
      <c r="M84" s="143">
        <v>28429.9</v>
      </c>
      <c r="N84" s="143">
        <v>1523.05</v>
      </c>
      <c r="O84" s="143">
        <f t="shared" si="24"/>
        <v>102078.72000000002</v>
      </c>
      <c r="P84" s="106"/>
      <c r="Q84" s="145">
        <v>35.340000000000003</v>
      </c>
      <c r="R84" s="106"/>
      <c r="S84" s="146">
        <f t="shared" si="7"/>
        <v>73507.200000000012</v>
      </c>
      <c r="T84" s="146">
        <f t="shared" si="18"/>
        <v>28073.686977091635</v>
      </c>
      <c r="U84" s="146">
        <f t="shared" si="12"/>
        <v>1413.6000000000001</v>
      </c>
      <c r="V84" s="146">
        <f t="shared" si="25"/>
        <v>102994.48697709166</v>
      </c>
      <c r="W84" s="107"/>
      <c r="X84" s="100">
        <f t="shared" si="16"/>
        <v>915.76697709164</v>
      </c>
      <c r="Z84" s="166">
        <f t="shared" si="20"/>
        <v>35.91920816733068</v>
      </c>
      <c r="AA84" s="167">
        <f t="shared" si="21"/>
        <v>53.87881225099602</v>
      </c>
      <c r="AB84" s="168">
        <f t="shared" si="22"/>
        <v>22090.313022908369</v>
      </c>
      <c r="AC84" s="168">
        <f t="shared" si="23"/>
        <v>6339.5869770916324</v>
      </c>
    </row>
    <row r="85" spans="1:29">
      <c r="A85" s="40">
        <f t="shared" si="26"/>
        <v>67</v>
      </c>
      <c r="C85" s="40">
        <v>1</v>
      </c>
      <c r="D85" s="40" t="s">
        <v>324</v>
      </c>
      <c r="E85" s="148"/>
      <c r="F85" s="102" t="s">
        <v>303</v>
      </c>
      <c r="G85" s="102"/>
      <c r="H85" s="141">
        <v>1960</v>
      </c>
      <c r="I85" s="141">
        <v>545.5</v>
      </c>
      <c r="J85" s="141">
        <v>0</v>
      </c>
      <c r="K85" s="142"/>
      <c r="L85" s="143">
        <v>69374.64</v>
      </c>
      <c r="M85" s="143">
        <v>34566.75</v>
      </c>
      <c r="N85" s="143">
        <v>109.51</v>
      </c>
      <c r="O85" s="143">
        <f t="shared" si="24"/>
        <v>104050.9</v>
      </c>
      <c r="P85" s="106"/>
      <c r="Q85" s="145">
        <v>35.340000000000003</v>
      </c>
      <c r="R85" s="106"/>
      <c r="S85" s="146">
        <f t="shared" si="7"/>
        <v>73507.200000000012</v>
      </c>
      <c r="T85" s="146">
        <f t="shared" si="18"/>
        <v>34521.562561224491</v>
      </c>
      <c r="U85" s="146">
        <f t="shared" si="12"/>
        <v>0</v>
      </c>
      <c r="V85" s="146">
        <f t="shared" si="25"/>
        <v>108028.7625612245</v>
      </c>
      <c r="W85" s="107"/>
      <c r="X85" s="100">
        <f t="shared" si="16"/>
        <v>3977.8625612245087</v>
      </c>
      <c r="Z85" s="166">
        <f t="shared" si="20"/>
        <v>35.395224489795915</v>
      </c>
      <c r="AA85" s="167">
        <f t="shared" si="21"/>
        <v>53.092836734693876</v>
      </c>
      <c r="AB85" s="168">
        <f t="shared" si="22"/>
        <v>28962.142438775511</v>
      </c>
      <c r="AC85" s="168">
        <f t="shared" si="23"/>
        <v>5604.6075612244895</v>
      </c>
    </row>
    <row r="86" spans="1:29">
      <c r="A86" s="40">
        <f t="shared" si="26"/>
        <v>68</v>
      </c>
      <c r="C86" s="40">
        <v>1</v>
      </c>
      <c r="D86" s="40" t="s">
        <v>325</v>
      </c>
      <c r="E86" s="148"/>
      <c r="F86" s="102" t="s">
        <v>303</v>
      </c>
      <c r="G86" s="102"/>
      <c r="H86" s="141">
        <v>2000</v>
      </c>
      <c r="I86" s="141">
        <v>435</v>
      </c>
      <c r="J86" s="141">
        <v>0</v>
      </c>
      <c r="K86" s="142"/>
      <c r="L86" s="143">
        <v>54911.360000000001</v>
      </c>
      <c r="M86" s="143">
        <v>18616.080000000002</v>
      </c>
      <c r="N86" s="143">
        <v>109.35</v>
      </c>
      <c r="O86" s="143">
        <f t="shared" si="24"/>
        <v>73636.790000000008</v>
      </c>
      <c r="P86" s="106"/>
      <c r="Q86" s="145">
        <v>30.04</v>
      </c>
      <c r="R86" s="106"/>
      <c r="S86" s="146">
        <f t="shared" si="7"/>
        <v>62483.199999999997</v>
      </c>
      <c r="T86" s="146">
        <f t="shared" si="18"/>
        <v>20302.3488</v>
      </c>
      <c r="U86" s="146">
        <f t="shared" si="12"/>
        <v>0</v>
      </c>
      <c r="V86" s="146">
        <f t="shared" si="25"/>
        <v>82785.54879999999</v>
      </c>
      <c r="W86" s="107"/>
      <c r="X86" s="100">
        <f t="shared" si="16"/>
        <v>9148.7587999999814</v>
      </c>
      <c r="Z86" s="166">
        <f t="shared" si="20"/>
        <v>27.455680000000001</v>
      </c>
      <c r="AA86" s="167">
        <f t="shared" si="21"/>
        <v>41.183520000000001</v>
      </c>
      <c r="AB86" s="168">
        <f t="shared" si="22"/>
        <v>17914.831200000001</v>
      </c>
      <c r="AC86" s="168">
        <f t="shared" si="23"/>
        <v>701.24880000000121</v>
      </c>
    </row>
    <row r="87" spans="1:29">
      <c r="A87" s="40">
        <f t="shared" si="26"/>
        <v>69</v>
      </c>
      <c r="C87" s="40">
        <v>1</v>
      </c>
      <c r="D87" s="40" t="s">
        <v>326</v>
      </c>
      <c r="E87" s="148"/>
      <c r="F87" s="102" t="s">
        <v>303</v>
      </c>
      <c r="G87" s="102"/>
      <c r="H87" s="141">
        <v>2032</v>
      </c>
      <c r="I87" s="141">
        <v>379.5</v>
      </c>
      <c r="J87" s="141">
        <v>5.34</v>
      </c>
      <c r="K87" s="142"/>
      <c r="L87" s="143">
        <v>72318.77</v>
      </c>
      <c r="M87" s="143">
        <v>25436.74</v>
      </c>
      <c r="N87" s="143">
        <v>308.51</v>
      </c>
      <c r="O87" s="143">
        <f t="shared" si="24"/>
        <v>98064.02</v>
      </c>
      <c r="P87" s="106"/>
      <c r="Q87" s="145">
        <v>35.340000000000003</v>
      </c>
      <c r="R87" s="106"/>
      <c r="S87" s="146">
        <f t="shared" si="7"/>
        <v>73507.200000000012</v>
      </c>
      <c r="T87" s="146">
        <f t="shared" si="18"/>
        <v>25294.458315698823</v>
      </c>
      <c r="U87" s="146">
        <f t="shared" si="12"/>
        <v>188.71560000000002</v>
      </c>
      <c r="V87" s="146">
        <f t="shared" si="25"/>
        <v>98990.37391569883</v>
      </c>
      <c r="W87" s="107"/>
      <c r="X87" s="100">
        <f t="shared" si="16"/>
        <v>926.35391569882631</v>
      </c>
      <c r="Z87" s="166">
        <f t="shared" si="20"/>
        <v>35.589945866141733</v>
      </c>
      <c r="AA87" s="167">
        <f t="shared" si="21"/>
        <v>53.384918799212599</v>
      </c>
      <c r="AB87" s="168">
        <f t="shared" si="22"/>
        <v>20259.576684301181</v>
      </c>
      <c r="AC87" s="168">
        <f t="shared" si="23"/>
        <v>5177.163315698821</v>
      </c>
    </row>
    <row r="88" spans="1:29">
      <c r="A88" s="40">
        <f t="shared" si="26"/>
        <v>70</v>
      </c>
      <c r="C88" s="40">
        <v>1</v>
      </c>
      <c r="D88" s="40" t="s">
        <v>327</v>
      </c>
      <c r="E88" s="148"/>
      <c r="F88" s="102" t="s">
        <v>303</v>
      </c>
      <c r="G88" s="102"/>
      <c r="H88" s="141">
        <v>80</v>
      </c>
      <c r="I88" s="141">
        <v>9</v>
      </c>
      <c r="J88" s="141">
        <v>0</v>
      </c>
      <c r="K88" s="142"/>
      <c r="L88" s="143">
        <v>1413.61</v>
      </c>
      <c r="M88" s="143">
        <v>238.55</v>
      </c>
      <c r="N88" s="143">
        <v>0</v>
      </c>
      <c r="O88" s="143">
        <f t="shared" si="24"/>
        <v>1652.1599999999999</v>
      </c>
      <c r="P88" s="106"/>
      <c r="Q88" s="145">
        <v>17.670000000000002</v>
      </c>
      <c r="R88" s="106"/>
      <c r="S88" s="146">
        <f t="shared" si="7"/>
        <v>36753.600000000006</v>
      </c>
      <c r="T88" s="146">
        <f t="shared" si="18"/>
        <v>238.54831250000007</v>
      </c>
      <c r="U88" s="146">
        <f t="shared" si="12"/>
        <v>0</v>
      </c>
      <c r="V88" s="146">
        <f t="shared" si="25"/>
        <v>36992.148312500009</v>
      </c>
      <c r="W88" s="107"/>
      <c r="X88" s="100">
        <f t="shared" si="16"/>
        <v>35339.988312500005</v>
      </c>
      <c r="Z88" s="166">
        <f t="shared" si="20"/>
        <v>17.670124999999999</v>
      </c>
      <c r="AA88" s="167">
        <f t="shared" si="21"/>
        <v>26.505187499999998</v>
      </c>
      <c r="AB88" s="168">
        <f t="shared" si="22"/>
        <v>238.54668749999999</v>
      </c>
      <c r="AC88" s="168">
        <f t="shared" si="23"/>
        <v>3.3125000000211458E-3</v>
      </c>
    </row>
    <row r="89" spans="1:29">
      <c r="A89" s="40">
        <f t="shared" si="26"/>
        <v>71</v>
      </c>
      <c r="C89" s="40">
        <v>1</v>
      </c>
      <c r="D89" s="40" t="s">
        <v>328</v>
      </c>
      <c r="E89" s="148"/>
      <c r="F89" s="102" t="s">
        <v>303</v>
      </c>
      <c r="G89" s="102"/>
      <c r="H89" s="141">
        <v>1808</v>
      </c>
      <c r="I89" s="141">
        <v>1462.5</v>
      </c>
      <c r="J89" s="141">
        <v>72</v>
      </c>
      <c r="K89" s="142"/>
      <c r="L89" s="143">
        <v>53042.239999999998</v>
      </c>
      <c r="M89" s="143">
        <v>64418.77</v>
      </c>
      <c r="N89" s="143">
        <v>2272.4499999999998</v>
      </c>
      <c r="O89" s="143">
        <f t="shared" si="24"/>
        <v>119733.45999999999</v>
      </c>
      <c r="P89" s="106"/>
      <c r="Q89" s="145">
        <v>30.04</v>
      </c>
      <c r="R89" s="106"/>
      <c r="S89" s="146">
        <f t="shared" si="7"/>
        <v>62483.199999999997</v>
      </c>
      <c r="T89" s="146">
        <f t="shared" si="18"/>
        <v>65959.83084070796</v>
      </c>
      <c r="U89" s="146">
        <f t="shared" si="12"/>
        <v>2162.88</v>
      </c>
      <c r="V89" s="146">
        <f t="shared" si="25"/>
        <v>130605.91084070796</v>
      </c>
      <c r="W89" s="107"/>
      <c r="X89" s="100">
        <f t="shared" si="16"/>
        <v>10872.45084070797</v>
      </c>
      <c r="Z89" s="166">
        <f t="shared" si="20"/>
        <v>29.337522123893805</v>
      </c>
      <c r="AA89" s="167">
        <f t="shared" si="21"/>
        <v>44.006283185840708</v>
      </c>
      <c r="AB89" s="168">
        <f t="shared" si="22"/>
        <v>64359.189159292036</v>
      </c>
      <c r="AC89" s="168">
        <f t="shared" si="23"/>
        <v>59.580840707960306</v>
      </c>
    </row>
    <row r="90" spans="1:29">
      <c r="A90" s="40">
        <f t="shared" si="26"/>
        <v>72</v>
      </c>
      <c r="C90" s="40">
        <v>1</v>
      </c>
      <c r="D90" s="40" t="s">
        <v>329</v>
      </c>
      <c r="E90" s="148"/>
      <c r="F90" s="102" t="s">
        <v>303</v>
      </c>
      <c r="G90" s="102"/>
      <c r="H90" s="141">
        <v>80</v>
      </c>
      <c r="I90" s="141">
        <v>9</v>
      </c>
      <c r="J90" s="141">
        <v>0</v>
      </c>
      <c r="K90" s="142"/>
      <c r="L90" s="143">
        <v>1979.2</v>
      </c>
      <c r="M90" s="143">
        <v>334</v>
      </c>
      <c r="N90" s="143">
        <v>0</v>
      </c>
      <c r="O90" s="143">
        <f t="shared" si="24"/>
        <v>2313.1999999999998</v>
      </c>
      <c r="P90" s="106"/>
      <c r="Q90" s="145">
        <v>24.74</v>
      </c>
      <c r="R90" s="106"/>
      <c r="S90" s="146">
        <f t="shared" si="7"/>
        <v>51459.199999999997</v>
      </c>
      <c r="T90" s="146">
        <f t="shared" si="18"/>
        <v>334</v>
      </c>
      <c r="U90" s="146">
        <f t="shared" si="12"/>
        <v>0</v>
      </c>
      <c r="V90" s="146">
        <f t="shared" si="25"/>
        <v>51793.2</v>
      </c>
      <c r="W90" s="107"/>
      <c r="X90" s="100">
        <f t="shared" si="16"/>
        <v>49480</v>
      </c>
      <c r="Z90" s="166">
        <f t="shared" si="20"/>
        <v>24.740000000000002</v>
      </c>
      <c r="AA90" s="167">
        <f t="shared" si="21"/>
        <v>37.11</v>
      </c>
      <c r="AB90" s="168">
        <f t="shared" si="22"/>
        <v>333.99</v>
      </c>
      <c r="AC90" s="168">
        <f t="shared" si="23"/>
        <v>9.9999999999909051E-3</v>
      </c>
    </row>
    <row r="91" spans="1:29">
      <c r="A91" s="40">
        <f t="shared" si="26"/>
        <v>73</v>
      </c>
      <c r="C91" s="40">
        <v>1</v>
      </c>
      <c r="D91" s="40" t="s">
        <v>330</v>
      </c>
      <c r="E91" s="148"/>
      <c r="F91" s="102" t="s">
        <v>303</v>
      </c>
      <c r="G91" s="102"/>
      <c r="H91" s="141">
        <v>2000</v>
      </c>
      <c r="I91" s="141">
        <v>409</v>
      </c>
      <c r="J91" s="141">
        <v>0</v>
      </c>
      <c r="K91" s="142"/>
      <c r="L91" s="143">
        <v>72964.820000000007</v>
      </c>
      <c r="M91" s="143">
        <v>27854.41</v>
      </c>
      <c r="N91" s="143">
        <v>109.6</v>
      </c>
      <c r="O91" s="143">
        <f t="shared" si="24"/>
        <v>100928.83000000002</v>
      </c>
      <c r="P91" s="106"/>
      <c r="Q91" s="145">
        <v>35.340000000000003</v>
      </c>
      <c r="R91" s="106"/>
      <c r="S91" s="146">
        <f t="shared" si="7"/>
        <v>73507.200000000012</v>
      </c>
      <c r="T91" s="146">
        <f t="shared" si="18"/>
        <v>27153.541465000002</v>
      </c>
      <c r="U91" s="146">
        <f t="shared" si="12"/>
        <v>0</v>
      </c>
      <c r="V91" s="146">
        <f t="shared" si="25"/>
        <v>100660.74146500001</v>
      </c>
      <c r="W91" s="107"/>
      <c r="X91" s="100">
        <f t="shared" si="16"/>
        <v>-268.08853500000259</v>
      </c>
      <c r="Z91" s="166">
        <f t="shared" si="20"/>
        <v>36.482410000000002</v>
      </c>
      <c r="AA91" s="167">
        <f t="shared" si="21"/>
        <v>54.723615000000002</v>
      </c>
      <c r="AB91" s="168">
        <f t="shared" si="22"/>
        <v>22381.958535000002</v>
      </c>
      <c r="AC91" s="168">
        <f t="shared" si="23"/>
        <v>5472.4514649999983</v>
      </c>
    </row>
    <row r="92" spans="1:29">
      <c r="A92" s="40">
        <f t="shared" si="26"/>
        <v>74</v>
      </c>
      <c r="C92" s="40">
        <v>1</v>
      </c>
      <c r="D92" s="40" t="s">
        <v>331</v>
      </c>
      <c r="E92" s="148"/>
      <c r="F92" s="102" t="s">
        <v>303</v>
      </c>
      <c r="G92" s="102"/>
      <c r="H92" s="141">
        <v>2032</v>
      </c>
      <c r="I92" s="141">
        <v>278</v>
      </c>
      <c r="J92" s="141">
        <v>0</v>
      </c>
      <c r="K92" s="142"/>
      <c r="L92" s="143">
        <v>78630.23</v>
      </c>
      <c r="M92" s="143">
        <v>20432.849999999999</v>
      </c>
      <c r="N92" s="143">
        <v>109.62</v>
      </c>
      <c r="O92" s="143">
        <f t="shared" si="24"/>
        <v>99172.699999999983</v>
      </c>
      <c r="P92" s="106"/>
      <c r="Q92" s="145">
        <v>38.869999999999997</v>
      </c>
      <c r="R92" s="106"/>
      <c r="S92" s="146">
        <f t="shared" si="7"/>
        <v>80849.599999999991</v>
      </c>
      <c r="T92" s="146">
        <f t="shared" si="18"/>
        <v>20505.416619094485</v>
      </c>
      <c r="U92" s="146">
        <f t="shared" si="12"/>
        <v>0</v>
      </c>
      <c r="V92" s="146">
        <f t="shared" si="25"/>
        <v>101355.01661909447</v>
      </c>
      <c r="W92" s="107"/>
      <c r="X92" s="100">
        <f t="shared" si="16"/>
        <v>2182.3166190944903</v>
      </c>
      <c r="Z92" s="166">
        <f t="shared" si="20"/>
        <v>38.69597933070866</v>
      </c>
      <c r="AA92" s="167">
        <f t="shared" si="21"/>
        <v>58.043968996062986</v>
      </c>
      <c r="AB92" s="168">
        <f t="shared" si="22"/>
        <v>16136.223380905511</v>
      </c>
      <c r="AC92" s="168">
        <f t="shared" si="23"/>
        <v>4296.626619094488</v>
      </c>
    </row>
    <row r="93" spans="1:29">
      <c r="A93" s="40">
        <f t="shared" si="26"/>
        <v>75</v>
      </c>
      <c r="C93" s="40">
        <v>1</v>
      </c>
      <c r="D93" s="40" t="s">
        <v>332</v>
      </c>
      <c r="E93" s="148"/>
      <c r="F93" s="102" t="s">
        <v>303</v>
      </c>
      <c r="G93" s="102"/>
      <c r="H93" s="141">
        <v>2008</v>
      </c>
      <c r="I93" s="141">
        <v>324.5</v>
      </c>
      <c r="J93" s="141">
        <v>1.4</v>
      </c>
      <c r="K93" s="142"/>
      <c r="L93" s="143">
        <v>70783.39</v>
      </c>
      <c r="M93" s="143">
        <v>20707.87</v>
      </c>
      <c r="N93" s="143">
        <v>158.94</v>
      </c>
      <c r="O93" s="143">
        <f t="shared" si="24"/>
        <v>91650.2</v>
      </c>
      <c r="P93" s="106"/>
      <c r="Q93" s="145">
        <v>35.340000000000003</v>
      </c>
      <c r="R93" s="106"/>
      <c r="S93" s="146">
        <f t="shared" si="7"/>
        <v>73507.200000000012</v>
      </c>
      <c r="T93" s="146">
        <f t="shared" si="18"/>
        <v>20751.340556523908</v>
      </c>
      <c r="U93" s="146">
        <f t="shared" si="12"/>
        <v>49.475999999999999</v>
      </c>
      <c r="V93" s="146">
        <f t="shared" si="25"/>
        <v>94308.016556523915</v>
      </c>
      <c r="W93" s="107"/>
      <c r="X93" s="100">
        <f t="shared" si="16"/>
        <v>2657.8165565239178</v>
      </c>
      <c r="Z93" s="166">
        <f t="shared" si="20"/>
        <v>35.250692231075696</v>
      </c>
      <c r="AA93" s="167">
        <f t="shared" si="21"/>
        <v>52.876038346613541</v>
      </c>
      <c r="AB93" s="168">
        <f t="shared" si="22"/>
        <v>17158.274443476093</v>
      </c>
      <c r="AC93" s="168">
        <f t="shared" si="23"/>
        <v>3549.5955565239055</v>
      </c>
    </row>
    <row r="94" spans="1:29">
      <c r="A94" s="40">
        <f t="shared" si="26"/>
        <v>76</v>
      </c>
      <c r="C94" s="40">
        <v>1</v>
      </c>
      <c r="D94" s="40" t="s">
        <v>333</v>
      </c>
      <c r="E94" s="148"/>
      <c r="F94" s="102" t="s">
        <v>303</v>
      </c>
      <c r="G94" s="102"/>
      <c r="H94" s="141">
        <v>2008</v>
      </c>
      <c r="I94" s="141">
        <v>310.5</v>
      </c>
      <c r="J94" s="141">
        <v>24</v>
      </c>
      <c r="K94" s="142"/>
      <c r="L94" s="143">
        <v>56458.400000000001</v>
      </c>
      <c r="M94" s="143">
        <v>13160.65</v>
      </c>
      <c r="N94" s="143">
        <v>109.45</v>
      </c>
      <c r="O94" s="143">
        <f t="shared" si="24"/>
        <v>69728.5</v>
      </c>
      <c r="P94" s="106"/>
      <c r="Q94" s="145">
        <v>30.04</v>
      </c>
      <c r="R94" s="106"/>
      <c r="S94" s="146">
        <f t="shared" si="7"/>
        <v>62483.199999999997</v>
      </c>
      <c r="T94" s="146">
        <f t="shared" si="18"/>
        <v>14056.411573705182</v>
      </c>
      <c r="U94" s="146">
        <f t="shared" si="12"/>
        <v>720.96</v>
      </c>
      <c r="V94" s="146">
        <f t="shared" si="25"/>
        <v>77260.57157370518</v>
      </c>
      <c r="W94" s="107"/>
      <c r="X94" s="100">
        <f t="shared" si="16"/>
        <v>7532.0715737051796</v>
      </c>
      <c r="Z94" s="166">
        <f t="shared" si="20"/>
        <v>28.116733067729083</v>
      </c>
      <c r="AA94" s="167">
        <f t="shared" si="21"/>
        <v>42.175099601593622</v>
      </c>
      <c r="AB94" s="168">
        <f t="shared" si="22"/>
        <v>13095.368426294819</v>
      </c>
      <c r="AC94" s="168">
        <f t="shared" si="23"/>
        <v>65.281573705180563</v>
      </c>
    </row>
    <row r="95" spans="1:29">
      <c r="A95" s="40">
        <f t="shared" si="26"/>
        <v>77</v>
      </c>
      <c r="C95" s="40">
        <v>1</v>
      </c>
      <c r="D95" s="40" t="s">
        <v>334</v>
      </c>
      <c r="E95" s="148"/>
      <c r="F95" s="102" t="s">
        <v>303</v>
      </c>
      <c r="G95" s="102"/>
      <c r="H95" s="141">
        <v>2032</v>
      </c>
      <c r="I95" s="141">
        <v>409.5</v>
      </c>
      <c r="J95" s="141">
        <v>70.17</v>
      </c>
      <c r="K95" s="142"/>
      <c r="L95" s="143">
        <v>79543.149999999994</v>
      </c>
      <c r="M95" s="143">
        <v>28385.02</v>
      </c>
      <c r="N95" s="143">
        <v>3055.75</v>
      </c>
      <c r="O95" s="143">
        <f t="shared" si="24"/>
        <v>110983.92</v>
      </c>
      <c r="P95" s="106"/>
      <c r="Q95" s="145">
        <v>38.869999999999997</v>
      </c>
      <c r="R95" s="106"/>
      <c r="S95" s="146">
        <f t="shared" si="7"/>
        <v>80849.599999999991</v>
      </c>
      <c r="T95" s="146">
        <f t="shared" si="18"/>
        <v>28215.947082923227</v>
      </c>
      <c r="U95" s="146">
        <f t="shared" si="12"/>
        <v>2727.5079000000001</v>
      </c>
      <c r="V95" s="146">
        <f t="shared" si="25"/>
        <v>111793.05498292322</v>
      </c>
      <c r="W95" s="107"/>
      <c r="X95" s="100">
        <f t="shared" si="16"/>
        <v>809.13498292322038</v>
      </c>
      <c r="Z95" s="166">
        <f t="shared" si="20"/>
        <v>39.145250984251966</v>
      </c>
      <c r="AA95" s="167">
        <f t="shared" si="21"/>
        <v>58.717876476377953</v>
      </c>
      <c r="AB95" s="168">
        <f t="shared" si="22"/>
        <v>24044.970417076773</v>
      </c>
      <c r="AC95" s="168">
        <f t="shared" si="23"/>
        <v>4340.0495829232277</v>
      </c>
    </row>
    <row r="96" spans="1:29">
      <c r="A96" s="40">
        <f t="shared" si="26"/>
        <v>78</v>
      </c>
      <c r="C96" s="40">
        <v>1</v>
      </c>
      <c r="D96" s="40" t="s">
        <v>335</v>
      </c>
      <c r="E96" s="148"/>
      <c r="F96" s="102" t="s">
        <v>303</v>
      </c>
      <c r="G96" s="102"/>
      <c r="H96" s="141">
        <v>2008</v>
      </c>
      <c r="I96" s="141">
        <v>372</v>
      </c>
      <c r="J96" s="141">
        <v>36.67</v>
      </c>
      <c r="K96" s="142"/>
      <c r="L96" s="143">
        <v>77961.42</v>
      </c>
      <c r="M96" s="143">
        <v>27108.74</v>
      </c>
      <c r="N96" s="143">
        <v>1808.44</v>
      </c>
      <c r="O96" s="143">
        <f t="shared" si="24"/>
        <v>106878.6</v>
      </c>
      <c r="P96" s="106"/>
      <c r="Q96" s="145">
        <v>38.869999999999997</v>
      </c>
      <c r="R96" s="106"/>
      <c r="S96" s="146">
        <f t="shared" ref="S96:S98" si="27">2080*Q96</f>
        <v>80849.599999999991</v>
      </c>
      <c r="T96" s="146">
        <f t="shared" si="18"/>
        <v>27133.622131474105</v>
      </c>
      <c r="U96" s="146">
        <f t="shared" si="12"/>
        <v>1425.3629000000001</v>
      </c>
      <c r="V96" s="146">
        <f t="shared" si="25"/>
        <v>109408.5850314741</v>
      </c>
      <c r="W96" s="107"/>
      <c r="X96" s="100">
        <f t="shared" si="16"/>
        <v>2529.9850314740906</v>
      </c>
      <c r="Z96" s="166">
        <f t="shared" si="20"/>
        <v>38.825408366533864</v>
      </c>
      <c r="AA96" s="167">
        <f t="shared" si="21"/>
        <v>58.238112549800796</v>
      </c>
      <c r="AB96" s="168">
        <f t="shared" si="22"/>
        <v>21664.577868525896</v>
      </c>
      <c r="AC96" s="168">
        <f t="shared" si="23"/>
        <v>5444.162131474106</v>
      </c>
    </row>
    <row r="97" spans="1:29">
      <c r="A97" s="40">
        <f t="shared" si="26"/>
        <v>79</v>
      </c>
      <c r="C97" s="40">
        <v>1</v>
      </c>
      <c r="D97" s="40" t="s">
        <v>336</v>
      </c>
      <c r="E97" s="148"/>
      <c r="F97" s="102" t="s">
        <v>303</v>
      </c>
      <c r="G97" s="102"/>
      <c r="H97" s="141">
        <v>2086</v>
      </c>
      <c r="I97" s="141">
        <v>277</v>
      </c>
      <c r="J97" s="141">
        <v>60</v>
      </c>
      <c r="K97" s="142"/>
      <c r="L97" s="143">
        <v>51694.91</v>
      </c>
      <c r="M97" s="143">
        <v>9192.94</v>
      </c>
      <c r="N97" s="143">
        <v>1913.07</v>
      </c>
      <c r="O97" s="143">
        <f t="shared" si="24"/>
        <v>62800.920000000006</v>
      </c>
      <c r="P97" s="106"/>
      <c r="Q97" s="145">
        <v>30.04</v>
      </c>
      <c r="R97" s="106"/>
      <c r="S97" s="146">
        <f t="shared" si="27"/>
        <v>62483.199999999997</v>
      </c>
      <c r="T97" s="146">
        <f t="shared" si="18"/>
        <v>11377.707121284753</v>
      </c>
      <c r="U97" s="146">
        <f t="shared" si="12"/>
        <v>1802.3999999999999</v>
      </c>
      <c r="V97" s="146">
        <f t="shared" si="25"/>
        <v>75663.307121284743</v>
      </c>
      <c r="W97" s="107"/>
      <c r="X97" s="100">
        <f t="shared" si="16"/>
        <v>12862.387121284737</v>
      </c>
      <c r="Z97" s="166">
        <f t="shared" si="20"/>
        <v>24.781836049856185</v>
      </c>
      <c r="AA97" s="167">
        <f t="shared" si="21"/>
        <v>37.17275407478428</v>
      </c>
      <c r="AB97" s="168">
        <f t="shared" si="22"/>
        <v>10296.852878715246</v>
      </c>
      <c r="AC97" s="168">
        <f t="shared" si="23"/>
        <v>-1103.9128787152458</v>
      </c>
    </row>
    <row r="98" spans="1:29">
      <c r="A98" s="40">
        <f t="shared" si="26"/>
        <v>80</v>
      </c>
      <c r="C98" s="40">
        <v>1</v>
      </c>
      <c r="D98" s="40" t="s">
        <v>337</v>
      </c>
      <c r="E98" s="148"/>
      <c r="F98" s="102" t="s">
        <v>303</v>
      </c>
      <c r="G98" s="102"/>
      <c r="H98" s="141">
        <v>2000</v>
      </c>
      <c r="I98" s="141">
        <v>481.5</v>
      </c>
      <c r="J98" s="141">
        <v>92.69</v>
      </c>
      <c r="K98" s="142"/>
      <c r="L98" s="143">
        <v>72265.91</v>
      </c>
      <c r="M98" s="143">
        <v>32969.47</v>
      </c>
      <c r="N98" s="143">
        <v>3385.2</v>
      </c>
      <c r="O98" s="143">
        <f t="shared" si="24"/>
        <v>108620.58</v>
      </c>
      <c r="P98" s="106"/>
      <c r="Q98" s="145">
        <v>35.340000000000003</v>
      </c>
      <c r="R98" s="106"/>
      <c r="S98" s="146">
        <f t="shared" si="27"/>
        <v>73507.200000000012</v>
      </c>
      <c r="T98" s="146">
        <f t="shared" si="18"/>
        <v>32396.758251250005</v>
      </c>
      <c r="U98" s="146">
        <f t="shared" si="12"/>
        <v>3275.6646000000001</v>
      </c>
      <c r="V98" s="146">
        <f t="shared" si="25"/>
        <v>109179.62285125002</v>
      </c>
      <c r="W98" s="107"/>
      <c r="X98" s="100">
        <f t="shared" si="16"/>
        <v>559.04285125002207</v>
      </c>
      <c r="Z98" s="166">
        <f t="shared" si="20"/>
        <v>36.132955000000003</v>
      </c>
      <c r="AA98" s="167">
        <f t="shared" si="21"/>
        <v>54.1994325</v>
      </c>
      <c r="AB98" s="168">
        <f t="shared" si="22"/>
        <v>26097.026748749999</v>
      </c>
      <c r="AC98" s="168">
        <f t="shared" si="23"/>
        <v>6872.4432512500025</v>
      </c>
    </row>
    <row r="99" spans="1:29">
      <c r="A99" s="40">
        <f t="shared" si="26"/>
        <v>81</v>
      </c>
      <c r="C99" s="44">
        <f>SUM(C58:C98,C32:C53)</f>
        <v>63</v>
      </c>
      <c r="D99" s="44" t="s">
        <v>155</v>
      </c>
      <c r="E99" s="92" t="s">
        <v>155</v>
      </c>
      <c r="F99" s="44"/>
      <c r="G99" s="102"/>
      <c r="H99" s="379">
        <f>SUM(H32:H53,H58:H98)</f>
        <v>108059.52999999998</v>
      </c>
      <c r="I99" s="379">
        <f>SUM(I32:I53,I58:I98)</f>
        <v>17276</v>
      </c>
      <c r="J99" s="379">
        <f>SUM(J32:J53,J58:J98)</f>
        <v>2867.8100000000009</v>
      </c>
      <c r="K99" s="169"/>
      <c r="L99" s="380">
        <f>SUM(L32:L53,L58:L98)</f>
        <v>3056828.47</v>
      </c>
      <c r="M99" s="380">
        <f>SUM(M32:M53,M58:M98)</f>
        <v>931494.14999999991</v>
      </c>
      <c r="N99" s="380">
        <f>SUM(N32:N53,N58:N98)</f>
        <v>83453.649999999994</v>
      </c>
      <c r="O99" s="380">
        <f>SUM(O32:O53,O58:O98)</f>
        <v>4071776.2700000014</v>
      </c>
      <c r="P99" s="170"/>
      <c r="Q99" s="380"/>
      <c r="R99" s="170"/>
      <c r="S99" s="380">
        <f>SUM(S32:S53,S58:S98)</f>
        <v>3456067.1600000034</v>
      </c>
      <c r="T99" s="380">
        <f>SUM(T32:T53,T58:T98)</f>
        <v>873789.2127198095</v>
      </c>
      <c r="U99" s="380">
        <f>SUM(U32:U53,U58:U98)</f>
        <v>80817.6872</v>
      </c>
      <c r="V99" s="380">
        <f>SUM(V32:V53,V58:V98)</f>
        <v>4410674.0599198099</v>
      </c>
      <c r="W99" s="171"/>
      <c r="X99" s="380">
        <f>SUM(X32:X53,X58:X98)</f>
        <v>338897.78991980967</v>
      </c>
      <c r="AA99" s="147"/>
    </row>
    <row r="100" spans="1:29">
      <c r="C100" s="50" t="s">
        <v>644</v>
      </c>
      <c r="D100" s="50"/>
      <c r="E100" s="58"/>
      <c r="F100" s="50"/>
      <c r="G100" s="102"/>
      <c r="H100" s="395"/>
      <c r="I100" s="395"/>
      <c r="J100" s="395"/>
      <c r="K100" s="169"/>
      <c r="L100" s="396"/>
      <c r="M100" s="396"/>
      <c r="N100" s="396"/>
      <c r="O100" s="396"/>
      <c r="P100" s="170"/>
      <c r="Q100" s="396"/>
      <c r="R100" s="170"/>
      <c r="S100" s="396"/>
      <c r="T100" s="396"/>
      <c r="U100" s="396"/>
      <c r="V100" s="396"/>
      <c r="W100" s="171"/>
      <c r="X100" s="396"/>
      <c r="AA100" s="147"/>
    </row>
    <row r="101" spans="1:29">
      <c r="C101" s="50"/>
      <c r="D101" s="162"/>
      <c r="E101" s="376"/>
      <c r="F101" s="162"/>
      <c r="G101" s="102"/>
      <c r="H101" s="377"/>
      <c r="I101" s="377"/>
      <c r="J101" s="377"/>
      <c r="K101" s="169"/>
      <c r="L101" s="378"/>
      <c r="M101" s="378"/>
      <c r="N101" s="378"/>
      <c r="O101" s="378"/>
      <c r="P101" s="170"/>
      <c r="Q101" s="378"/>
      <c r="R101" s="170"/>
      <c r="S101" s="378"/>
      <c r="T101" s="378"/>
      <c r="U101" s="378"/>
      <c r="V101" s="378"/>
      <c r="W101" s="171"/>
      <c r="X101" s="378"/>
      <c r="AA101" s="147"/>
    </row>
    <row r="102" spans="1:29" ht="20.25" customHeight="1">
      <c r="C102" s="411" t="s">
        <v>225</v>
      </c>
      <c r="D102" s="411"/>
      <c r="E102" s="411"/>
      <c r="F102" s="411"/>
      <c r="H102" s="411" t="s">
        <v>226</v>
      </c>
      <c r="I102" s="411"/>
      <c r="J102" s="411"/>
      <c r="K102" s="142"/>
      <c r="L102" s="411" t="s">
        <v>227</v>
      </c>
      <c r="M102" s="411"/>
      <c r="N102" s="411"/>
      <c r="O102" s="411"/>
      <c r="P102" s="106"/>
      <c r="Q102" s="408" t="s">
        <v>228</v>
      </c>
      <c r="R102" s="106"/>
      <c r="S102" s="411" t="s">
        <v>229</v>
      </c>
      <c r="T102" s="411"/>
      <c r="U102" s="411"/>
      <c r="V102" s="411"/>
      <c r="W102" s="107"/>
      <c r="X102" s="408" t="s">
        <v>230</v>
      </c>
      <c r="AA102" s="147"/>
    </row>
    <row r="103" spans="1:29" ht="31.5" customHeight="1">
      <c r="A103" s="102" t="s">
        <v>7</v>
      </c>
      <c r="B103" s="103"/>
      <c r="C103" s="102" t="s">
        <v>231</v>
      </c>
      <c r="D103" s="102" t="s">
        <v>232</v>
      </c>
      <c r="E103" s="104" t="s">
        <v>233</v>
      </c>
      <c r="F103" s="102" t="s">
        <v>234</v>
      </c>
      <c r="H103" s="21" t="s">
        <v>235</v>
      </c>
      <c r="I103" s="21" t="s">
        <v>236</v>
      </c>
      <c r="J103" s="21" t="s">
        <v>237</v>
      </c>
      <c r="K103" s="105"/>
      <c r="L103" s="21" t="s">
        <v>235</v>
      </c>
      <c r="M103" s="248" t="s">
        <v>236</v>
      </c>
      <c r="N103" s="21" t="s">
        <v>237</v>
      </c>
      <c r="O103" s="248" t="s">
        <v>57</v>
      </c>
      <c r="P103" s="106"/>
      <c r="Q103" s="408"/>
      <c r="R103" s="106"/>
      <c r="S103" s="248" t="s">
        <v>235</v>
      </c>
      <c r="T103" s="248" t="s">
        <v>236</v>
      </c>
      <c r="U103" s="21" t="s">
        <v>237</v>
      </c>
      <c r="V103" s="248" t="s">
        <v>57</v>
      </c>
      <c r="W103" s="107"/>
      <c r="X103" s="408"/>
      <c r="AA103" s="147"/>
    </row>
    <row r="104" spans="1:29">
      <c r="A104" s="24" t="s">
        <v>11</v>
      </c>
      <c r="B104" s="103"/>
      <c r="C104" s="25">
        <v>1</v>
      </c>
      <c r="D104" s="25">
        <f>C104+1</f>
        <v>2</v>
      </c>
      <c r="E104" s="108" t="s">
        <v>238</v>
      </c>
      <c r="F104" s="25">
        <f>D104+1</f>
        <v>3</v>
      </c>
      <c r="H104" s="25">
        <f>F104+1</f>
        <v>4</v>
      </c>
      <c r="I104" s="25">
        <f>H104+1</f>
        <v>5</v>
      </c>
      <c r="J104" s="25">
        <f>I104+1</f>
        <v>6</v>
      </c>
      <c r="K104" s="105"/>
      <c r="L104" s="25">
        <f>J104+1</f>
        <v>7</v>
      </c>
      <c r="M104" s="25">
        <f>L104+1</f>
        <v>8</v>
      </c>
      <c r="N104" s="25">
        <f>M104+1</f>
        <v>9</v>
      </c>
      <c r="O104" s="25">
        <f>N104+1</f>
        <v>10</v>
      </c>
      <c r="P104" s="106"/>
      <c r="Q104" s="25">
        <f>O104+1</f>
        <v>11</v>
      </c>
      <c r="R104" s="106"/>
      <c r="S104" s="25">
        <f>Q104+1</f>
        <v>12</v>
      </c>
      <c r="T104" s="25">
        <f>S104+1</f>
        <v>13</v>
      </c>
      <c r="U104" s="25">
        <f>T104+1</f>
        <v>14</v>
      </c>
      <c r="V104" s="25">
        <f>U104+1</f>
        <v>15</v>
      </c>
      <c r="W104" s="107"/>
      <c r="X104" s="25">
        <f>V104+1</f>
        <v>16</v>
      </c>
      <c r="AA104" s="147"/>
    </row>
    <row r="105" spans="1:29">
      <c r="A105" s="40">
        <f>A99+1</f>
        <v>82</v>
      </c>
      <c r="G105" s="102"/>
      <c r="H105" s="141"/>
      <c r="I105" s="141"/>
      <c r="J105" s="141"/>
      <c r="K105" s="142"/>
      <c r="L105" s="143"/>
      <c r="M105" s="143"/>
      <c r="N105" s="143"/>
      <c r="O105" s="143"/>
      <c r="P105" s="106"/>
      <c r="Q105" s="145"/>
      <c r="R105" s="106"/>
      <c r="S105" s="145"/>
      <c r="T105" s="145"/>
      <c r="U105" s="145"/>
      <c r="V105" s="145"/>
      <c r="W105" s="107"/>
      <c r="AA105" s="147"/>
    </row>
    <row r="106" spans="1:29">
      <c r="A106" s="40">
        <f t="shared" si="26"/>
        <v>83</v>
      </c>
      <c r="G106" s="102"/>
      <c r="H106" s="141"/>
      <c r="I106" s="141"/>
      <c r="J106" s="141"/>
      <c r="K106" s="142"/>
      <c r="L106" s="143"/>
      <c r="M106" s="143"/>
      <c r="N106" s="143"/>
      <c r="O106" s="143"/>
      <c r="P106" s="106"/>
      <c r="R106" s="106"/>
      <c r="W106" s="107"/>
      <c r="AA106" s="147"/>
    </row>
    <row r="107" spans="1:29" s="172" customFormat="1" ht="15.75" customHeight="1">
      <c r="A107" s="40">
        <f t="shared" si="26"/>
        <v>84</v>
      </c>
      <c r="C107" s="83">
        <f>+C29+C99</f>
        <v>76</v>
      </c>
      <c r="D107" s="83" t="s">
        <v>110</v>
      </c>
      <c r="E107" s="172" t="s">
        <v>110</v>
      </c>
      <c r="F107" s="83"/>
      <c r="G107" s="173"/>
      <c r="H107" s="381">
        <f>+H99+H29</f>
        <v>129443.52999999998</v>
      </c>
      <c r="I107" s="381">
        <f>+I99+I29</f>
        <v>17276</v>
      </c>
      <c r="J107" s="381">
        <f>+J99+J29</f>
        <v>3865.8200000000006</v>
      </c>
      <c r="K107" s="174"/>
      <c r="L107" s="382">
        <f>+L99+L29</f>
        <v>3960519.47</v>
      </c>
      <c r="M107" s="382">
        <f>+M99+M29</f>
        <v>931494.14999999991</v>
      </c>
      <c r="N107" s="382">
        <f>+N99+N29</f>
        <v>242172.05</v>
      </c>
      <c r="O107" s="382">
        <f>+O99+O29</f>
        <v>5134185.6700000018</v>
      </c>
      <c r="P107" s="175"/>
      <c r="R107" s="106"/>
      <c r="S107" s="382">
        <f>+S99+S29</f>
        <v>4706266.8400000036</v>
      </c>
      <c r="T107" s="382">
        <f>+T99+T29</f>
        <v>873789.2127198095</v>
      </c>
      <c r="U107" s="382">
        <f>+U99+U29</f>
        <v>149508.96620000002</v>
      </c>
      <c r="V107" s="382">
        <f>+V99+V29</f>
        <v>5729565.0189198097</v>
      </c>
      <c r="W107" s="176"/>
      <c r="X107" s="181">
        <f>V107-O107</f>
        <v>595379.34891980793</v>
      </c>
      <c r="Z107" s="100"/>
      <c r="AA107" s="147"/>
    </row>
    <row r="108" spans="1:29" s="172" customFormat="1">
      <c r="A108" s="40">
        <f t="shared" si="26"/>
        <v>85</v>
      </c>
      <c r="C108" s="83"/>
      <c r="D108" s="83"/>
      <c r="F108" s="83"/>
      <c r="G108" s="173"/>
      <c r="K108" s="174"/>
      <c r="O108" s="177"/>
      <c r="P108" s="175"/>
      <c r="R108" s="106"/>
      <c r="W108" s="176"/>
      <c r="Z108" s="100"/>
      <c r="AA108" s="147"/>
    </row>
    <row r="109" spans="1:29" s="172" customFormat="1" ht="13.5" customHeight="1" thickBot="1">
      <c r="A109" s="40">
        <f t="shared" si="26"/>
        <v>86</v>
      </c>
      <c r="C109" s="178"/>
      <c r="D109" s="383" t="s">
        <v>619</v>
      </c>
      <c r="E109" s="383" t="s">
        <v>10</v>
      </c>
      <c r="F109" s="178"/>
      <c r="G109" s="178"/>
      <c r="H109" s="178"/>
      <c r="I109" s="178"/>
      <c r="J109" s="178"/>
      <c r="K109" s="178"/>
      <c r="L109" s="178"/>
      <c r="M109" s="178"/>
      <c r="N109" s="178"/>
      <c r="O109" s="178"/>
      <c r="P109" s="178"/>
      <c r="Q109" s="178"/>
      <c r="R109" s="178"/>
      <c r="S109" s="178"/>
      <c r="T109" s="178"/>
      <c r="U109" s="178"/>
      <c r="V109" s="178"/>
      <c r="W109" s="178"/>
      <c r="X109" s="384">
        <f>X107</f>
        <v>595379.34891980793</v>
      </c>
      <c r="Z109" s="100"/>
      <c r="AA109" s="147"/>
    </row>
    <row r="110" spans="1:29" ht="13.5" thickTop="1">
      <c r="A110" s="83"/>
      <c r="B110" s="103"/>
      <c r="C110" s="179"/>
      <c r="D110" s="179"/>
      <c r="E110" s="180"/>
      <c r="F110" s="179"/>
      <c r="G110" s="102"/>
      <c r="H110" s="103"/>
      <c r="I110" s="103"/>
      <c r="J110" s="103"/>
      <c r="K110" s="103"/>
      <c r="L110" s="103"/>
    </row>
    <row r="111" spans="1:29" s="209" customFormat="1" ht="34.5" customHeight="1">
      <c r="D111" s="210" t="s">
        <v>338</v>
      </c>
      <c r="E111" s="210" t="s">
        <v>338</v>
      </c>
      <c r="H111" s="409" t="s">
        <v>579</v>
      </c>
      <c r="I111" s="409"/>
      <c r="J111" s="409"/>
      <c r="K111" s="409"/>
      <c r="L111" s="409"/>
      <c r="M111" s="409"/>
      <c r="N111" s="409"/>
      <c r="O111" s="409"/>
      <c r="P111" s="409"/>
      <c r="Q111" s="409"/>
      <c r="R111" s="409"/>
      <c r="S111" s="409"/>
      <c r="T111" s="409"/>
      <c r="U111" s="409"/>
      <c r="V111" s="409"/>
      <c r="Z111" s="211"/>
    </row>
    <row r="112" spans="1:29">
      <c r="A112" s="83"/>
      <c r="Z112" s="181"/>
    </row>
    <row r="113" spans="1:26" ht="15.75" customHeight="1">
      <c r="A113" s="83"/>
      <c r="B113" s="84"/>
      <c r="C113" s="409" t="s">
        <v>552</v>
      </c>
      <c r="D113" s="409"/>
      <c r="E113" s="409"/>
      <c r="F113" s="409"/>
      <c r="G113" s="409"/>
      <c r="H113" s="409"/>
      <c r="I113" s="409"/>
      <c r="J113" s="409"/>
      <c r="K113" s="409"/>
      <c r="L113" s="409"/>
      <c r="M113" s="409"/>
      <c r="N113" s="409"/>
      <c r="O113" s="409"/>
      <c r="P113" s="409"/>
      <c r="Q113" s="409"/>
      <c r="R113" s="409"/>
      <c r="S113" s="409"/>
      <c r="T113" s="409"/>
      <c r="U113" s="409"/>
      <c r="V113" s="409"/>
      <c r="W113" s="84"/>
      <c r="X113" s="84"/>
      <c r="Z113" s="181"/>
    </row>
    <row r="115" spans="1:26">
      <c r="A115" s="83"/>
      <c r="D115" s="182" t="s">
        <v>339</v>
      </c>
      <c r="E115" s="85" t="s">
        <v>339</v>
      </c>
      <c r="F115" s="86"/>
      <c r="G115" s="86"/>
      <c r="L115" s="87" t="s">
        <v>340</v>
      </c>
      <c r="M115" s="87" t="s">
        <v>218</v>
      </c>
      <c r="N115" s="183"/>
      <c r="O115" s="183" t="s">
        <v>10</v>
      </c>
      <c r="P115" s="184"/>
    </row>
    <row r="116" spans="1:26" ht="3.75" customHeight="1">
      <c r="A116" s="83"/>
      <c r="C116" s="86"/>
      <c r="D116" s="86"/>
      <c r="E116" s="88"/>
      <c r="F116" s="86"/>
      <c r="G116" s="86"/>
      <c r="L116" s="88"/>
      <c r="M116" s="88"/>
    </row>
    <row r="117" spans="1:26">
      <c r="A117" s="83">
        <f>A109+1</f>
        <v>87</v>
      </c>
      <c r="C117" s="62"/>
      <c r="D117" s="89" t="s">
        <v>341</v>
      </c>
      <c r="E117" s="89" t="s">
        <v>341</v>
      </c>
      <c r="F117" s="74" t="s">
        <v>219</v>
      </c>
      <c r="G117" s="89"/>
      <c r="H117" s="89"/>
      <c r="I117" s="58"/>
      <c r="J117" s="58"/>
      <c r="K117" s="58"/>
      <c r="L117" s="90">
        <f>+SUM(L140:L152)</f>
        <v>836156.35</v>
      </c>
      <c r="M117" s="94">
        <f>+SUM(M140:M152)</f>
        <v>0.16528357038992794</v>
      </c>
      <c r="O117" s="147">
        <f>$X$109*M117</f>
        <v>98406.424525896538</v>
      </c>
    </row>
    <row r="118" spans="1:26">
      <c r="A118" s="40">
        <f t="shared" ref="A118:A122" si="28">A117+1</f>
        <v>88</v>
      </c>
      <c r="C118" s="62"/>
      <c r="D118" s="89" t="s">
        <v>342</v>
      </c>
      <c r="E118" s="89" t="s">
        <v>342</v>
      </c>
      <c r="F118" s="74" t="s">
        <v>220</v>
      </c>
      <c r="G118" s="89"/>
      <c r="H118" s="89"/>
      <c r="I118" s="58"/>
      <c r="J118" s="58"/>
      <c r="K118" s="58"/>
      <c r="L118" s="90">
        <f>+SUM(L153:L162)</f>
        <v>858279.81999999983</v>
      </c>
      <c r="M118" s="94">
        <f>+SUM(M153:M162)</f>
        <v>0.16965673111640506</v>
      </c>
      <c r="O118" s="147">
        <f>$X$109*M118</f>
        <v>101010.11411194816</v>
      </c>
    </row>
    <row r="119" spans="1:26">
      <c r="A119" s="40">
        <f t="shared" si="28"/>
        <v>89</v>
      </c>
      <c r="C119" s="62"/>
      <c r="D119" s="89" t="s">
        <v>343</v>
      </c>
      <c r="E119" s="89" t="s">
        <v>343</v>
      </c>
      <c r="F119" s="74" t="s">
        <v>221</v>
      </c>
      <c r="G119" s="89"/>
      <c r="H119" s="89"/>
      <c r="I119" s="58"/>
      <c r="J119" s="58"/>
      <c r="K119" s="58"/>
      <c r="L119" s="90">
        <f>+SUM(L163:L172)</f>
        <v>469129.42000000004</v>
      </c>
      <c r="M119" s="94">
        <f>+SUM(M163:M172)</f>
        <v>9.2733118049699761E-2</v>
      </c>
      <c r="O119" s="147">
        <f>$X$109*M119</f>
        <v>55211.383447733933</v>
      </c>
    </row>
    <row r="120" spans="1:26">
      <c r="A120" s="40">
        <f t="shared" si="28"/>
        <v>90</v>
      </c>
      <c r="C120" s="62"/>
      <c r="D120" s="89" t="s">
        <v>344</v>
      </c>
      <c r="E120" s="89" t="s">
        <v>344</v>
      </c>
      <c r="F120" s="74" t="s">
        <v>24</v>
      </c>
      <c r="G120" s="89"/>
      <c r="H120" s="89"/>
      <c r="I120" s="58"/>
      <c r="J120" s="58"/>
      <c r="K120" s="58"/>
      <c r="L120" s="90">
        <f>+SUM(L173)</f>
        <v>41672.94</v>
      </c>
      <c r="M120" s="94">
        <f>+SUM(M173)</f>
        <v>8.237517196210067E-3</v>
      </c>
      <c r="O120" s="147">
        <f>$X$109*M120</f>
        <v>4904.4476249952713</v>
      </c>
    </row>
    <row r="121" spans="1:26">
      <c r="A121" s="40">
        <f>A120+1</f>
        <v>91</v>
      </c>
      <c r="C121" s="62"/>
      <c r="D121" s="89" t="s">
        <v>345</v>
      </c>
      <c r="E121" s="89" t="s">
        <v>345</v>
      </c>
      <c r="F121" s="74" t="s">
        <v>222</v>
      </c>
      <c r="G121" s="89"/>
      <c r="H121" s="89"/>
      <c r="I121" s="58"/>
      <c r="J121" s="58"/>
      <c r="K121" s="58"/>
      <c r="L121" s="90">
        <f>+SUM(L174:L180)</f>
        <v>514869.38999999996</v>
      </c>
      <c r="M121" s="94">
        <f>+SUM(M174:M180)</f>
        <v>0.10177456771533726</v>
      </c>
      <c r="O121" s="147">
        <f>$X$109*M121</f>
        <v>60594.4758629524</v>
      </c>
    </row>
    <row r="122" spans="1:26" ht="15" customHeight="1">
      <c r="A122" s="40">
        <f t="shared" si="28"/>
        <v>92</v>
      </c>
      <c r="C122" s="62"/>
      <c r="D122" s="91"/>
      <c r="E122" s="91"/>
      <c r="F122" s="185"/>
      <c r="G122" s="91"/>
      <c r="H122" s="91"/>
      <c r="I122" s="150" t="s">
        <v>620</v>
      </c>
      <c r="J122" s="92"/>
      <c r="K122" s="407">
        <f>SUM(L117:L121)</f>
        <v>2720107.92</v>
      </c>
      <c r="L122" s="407"/>
      <c r="M122" s="186">
        <f>SUM(M117:M121)</f>
        <v>0.53768550446758012</v>
      </c>
      <c r="O122" s="359">
        <f>SUM(O117:O121)</f>
        <v>320126.84557352634</v>
      </c>
    </row>
    <row r="123" spans="1:26" ht="5.25" customHeight="1">
      <c r="A123" s="83"/>
      <c r="C123" s="62"/>
      <c r="D123" s="89"/>
      <c r="E123" s="89"/>
      <c r="F123" s="74"/>
      <c r="G123" s="89"/>
      <c r="H123" s="89"/>
      <c r="I123" s="58"/>
      <c r="J123" s="58"/>
      <c r="K123" s="93"/>
      <c r="L123" s="93"/>
      <c r="M123" s="94"/>
    </row>
    <row r="124" spans="1:26">
      <c r="A124" s="40">
        <f>A122+1</f>
        <v>93</v>
      </c>
      <c r="C124" s="62"/>
      <c r="D124" s="89"/>
      <c r="E124" s="89"/>
      <c r="F124" s="74" t="s">
        <v>346</v>
      </c>
      <c r="G124" s="89"/>
      <c r="H124" s="89"/>
      <c r="I124" s="58"/>
      <c r="J124" s="58"/>
      <c r="K124" s="187"/>
      <c r="L124" s="90">
        <f>+L139</f>
        <v>2338812.02</v>
      </c>
      <c r="M124" s="94">
        <f>+M139</f>
        <v>0.46231449553241988</v>
      </c>
      <c r="O124" s="147">
        <f>$X$109*M124</f>
        <v>275252.50334628159</v>
      </c>
    </row>
    <row r="125" spans="1:26">
      <c r="A125" s="40">
        <f t="shared" ref="A125:A128" si="29">A124+1</f>
        <v>94</v>
      </c>
      <c r="C125" s="62"/>
      <c r="D125" s="89"/>
      <c r="E125" s="89"/>
      <c r="F125" s="74"/>
      <c r="G125" s="89"/>
      <c r="H125" s="89"/>
      <c r="I125" s="58"/>
      <c r="J125" s="58"/>
      <c r="K125" s="58"/>
      <c r="L125" s="90"/>
      <c r="M125" s="94"/>
      <c r="O125" s="147"/>
    </row>
    <row r="126" spans="1:26">
      <c r="A126" s="40">
        <f t="shared" si="29"/>
        <v>95</v>
      </c>
      <c r="C126" s="62"/>
      <c r="D126" s="91"/>
      <c r="E126" s="91"/>
      <c r="F126" s="185"/>
      <c r="G126" s="91"/>
      <c r="H126" s="91"/>
      <c r="I126" s="92" t="s">
        <v>155</v>
      </c>
      <c r="J126" s="92"/>
      <c r="K126" s="249">
        <f>SUM(L124:L125)</f>
        <v>2338812.02</v>
      </c>
      <c r="L126" s="249"/>
      <c r="M126" s="186">
        <f>SUM(M124:M125)</f>
        <v>0.46231449553241988</v>
      </c>
      <c r="O126" s="188">
        <f>SUM(O124:O125)</f>
        <v>275252.50334628159</v>
      </c>
    </row>
    <row r="127" spans="1:26">
      <c r="A127" s="40">
        <f t="shared" si="29"/>
        <v>96</v>
      </c>
      <c r="C127" s="62"/>
      <c r="D127" s="89"/>
      <c r="E127" s="89"/>
      <c r="F127" s="74"/>
      <c r="G127" s="89"/>
      <c r="H127" s="89"/>
      <c r="I127" s="58"/>
      <c r="J127" s="58"/>
      <c r="K127" s="93"/>
      <c r="L127" s="93"/>
      <c r="M127" s="94"/>
    </row>
    <row r="128" spans="1:26" ht="15" customHeight="1" thickBot="1">
      <c r="A128" s="40">
        <f t="shared" si="29"/>
        <v>97</v>
      </c>
      <c r="C128" s="62"/>
      <c r="D128" s="95"/>
      <c r="E128" s="95"/>
      <c r="F128" s="96" t="s">
        <v>57</v>
      </c>
      <c r="G128" s="95"/>
      <c r="H128" s="95"/>
      <c r="I128" s="63"/>
      <c r="J128" s="63"/>
      <c r="K128" s="410">
        <f>K122+K126</f>
        <v>5058919.9399999995</v>
      </c>
      <c r="L128" s="410"/>
      <c r="M128" s="97">
        <f>M122+M126</f>
        <v>1</v>
      </c>
      <c r="O128" s="189">
        <f>O122+O126</f>
        <v>595379.34891980793</v>
      </c>
    </row>
    <row r="129" spans="1:15" ht="5.25" customHeight="1" thickTop="1">
      <c r="A129" s="83"/>
      <c r="C129" s="62"/>
      <c r="D129" s="62"/>
      <c r="F129" s="62"/>
      <c r="G129" s="62"/>
    </row>
    <row r="130" spans="1:15" ht="15" customHeight="1">
      <c r="C130" s="62"/>
      <c r="D130" s="62"/>
      <c r="F130" s="62"/>
      <c r="G130" s="62"/>
    </row>
    <row r="135" spans="1:15">
      <c r="D135" s="190" t="s">
        <v>347</v>
      </c>
      <c r="E135" s="191" t="s">
        <v>347</v>
      </c>
      <c r="L135" s="147"/>
    </row>
    <row r="136" spans="1:15">
      <c r="C136" s="86"/>
      <c r="D136" s="86"/>
      <c r="E136" s="88"/>
      <c r="F136" s="86"/>
      <c r="G136" s="86"/>
      <c r="H136" s="88"/>
      <c r="I136" s="88"/>
      <c r="J136" s="86"/>
      <c r="K136" s="86"/>
    </row>
    <row r="137" spans="1:15">
      <c r="D137" s="182" t="s">
        <v>348</v>
      </c>
      <c r="E137" s="182" t="s">
        <v>348</v>
      </c>
      <c r="F137" s="182" t="s">
        <v>349</v>
      </c>
      <c r="G137" s="182"/>
      <c r="L137" s="192" t="s">
        <v>350</v>
      </c>
      <c r="M137" s="192" t="s">
        <v>351</v>
      </c>
    </row>
    <row r="138" spans="1:15">
      <c r="E138" s="40"/>
      <c r="F138" s="62"/>
    </row>
    <row r="139" spans="1:15">
      <c r="D139" s="193"/>
      <c r="E139" s="193">
        <v>107.2</v>
      </c>
      <c r="F139" s="88" t="s">
        <v>352</v>
      </c>
      <c r="G139" s="86"/>
      <c r="L139" s="194">
        <v>2338812.02</v>
      </c>
      <c r="M139" s="115">
        <f>L139/K$181</f>
        <v>0.46231449553241988</v>
      </c>
      <c r="O139" s="195"/>
    </row>
    <row r="140" spans="1:15" ht="14.25">
      <c r="D140" s="293" t="s">
        <v>353</v>
      </c>
      <c r="E140" s="193"/>
      <c r="F140" s="293" t="s">
        <v>354</v>
      </c>
      <c r="G140" s="86"/>
      <c r="L140" s="194">
        <v>207372.63</v>
      </c>
      <c r="M140" s="115">
        <f>L140/K$181</f>
        <v>4.0991482857900295E-2</v>
      </c>
      <c r="O140" s="195"/>
    </row>
    <row r="141" spans="1:15" ht="14.25">
      <c r="D141" s="293" t="s">
        <v>355</v>
      </c>
      <c r="E141" s="193"/>
      <c r="F141" s="293" t="s">
        <v>356</v>
      </c>
      <c r="G141" s="86"/>
      <c r="L141" s="194">
        <v>23027.82</v>
      </c>
      <c r="M141" s="115">
        <f>L141/K$181</f>
        <v>4.5519241800849684E-3</v>
      </c>
      <c r="O141" s="195"/>
    </row>
    <row r="142" spans="1:15" ht="14.25">
      <c r="D142" s="293" t="s">
        <v>357</v>
      </c>
      <c r="E142" s="193"/>
      <c r="F142" s="293" t="s">
        <v>358</v>
      </c>
      <c r="G142" s="86"/>
      <c r="L142" s="194">
        <v>19587.36</v>
      </c>
      <c r="M142" s="115">
        <f>L142/K$181</f>
        <v>3.8718462107150877E-3</v>
      </c>
    </row>
    <row r="143" spans="1:15" ht="14.25">
      <c r="D143" s="293" t="s">
        <v>359</v>
      </c>
      <c r="E143" s="193"/>
      <c r="F143" s="293" t="s">
        <v>360</v>
      </c>
      <c r="G143" s="86"/>
      <c r="L143" s="194">
        <v>36088.300000000003</v>
      </c>
      <c r="M143" s="115">
        <f t="shared" ref="M143:M180" si="30">L143/K$181</f>
        <v>7.1335977694875321E-3</v>
      </c>
    </row>
    <row r="144" spans="1:15" ht="14.25">
      <c r="D144" s="293" t="s">
        <v>361</v>
      </c>
      <c r="E144" s="193"/>
      <c r="F144" s="293" t="s">
        <v>362</v>
      </c>
      <c r="G144" s="86"/>
      <c r="L144" s="194">
        <v>41134.78</v>
      </c>
      <c r="M144" s="115">
        <f t="shared" si="30"/>
        <v>8.1311387584441577E-3</v>
      </c>
      <c r="O144" s="195"/>
    </row>
    <row r="145" spans="4:17" ht="14.25">
      <c r="D145" s="293" t="s">
        <v>363</v>
      </c>
      <c r="E145" s="193"/>
      <c r="F145" s="293" t="s">
        <v>364</v>
      </c>
      <c r="G145" s="86"/>
      <c r="L145" s="194">
        <v>1180.27</v>
      </c>
      <c r="M145" s="115">
        <f t="shared" si="30"/>
        <v>2.3330473974648427E-4</v>
      </c>
      <c r="O145" s="195"/>
    </row>
    <row r="146" spans="4:17" ht="14.25">
      <c r="D146" s="293" t="s">
        <v>365</v>
      </c>
      <c r="E146" s="193"/>
      <c r="F146" s="293" t="s">
        <v>366</v>
      </c>
      <c r="G146" s="86"/>
      <c r="L146" s="194">
        <v>18007.27</v>
      </c>
      <c r="M146" s="115">
        <f t="shared" si="30"/>
        <v>3.5595087911195525E-3</v>
      </c>
      <c r="O146" s="195"/>
    </row>
    <row r="147" spans="4:17" ht="14.25">
      <c r="D147" s="293" t="s">
        <v>367</v>
      </c>
      <c r="E147" s="193"/>
      <c r="F147" s="293" t="s">
        <v>368</v>
      </c>
      <c r="G147" s="86"/>
      <c r="L147" s="194">
        <v>63956.74</v>
      </c>
      <c r="M147" s="115">
        <f t="shared" si="30"/>
        <v>1.2642370458228677E-2</v>
      </c>
      <c r="O147" s="195"/>
    </row>
    <row r="148" spans="4:17" ht="14.25">
      <c r="D148" s="293" t="s">
        <v>369</v>
      </c>
      <c r="E148" s="193"/>
      <c r="F148" s="293" t="s">
        <v>370</v>
      </c>
      <c r="G148" s="86"/>
      <c r="L148" s="194">
        <v>131068.21</v>
      </c>
      <c r="M148" s="115">
        <f t="shared" si="30"/>
        <v>2.5908338450598211E-2</v>
      </c>
    </row>
    <row r="149" spans="4:17" ht="14.25">
      <c r="D149" s="293" t="s">
        <v>371</v>
      </c>
      <c r="E149" s="193"/>
      <c r="F149" s="293" t="s">
        <v>372</v>
      </c>
      <c r="G149" s="86"/>
      <c r="L149" s="194">
        <v>224359.67999999999</v>
      </c>
      <c r="M149" s="115">
        <f t="shared" si="30"/>
        <v>4.4349324097032454E-2</v>
      </c>
    </row>
    <row r="150" spans="4:17" ht="14.25">
      <c r="D150" s="293" t="s">
        <v>373</v>
      </c>
      <c r="E150" s="193"/>
      <c r="F150" s="293" t="s">
        <v>374</v>
      </c>
      <c r="G150" s="86"/>
      <c r="L150" s="194">
        <v>63714.1</v>
      </c>
      <c r="M150" s="115">
        <f t="shared" si="30"/>
        <v>1.2594407651369157E-2</v>
      </c>
    </row>
    <row r="151" spans="4:17" ht="14.25">
      <c r="D151" s="293" t="s">
        <v>375</v>
      </c>
      <c r="E151" s="193"/>
      <c r="F151" s="293" t="s">
        <v>376</v>
      </c>
      <c r="G151" s="86"/>
      <c r="L151" s="194">
        <v>5036.74</v>
      </c>
      <c r="M151" s="115">
        <f t="shared" si="30"/>
        <v>9.956156768118373E-4</v>
      </c>
    </row>
    <row r="152" spans="4:17" ht="14.25">
      <c r="D152" s="293" t="s">
        <v>377</v>
      </c>
      <c r="E152" s="193"/>
      <c r="F152" s="293" t="s">
        <v>378</v>
      </c>
      <c r="G152" s="86"/>
      <c r="L152" s="194">
        <v>1622.45</v>
      </c>
      <c r="M152" s="115">
        <f t="shared" si="30"/>
        <v>3.2071074838950703E-4</v>
      </c>
    </row>
    <row r="153" spans="4:17" ht="14.25">
      <c r="D153" s="293" t="s">
        <v>379</v>
      </c>
      <c r="E153" s="193"/>
      <c r="F153" s="293" t="s">
        <v>380</v>
      </c>
      <c r="G153" s="86"/>
      <c r="L153" s="194">
        <v>18823.490000000002</v>
      </c>
      <c r="M153" s="115">
        <f t="shared" si="30"/>
        <v>3.7208515302181279E-3</v>
      </c>
    </row>
    <row r="154" spans="4:17" ht="14.25">
      <c r="D154" s="293" t="s">
        <v>381</v>
      </c>
      <c r="E154" s="193"/>
      <c r="F154" s="293" t="s">
        <v>382</v>
      </c>
      <c r="G154" s="86"/>
      <c r="L154" s="194">
        <v>55943.08</v>
      </c>
      <c r="M154" s="115">
        <f t="shared" si="30"/>
        <v>1.1058305065804224E-2</v>
      </c>
    </row>
    <row r="155" spans="4:17" ht="14.25">
      <c r="D155" s="293" t="s">
        <v>383</v>
      </c>
      <c r="E155" s="193"/>
      <c r="F155" s="293" t="s">
        <v>384</v>
      </c>
      <c r="G155" s="86"/>
      <c r="L155" s="194">
        <v>607052.66</v>
      </c>
      <c r="M155" s="115">
        <f t="shared" si="30"/>
        <v>0.11999649474587257</v>
      </c>
      <c r="O155" s="100">
        <v>5158241.57</v>
      </c>
      <c r="Q155" s="62" t="s">
        <v>398</v>
      </c>
    </row>
    <row r="156" spans="4:17" ht="14.25">
      <c r="D156" s="293" t="s">
        <v>385</v>
      </c>
      <c r="E156" s="193"/>
      <c r="F156" s="293" t="s">
        <v>386</v>
      </c>
      <c r="G156" s="86"/>
      <c r="L156" s="194">
        <v>937.12</v>
      </c>
      <c r="M156" s="115">
        <f t="shared" si="30"/>
        <v>1.8524112085474117E-4</v>
      </c>
      <c r="O156" s="196">
        <v>-15598.68</v>
      </c>
      <c r="Q156" s="62" t="s">
        <v>387</v>
      </c>
    </row>
    <row r="157" spans="4:17" ht="14.25">
      <c r="D157" s="293" t="s">
        <v>388</v>
      </c>
      <c r="E157" s="193"/>
      <c r="F157" s="293" t="s">
        <v>389</v>
      </c>
      <c r="G157" s="86"/>
      <c r="L157" s="194">
        <v>72.22</v>
      </c>
      <c r="M157" s="115">
        <f t="shared" si="30"/>
        <v>1.4275774445246508E-5</v>
      </c>
      <c r="O157" s="197">
        <v>-8457.2199999999993</v>
      </c>
      <c r="Q157" s="62" t="s">
        <v>390</v>
      </c>
    </row>
    <row r="158" spans="4:17" ht="14.25">
      <c r="D158" s="293" t="s">
        <v>391</v>
      </c>
      <c r="E158" s="193"/>
      <c r="F158" s="293" t="s">
        <v>392</v>
      </c>
      <c r="G158" s="86"/>
      <c r="L158" s="194">
        <v>38163.730000000003</v>
      </c>
      <c r="M158" s="115">
        <f t="shared" si="30"/>
        <v>7.5438493695553525E-3</v>
      </c>
      <c r="O158" s="100">
        <f>+O155+O156+O157</f>
        <v>5134185.6700000009</v>
      </c>
      <c r="Q158" s="62" t="s">
        <v>393</v>
      </c>
    </row>
    <row r="159" spans="4:17" ht="14.25">
      <c r="D159" s="293" t="s">
        <v>394</v>
      </c>
      <c r="E159" s="193"/>
      <c r="F159" s="293" t="s">
        <v>395</v>
      </c>
      <c r="G159" s="86"/>
      <c r="L159" s="194">
        <v>7945.96</v>
      </c>
      <c r="M159" s="115">
        <f t="shared" si="30"/>
        <v>1.5706830893236076E-3</v>
      </c>
      <c r="O159" s="196"/>
    </row>
    <row r="160" spans="4:17" ht="14.25">
      <c r="D160" s="293" t="s">
        <v>396</v>
      </c>
      <c r="E160" s="193"/>
      <c r="F160" s="293" t="s">
        <v>397</v>
      </c>
      <c r="G160" s="86"/>
      <c r="L160" s="194">
        <v>65.34</v>
      </c>
      <c r="M160" s="115">
        <f t="shared" si="30"/>
        <v>1.2915800363506049E-5</v>
      </c>
      <c r="O160" s="100">
        <f>+O155</f>
        <v>5158241.57</v>
      </c>
      <c r="Q160" s="62" t="s">
        <v>398</v>
      </c>
    </row>
    <row r="161" spans="4:17" ht="14.25">
      <c r="D161" s="293" t="s">
        <v>399</v>
      </c>
      <c r="E161" s="193"/>
      <c r="F161" s="293" t="s">
        <v>400</v>
      </c>
      <c r="G161" s="86"/>
      <c r="L161" s="194">
        <v>20879</v>
      </c>
      <c r="M161" s="115">
        <f t="shared" si="30"/>
        <v>4.1271655309097453E-3</v>
      </c>
      <c r="O161" s="197">
        <v>-75604.509999999995</v>
      </c>
      <c r="Q161" s="62" t="s">
        <v>401</v>
      </c>
    </row>
    <row r="162" spans="4:17" ht="14.25">
      <c r="D162" s="293" t="s">
        <v>402</v>
      </c>
      <c r="E162" s="193"/>
      <c r="F162" s="293" t="s">
        <v>403</v>
      </c>
      <c r="G162" s="86"/>
      <c r="L162" s="194">
        <v>108397.22</v>
      </c>
      <c r="M162" s="115">
        <f t="shared" si="30"/>
        <v>2.1426949089057928E-2</v>
      </c>
      <c r="O162" s="100">
        <f>+O160+O161</f>
        <v>5082637.0600000005</v>
      </c>
      <c r="Q162" s="62" t="s">
        <v>404</v>
      </c>
    </row>
    <row r="163" spans="4:17" ht="14.25">
      <c r="D163" s="293" t="s">
        <v>405</v>
      </c>
      <c r="E163" s="193"/>
      <c r="F163" s="293" t="s">
        <v>406</v>
      </c>
      <c r="G163" s="86"/>
      <c r="L163" s="194">
        <v>70241.100000000006</v>
      </c>
      <c r="M163" s="115">
        <f t="shared" si="30"/>
        <v>1.3884603993159852E-2</v>
      </c>
      <c r="O163" s="196"/>
    </row>
    <row r="164" spans="4:17" ht="14.25">
      <c r="D164" s="294" t="s">
        <v>407</v>
      </c>
      <c r="E164" s="193"/>
      <c r="F164" s="293" t="s">
        <v>408</v>
      </c>
      <c r="G164" s="86"/>
      <c r="L164" s="194">
        <v>9550.5499999999993</v>
      </c>
      <c r="M164" s="115">
        <f t="shared" si="30"/>
        <v>1.8878634398788289E-3</v>
      </c>
      <c r="O164" s="196"/>
    </row>
    <row r="165" spans="4:17" ht="14.25">
      <c r="D165" s="293" t="s">
        <v>409</v>
      </c>
      <c r="E165" s="193"/>
      <c r="F165" s="293" t="s">
        <v>410</v>
      </c>
      <c r="G165" s="86"/>
      <c r="L165" s="194">
        <v>140785.10999999999</v>
      </c>
      <c r="M165" s="115">
        <f t="shared" si="30"/>
        <v>2.7829084403340049E-2</v>
      </c>
      <c r="O165" s="100">
        <f>+O158</f>
        <v>5134185.6700000009</v>
      </c>
      <c r="Q165" s="62" t="s">
        <v>393</v>
      </c>
    </row>
    <row r="166" spans="4:17" ht="14.25">
      <c r="D166" s="293" t="s">
        <v>411</v>
      </c>
      <c r="E166" s="193"/>
      <c r="F166" s="293" t="s">
        <v>412</v>
      </c>
      <c r="G166" s="86"/>
      <c r="L166" s="194">
        <v>47037.72</v>
      </c>
      <c r="M166" s="115">
        <f t="shared" si="30"/>
        <v>9.2979767535123319E-3</v>
      </c>
      <c r="O166" s="197">
        <v>-75604.509999999995</v>
      </c>
      <c r="Q166" s="62" t="s">
        <v>413</v>
      </c>
    </row>
    <row r="167" spans="4:17" ht="14.25">
      <c r="D167" s="293" t="s">
        <v>414</v>
      </c>
      <c r="E167" s="193"/>
      <c r="F167" s="293" t="s">
        <v>415</v>
      </c>
      <c r="G167" s="86"/>
      <c r="L167" s="194">
        <v>40820.83</v>
      </c>
      <c r="M167" s="115">
        <f t="shared" si="30"/>
        <v>8.0690800574321798E-3</v>
      </c>
      <c r="O167" s="100">
        <f>+O165+O166</f>
        <v>5058581.1600000011</v>
      </c>
    </row>
    <row r="168" spans="4:17" ht="14.25">
      <c r="D168" s="293" t="s">
        <v>416</v>
      </c>
      <c r="E168" s="193"/>
      <c r="F168" s="293" t="s">
        <v>417</v>
      </c>
      <c r="G168" s="86"/>
      <c r="L168" s="194">
        <v>71433.490000000005</v>
      </c>
      <c r="M168" s="115">
        <f t="shared" si="30"/>
        <v>1.4120304501201495E-2</v>
      </c>
      <c r="O168" s="196"/>
    </row>
    <row r="169" spans="4:17" ht="14.25">
      <c r="D169" s="293" t="s">
        <v>418</v>
      </c>
      <c r="E169" s="193"/>
      <c r="F169" s="293" t="s">
        <v>419</v>
      </c>
      <c r="G169" s="86"/>
      <c r="L169" s="194">
        <v>3379.37</v>
      </c>
      <c r="M169" s="115">
        <f t="shared" si="30"/>
        <v>6.6800226927489178E-4</v>
      </c>
      <c r="O169" s="198">
        <f>-K181</f>
        <v>-5058919.9400000004</v>
      </c>
      <c r="Q169" s="62" t="s">
        <v>420</v>
      </c>
    </row>
    <row r="170" spans="4:17" ht="14.25">
      <c r="D170" s="293" t="s">
        <v>421</v>
      </c>
      <c r="E170" s="193"/>
      <c r="F170" s="293" t="s">
        <v>422</v>
      </c>
      <c r="G170" s="86"/>
      <c r="L170" s="194">
        <v>12186.96</v>
      </c>
      <c r="M170" s="115">
        <f t="shared" si="30"/>
        <v>2.4090043219778643E-3</v>
      </c>
      <c r="O170" s="147">
        <f>+O167+O169</f>
        <v>-338.77999999932945</v>
      </c>
      <c r="Q170" s="62" t="s">
        <v>423</v>
      </c>
    </row>
    <row r="171" spans="4:17" ht="14.25">
      <c r="D171" s="293" t="s">
        <v>424</v>
      </c>
      <c r="E171" s="193"/>
      <c r="F171" s="293" t="s">
        <v>425</v>
      </c>
      <c r="G171" s="86"/>
      <c r="L171" s="194">
        <v>73518.91</v>
      </c>
      <c r="M171" s="115">
        <f t="shared" si="30"/>
        <v>1.4532530831076959E-2</v>
      </c>
    </row>
    <row r="172" spans="4:17" ht="14.25">
      <c r="D172" s="293" t="s">
        <v>426</v>
      </c>
      <c r="E172" s="193"/>
      <c r="F172" s="293" t="s">
        <v>427</v>
      </c>
      <c r="G172" s="86"/>
      <c r="L172" s="194">
        <v>175.38</v>
      </c>
      <c r="M172" s="115">
        <f t="shared" si="30"/>
        <v>3.4667478845296766E-5</v>
      </c>
    </row>
    <row r="173" spans="4:17" ht="14.25">
      <c r="D173" s="293" t="s">
        <v>428</v>
      </c>
      <c r="E173" s="193"/>
      <c r="F173" s="293" t="s">
        <v>429</v>
      </c>
      <c r="G173" s="86"/>
      <c r="L173" s="194">
        <v>41672.94</v>
      </c>
      <c r="M173" s="115">
        <f t="shared" si="30"/>
        <v>8.237517196210067E-3</v>
      </c>
    </row>
    <row r="174" spans="4:17" ht="14.25">
      <c r="D174" s="293" t="s">
        <v>430</v>
      </c>
      <c r="E174" s="193"/>
      <c r="F174" s="293" t="s">
        <v>431</v>
      </c>
      <c r="G174" s="86"/>
      <c r="L174" s="194">
        <v>286593.63</v>
      </c>
      <c r="M174" s="115">
        <f t="shared" si="30"/>
        <v>5.6651149533708568E-2</v>
      </c>
    </row>
    <row r="175" spans="4:17" ht="14.25">
      <c r="D175" s="293" t="s">
        <v>432</v>
      </c>
      <c r="E175" s="193"/>
      <c r="F175" s="293" t="s">
        <v>433</v>
      </c>
      <c r="G175" s="86"/>
      <c r="L175" s="194">
        <v>148778.93</v>
      </c>
      <c r="M175" s="115">
        <f t="shared" si="30"/>
        <v>2.9409228010040415E-2</v>
      </c>
    </row>
    <row r="176" spans="4:17" ht="14.25">
      <c r="D176" s="293" t="s">
        <v>434</v>
      </c>
      <c r="E176" s="193"/>
      <c r="F176" s="293" t="s">
        <v>435</v>
      </c>
      <c r="G176" s="86"/>
      <c r="L176" s="194">
        <v>18818.849999999999</v>
      </c>
      <c r="M176" s="115">
        <f t="shared" si="30"/>
        <v>3.7199343383955584E-3</v>
      </c>
    </row>
    <row r="177" spans="3:19" ht="14.25">
      <c r="D177" s="293" t="s">
        <v>436</v>
      </c>
      <c r="E177" s="193"/>
      <c r="F177" s="293" t="s">
        <v>437</v>
      </c>
      <c r="G177" s="86"/>
      <c r="L177" s="194">
        <v>29468.38</v>
      </c>
      <c r="M177" s="115">
        <f t="shared" si="30"/>
        <v>5.8250338707672841E-3</v>
      </c>
    </row>
    <row r="178" spans="3:19" ht="14.25">
      <c r="D178" s="293" t="s">
        <v>438</v>
      </c>
      <c r="E178" s="193"/>
      <c r="F178" s="293" t="s">
        <v>439</v>
      </c>
      <c r="G178" s="86"/>
      <c r="L178" s="194">
        <v>21847.29</v>
      </c>
      <c r="M178" s="115">
        <f t="shared" si="30"/>
        <v>4.3185680459691166E-3</v>
      </c>
    </row>
    <row r="179" spans="3:19" ht="14.25">
      <c r="D179" s="293" t="s">
        <v>440</v>
      </c>
      <c r="E179" s="199"/>
      <c r="F179" s="293" t="s">
        <v>441</v>
      </c>
      <c r="G179" s="86"/>
      <c r="L179" s="194">
        <v>6587.01</v>
      </c>
      <c r="M179" s="115">
        <f t="shared" si="30"/>
        <v>1.3020585575821545E-3</v>
      </c>
    </row>
    <row r="180" spans="3:19" ht="14.25">
      <c r="D180" s="295" t="s">
        <v>442</v>
      </c>
      <c r="E180" s="200"/>
      <c r="F180" s="295" t="s">
        <v>443</v>
      </c>
      <c r="G180" s="89"/>
      <c r="H180" s="58"/>
      <c r="I180" s="58"/>
      <c r="J180" s="58"/>
      <c r="K180" s="58"/>
      <c r="L180" s="194">
        <v>2775.3</v>
      </c>
      <c r="M180" s="115">
        <f t="shared" si="30"/>
        <v>5.4859535887417108E-4</v>
      </c>
      <c r="S180" s="145"/>
    </row>
    <row r="181" spans="3:19" ht="15" customHeight="1">
      <c r="C181" s="89"/>
      <c r="D181" s="44"/>
      <c r="E181" s="92"/>
      <c r="F181" s="185"/>
      <c r="G181" s="91"/>
      <c r="H181" s="92"/>
      <c r="I181" s="92"/>
      <c r="J181" s="92"/>
      <c r="K181" s="407">
        <f>SUM(L139:L180)</f>
        <v>5058919.9400000004</v>
      </c>
      <c r="L181" s="407"/>
      <c r="M181" s="201">
        <f>SUM(M139:M180)</f>
        <v>1</v>
      </c>
    </row>
    <row r="182" spans="3:19">
      <c r="C182" s="86"/>
      <c r="D182" s="86"/>
      <c r="E182" s="88"/>
      <c r="F182" s="86"/>
      <c r="G182" s="86"/>
      <c r="L182" s="88"/>
      <c r="M182" s="88"/>
    </row>
  </sheetData>
  <mergeCells count="29">
    <mergeCell ref="A3:X3"/>
    <mergeCell ref="A4:X4"/>
    <mergeCell ref="A6:X6"/>
    <mergeCell ref="C8:F8"/>
    <mergeCell ref="H8:J8"/>
    <mergeCell ref="L8:O8"/>
    <mergeCell ref="Q8:Q9"/>
    <mergeCell ref="S8:V8"/>
    <mergeCell ref="X8:X9"/>
    <mergeCell ref="S12:V12"/>
    <mergeCell ref="H13:J13"/>
    <mergeCell ref="S13:T13"/>
    <mergeCell ref="C55:F55"/>
    <mergeCell ref="H55:J55"/>
    <mergeCell ref="L55:O55"/>
    <mergeCell ref="Q55:Q56"/>
    <mergeCell ref="S55:V55"/>
    <mergeCell ref="K181:L181"/>
    <mergeCell ref="X55:X56"/>
    <mergeCell ref="H111:V111"/>
    <mergeCell ref="C113:V113"/>
    <mergeCell ref="K122:L122"/>
    <mergeCell ref="K128:L128"/>
    <mergeCell ref="C102:F102"/>
    <mergeCell ref="H102:J102"/>
    <mergeCell ref="L102:O102"/>
    <mergeCell ref="Q102:Q103"/>
    <mergeCell ref="S102:V102"/>
    <mergeCell ref="X102:X103"/>
  </mergeCells>
  <printOptions horizontalCentered="1"/>
  <pageMargins left="0.25" right="0.25" top="0.75" bottom="0.5" header="0.5" footer="0.5"/>
  <pageSetup scale="71" fitToHeight="3" orientation="landscape" r:id="rId1"/>
  <headerFooter alignWithMargins="0">
    <oddFooter>&amp;RExhibit JW-2
Page &amp;P of &amp;N</oddFooter>
  </headerFooter>
  <rowBreaks count="2" manualBreakCount="2">
    <brk id="54" max="23" man="1"/>
    <brk id="100" max="23" man="1"/>
  </rowBreaks>
  <ignoredErrors>
    <ignoredError sqref="U27 U46" formula="1"/>
    <ignoredError sqref="L117:L121" formulaRange="1"/>
  </ignoredError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="75" zoomScaleNormal="75" workbookViewId="0">
      <selection activeCell="I4" sqref="I4"/>
    </sheetView>
  </sheetViews>
  <sheetFormatPr defaultRowHeight="14.25"/>
  <cols>
    <col min="1" max="1" width="6" style="251" customWidth="1"/>
    <col min="2" max="2" width="14.140625" style="251" customWidth="1"/>
    <col min="3" max="6" width="18.5703125" style="251" customWidth="1"/>
    <col min="7" max="16384" width="9.140625" style="251"/>
  </cols>
  <sheetData>
    <row r="1" spans="1:15" s="20" customFormat="1" ht="15" customHeight="1">
      <c r="F1" s="36" t="s">
        <v>621</v>
      </c>
      <c r="G1" s="36"/>
    </row>
    <row r="2" spans="1:15" s="20" customFormat="1" ht="20.25" customHeight="1">
      <c r="G2" s="36"/>
      <c r="H2" s="36"/>
    </row>
    <row r="3" spans="1:15" s="20" customFormat="1" ht="12.75">
      <c r="G3" s="36"/>
      <c r="H3" s="36"/>
    </row>
    <row r="4" spans="1:15" s="20" customFormat="1" ht="12.75">
      <c r="B4" s="402" t="s">
        <v>0</v>
      </c>
      <c r="C4" s="402"/>
      <c r="D4" s="402"/>
      <c r="E4" s="402"/>
      <c r="F4" s="402"/>
      <c r="G4" s="322"/>
      <c r="H4" s="322"/>
      <c r="I4" s="322"/>
      <c r="J4" s="322"/>
      <c r="K4" s="322"/>
      <c r="L4" s="322"/>
      <c r="M4" s="322"/>
      <c r="N4" s="322"/>
      <c r="O4" s="322"/>
    </row>
    <row r="5" spans="1:15" s="20" customFormat="1" ht="12.75">
      <c r="B5" s="402" t="s">
        <v>2</v>
      </c>
      <c r="C5" s="402"/>
      <c r="D5" s="402"/>
      <c r="E5" s="402"/>
      <c r="F5" s="402"/>
      <c r="G5" s="322"/>
      <c r="H5" s="322"/>
      <c r="I5" s="322"/>
      <c r="J5" s="322"/>
      <c r="K5" s="322"/>
      <c r="L5" s="322"/>
    </row>
    <row r="6" spans="1:15" s="20" customFormat="1" ht="12.75"/>
    <row r="7" spans="1:15" s="37" customFormat="1" ht="15" customHeight="1">
      <c r="B7" s="403" t="s">
        <v>55</v>
      </c>
      <c r="C7" s="403"/>
      <c r="D7" s="403"/>
      <c r="E7" s="403"/>
      <c r="F7" s="403"/>
      <c r="G7" s="323"/>
      <c r="H7" s="323"/>
      <c r="I7" s="323"/>
      <c r="J7" s="323"/>
      <c r="K7" s="323"/>
      <c r="L7" s="323"/>
    </row>
    <row r="9" spans="1:15" ht="45">
      <c r="B9" s="250"/>
      <c r="C9" s="287" t="s">
        <v>445</v>
      </c>
      <c r="D9" s="287" t="s">
        <v>446</v>
      </c>
      <c r="E9" s="287" t="s">
        <v>447</v>
      </c>
      <c r="F9" s="287" t="s">
        <v>448</v>
      </c>
    </row>
    <row r="10" spans="1:15" ht="15">
      <c r="A10" s="251" t="s">
        <v>11</v>
      </c>
      <c r="B10" s="286" t="s">
        <v>100</v>
      </c>
      <c r="C10" s="288" t="s">
        <v>449</v>
      </c>
      <c r="D10" s="288">
        <v>421.1</v>
      </c>
      <c r="E10" s="288">
        <v>421.11</v>
      </c>
      <c r="F10" s="257">
        <v>421</v>
      </c>
    </row>
    <row r="11" spans="1:15">
      <c r="A11" s="315">
        <v>1</v>
      </c>
      <c r="B11" s="251" t="s">
        <v>79</v>
      </c>
      <c r="C11" s="318">
        <v>-28</v>
      </c>
      <c r="D11" s="318">
        <v>0</v>
      </c>
      <c r="E11" s="318">
        <v>20.350000000000001</v>
      </c>
      <c r="F11" s="262">
        <f>SUM(C11:E11)</f>
        <v>-7.6499999999999986</v>
      </c>
    </row>
    <row r="12" spans="1:15">
      <c r="A12" s="315">
        <v>2</v>
      </c>
      <c r="B12" s="251" t="s">
        <v>80</v>
      </c>
      <c r="C12" s="293">
        <v>-24.5</v>
      </c>
      <c r="D12" s="293">
        <v>0</v>
      </c>
      <c r="E12" s="293">
        <v>1630.65</v>
      </c>
      <c r="F12" s="264">
        <f t="shared" ref="F12:F22" si="0">SUM(C12:E12)</f>
        <v>1606.15</v>
      </c>
    </row>
    <row r="13" spans="1:15">
      <c r="A13" s="315">
        <v>3</v>
      </c>
      <c r="B13" s="251" t="s">
        <v>81</v>
      </c>
      <c r="C13" s="293">
        <v>-24</v>
      </c>
      <c r="D13" s="293">
        <v>0</v>
      </c>
      <c r="E13" s="293">
        <v>0</v>
      </c>
      <c r="F13" s="264">
        <f t="shared" si="0"/>
        <v>-24</v>
      </c>
    </row>
    <row r="14" spans="1:15">
      <c r="A14" s="315">
        <v>4</v>
      </c>
      <c r="B14" s="251" t="s">
        <v>82</v>
      </c>
      <c r="C14" s="293">
        <v>-28.25</v>
      </c>
      <c r="D14" s="293">
        <v>0</v>
      </c>
      <c r="E14" s="293">
        <v>0</v>
      </c>
      <c r="F14" s="264">
        <f t="shared" si="0"/>
        <v>-28.25</v>
      </c>
    </row>
    <row r="15" spans="1:15">
      <c r="A15" s="315">
        <v>5</v>
      </c>
      <c r="B15" s="251" t="s">
        <v>83</v>
      </c>
      <c r="C15" s="293">
        <v>-22.75</v>
      </c>
      <c r="D15" s="293">
        <v>0</v>
      </c>
      <c r="E15" s="293">
        <v>0</v>
      </c>
      <c r="F15" s="264">
        <f t="shared" si="0"/>
        <v>-22.75</v>
      </c>
    </row>
    <row r="16" spans="1:15">
      <c r="A16" s="315">
        <v>6</v>
      </c>
      <c r="B16" s="251" t="s">
        <v>84</v>
      </c>
      <c r="C16" s="293">
        <v>-29.75</v>
      </c>
      <c r="D16" s="293">
        <v>0</v>
      </c>
      <c r="E16" s="293">
        <v>0</v>
      </c>
      <c r="F16" s="264">
        <f t="shared" si="0"/>
        <v>-29.75</v>
      </c>
    </row>
    <row r="17" spans="1:6">
      <c r="A17" s="315">
        <v>7</v>
      </c>
      <c r="B17" s="251" t="s">
        <v>85</v>
      </c>
      <c r="C17" s="293">
        <v>-34.75</v>
      </c>
      <c r="D17" s="293">
        <v>-24000</v>
      </c>
      <c r="E17" s="293">
        <v>0</v>
      </c>
      <c r="F17" s="264">
        <f t="shared" si="0"/>
        <v>-24034.75</v>
      </c>
    </row>
    <row r="18" spans="1:6">
      <c r="A18" s="315">
        <v>8</v>
      </c>
      <c r="B18" s="251" t="s">
        <v>86</v>
      </c>
      <c r="C18" s="293">
        <v>-29</v>
      </c>
      <c r="D18" s="293">
        <v>0</v>
      </c>
      <c r="E18" s="293">
        <v>0</v>
      </c>
      <c r="F18" s="264">
        <f t="shared" si="0"/>
        <v>-29</v>
      </c>
    </row>
    <row r="19" spans="1:6">
      <c r="A19" s="315">
        <v>9</v>
      </c>
      <c r="B19" s="251" t="s">
        <v>87</v>
      </c>
      <c r="C19" s="293">
        <v>-30.25</v>
      </c>
      <c r="D19" s="293">
        <v>-6000</v>
      </c>
      <c r="E19" s="293">
        <v>0</v>
      </c>
      <c r="F19" s="264">
        <f t="shared" si="0"/>
        <v>-6030.25</v>
      </c>
    </row>
    <row r="20" spans="1:6">
      <c r="A20" s="315">
        <v>10</v>
      </c>
      <c r="B20" s="251" t="s">
        <v>88</v>
      </c>
      <c r="C20" s="320">
        <v>-35</v>
      </c>
      <c r="D20" s="320">
        <v>-6750</v>
      </c>
      <c r="E20" s="320">
        <v>0</v>
      </c>
      <c r="F20" s="264">
        <f t="shared" si="0"/>
        <v>-6785</v>
      </c>
    </row>
    <row r="21" spans="1:6">
      <c r="A21" s="315">
        <v>11</v>
      </c>
      <c r="B21" s="251" t="s">
        <v>89</v>
      </c>
      <c r="C21" s="320">
        <f>-404.76-26.5</f>
        <v>-431.26</v>
      </c>
      <c r="D21" s="320">
        <v>0</v>
      </c>
      <c r="E21" s="320">
        <v>0</v>
      </c>
      <c r="F21" s="264">
        <f t="shared" si="0"/>
        <v>-431.26</v>
      </c>
    </row>
    <row r="22" spans="1:6">
      <c r="A22" s="315">
        <v>12</v>
      </c>
      <c r="B22" s="251" t="s">
        <v>90</v>
      </c>
      <c r="C22" s="321">
        <v>-29.75</v>
      </c>
      <c r="D22" s="321">
        <v>-6000</v>
      </c>
      <c r="E22" s="321">
        <v>0</v>
      </c>
      <c r="F22" s="285">
        <f t="shared" si="0"/>
        <v>-6029.75</v>
      </c>
    </row>
    <row r="23" spans="1:6">
      <c r="A23" s="315">
        <v>13</v>
      </c>
      <c r="B23" s="251" t="s">
        <v>57</v>
      </c>
      <c r="C23" s="319">
        <f>SUM(C11:C22)</f>
        <v>-747.26</v>
      </c>
      <c r="D23" s="319">
        <f t="shared" ref="D23:F23" si="1">SUM(D11:D22)</f>
        <v>-42750</v>
      </c>
      <c r="E23" s="319">
        <f t="shared" si="1"/>
        <v>1651</v>
      </c>
      <c r="F23" s="319">
        <f t="shared" si="1"/>
        <v>-41846.26</v>
      </c>
    </row>
    <row r="24" spans="1:6">
      <c r="C24" s="290"/>
      <c r="D24" s="290"/>
      <c r="E24" s="290"/>
    </row>
    <row r="25" spans="1:6">
      <c r="C25" s="290"/>
      <c r="D25" s="290"/>
      <c r="E25" s="290"/>
    </row>
    <row r="26" spans="1:6">
      <c r="B26" s="397" t="s">
        <v>622</v>
      </c>
      <c r="C26" s="290"/>
      <c r="D26" s="290"/>
      <c r="E26" s="290"/>
    </row>
    <row r="27" spans="1:6">
      <c r="B27" s="251" t="s">
        <v>623</v>
      </c>
      <c r="C27" s="290"/>
      <c r="D27" s="290"/>
      <c r="E27" s="290"/>
    </row>
    <row r="28" spans="1:6">
      <c r="B28" s="291"/>
      <c r="C28" s="290"/>
      <c r="D28" s="290"/>
      <c r="E28" s="290"/>
    </row>
    <row r="29" spans="1:6">
      <c r="C29" s="290"/>
      <c r="D29" s="290"/>
      <c r="E29" s="290"/>
    </row>
    <row r="30" spans="1:6">
      <c r="C30" s="290"/>
      <c r="D30" s="290"/>
      <c r="E30" s="290"/>
    </row>
    <row r="31" spans="1:6">
      <c r="C31" s="290"/>
      <c r="D31" s="290"/>
      <c r="E31" s="290"/>
    </row>
    <row r="32" spans="1:6">
      <c r="C32" s="290"/>
      <c r="D32" s="290"/>
      <c r="E32" s="290"/>
    </row>
    <row r="33" spans="3:5">
      <c r="C33" s="290"/>
      <c r="D33" s="290"/>
      <c r="E33" s="290"/>
    </row>
    <row r="34" spans="3:5">
      <c r="C34" s="290"/>
      <c r="D34" s="290"/>
      <c r="E34" s="290"/>
    </row>
    <row r="35" spans="3:5">
      <c r="C35" s="290"/>
      <c r="D35" s="290"/>
      <c r="E35" s="290"/>
    </row>
    <row r="36" spans="3:5">
      <c r="C36" s="290"/>
      <c r="D36" s="290"/>
      <c r="E36" s="290"/>
    </row>
    <row r="37" spans="3:5">
      <c r="C37" s="290"/>
      <c r="D37" s="290"/>
      <c r="E37" s="290"/>
    </row>
    <row r="38" spans="3:5">
      <c r="C38" s="290"/>
    </row>
    <row r="39" spans="3:5">
      <c r="C39" s="290"/>
    </row>
  </sheetData>
  <mergeCells count="3">
    <mergeCell ref="B4:F4"/>
    <mergeCell ref="B5:F5"/>
    <mergeCell ref="B7:F7"/>
  </mergeCells>
  <printOptions horizontalCentered="1"/>
  <pageMargins left="0.7" right="0.7" top="0.75" bottom="0.75" header="0.3" footer="0.3"/>
  <pageSetup scale="95" orientation="portrait" r:id="rId1"/>
  <headerFooter>
    <oddFooter>&amp;RExhibit JW-2
Page &amp;P of &amp;N</oddFooter>
  </headerFooter>
  <ignoredErrors>
    <ignoredError sqref="C21" unlockedFormula="1"/>
    <ignoredError sqref="C10" numberStoredAsText="1"/>
    <ignoredError sqref="D23:F23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7"/>
  <sheetViews>
    <sheetView zoomScaleNormal="100" workbookViewId="0">
      <selection activeCell="A4" sqref="A4:J4"/>
    </sheetView>
  </sheetViews>
  <sheetFormatPr defaultRowHeight="12.75"/>
  <cols>
    <col min="1" max="1" width="5.85546875" style="20" customWidth="1"/>
    <col min="2" max="2" width="2.28515625" style="20" customWidth="1"/>
    <col min="3" max="3" width="9.28515625" style="20" customWidth="1"/>
    <col min="4" max="4" width="30.5703125" style="20" bestFit="1" customWidth="1"/>
    <col min="5" max="5" width="16.5703125" style="20" bestFit="1" customWidth="1"/>
    <col min="6" max="6" width="11.28515625" style="20" bestFit="1" customWidth="1"/>
    <col min="7" max="7" width="9.7109375" style="20" customWidth="1"/>
    <col min="8" max="8" width="11.28515625" style="20" bestFit="1" customWidth="1"/>
    <col min="9" max="9" width="11.7109375" style="20" customWidth="1"/>
    <col min="10" max="10" width="12" style="20" customWidth="1"/>
    <col min="11" max="13" width="9.140625" style="20"/>
    <col min="14" max="14" width="10.42578125" style="20" bestFit="1" customWidth="1"/>
    <col min="15" max="16384" width="9.140625" style="20"/>
  </cols>
  <sheetData>
    <row r="1" spans="1:10">
      <c r="G1" s="36"/>
      <c r="J1" s="36" t="s">
        <v>624</v>
      </c>
    </row>
    <row r="2" spans="1:10" ht="14.25" customHeight="1">
      <c r="G2" s="36"/>
    </row>
    <row r="3" spans="1:10">
      <c r="A3" s="402" t="s">
        <v>0</v>
      </c>
      <c r="B3" s="402"/>
      <c r="C3" s="402"/>
      <c r="D3" s="402"/>
      <c r="E3" s="402"/>
      <c r="F3" s="402"/>
      <c r="G3" s="402"/>
      <c r="H3" s="402"/>
      <c r="I3" s="402"/>
      <c r="J3" s="402"/>
    </row>
    <row r="4" spans="1:10">
      <c r="A4" s="402" t="s">
        <v>2</v>
      </c>
      <c r="B4" s="402"/>
      <c r="C4" s="402"/>
      <c r="D4" s="402"/>
      <c r="E4" s="402"/>
      <c r="F4" s="402"/>
      <c r="G4" s="402"/>
      <c r="H4" s="402"/>
      <c r="I4" s="402"/>
      <c r="J4" s="402"/>
    </row>
    <row r="6" spans="1:10" s="37" customFormat="1" ht="15" customHeight="1">
      <c r="A6" s="403" t="s">
        <v>626</v>
      </c>
      <c r="B6" s="403"/>
      <c r="C6" s="403"/>
      <c r="D6" s="403"/>
      <c r="E6" s="403"/>
      <c r="F6" s="403"/>
      <c r="G6" s="403"/>
      <c r="H6" s="403"/>
      <c r="I6" s="403"/>
      <c r="J6" s="403"/>
    </row>
    <row r="8" spans="1:10" s="22" customFormat="1" ht="38.25" customHeight="1">
      <c r="A8" s="22" t="s">
        <v>7</v>
      </c>
      <c r="C8" s="22" t="s">
        <v>191</v>
      </c>
      <c r="D8" s="22" t="s">
        <v>8</v>
      </c>
      <c r="E8" s="22" t="s">
        <v>630</v>
      </c>
      <c r="F8" s="22" t="s">
        <v>192</v>
      </c>
      <c r="G8" s="22" t="s">
        <v>193</v>
      </c>
      <c r="H8" s="22" t="s">
        <v>194</v>
      </c>
      <c r="I8" s="22" t="s">
        <v>195</v>
      </c>
      <c r="J8" s="22" t="s">
        <v>196</v>
      </c>
    </row>
    <row r="9" spans="1:10">
      <c r="A9" s="38" t="s">
        <v>11</v>
      </c>
      <c r="B9" s="27"/>
      <c r="C9" s="39" t="s">
        <v>157</v>
      </c>
      <c r="D9" s="39" t="s">
        <v>158</v>
      </c>
      <c r="E9" s="39" t="s">
        <v>159</v>
      </c>
      <c r="F9" s="39" t="s">
        <v>12</v>
      </c>
      <c r="G9" s="39" t="s">
        <v>13</v>
      </c>
      <c r="H9" s="39" t="s">
        <v>14</v>
      </c>
      <c r="I9" s="39" t="s">
        <v>160</v>
      </c>
      <c r="J9" s="39" t="s">
        <v>161</v>
      </c>
    </row>
    <row r="10" spans="1:10">
      <c r="A10" s="27"/>
      <c r="B10" s="27"/>
    </row>
    <row r="11" spans="1:10">
      <c r="A11" s="27">
        <v>1</v>
      </c>
      <c r="B11" s="27"/>
      <c r="C11" s="71" t="s">
        <v>197</v>
      </c>
    </row>
    <row r="12" spans="1:10">
      <c r="A12" s="72">
        <f>A11+1</f>
        <v>2</v>
      </c>
      <c r="B12" s="72"/>
      <c r="C12" s="73">
        <v>361</v>
      </c>
      <c r="D12" s="74" t="s">
        <v>209</v>
      </c>
      <c r="E12" s="75">
        <v>274958.43</v>
      </c>
      <c r="F12" s="75">
        <v>0</v>
      </c>
      <c r="G12" s="391"/>
      <c r="H12" s="75"/>
      <c r="I12" s="98"/>
      <c r="J12" s="46"/>
    </row>
    <row r="13" spans="1:10">
      <c r="A13" s="72">
        <f t="shared" ref="A13:A67" si="0">A12+1</f>
        <v>3</v>
      </c>
      <c r="B13" s="72"/>
      <c r="C13" s="73">
        <v>362</v>
      </c>
      <c r="D13" s="74" t="s">
        <v>198</v>
      </c>
      <c r="E13" s="75">
        <v>19765635.359999999</v>
      </c>
      <c r="F13" s="75">
        <v>0</v>
      </c>
      <c r="G13" s="391">
        <v>1.5999599999999999E-2</v>
      </c>
      <c r="H13" s="75">
        <f>ROUND(((+E13-F13)*G13),2)</f>
        <v>316242.26</v>
      </c>
      <c r="I13" s="362"/>
      <c r="J13" s="363"/>
    </row>
    <row r="14" spans="1:10">
      <c r="A14" s="72">
        <f t="shared" si="0"/>
        <v>4</v>
      </c>
      <c r="B14" s="72"/>
      <c r="C14" s="73">
        <v>362.161</v>
      </c>
      <c r="D14" s="74" t="s">
        <v>450</v>
      </c>
      <c r="E14" s="75">
        <v>47988.85</v>
      </c>
      <c r="F14" s="75">
        <v>0</v>
      </c>
      <c r="G14" s="391">
        <v>5.0000004000000001E-2</v>
      </c>
      <c r="H14" s="75">
        <f t="shared" ref="H14:H28" si="1">ROUND(((+E14-F14)*G14),2)</f>
        <v>2399.44</v>
      </c>
      <c r="I14" s="362"/>
      <c r="J14" s="363"/>
    </row>
    <row r="15" spans="1:10">
      <c r="A15" s="72">
        <f t="shared" si="0"/>
        <v>5</v>
      </c>
      <c r="B15" s="72"/>
      <c r="C15" s="73">
        <v>362.16199999999998</v>
      </c>
      <c r="D15" s="74" t="s">
        <v>451</v>
      </c>
      <c r="E15" s="75">
        <v>33207.15</v>
      </c>
      <c r="F15" s="75">
        <v>0</v>
      </c>
      <c r="G15" s="391">
        <v>5.0000004000000001E-2</v>
      </c>
      <c r="H15" s="75">
        <f t="shared" si="1"/>
        <v>1660.36</v>
      </c>
      <c r="I15" s="362"/>
      <c r="J15" s="363"/>
    </row>
    <row r="16" spans="1:10">
      <c r="A16" s="72">
        <f t="shared" si="0"/>
        <v>6</v>
      </c>
      <c r="B16" s="72"/>
      <c r="C16" s="73">
        <v>364</v>
      </c>
      <c r="D16" s="74" t="s">
        <v>199</v>
      </c>
      <c r="E16" s="75">
        <v>42304678.789999999</v>
      </c>
      <c r="F16" s="75">
        <v>0</v>
      </c>
      <c r="G16" s="391">
        <v>4.3100400000000004E-2</v>
      </c>
      <c r="H16" s="75">
        <f t="shared" si="1"/>
        <v>1823348.58</v>
      </c>
      <c r="I16" s="362"/>
      <c r="J16" s="363"/>
    </row>
    <row r="17" spans="1:10">
      <c r="A17" s="72">
        <f t="shared" si="0"/>
        <v>7</v>
      </c>
      <c r="B17" s="72"/>
      <c r="C17" s="73">
        <v>365</v>
      </c>
      <c r="D17" s="74" t="s">
        <v>200</v>
      </c>
      <c r="E17" s="75">
        <v>21480757.09</v>
      </c>
      <c r="F17" s="75">
        <v>0</v>
      </c>
      <c r="G17" s="391">
        <v>3.5900399999999999E-2</v>
      </c>
      <c r="H17" s="75">
        <f t="shared" si="1"/>
        <v>771167.77</v>
      </c>
      <c r="I17" s="362"/>
      <c r="J17" s="363"/>
    </row>
    <row r="18" spans="1:10">
      <c r="A18" s="72">
        <f t="shared" si="0"/>
        <v>8</v>
      </c>
      <c r="B18" s="72"/>
      <c r="C18" s="73">
        <v>366</v>
      </c>
      <c r="D18" s="74" t="s">
        <v>201</v>
      </c>
      <c r="E18" s="75">
        <v>4835304.28</v>
      </c>
      <c r="F18" s="75">
        <v>0</v>
      </c>
      <c r="G18" s="391">
        <v>1.6899600000000001E-2</v>
      </c>
      <c r="H18" s="75">
        <f t="shared" si="1"/>
        <v>81714.710000000006</v>
      </c>
      <c r="I18" s="362"/>
      <c r="J18" s="363"/>
    </row>
    <row r="19" spans="1:10">
      <c r="A19" s="72">
        <f t="shared" si="0"/>
        <v>9</v>
      </c>
      <c r="B19" s="72"/>
      <c r="C19" s="73">
        <v>367</v>
      </c>
      <c r="D19" s="74" t="s">
        <v>202</v>
      </c>
      <c r="E19" s="75">
        <v>16412290.729999999</v>
      </c>
      <c r="F19" s="75">
        <v>0</v>
      </c>
      <c r="G19" s="391">
        <v>2.9000399999999999E-2</v>
      </c>
      <c r="H19" s="75">
        <f t="shared" si="1"/>
        <v>475963</v>
      </c>
      <c r="I19" s="362"/>
      <c r="J19" s="363"/>
    </row>
    <row r="20" spans="1:10">
      <c r="A20" s="72">
        <f t="shared" si="0"/>
        <v>10</v>
      </c>
      <c r="B20" s="72"/>
      <c r="C20" s="73">
        <v>368</v>
      </c>
      <c r="D20" s="74" t="s">
        <v>203</v>
      </c>
      <c r="E20" s="75">
        <v>21900800.010000002</v>
      </c>
      <c r="F20" s="75">
        <v>0</v>
      </c>
      <c r="G20" s="391">
        <v>5.3100000000000001E-2</v>
      </c>
      <c r="H20" s="75">
        <f t="shared" si="1"/>
        <v>1162932.48</v>
      </c>
      <c r="I20" s="362"/>
      <c r="J20" s="363"/>
    </row>
    <row r="21" spans="1:10">
      <c r="A21" s="72">
        <f t="shared" si="0"/>
        <v>11</v>
      </c>
      <c r="B21" s="48"/>
      <c r="C21" s="73">
        <v>369</v>
      </c>
      <c r="D21" s="74" t="s">
        <v>204</v>
      </c>
      <c r="E21" s="75">
        <v>10005610.129999999</v>
      </c>
      <c r="F21" s="75">
        <v>0</v>
      </c>
      <c r="G21" s="391">
        <v>1.4796E-2</v>
      </c>
      <c r="H21" s="75">
        <f t="shared" si="1"/>
        <v>148043.01</v>
      </c>
      <c r="I21" s="362"/>
      <c r="J21" s="363"/>
    </row>
    <row r="22" spans="1:10">
      <c r="A22" s="72">
        <f t="shared" si="0"/>
        <v>12</v>
      </c>
      <c r="B22" s="48"/>
      <c r="C22" s="73">
        <v>370</v>
      </c>
      <c r="D22" s="74" t="s">
        <v>205</v>
      </c>
      <c r="E22" s="75">
        <v>1983061.4</v>
      </c>
      <c r="F22" s="75">
        <v>0</v>
      </c>
      <c r="G22" s="391">
        <v>3.9899999999999998E-2</v>
      </c>
      <c r="H22" s="75">
        <f t="shared" si="1"/>
        <v>79124.149999999994</v>
      </c>
      <c r="I22" s="362"/>
      <c r="J22" s="363"/>
    </row>
    <row r="23" spans="1:10">
      <c r="A23" s="72">
        <f t="shared" si="0"/>
        <v>13</v>
      </c>
      <c r="B23" s="48"/>
      <c r="C23" s="73">
        <v>370.1</v>
      </c>
      <c r="D23" s="74" t="s">
        <v>452</v>
      </c>
      <c r="E23" s="75">
        <v>5111175.76</v>
      </c>
      <c r="F23" s="75">
        <v>0</v>
      </c>
      <c r="G23" s="391">
        <v>6.6666671999999996E-2</v>
      </c>
      <c r="H23" s="75">
        <f t="shared" si="1"/>
        <v>340745.08</v>
      </c>
      <c r="I23" s="362"/>
      <c r="J23" s="363"/>
    </row>
    <row r="24" spans="1:10">
      <c r="A24" s="72">
        <f t="shared" si="0"/>
        <v>14</v>
      </c>
      <c r="B24" s="48"/>
      <c r="C24" s="73">
        <v>370.161</v>
      </c>
      <c r="D24" s="74" t="s">
        <v>453</v>
      </c>
      <c r="E24" s="75">
        <v>53643.93</v>
      </c>
      <c r="F24" s="75">
        <v>0</v>
      </c>
      <c r="G24" s="391">
        <v>0.20000000400000001</v>
      </c>
      <c r="H24" s="75">
        <f t="shared" si="1"/>
        <v>10728.79</v>
      </c>
      <c r="I24" s="362"/>
      <c r="J24" s="363"/>
    </row>
    <row r="25" spans="1:10">
      <c r="A25" s="72">
        <f t="shared" si="0"/>
        <v>15</v>
      </c>
      <c r="B25" s="48"/>
      <c r="C25" s="73">
        <v>370.16199999999998</v>
      </c>
      <c r="D25" s="74" t="s">
        <v>454</v>
      </c>
      <c r="E25" s="75">
        <v>65234.43</v>
      </c>
      <c r="F25" s="75">
        <v>0</v>
      </c>
      <c r="G25" s="391">
        <v>0.20000000400000001</v>
      </c>
      <c r="H25" s="75">
        <f t="shared" si="1"/>
        <v>13046.89</v>
      </c>
      <c r="I25" s="362"/>
      <c r="J25" s="363"/>
    </row>
    <row r="26" spans="1:10">
      <c r="A26" s="72">
        <f t="shared" si="0"/>
        <v>16</v>
      </c>
      <c r="B26" s="48"/>
      <c r="C26" s="73">
        <v>370.2</v>
      </c>
      <c r="D26" s="74" t="s">
        <v>455</v>
      </c>
      <c r="E26" s="75">
        <v>1422426.15</v>
      </c>
      <c r="F26" s="75">
        <v>0</v>
      </c>
      <c r="G26" s="391">
        <v>6.6666671999999996E-2</v>
      </c>
      <c r="H26" s="75">
        <f t="shared" si="1"/>
        <v>94828.42</v>
      </c>
      <c r="I26" s="362"/>
      <c r="J26" s="363"/>
    </row>
    <row r="27" spans="1:10">
      <c r="A27" s="72">
        <f t="shared" si="0"/>
        <v>17</v>
      </c>
      <c r="B27" s="48"/>
      <c r="C27" s="73" t="s">
        <v>206</v>
      </c>
      <c r="D27" s="74" t="s">
        <v>207</v>
      </c>
      <c r="E27" s="75">
        <v>2383139.5100000002</v>
      </c>
      <c r="F27" s="75">
        <v>0</v>
      </c>
      <c r="G27" s="391">
        <v>0.12090000000000001</v>
      </c>
      <c r="H27" s="75">
        <f t="shared" si="1"/>
        <v>288121.57</v>
      </c>
      <c r="I27" s="362"/>
      <c r="J27" s="363"/>
    </row>
    <row r="28" spans="1:10">
      <c r="A28" s="72">
        <f t="shared" si="0"/>
        <v>18</v>
      </c>
      <c r="B28" s="48"/>
      <c r="C28" s="73">
        <v>373</v>
      </c>
      <c r="D28" s="74" t="s">
        <v>456</v>
      </c>
      <c r="E28" s="75">
        <v>623583.39</v>
      </c>
      <c r="F28" s="75">
        <v>0</v>
      </c>
      <c r="G28" s="391">
        <v>3.4700040000000001E-2</v>
      </c>
      <c r="H28" s="75">
        <f t="shared" si="1"/>
        <v>21638.37</v>
      </c>
      <c r="I28" s="362"/>
      <c r="J28" s="363"/>
    </row>
    <row r="29" spans="1:10">
      <c r="A29" s="72">
        <f t="shared" si="0"/>
        <v>19</v>
      </c>
      <c r="B29" s="48"/>
      <c r="C29" s="48"/>
      <c r="D29" s="76" t="s">
        <v>155</v>
      </c>
      <c r="E29" s="203">
        <f>SUM(E12:E28)</f>
        <v>148703495.39000002</v>
      </c>
      <c r="F29" s="203">
        <f t="shared" ref="F29:H29" si="2">SUM(F12:F28)</f>
        <v>0</v>
      </c>
      <c r="G29" s="203"/>
      <c r="H29" s="203">
        <f t="shared" si="2"/>
        <v>5631704.8799999999</v>
      </c>
      <c r="I29" s="337">
        <v>5548462.3700000001</v>
      </c>
      <c r="J29" s="203">
        <f>+H29-I29</f>
        <v>83242.509999999776</v>
      </c>
    </row>
    <row r="30" spans="1:10">
      <c r="A30" s="72">
        <f t="shared" si="0"/>
        <v>20</v>
      </c>
      <c r="B30" s="48"/>
      <c r="C30" s="48"/>
      <c r="D30" s="48"/>
      <c r="E30" s="48"/>
      <c r="F30" s="48"/>
      <c r="G30" s="48"/>
      <c r="H30" s="48"/>
      <c r="I30" s="48"/>
      <c r="J30" s="48"/>
    </row>
    <row r="31" spans="1:10">
      <c r="A31" s="72">
        <f t="shared" si="0"/>
        <v>21</v>
      </c>
      <c r="B31" s="48"/>
      <c r="C31" s="78" t="s">
        <v>208</v>
      </c>
      <c r="D31" s="48"/>
      <c r="E31" s="48"/>
      <c r="F31" s="48"/>
      <c r="G31" s="48"/>
      <c r="H31" s="48"/>
      <c r="I31" s="48"/>
      <c r="J31" s="48"/>
    </row>
    <row r="32" spans="1:10">
      <c r="A32" s="72">
        <f t="shared" si="0"/>
        <v>22</v>
      </c>
      <c r="B32" s="48"/>
      <c r="C32" s="73">
        <v>389</v>
      </c>
      <c r="D32" s="74" t="s">
        <v>209</v>
      </c>
      <c r="E32" s="75">
        <v>86866.25</v>
      </c>
      <c r="F32" s="75"/>
      <c r="G32" s="79"/>
      <c r="H32" s="75"/>
      <c r="I32" s="75"/>
      <c r="J32" s="46"/>
    </row>
    <row r="33" spans="1:14">
      <c r="A33" s="72">
        <f t="shared" si="0"/>
        <v>23</v>
      </c>
      <c r="B33" s="48"/>
      <c r="C33" s="73">
        <v>390</v>
      </c>
      <c r="D33" s="74" t="s">
        <v>210</v>
      </c>
      <c r="E33" s="75">
        <v>2801667.5</v>
      </c>
      <c r="F33" s="75">
        <v>1056841.3000000003</v>
      </c>
      <c r="G33" s="391">
        <v>2.4999996000000003E-2</v>
      </c>
      <c r="H33" s="75">
        <f>ROUND(((+E33-F33)*G33),2)</f>
        <v>43620.65</v>
      </c>
      <c r="I33" s="75">
        <v>43641.06</v>
      </c>
      <c r="J33" s="46">
        <f>+H33-I33</f>
        <v>-20.409999999996217</v>
      </c>
      <c r="N33" s="204"/>
    </row>
    <row r="34" spans="1:14">
      <c r="A34" s="72">
        <f t="shared" si="0"/>
        <v>24</v>
      </c>
      <c r="B34" s="48"/>
      <c r="C34" s="73">
        <v>391</v>
      </c>
      <c r="D34" s="74" t="s">
        <v>457</v>
      </c>
      <c r="E34" s="75">
        <v>315063.71999999997</v>
      </c>
      <c r="F34" s="75">
        <v>219607.96999999994</v>
      </c>
      <c r="G34" s="392">
        <v>5.0000004000000001E-2</v>
      </c>
      <c r="H34" s="75">
        <f t="shared" ref="H34:H39" si="3">ROUND(((+E34-F34)*G34),2)</f>
        <v>4772.79</v>
      </c>
      <c r="I34" s="75">
        <v>8004.73</v>
      </c>
      <c r="J34" s="46">
        <f t="shared" ref="J34:J39" si="4">+H34-I34</f>
        <v>-3231.9399999999996</v>
      </c>
      <c r="N34" s="204"/>
    </row>
    <row r="35" spans="1:14">
      <c r="A35" s="72">
        <f t="shared" si="0"/>
        <v>25</v>
      </c>
      <c r="B35" s="48"/>
      <c r="C35" s="73">
        <v>391.1</v>
      </c>
      <c r="D35" s="74" t="s">
        <v>458</v>
      </c>
      <c r="E35" s="75">
        <v>441829.04</v>
      </c>
      <c r="F35" s="75">
        <v>396203.49999999977</v>
      </c>
      <c r="G35" s="392">
        <v>0.20000000400000001</v>
      </c>
      <c r="H35" s="75">
        <f t="shared" si="3"/>
        <v>9125.11</v>
      </c>
      <c r="I35" s="75">
        <v>11322.47</v>
      </c>
      <c r="J35" s="46">
        <f t="shared" si="4"/>
        <v>-2197.3599999999988</v>
      </c>
      <c r="N35" s="204"/>
    </row>
    <row r="36" spans="1:14">
      <c r="A36" s="72">
        <f t="shared" si="0"/>
        <v>26</v>
      </c>
      <c r="B36" s="48"/>
      <c r="C36" s="73">
        <v>394</v>
      </c>
      <c r="D36" s="74" t="s">
        <v>212</v>
      </c>
      <c r="E36" s="75">
        <v>711788.69</v>
      </c>
      <c r="F36" s="75">
        <v>372105.71000000043</v>
      </c>
      <c r="G36" s="392">
        <v>6.6666671999999996E-2</v>
      </c>
      <c r="H36" s="75">
        <f t="shared" si="3"/>
        <v>22645.53</v>
      </c>
      <c r="I36" s="75">
        <v>22624.2</v>
      </c>
      <c r="J36" s="46">
        <f t="shared" si="4"/>
        <v>21.329999999998108</v>
      </c>
      <c r="N36" s="204"/>
    </row>
    <row r="37" spans="1:14">
      <c r="A37" s="72">
        <f t="shared" si="0"/>
        <v>27</v>
      </c>
      <c r="B37" s="48"/>
      <c r="C37" s="73">
        <v>395</v>
      </c>
      <c r="D37" s="74" t="s">
        <v>213</v>
      </c>
      <c r="E37" s="75">
        <v>246491.04</v>
      </c>
      <c r="F37" s="75">
        <v>137278.79</v>
      </c>
      <c r="G37" s="392">
        <v>6.6666671999999996E-2</v>
      </c>
      <c r="H37" s="75">
        <f t="shared" si="3"/>
        <v>7280.82</v>
      </c>
      <c r="I37" s="75">
        <v>6977.71</v>
      </c>
      <c r="J37" s="46">
        <f t="shared" si="4"/>
        <v>303.10999999999967</v>
      </c>
      <c r="N37" s="204"/>
    </row>
    <row r="38" spans="1:14">
      <c r="A38" s="72">
        <f t="shared" si="0"/>
        <v>28</v>
      </c>
      <c r="B38" s="48"/>
      <c r="C38" s="73">
        <v>397</v>
      </c>
      <c r="D38" s="74" t="s">
        <v>215</v>
      </c>
      <c r="E38" s="75">
        <v>884271.95</v>
      </c>
      <c r="F38" s="75">
        <v>0</v>
      </c>
      <c r="G38" s="392">
        <v>5.0000004000000001E-2</v>
      </c>
      <c r="H38" s="75">
        <f t="shared" si="3"/>
        <v>44213.599999999999</v>
      </c>
      <c r="I38" s="75">
        <v>44217.36</v>
      </c>
      <c r="J38" s="46">
        <f t="shared" si="4"/>
        <v>-3.7600000000020373</v>
      </c>
      <c r="N38" s="204"/>
    </row>
    <row r="39" spans="1:14">
      <c r="A39" s="72">
        <f t="shared" si="0"/>
        <v>29</v>
      </c>
      <c r="B39" s="48"/>
      <c r="C39" s="73">
        <v>398</v>
      </c>
      <c r="D39" s="74" t="s">
        <v>216</v>
      </c>
      <c r="E39" s="75">
        <v>214219.27</v>
      </c>
      <c r="F39" s="75">
        <v>91922.330000000016</v>
      </c>
      <c r="G39" s="392">
        <v>9.9999996000000008E-2</v>
      </c>
      <c r="H39" s="75">
        <f t="shared" si="3"/>
        <v>12229.69</v>
      </c>
      <c r="I39" s="75">
        <v>10879.2</v>
      </c>
      <c r="J39" s="46">
        <f t="shared" si="4"/>
        <v>1350.4899999999998</v>
      </c>
      <c r="N39" s="204"/>
    </row>
    <row r="40" spans="1:14">
      <c r="A40" s="72">
        <f t="shared" si="0"/>
        <v>30</v>
      </c>
      <c r="B40" s="48"/>
      <c r="C40" s="48"/>
      <c r="D40" s="76" t="s">
        <v>155</v>
      </c>
      <c r="E40" s="77">
        <f>SUM(E32:E39)</f>
        <v>5702197.459999999</v>
      </c>
      <c r="F40" s="77">
        <f>SUM(F32:F39)</f>
        <v>2273959.6000000006</v>
      </c>
      <c r="G40" s="77"/>
      <c r="H40" s="77">
        <f>SUM(H32:H39)</f>
        <v>143888.19</v>
      </c>
      <c r="I40" s="77">
        <f>SUM(I33:I39)</f>
        <v>147666.73000000001</v>
      </c>
      <c r="J40" s="77">
        <f>+H40-I40</f>
        <v>-3778.5400000000081</v>
      </c>
    </row>
    <row r="41" spans="1:14">
      <c r="A41" s="72">
        <f t="shared" si="0"/>
        <v>31</v>
      </c>
      <c r="B41" s="48"/>
      <c r="C41" s="80" t="s">
        <v>125</v>
      </c>
      <c r="D41" s="367" t="s">
        <v>461</v>
      </c>
      <c r="E41" s="205">
        <f>E29+E40</f>
        <v>154405692.85000002</v>
      </c>
      <c r="F41" s="205">
        <f>F29+F40</f>
        <v>2273959.6000000006</v>
      </c>
      <c r="G41" s="205"/>
      <c r="H41" s="205">
        <f>H29+H40</f>
        <v>5775593.0700000003</v>
      </c>
      <c r="I41" s="205">
        <f>I29+I40</f>
        <v>5696129.1000000006</v>
      </c>
      <c r="J41" s="205">
        <f>J29+J40</f>
        <v>79463.969999999768</v>
      </c>
    </row>
    <row r="42" spans="1:14">
      <c r="A42" s="72">
        <f t="shared" si="0"/>
        <v>32</v>
      </c>
      <c r="B42" s="48"/>
      <c r="C42" s="48"/>
      <c r="D42" s="81"/>
      <c r="E42" s="82"/>
      <c r="F42" s="82"/>
      <c r="G42" s="82"/>
      <c r="H42" s="82"/>
      <c r="I42" s="82"/>
      <c r="J42" s="82"/>
    </row>
    <row r="43" spans="1:14">
      <c r="A43" s="72">
        <f t="shared" si="0"/>
        <v>33</v>
      </c>
      <c r="B43" s="48"/>
      <c r="C43" s="78" t="s">
        <v>631</v>
      </c>
      <c r="D43" s="48"/>
      <c r="E43" s="82"/>
      <c r="F43" s="82"/>
      <c r="G43" s="82"/>
      <c r="H43" s="82"/>
      <c r="I43" s="82"/>
      <c r="J43" s="82"/>
    </row>
    <row r="44" spans="1:14">
      <c r="A44" s="72">
        <f t="shared" si="0"/>
        <v>34</v>
      </c>
      <c r="B44" s="48"/>
      <c r="C44" s="73">
        <v>392</v>
      </c>
      <c r="D44" s="74" t="s">
        <v>459</v>
      </c>
      <c r="E44" s="75">
        <v>3252381.9600000004</v>
      </c>
      <c r="F44" s="75">
        <v>1167522.56</v>
      </c>
      <c r="G44" s="392">
        <v>9.9999996000000008E-2</v>
      </c>
      <c r="H44" s="75">
        <f>ROUND(((+E44-F44)*G44),2)</f>
        <v>208485.93</v>
      </c>
      <c r="I44" s="393">
        <v>251544.88</v>
      </c>
      <c r="J44" s="60">
        <f>+H44-I44</f>
        <v>-43058.950000000012</v>
      </c>
      <c r="N44" s="204"/>
    </row>
    <row r="45" spans="1:14">
      <c r="A45" s="72">
        <f t="shared" si="0"/>
        <v>35</v>
      </c>
      <c r="B45" s="48"/>
      <c r="C45" s="73">
        <v>392.1</v>
      </c>
      <c r="D45" s="74" t="s">
        <v>460</v>
      </c>
      <c r="E45" s="75">
        <v>645786.21</v>
      </c>
      <c r="F45" s="75">
        <v>303630.57</v>
      </c>
      <c r="G45" s="392">
        <v>0.20000000400000001</v>
      </c>
      <c r="H45" s="75">
        <f>ROUND(((+E45-F45)*G45),2)</f>
        <v>68431.13</v>
      </c>
      <c r="I45" s="393">
        <v>73223.75</v>
      </c>
      <c r="J45" s="60">
        <f>+H45-I45</f>
        <v>-4792.6199999999953</v>
      </c>
      <c r="N45" s="204"/>
    </row>
    <row r="46" spans="1:14">
      <c r="A46" s="72">
        <f t="shared" si="0"/>
        <v>36</v>
      </c>
      <c r="B46" s="48"/>
      <c r="C46" s="73">
        <v>393</v>
      </c>
      <c r="D46" s="74" t="s">
        <v>211</v>
      </c>
      <c r="E46" s="75">
        <v>99882.37</v>
      </c>
      <c r="F46" s="75">
        <v>46664.279999999992</v>
      </c>
      <c r="G46" s="392">
        <v>5.0000039999999996E-2</v>
      </c>
      <c r="H46" s="75">
        <f>ROUND(((+E46-F46)*G46),2)</f>
        <v>2660.91</v>
      </c>
      <c r="I46" s="393">
        <v>2670.42</v>
      </c>
      <c r="J46" s="60">
        <f>+H46-I46</f>
        <v>-9.5100000000002183</v>
      </c>
      <c r="N46" s="204"/>
    </row>
    <row r="47" spans="1:14">
      <c r="A47" s="72">
        <f t="shared" si="0"/>
        <v>37</v>
      </c>
      <c r="B47" s="48"/>
      <c r="C47" s="73">
        <v>396</v>
      </c>
      <c r="D47" s="74" t="s">
        <v>214</v>
      </c>
      <c r="E47" s="75">
        <v>651517.13</v>
      </c>
      <c r="F47" s="75">
        <v>282830.49</v>
      </c>
      <c r="G47" s="392">
        <v>9.9999996000000008E-2</v>
      </c>
      <c r="H47" s="75">
        <f>ROUND(((+E47-F47)*G47),2)</f>
        <v>36868.660000000003</v>
      </c>
      <c r="I47" s="393">
        <v>40980.449999999997</v>
      </c>
      <c r="J47" s="60">
        <f>+H47-I47</f>
        <v>-4111.7899999999936</v>
      </c>
      <c r="N47" s="204"/>
    </row>
    <row r="48" spans="1:14">
      <c r="A48" s="72">
        <f t="shared" si="0"/>
        <v>38</v>
      </c>
      <c r="B48" s="48"/>
      <c r="C48" s="48"/>
      <c r="D48" s="76" t="s">
        <v>155</v>
      </c>
      <c r="E48" s="77">
        <f>SUM(E44:E47)</f>
        <v>4649567.6700000009</v>
      </c>
      <c r="F48" s="77">
        <f t="shared" ref="F48:J48" si="5">SUM(F44:F47)</f>
        <v>1800647.9000000001</v>
      </c>
      <c r="G48" s="77"/>
      <c r="H48" s="77">
        <f t="shared" si="5"/>
        <v>316446.63</v>
      </c>
      <c r="I48" s="77">
        <f t="shared" si="5"/>
        <v>368419.5</v>
      </c>
      <c r="J48" s="77">
        <f t="shared" si="5"/>
        <v>-51972.87</v>
      </c>
    </row>
    <row r="49" spans="1:25">
      <c r="A49" s="72">
        <f t="shared" si="0"/>
        <v>39</v>
      </c>
      <c r="B49" s="48"/>
      <c r="C49" s="80" t="s">
        <v>126</v>
      </c>
      <c r="D49" s="367" t="s">
        <v>627</v>
      </c>
      <c r="E49" s="368"/>
      <c r="F49" s="368"/>
      <c r="G49" s="368"/>
      <c r="H49" s="368"/>
      <c r="I49" s="368"/>
      <c r="J49" s="368">
        <f>F63</f>
        <v>-27945.058824577958</v>
      </c>
    </row>
    <row r="50" spans="1:25">
      <c r="A50" s="72">
        <f t="shared" si="0"/>
        <v>40</v>
      </c>
      <c r="B50" s="48"/>
      <c r="C50" s="48"/>
      <c r="D50" s="81"/>
      <c r="E50" s="82"/>
      <c r="F50" s="82"/>
      <c r="G50" s="82"/>
      <c r="H50" s="82"/>
      <c r="I50" s="82"/>
      <c r="J50" s="82"/>
    </row>
    <row r="51" spans="1:25">
      <c r="A51" s="72">
        <f t="shared" si="0"/>
        <v>41</v>
      </c>
      <c r="B51" s="48"/>
    </row>
    <row r="52" spans="1:25" ht="13.5" thickBot="1">
      <c r="A52" s="72">
        <f t="shared" si="0"/>
        <v>42</v>
      </c>
      <c r="B52" s="48"/>
      <c r="C52" s="64" t="s">
        <v>632</v>
      </c>
      <c r="D52" s="371" t="s">
        <v>110</v>
      </c>
      <c r="E52" s="360"/>
      <c r="F52" s="361"/>
      <c r="G52" s="370"/>
      <c r="H52" s="361"/>
      <c r="I52" s="361"/>
      <c r="J52" s="369">
        <f>J41+J49</f>
        <v>51518.91117542181</v>
      </c>
    </row>
    <row r="53" spans="1:25" ht="13.5" thickTop="1">
      <c r="A53" s="72">
        <f t="shared" si="0"/>
        <v>43</v>
      </c>
      <c r="B53" s="48"/>
      <c r="C53" s="48"/>
      <c r="D53" s="48"/>
      <c r="E53" s="48"/>
      <c r="F53" s="48"/>
      <c r="G53" s="48"/>
      <c r="H53" s="48"/>
      <c r="I53" s="48"/>
      <c r="J53" s="48"/>
    </row>
    <row r="54" spans="1:25" s="62" customFormat="1" ht="29.25" customHeight="1">
      <c r="A54" s="72">
        <f t="shared" si="0"/>
        <v>44</v>
      </c>
      <c r="B54" s="84"/>
      <c r="C54" s="409" t="s">
        <v>217</v>
      </c>
      <c r="D54" s="409"/>
      <c r="E54" s="409"/>
      <c r="F54" s="409"/>
      <c r="G54" s="409"/>
      <c r="H54" s="409"/>
      <c r="I54" s="409"/>
      <c r="J54" s="409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</row>
    <row r="55" spans="1:25">
      <c r="A55" s="72">
        <f t="shared" si="0"/>
        <v>45</v>
      </c>
    </row>
    <row r="56" spans="1:25" ht="12.75" customHeight="1">
      <c r="A56" s="72">
        <f t="shared" si="0"/>
        <v>46</v>
      </c>
      <c r="D56" s="85" t="s">
        <v>627</v>
      </c>
      <c r="E56" s="87" t="s">
        <v>218</v>
      </c>
      <c r="F56" s="87" t="s">
        <v>628</v>
      </c>
    </row>
    <row r="57" spans="1:25">
      <c r="A57" s="72">
        <f t="shared" si="0"/>
        <v>47</v>
      </c>
      <c r="C57" s="88"/>
      <c r="D57" s="86"/>
      <c r="E57" s="88"/>
      <c r="F57" s="88"/>
    </row>
    <row r="58" spans="1:25">
      <c r="A58" s="72">
        <f t="shared" si="0"/>
        <v>48</v>
      </c>
      <c r="C58" s="89"/>
      <c r="D58" s="74" t="s">
        <v>219</v>
      </c>
      <c r="E58" s="364">
        <f>'1.12 Wages'!M117</f>
        <v>0.16528357038992794</v>
      </c>
      <c r="F58" s="90">
        <f>E58*J48</f>
        <v>-8590.2615170115751</v>
      </c>
      <c r="H58" s="404" t="s">
        <v>629</v>
      </c>
      <c r="I58" s="404"/>
      <c r="J58" s="404"/>
    </row>
    <row r="59" spans="1:25">
      <c r="A59" s="72">
        <f t="shared" si="0"/>
        <v>49</v>
      </c>
      <c r="C59" s="89"/>
      <c r="D59" s="74" t="s">
        <v>220</v>
      </c>
      <c r="E59" s="364">
        <f>'1.12 Wages'!M118</f>
        <v>0.16965673111640506</v>
      </c>
      <c r="F59" s="90">
        <f>E59*J48</f>
        <v>-8817.5472309378747</v>
      </c>
      <c r="H59" s="404"/>
      <c r="I59" s="404"/>
      <c r="J59" s="404"/>
    </row>
    <row r="60" spans="1:25">
      <c r="A60" s="72">
        <f t="shared" si="0"/>
        <v>50</v>
      </c>
      <c r="C60" s="89"/>
      <c r="D60" s="74" t="s">
        <v>221</v>
      </c>
      <c r="E60" s="364">
        <f>'1.12 Wages'!M119</f>
        <v>9.2733118049699761E-2</v>
      </c>
      <c r="F60" s="90">
        <f>E60*J48</f>
        <v>-4819.6062890916992</v>
      </c>
    </row>
    <row r="61" spans="1:25">
      <c r="A61" s="72">
        <f t="shared" si="0"/>
        <v>51</v>
      </c>
      <c r="D61" s="74" t="s">
        <v>24</v>
      </c>
      <c r="E61" s="364">
        <f>'1.12 Wages'!M120</f>
        <v>8.237517196210067E-3</v>
      </c>
      <c r="F61" s="90">
        <f>E61*J48</f>
        <v>-428.12741036139033</v>
      </c>
    </row>
    <row r="62" spans="1:25">
      <c r="A62" s="72">
        <f t="shared" si="0"/>
        <v>52</v>
      </c>
      <c r="C62" s="89"/>
      <c r="D62" s="74" t="s">
        <v>222</v>
      </c>
      <c r="E62" s="364">
        <f>'1.12 Wages'!M121</f>
        <v>0.10177456771533726</v>
      </c>
      <c r="F62" s="90">
        <f>E62*J48</f>
        <v>-5289.5163771754205</v>
      </c>
    </row>
    <row r="63" spans="1:25">
      <c r="A63" s="72">
        <f t="shared" si="0"/>
        <v>53</v>
      </c>
      <c r="C63" s="89"/>
      <c r="D63" s="92" t="s">
        <v>155</v>
      </c>
      <c r="E63" s="365">
        <f>SUM(E58:E62)</f>
        <v>0.53768550446758012</v>
      </c>
      <c r="F63" s="366">
        <f>SUM(F58:F62)</f>
        <v>-27945.058824577958</v>
      </c>
    </row>
    <row r="64" spans="1:25">
      <c r="A64" s="72">
        <f t="shared" si="0"/>
        <v>54</v>
      </c>
      <c r="C64" s="89"/>
      <c r="D64" s="74"/>
      <c r="E64" s="364"/>
      <c r="F64" s="93"/>
    </row>
    <row r="65" spans="1:6">
      <c r="A65" s="72">
        <f t="shared" si="0"/>
        <v>55</v>
      </c>
      <c r="C65" s="89"/>
      <c r="D65" s="74" t="s">
        <v>352</v>
      </c>
      <c r="E65" s="364">
        <f>'1.12 Wages'!M124</f>
        <v>0.46231449553241988</v>
      </c>
      <c r="F65" s="90">
        <f>E65*J48</f>
        <v>-24027.811175422041</v>
      </c>
    </row>
    <row r="66" spans="1:6">
      <c r="A66" s="72">
        <f t="shared" si="0"/>
        <v>56</v>
      </c>
      <c r="C66" s="89"/>
      <c r="D66" s="74"/>
      <c r="E66" s="364"/>
      <c r="F66" s="90"/>
    </row>
    <row r="67" spans="1:6">
      <c r="A67" s="72">
        <f t="shared" si="0"/>
        <v>57</v>
      </c>
      <c r="C67" s="89"/>
      <c r="D67" s="185" t="s">
        <v>57</v>
      </c>
      <c r="E67" s="186">
        <f>E63+E65</f>
        <v>1</v>
      </c>
      <c r="F67" s="249">
        <f>F63+F65</f>
        <v>-51972.869999999995</v>
      </c>
    </row>
  </sheetData>
  <mergeCells count="5">
    <mergeCell ref="H58:J59"/>
    <mergeCell ref="A3:J3"/>
    <mergeCell ref="A4:J4"/>
    <mergeCell ref="A6:J6"/>
    <mergeCell ref="C54:J54"/>
  </mergeCells>
  <printOptions horizontalCentered="1"/>
  <pageMargins left="1" right="0.75" top="0.75" bottom="0.5" header="0.5" footer="0.5"/>
  <pageSetup scale="71" orientation="portrait" r:id="rId1"/>
  <headerFooter alignWithMargins="0">
    <oddFooter>&amp;RExhibit JW-2
Page &amp;P of &amp;N</oddFooter>
  </headerFooter>
  <ignoredErrors>
    <ignoredError sqref="C9:J9 C27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view="pageBreakPreview" zoomScale="75" zoomScaleNormal="100" zoomScaleSheetLayoutView="75" workbookViewId="0">
      <selection activeCell="A4" sqref="A4:K4"/>
    </sheetView>
  </sheetViews>
  <sheetFormatPr defaultRowHeight="14.25"/>
  <cols>
    <col min="1" max="1" width="5.28515625" style="251" customWidth="1"/>
    <col min="2" max="2" width="42.42578125" style="251" customWidth="1"/>
    <col min="3" max="3" width="13.85546875" style="251" bestFit="1" customWidth="1"/>
    <col min="4" max="4" width="12" style="251" bestFit="1" customWidth="1"/>
    <col min="5" max="5" width="8.85546875" style="251" bestFit="1" customWidth="1"/>
    <col min="6" max="6" width="12" style="251" bestFit="1" customWidth="1"/>
    <col min="7" max="7" width="10.28515625" style="251" bestFit="1" customWidth="1"/>
    <col min="8" max="8" width="12.42578125" style="251" customWidth="1"/>
    <col min="9" max="9" width="10.28515625" style="251" bestFit="1" customWidth="1"/>
    <col min="10" max="10" width="13.85546875" style="251" bestFit="1" customWidth="1"/>
    <col min="11" max="11" width="8.28515625" style="251" bestFit="1" customWidth="1"/>
    <col min="12" max="12" width="13.140625" style="251" bestFit="1" customWidth="1"/>
    <col min="13" max="16384" width="9.140625" style="251"/>
  </cols>
  <sheetData>
    <row r="1" spans="1:14" s="20" customFormat="1" ht="12.75">
      <c r="K1" s="36" t="s">
        <v>580</v>
      </c>
    </row>
    <row r="2" spans="1:14" s="20" customFormat="1" ht="12.75">
      <c r="K2" s="36"/>
    </row>
    <row r="3" spans="1:14" s="20" customFormat="1" ht="12.75">
      <c r="K3" s="36"/>
    </row>
    <row r="4" spans="1:14" s="20" customFormat="1" ht="12.75">
      <c r="A4" s="402" t="s">
        <v>0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</row>
    <row r="5" spans="1:14" s="20" customFormat="1" ht="12.75">
      <c r="A5" s="402" t="s">
        <v>2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322"/>
    </row>
    <row r="6" spans="1:14" s="20" customFormat="1" ht="12.75">
      <c r="A6" s="322"/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2"/>
    </row>
    <row r="7" spans="1:14" s="20" customFormat="1" ht="12.75">
      <c r="A7" s="403" t="s">
        <v>484</v>
      </c>
      <c r="B7" s="403"/>
      <c r="C7" s="403"/>
      <c r="D7" s="403"/>
      <c r="E7" s="403"/>
      <c r="F7" s="403"/>
      <c r="G7" s="403"/>
      <c r="H7" s="403"/>
      <c r="I7" s="403"/>
      <c r="J7" s="403"/>
      <c r="K7" s="403"/>
    </row>
    <row r="8" spans="1:14" s="20" customFormat="1" ht="12.75"/>
    <row r="9" spans="1:14" ht="15">
      <c r="A9" s="316" t="s">
        <v>11</v>
      </c>
      <c r="B9" s="257" t="s">
        <v>52</v>
      </c>
      <c r="C9" s="257" t="s">
        <v>463</v>
      </c>
      <c r="D9" s="257" t="s">
        <v>464</v>
      </c>
      <c r="E9" s="257" t="s">
        <v>465</v>
      </c>
      <c r="F9" s="257" t="s">
        <v>466</v>
      </c>
      <c r="G9" s="257" t="s">
        <v>467</v>
      </c>
      <c r="H9" s="257" t="s">
        <v>468</v>
      </c>
      <c r="I9" s="257" t="s">
        <v>469</v>
      </c>
      <c r="J9" s="257" t="s">
        <v>470</v>
      </c>
      <c r="K9" s="258" t="s">
        <v>471</v>
      </c>
    </row>
    <row r="10" spans="1:14">
      <c r="A10" s="315">
        <v>1</v>
      </c>
      <c r="B10" s="260" t="s">
        <v>472</v>
      </c>
      <c r="C10" s="261">
        <v>4084.73</v>
      </c>
      <c r="D10" s="261">
        <v>3926.49</v>
      </c>
      <c r="E10" s="261">
        <v>0</v>
      </c>
      <c r="F10" s="261">
        <v>0</v>
      </c>
      <c r="G10" s="261">
        <v>0</v>
      </c>
      <c r="H10" s="261">
        <v>0</v>
      </c>
      <c r="I10" s="261">
        <v>0</v>
      </c>
      <c r="J10" s="261">
        <v>3893.86</v>
      </c>
      <c r="K10" s="261">
        <v>0</v>
      </c>
      <c r="M10" s="261"/>
      <c r="N10" s="261"/>
    </row>
    <row r="11" spans="1:14">
      <c r="A11" s="315">
        <v>2</v>
      </c>
      <c r="B11" s="260" t="s">
        <v>473</v>
      </c>
      <c r="C11" s="264">
        <v>0</v>
      </c>
      <c r="D11" s="264">
        <v>0</v>
      </c>
      <c r="E11" s="264">
        <v>0</v>
      </c>
      <c r="F11" s="264">
        <v>0</v>
      </c>
      <c r="G11" s="264">
        <v>0</v>
      </c>
      <c r="H11" s="264">
        <v>0</v>
      </c>
      <c r="I11" s="264">
        <v>0</v>
      </c>
      <c r="J11" s="264">
        <v>3160.26</v>
      </c>
      <c r="K11" s="264">
        <v>0</v>
      </c>
      <c r="M11" s="261"/>
      <c r="N11" s="261"/>
    </row>
    <row r="12" spans="1:14">
      <c r="A12" s="315">
        <v>3</v>
      </c>
      <c r="B12" s="260" t="s">
        <v>474</v>
      </c>
      <c r="C12" s="264">
        <v>378.99</v>
      </c>
      <c r="D12" s="264">
        <v>1039.75</v>
      </c>
      <c r="E12" s="264">
        <v>0</v>
      </c>
      <c r="F12" s="264">
        <v>1154.6400000000001</v>
      </c>
      <c r="G12" s="264">
        <v>0</v>
      </c>
      <c r="H12" s="264">
        <v>0</v>
      </c>
      <c r="I12" s="264">
        <v>0</v>
      </c>
      <c r="J12" s="264">
        <v>0</v>
      </c>
      <c r="K12" s="264">
        <v>0</v>
      </c>
      <c r="M12" s="261"/>
      <c r="N12" s="261"/>
    </row>
    <row r="13" spans="1:14">
      <c r="A13" s="315">
        <v>4</v>
      </c>
      <c r="B13" s="260" t="s">
        <v>475</v>
      </c>
      <c r="C13" s="264">
        <v>1873.27</v>
      </c>
      <c r="D13" s="264">
        <v>1711.12</v>
      </c>
      <c r="E13" s="264">
        <v>0</v>
      </c>
      <c r="F13" s="264">
        <v>0</v>
      </c>
      <c r="G13" s="264">
        <v>0</v>
      </c>
      <c r="H13" s="264">
        <v>0</v>
      </c>
      <c r="I13" s="264">
        <v>0</v>
      </c>
      <c r="J13" s="264">
        <v>2051.54</v>
      </c>
      <c r="K13" s="264">
        <v>0</v>
      </c>
      <c r="M13" s="261"/>
      <c r="N13" s="261"/>
    </row>
    <row r="14" spans="1:14">
      <c r="A14" s="315">
        <v>5</v>
      </c>
      <c r="B14" s="260" t="s">
        <v>476</v>
      </c>
      <c r="C14" s="264">
        <v>219.2</v>
      </c>
      <c r="D14" s="264">
        <v>228.89</v>
      </c>
      <c r="E14" s="264">
        <v>0</v>
      </c>
      <c r="F14" s="264">
        <v>0</v>
      </c>
      <c r="G14" s="264">
        <v>0</v>
      </c>
      <c r="H14" s="264">
        <v>0</v>
      </c>
      <c r="I14" s="264">
        <v>205.38</v>
      </c>
      <c r="J14" s="264">
        <v>211.77</v>
      </c>
      <c r="K14" s="264">
        <v>0</v>
      </c>
      <c r="M14" s="261"/>
      <c r="N14" s="261"/>
    </row>
    <row r="15" spans="1:14">
      <c r="A15" s="315">
        <v>6</v>
      </c>
      <c r="B15" s="260" t="s">
        <v>477</v>
      </c>
      <c r="C15" s="285">
        <v>210.27</v>
      </c>
      <c r="D15" s="285">
        <v>241.14</v>
      </c>
      <c r="E15" s="285">
        <v>0</v>
      </c>
      <c r="F15" s="285">
        <v>225.09</v>
      </c>
      <c r="G15" s="285">
        <v>224.02</v>
      </c>
      <c r="H15" s="285">
        <v>325.08999999999997</v>
      </c>
      <c r="I15" s="285">
        <v>217.6</v>
      </c>
      <c r="J15" s="285">
        <v>224.02</v>
      </c>
      <c r="K15" s="285">
        <v>0</v>
      </c>
      <c r="M15" s="261"/>
      <c r="N15" s="261"/>
    </row>
    <row r="16" spans="1:14">
      <c r="A16" s="315">
        <v>7</v>
      </c>
      <c r="C16" s="261">
        <f>SUM(C10:C15)</f>
        <v>6766.46</v>
      </c>
      <c r="D16" s="261">
        <f t="shared" ref="D16:K16" si="0">SUM(D10:D15)</f>
        <v>7147.39</v>
      </c>
      <c r="E16" s="261">
        <f t="shared" si="0"/>
        <v>0</v>
      </c>
      <c r="F16" s="261">
        <f t="shared" si="0"/>
        <v>1379.73</v>
      </c>
      <c r="G16" s="261">
        <f t="shared" si="0"/>
        <v>224.02</v>
      </c>
      <c r="H16" s="261">
        <f t="shared" si="0"/>
        <v>325.08999999999997</v>
      </c>
      <c r="I16" s="261">
        <f t="shared" si="0"/>
        <v>422.98</v>
      </c>
      <c r="J16" s="261">
        <f t="shared" si="0"/>
        <v>9541.4500000000007</v>
      </c>
      <c r="K16" s="261">
        <f t="shared" si="0"/>
        <v>0</v>
      </c>
      <c r="M16" s="261"/>
      <c r="N16" s="261"/>
    </row>
    <row r="17" spans="1:15">
      <c r="A17" s="315">
        <v>8</v>
      </c>
      <c r="C17" s="264"/>
      <c r="D17" s="264"/>
      <c r="E17" s="264"/>
      <c r="F17" s="264"/>
      <c r="G17" s="264"/>
      <c r="H17" s="264"/>
      <c r="I17" s="264"/>
      <c r="J17" s="264"/>
      <c r="K17" s="264"/>
      <c r="M17" s="261"/>
      <c r="N17" s="261"/>
    </row>
    <row r="18" spans="1:15">
      <c r="A18" s="315">
        <v>9</v>
      </c>
      <c r="B18" s="264"/>
      <c r="C18" s="264"/>
      <c r="D18" s="264"/>
      <c r="E18" s="264"/>
      <c r="F18" s="264"/>
      <c r="G18" s="264"/>
      <c r="H18" s="264"/>
      <c r="I18" s="264"/>
      <c r="J18" s="264"/>
      <c r="K18" s="264"/>
      <c r="M18" s="261"/>
      <c r="N18" s="261"/>
    </row>
    <row r="19" spans="1:15">
      <c r="A19" s="315">
        <v>10</v>
      </c>
      <c r="C19" s="264"/>
      <c r="D19" s="264"/>
      <c r="E19" s="264"/>
      <c r="F19" s="264"/>
      <c r="G19" s="264"/>
      <c r="H19" s="264"/>
      <c r="I19" s="264"/>
      <c r="J19" s="264"/>
      <c r="K19" s="264"/>
      <c r="M19" s="261"/>
      <c r="N19" s="261"/>
    </row>
    <row r="20" spans="1:15" ht="15">
      <c r="A20" s="315">
        <v>11</v>
      </c>
      <c r="B20" s="286" t="s">
        <v>576</v>
      </c>
      <c r="C20" s="257" t="s">
        <v>577</v>
      </c>
      <c r="D20" s="264"/>
      <c r="E20" s="264"/>
      <c r="F20" s="264"/>
      <c r="G20" s="264"/>
      <c r="H20" s="264"/>
      <c r="I20" s="264"/>
      <c r="J20" s="264"/>
      <c r="K20" s="264"/>
      <c r="L20" s="261"/>
      <c r="M20" s="261"/>
      <c r="N20" s="261"/>
    </row>
    <row r="21" spans="1:15">
      <c r="A21" s="315">
        <v>12</v>
      </c>
      <c r="B21" s="251" t="s">
        <v>478</v>
      </c>
      <c r="C21" s="264">
        <f>+C10+D10</f>
        <v>8011.2199999999993</v>
      </c>
      <c r="D21" s="264"/>
      <c r="E21" s="264"/>
      <c r="I21" s="264"/>
      <c r="J21" s="264"/>
      <c r="K21" s="264"/>
      <c r="L21" s="261"/>
      <c r="M21" s="261"/>
      <c r="N21" s="261"/>
    </row>
    <row r="22" spans="1:15">
      <c r="A22" s="315">
        <v>13</v>
      </c>
      <c r="B22" s="251" t="s">
        <v>479</v>
      </c>
      <c r="C22" s="264">
        <v>0</v>
      </c>
      <c r="D22" s="264"/>
      <c r="E22" s="264"/>
      <c r="I22" s="264"/>
      <c r="J22" s="264"/>
      <c r="K22" s="264"/>
      <c r="L22" s="261"/>
      <c r="M22" s="261"/>
      <c r="N22" s="261"/>
    </row>
    <row r="23" spans="1:15">
      <c r="A23" s="315">
        <v>14</v>
      </c>
      <c r="B23" s="251" t="s">
        <v>480</v>
      </c>
      <c r="C23" s="264">
        <f>+D12+F12</f>
        <v>2194.3900000000003</v>
      </c>
      <c r="D23" s="264"/>
      <c r="E23" s="264"/>
      <c r="H23" s="251" t="s">
        <v>128</v>
      </c>
      <c r="J23" s="261">
        <v>73623.69</v>
      </c>
      <c r="K23" s="264"/>
    </row>
    <row r="24" spans="1:15">
      <c r="A24" s="315">
        <v>15</v>
      </c>
      <c r="B24" s="251" t="s">
        <v>481</v>
      </c>
      <c r="C24" s="264">
        <f>+C13+J13</f>
        <v>3924.81</v>
      </c>
      <c r="D24" s="264"/>
      <c r="E24" s="264"/>
      <c r="J24" s="261"/>
      <c r="K24" s="264"/>
    </row>
    <row r="25" spans="1:15">
      <c r="A25" s="315">
        <v>16</v>
      </c>
      <c r="B25" s="251" t="s">
        <v>482</v>
      </c>
      <c r="C25" s="264">
        <f>+SUM(C14:E14)+SUM(H14:K14)</f>
        <v>865.24</v>
      </c>
      <c r="D25" s="264"/>
      <c r="E25" s="264"/>
      <c r="H25" s="297" t="s">
        <v>558</v>
      </c>
      <c r="J25" s="314">
        <f>+J23-C27</f>
        <v>57409.91</v>
      </c>
      <c r="K25" s="264"/>
    </row>
    <row r="26" spans="1:15">
      <c r="A26" s="315">
        <v>17</v>
      </c>
      <c r="B26" s="251" t="s">
        <v>483</v>
      </c>
      <c r="C26" s="285">
        <f>+C15+D15+H15+I15+J15</f>
        <v>1218.1200000000001</v>
      </c>
      <c r="D26" s="264"/>
      <c r="E26" s="264"/>
      <c r="H26" s="297"/>
      <c r="J26" s="314"/>
      <c r="K26" s="264"/>
    </row>
    <row r="27" spans="1:15" ht="15" thickBot="1">
      <c r="A27" s="315">
        <v>18</v>
      </c>
      <c r="B27" s="309" t="s">
        <v>578</v>
      </c>
      <c r="C27" s="261">
        <f>SUM(C21:C26)</f>
        <v>16213.78</v>
      </c>
      <c r="D27" s="264"/>
      <c r="E27" s="264"/>
      <c r="H27" s="301" t="s">
        <v>10</v>
      </c>
      <c r="I27" s="301"/>
      <c r="J27" s="317">
        <f>J25-J23</f>
        <v>-16213.779999999999</v>
      </c>
      <c r="K27" s="264"/>
    </row>
    <row r="28" spans="1:15" ht="15" thickTop="1">
      <c r="C28" s="264"/>
      <c r="D28" s="264"/>
      <c r="E28" s="264"/>
      <c r="F28" s="264"/>
      <c r="G28" s="264"/>
      <c r="H28" s="264"/>
      <c r="I28" s="264"/>
      <c r="J28" s="264"/>
      <c r="K28" s="264"/>
    </row>
    <row r="29" spans="1:15">
      <c r="D29" s="264"/>
      <c r="E29" s="264"/>
      <c r="F29" s="264"/>
      <c r="G29" s="264"/>
      <c r="H29" s="264"/>
      <c r="I29" s="264"/>
      <c r="J29" s="264"/>
      <c r="K29" s="264"/>
    </row>
    <row r="30" spans="1:15">
      <c r="B30" s="404" t="s">
        <v>625</v>
      </c>
      <c r="C30" s="404"/>
      <c r="D30" s="404"/>
      <c r="E30" s="404"/>
      <c r="F30" s="404"/>
      <c r="G30" s="404"/>
      <c r="H30" s="404"/>
      <c r="I30" s="404"/>
      <c r="J30" s="404"/>
      <c r="K30" s="404"/>
      <c r="L30" s="404"/>
      <c r="M30" s="404"/>
      <c r="N30" s="404"/>
      <c r="O30" s="404"/>
    </row>
    <row r="31" spans="1:15">
      <c r="D31" s="264"/>
      <c r="E31" s="264"/>
      <c r="F31" s="264"/>
      <c r="G31" s="264"/>
      <c r="H31" s="264"/>
      <c r="I31" s="264"/>
      <c r="J31" s="264"/>
      <c r="K31" s="264"/>
    </row>
    <row r="32" spans="1:15">
      <c r="D32" s="264"/>
      <c r="E32" s="264"/>
      <c r="F32" s="264"/>
      <c r="G32" s="264"/>
      <c r="H32" s="264"/>
      <c r="I32" s="264"/>
      <c r="J32" s="264"/>
      <c r="K32" s="264"/>
    </row>
    <row r="33" spans="3:11">
      <c r="D33" s="264"/>
      <c r="E33" s="264"/>
      <c r="F33" s="264"/>
      <c r="G33" s="264"/>
      <c r="H33" s="264"/>
      <c r="I33" s="264"/>
      <c r="J33" s="264"/>
      <c r="K33" s="264"/>
    </row>
    <row r="34" spans="3:11">
      <c r="C34" s="264"/>
      <c r="D34" s="264"/>
      <c r="E34" s="264"/>
      <c r="F34" s="264"/>
      <c r="G34" s="264"/>
      <c r="H34" s="264"/>
      <c r="I34" s="264"/>
      <c r="J34" s="264"/>
      <c r="K34" s="264"/>
    </row>
    <row r="35" spans="3:11">
      <c r="C35" s="264"/>
      <c r="D35" s="264"/>
      <c r="E35" s="264"/>
      <c r="F35" s="264"/>
      <c r="G35" s="264"/>
      <c r="H35" s="264"/>
      <c r="I35" s="264"/>
      <c r="J35" s="264"/>
      <c r="K35" s="264"/>
    </row>
    <row r="36" spans="3:11">
      <c r="C36" s="264"/>
      <c r="D36" s="264"/>
      <c r="E36" s="264"/>
      <c r="F36" s="264"/>
      <c r="G36" s="264"/>
      <c r="H36" s="264"/>
      <c r="I36" s="264"/>
      <c r="J36" s="264"/>
      <c r="K36" s="264"/>
    </row>
    <row r="37" spans="3:11">
      <c r="C37" s="264"/>
      <c r="D37" s="264"/>
      <c r="E37" s="264"/>
      <c r="F37" s="264"/>
      <c r="G37" s="264"/>
      <c r="H37" s="264"/>
      <c r="I37" s="264"/>
      <c r="J37" s="264"/>
      <c r="K37" s="264"/>
    </row>
  </sheetData>
  <mergeCells count="4">
    <mergeCell ref="A4:K4"/>
    <mergeCell ref="A5:K5"/>
    <mergeCell ref="A7:K7"/>
    <mergeCell ref="B30:O30"/>
  </mergeCells>
  <printOptions horizontalCentered="1"/>
  <pageMargins left="0.7" right="0.7" top="0.75" bottom="0.75" header="0.3" footer="0.3"/>
  <pageSetup scale="81" orientation="landscape" r:id="rId1"/>
  <headerFooter>
    <oddFooter>&amp;RExhibit JW-2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opLeftCell="A7" zoomScaleNormal="100" workbookViewId="0">
      <selection activeCell="I18" sqref="I18"/>
    </sheetView>
  </sheetViews>
  <sheetFormatPr defaultRowHeight="12.75"/>
  <cols>
    <col min="1" max="1" width="3.5703125" style="20" customWidth="1"/>
    <col min="2" max="2" width="9.140625" style="27"/>
    <col min="3" max="3" width="27" style="20" bestFit="1" customWidth="1"/>
    <col min="4" max="5" width="10.85546875" style="20" bestFit="1" customWidth="1"/>
    <col min="6" max="6" width="9" style="20" bestFit="1" customWidth="1"/>
    <col min="7" max="7" width="10.85546875" style="20" bestFit="1" customWidth="1"/>
    <col min="8" max="8" width="9.140625" style="20"/>
    <col min="9" max="9" width="37.42578125" style="20" bestFit="1" customWidth="1"/>
    <col min="10" max="16384" width="9.140625" style="20"/>
  </cols>
  <sheetData>
    <row r="1" spans="1:7">
      <c r="A1" s="400" t="s">
        <v>0</v>
      </c>
      <c r="B1" s="400"/>
      <c r="C1" s="400"/>
      <c r="D1" s="400"/>
      <c r="E1" s="400"/>
      <c r="F1" s="400"/>
      <c r="G1" s="400"/>
    </row>
    <row r="2" spans="1:7">
      <c r="A2" s="400" t="s">
        <v>50</v>
      </c>
      <c r="B2" s="400"/>
      <c r="C2" s="400"/>
      <c r="D2" s="400"/>
      <c r="E2" s="400"/>
      <c r="F2" s="400"/>
      <c r="G2" s="400"/>
    </row>
    <row r="4" spans="1:7" ht="47.25" customHeight="1">
      <c r="B4" s="21" t="s">
        <v>51</v>
      </c>
      <c r="C4" s="22" t="s">
        <v>52</v>
      </c>
      <c r="D4" s="23" t="s">
        <v>53</v>
      </c>
      <c r="E4" s="23" t="s">
        <v>54</v>
      </c>
      <c r="F4" s="23" t="s">
        <v>55</v>
      </c>
      <c r="G4" s="23" t="s">
        <v>56</v>
      </c>
    </row>
    <row r="5" spans="1:7">
      <c r="B5" s="24" t="s">
        <v>11</v>
      </c>
      <c r="C5" s="25">
        <v>1</v>
      </c>
      <c r="D5" s="25">
        <f>C5+1</f>
        <v>2</v>
      </c>
      <c r="E5" s="25">
        <f>D5+1</f>
        <v>3</v>
      </c>
      <c r="F5" s="25">
        <f>E5+1</f>
        <v>4</v>
      </c>
      <c r="G5" s="25">
        <f>F5+1</f>
        <v>5</v>
      </c>
    </row>
    <row r="6" spans="1:7">
      <c r="B6" s="20"/>
      <c r="C6" s="26"/>
      <c r="D6" s="26"/>
      <c r="E6" s="26"/>
      <c r="F6" s="26"/>
      <c r="G6" s="26"/>
    </row>
    <row r="7" spans="1:7">
      <c r="B7" s="27">
        <v>1.01</v>
      </c>
      <c r="C7" s="20" t="s">
        <v>92</v>
      </c>
      <c r="D7" s="10">
        <f>'1.01 FAC'!F31</f>
        <v>-728838.02</v>
      </c>
      <c r="E7" s="10">
        <f>'1.01 FAC'!H31</f>
        <v>-788071.58</v>
      </c>
      <c r="F7" s="10">
        <v>0</v>
      </c>
      <c r="G7" s="28">
        <f>D7-E7+F7</f>
        <v>59233.559999999939</v>
      </c>
    </row>
    <row r="8" spans="1:7">
      <c r="B8" s="27">
        <v>1.02</v>
      </c>
      <c r="C8" s="20" t="s">
        <v>93</v>
      </c>
      <c r="D8" s="10">
        <f>'1.02 ES'!F31</f>
        <v>-4343730.1399999997</v>
      </c>
      <c r="E8" s="10">
        <f>'1.02 ES'!H31</f>
        <v>-4205570.58</v>
      </c>
      <c r="F8" s="10">
        <v>0</v>
      </c>
      <c r="G8" s="28">
        <f t="shared" ref="G8:G24" si="0">D8-E8+F8</f>
        <v>-138159.55999999959</v>
      </c>
    </row>
    <row r="9" spans="1:7">
      <c r="B9" s="27">
        <v>1.03</v>
      </c>
      <c r="C9" s="20" t="s">
        <v>94</v>
      </c>
      <c r="D9" s="10">
        <f>'1.03 MRSM'!F31</f>
        <v>1345647.1</v>
      </c>
      <c r="E9" s="10">
        <f>'1.03 MRSM'!H31</f>
        <v>973186.14</v>
      </c>
      <c r="F9" s="10">
        <v>0</v>
      </c>
      <c r="G9" s="28">
        <f t="shared" si="0"/>
        <v>372460.96000000008</v>
      </c>
    </row>
    <row r="10" spans="1:7">
      <c r="B10" s="27">
        <v>1.04</v>
      </c>
      <c r="C10" s="20" t="s">
        <v>95</v>
      </c>
      <c r="D10" s="10">
        <f>'1.04 NonFACPPA'!F31</f>
        <v>-857090.37</v>
      </c>
      <c r="E10" s="10">
        <f>'1.04 NonFACPPA'!H31</f>
        <v>-849293.26</v>
      </c>
      <c r="F10" s="10">
        <v>0</v>
      </c>
      <c r="G10" s="28">
        <f t="shared" si="0"/>
        <v>-7797.109999999986</v>
      </c>
    </row>
    <row r="11" spans="1:7">
      <c r="B11" s="27">
        <v>1.05</v>
      </c>
      <c r="C11" s="20" t="s">
        <v>548</v>
      </c>
      <c r="D11" s="10">
        <f>'1.05 RateSwitch'!G47</f>
        <v>-331974.52429199993</v>
      </c>
      <c r="E11" s="10">
        <v>0</v>
      </c>
      <c r="F11" s="10">
        <v>0</v>
      </c>
      <c r="G11" s="28">
        <f t="shared" si="0"/>
        <v>-331974.52429199993</v>
      </c>
    </row>
    <row r="12" spans="1:7">
      <c r="B12" s="27">
        <v>1.06</v>
      </c>
      <c r="C12" s="20" t="s">
        <v>549</v>
      </c>
      <c r="D12" s="10">
        <v>0</v>
      </c>
      <c r="E12" s="10">
        <f>'1.06 DonaAdsDues'!L24</f>
        <v>-145019.64000000001</v>
      </c>
      <c r="F12" s="10">
        <v>0</v>
      </c>
      <c r="G12" s="28">
        <f t="shared" si="0"/>
        <v>145019.64000000001</v>
      </c>
    </row>
    <row r="13" spans="1:7">
      <c r="B13" s="27">
        <v>1.07</v>
      </c>
      <c r="C13" s="20" t="s">
        <v>144</v>
      </c>
      <c r="D13" s="10">
        <v>0</v>
      </c>
      <c r="E13" s="10">
        <f>'1.07 401k'!N32</f>
        <v>-39900.780000000006</v>
      </c>
      <c r="F13" s="10">
        <v>0</v>
      </c>
      <c r="G13" s="28">
        <f t="shared" si="0"/>
        <v>39900.780000000006</v>
      </c>
    </row>
    <row r="14" spans="1:7">
      <c r="B14" s="27">
        <v>1.08</v>
      </c>
      <c r="C14" s="20" t="s">
        <v>145</v>
      </c>
      <c r="D14" s="10">
        <v>0</v>
      </c>
      <c r="E14" s="10">
        <f>'1.08 LifeInsur'!H56</f>
        <v>-5185.9907307109434</v>
      </c>
      <c r="F14" s="10">
        <v>0</v>
      </c>
      <c r="G14" s="28">
        <f t="shared" si="0"/>
        <v>5185.9907307109434</v>
      </c>
    </row>
    <row r="15" spans="1:7">
      <c r="B15" s="27">
        <v>1.0900000000000001</v>
      </c>
      <c r="C15" s="20" t="s">
        <v>146</v>
      </c>
      <c r="D15" s="10">
        <v>0</v>
      </c>
      <c r="E15" s="10">
        <f>'1.09 RC'!D25</f>
        <v>25333.33</v>
      </c>
      <c r="F15" s="10">
        <v>0</v>
      </c>
      <c r="G15" s="28">
        <f t="shared" si="0"/>
        <v>-25333.33</v>
      </c>
    </row>
    <row r="16" spans="1:7">
      <c r="B16" s="35">
        <v>1.1000000000000001</v>
      </c>
      <c r="C16" s="20" t="s">
        <v>147</v>
      </c>
      <c r="D16" s="10">
        <v>0</v>
      </c>
      <c r="E16" s="10">
        <f>'1.10 Interest'!E26</f>
        <v>-43007.449999999968</v>
      </c>
      <c r="F16" s="10">
        <v>0</v>
      </c>
      <c r="G16" s="28">
        <f t="shared" si="0"/>
        <v>43007.449999999968</v>
      </c>
    </row>
    <row r="17" spans="2:7">
      <c r="B17" s="27">
        <v>1.1100000000000001</v>
      </c>
      <c r="C17" s="20" t="s">
        <v>148</v>
      </c>
      <c r="D17" s="10">
        <f>'1.11 YearEndCust'!F49</f>
        <v>187452.57</v>
      </c>
      <c r="E17" s="10">
        <f>'1.11 YearEndCust'!G49</f>
        <v>151043.23000000001</v>
      </c>
      <c r="F17" s="10">
        <v>0</v>
      </c>
      <c r="G17" s="28">
        <f t="shared" si="0"/>
        <v>36409.339999999997</v>
      </c>
    </row>
    <row r="18" spans="2:7">
      <c r="B18" s="27">
        <v>1.1200000000000001</v>
      </c>
      <c r="C18" s="20" t="s">
        <v>58</v>
      </c>
      <c r="D18" s="10">
        <v>0</v>
      </c>
      <c r="E18" s="10">
        <f>'1.12 Wages'!O122</f>
        <v>320126.84557352634</v>
      </c>
      <c r="F18" s="10">
        <v>0</v>
      </c>
      <c r="G18" s="28">
        <f t="shared" si="0"/>
        <v>-320126.84557352634</v>
      </c>
    </row>
    <row r="19" spans="2:7">
      <c r="B19" s="27">
        <v>1.1299999999999999</v>
      </c>
      <c r="C19" s="20" t="s">
        <v>55</v>
      </c>
      <c r="D19" s="10">
        <v>0</v>
      </c>
      <c r="E19" s="10">
        <v>0</v>
      </c>
      <c r="F19" s="10">
        <f>'1.13 NonOper'!F23</f>
        <v>-41846.26</v>
      </c>
      <c r="G19" s="28">
        <f t="shared" si="0"/>
        <v>-41846.26</v>
      </c>
    </row>
    <row r="20" spans="2:7">
      <c r="B20" s="27">
        <v>1.1399999999999999</v>
      </c>
      <c r="C20" s="20" t="s">
        <v>462</v>
      </c>
      <c r="D20" s="10">
        <v>0</v>
      </c>
      <c r="E20" s="10">
        <f>'1.14 Depr'!J52</f>
        <v>51518.91117542181</v>
      </c>
      <c r="F20" s="10">
        <v>0</v>
      </c>
      <c r="G20" s="28">
        <f t="shared" si="0"/>
        <v>-51518.91117542181</v>
      </c>
    </row>
    <row r="21" spans="2:7">
      <c r="B21" s="27">
        <v>1.1499999999999999</v>
      </c>
      <c r="C21" s="62" t="s">
        <v>484</v>
      </c>
      <c r="D21" s="10">
        <v>0</v>
      </c>
      <c r="E21" s="10">
        <f>'1.15 BOD'!J27</f>
        <v>-16213.779999999999</v>
      </c>
      <c r="F21" s="10">
        <v>0</v>
      </c>
      <c r="G21" s="28">
        <f t="shared" si="0"/>
        <v>16213.779999999999</v>
      </c>
    </row>
    <row r="22" spans="2:7">
      <c r="B22" s="27">
        <v>1.1599999999999999</v>
      </c>
      <c r="C22" s="20" t="s">
        <v>646</v>
      </c>
      <c r="D22" s="10">
        <v>0</v>
      </c>
      <c r="E22" s="10">
        <f>'1.16 Health'!H21</f>
        <v>-20742.788376509943</v>
      </c>
      <c r="F22" s="10">
        <v>0</v>
      </c>
      <c r="G22" s="28">
        <f t="shared" si="0"/>
        <v>20742.788376509943</v>
      </c>
    </row>
    <row r="23" spans="2:7">
      <c r="B23" s="27">
        <v>1.17</v>
      </c>
      <c r="C23" s="20" t="s">
        <v>639</v>
      </c>
      <c r="D23" s="10">
        <v>0</v>
      </c>
      <c r="E23" s="10">
        <v>0</v>
      </c>
      <c r="F23" s="10">
        <v>0</v>
      </c>
      <c r="G23" s="28">
        <f t="shared" si="0"/>
        <v>0</v>
      </c>
    </row>
    <row r="24" spans="2:7">
      <c r="B24" s="27">
        <v>1.18</v>
      </c>
      <c r="C24" s="20" t="s">
        <v>639</v>
      </c>
      <c r="D24" s="10">
        <v>0</v>
      </c>
      <c r="E24" s="10">
        <v>0</v>
      </c>
      <c r="F24" s="10">
        <v>0</v>
      </c>
      <c r="G24" s="28">
        <f t="shared" si="0"/>
        <v>0</v>
      </c>
    </row>
    <row r="25" spans="2:7" s="32" customFormat="1" ht="21.75" customHeight="1" thickBot="1">
      <c r="B25" s="29"/>
      <c r="C25" s="30" t="s">
        <v>57</v>
      </c>
      <c r="D25" s="31">
        <f t="shared" ref="D25:F25" si="1">SUM(D7:D24)</f>
        <v>-4728533.384291999</v>
      </c>
      <c r="E25" s="31">
        <f t="shared" si="1"/>
        <v>-4591797.3923582733</v>
      </c>
      <c r="F25" s="31">
        <f t="shared" si="1"/>
        <v>-41846.26</v>
      </c>
      <c r="G25" s="31">
        <f>SUM(G7:G24)</f>
        <v>-178582.2519337268</v>
      </c>
    </row>
    <row r="26" spans="2:7" ht="13.5" thickTop="1">
      <c r="D26" s="33"/>
      <c r="E26" s="33"/>
      <c r="F26" s="33"/>
      <c r="G26" s="28"/>
    </row>
    <row r="27" spans="2:7">
      <c r="D27" s="28"/>
      <c r="E27" s="28"/>
      <c r="F27" s="28"/>
      <c r="G27" s="28"/>
    </row>
    <row r="28" spans="2:7">
      <c r="D28" s="28"/>
      <c r="E28" s="28"/>
      <c r="F28" s="28"/>
      <c r="G28" s="28"/>
    </row>
    <row r="29" spans="2:7">
      <c r="C29" s="282" t="s">
        <v>572</v>
      </c>
      <c r="D29" s="274"/>
      <c r="E29" s="275"/>
      <c r="F29" s="274"/>
      <c r="G29" s="274"/>
    </row>
    <row r="30" spans="2:7">
      <c r="C30" s="274" t="s">
        <v>573</v>
      </c>
      <c r="D30" s="275">
        <f>D25</f>
        <v>-4728533.384291999</v>
      </c>
      <c r="E30" s="275">
        <f t="shared" ref="E30:G30" si="2">E25</f>
        <v>-4591797.3923582733</v>
      </c>
      <c r="F30" s="275">
        <f t="shared" si="2"/>
        <v>-41846.26</v>
      </c>
      <c r="G30" s="275">
        <f t="shared" si="2"/>
        <v>-178582.2519337268</v>
      </c>
    </row>
    <row r="31" spans="2:7">
      <c r="C31" s="274" t="s">
        <v>574</v>
      </c>
      <c r="D31" s="275">
        <f>RevReq!D11</f>
        <v>-4728533.384291999</v>
      </c>
      <c r="E31" s="275">
        <f>RevReq!D21+RevReq!D23+RevReq!D24+RevReq!D25+RevReq!D26+RevReq!D27</f>
        <v>-4591797.3923582733</v>
      </c>
      <c r="F31" s="275">
        <f>RevReq!D33+RevReq!D34+RevReq!D35+RevReq!D36+RevReq!D37</f>
        <v>-41846.26</v>
      </c>
      <c r="G31" s="275">
        <f>RevReq!D39</f>
        <v>-178582.25193372578</v>
      </c>
    </row>
    <row r="32" spans="2:7">
      <c r="C32" s="274" t="s">
        <v>575</v>
      </c>
      <c r="D32" s="275">
        <f>'Adj IS'!S11</f>
        <v>-4728533.384291999</v>
      </c>
      <c r="E32" s="275">
        <f>'Adj IS'!S23+'Adj IS'!S25+'Adj IS'!S26+'Adj IS'!S27+'Adj IS'!S28+'Adj IS'!S29</f>
        <v>-4591797.3923582742</v>
      </c>
      <c r="F32" s="275">
        <f>'Adj IS'!S38</f>
        <v>-41846.26</v>
      </c>
      <c r="G32" s="275">
        <f>'Adj IS'!S40</f>
        <v>-178582.2519337268</v>
      </c>
    </row>
    <row r="33" spans="3:7">
      <c r="C33" s="274"/>
      <c r="D33" s="274"/>
      <c r="E33" s="274"/>
      <c r="F33" s="274"/>
      <c r="G33" s="274"/>
    </row>
    <row r="34" spans="3:7">
      <c r="C34" s="274" t="s">
        <v>152</v>
      </c>
      <c r="D34" s="277">
        <f>D30-D31</f>
        <v>0</v>
      </c>
      <c r="E34" s="276">
        <f t="shared" ref="E34:G34" si="3">E30-E31</f>
        <v>0</v>
      </c>
      <c r="F34" s="276">
        <f t="shared" si="3"/>
        <v>0</v>
      </c>
      <c r="G34" s="278">
        <f t="shared" si="3"/>
        <v>-1.0186340659856796E-9</v>
      </c>
    </row>
    <row r="35" spans="3:7">
      <c r="C35" s="274" t="s">
        <v>152</v>
      </c>
      <c r="D35" s="279">
        <f>D30-D32</f>
        <v>0</v>
      </c>
      <c r="E35" s="280">
        <f t="shared" ref="E35:G35" si="4">E30-E32</f>
        <v>0</v>
      </c>
      <c r="F35" s="280">
        <f t="shared" si="4"/>
        <v>0</v>
      </c>
      <c r="G35" s="281">
        <f t="shared" si="4"/>
        <v>0</v>
      </c>
    </row>
    <row r="43" spans="3:7">
      <c r="F43" s="51"/>
    </row>
    <row r="45" spans="3:7">
      <c r="D45" s="51"/>
      <c r="E45" s="51"/>
      <c r="F45" s="51"/>
    </row>
    <row r="46" spans="3:7">
      <c r="D46" s="51"/>
      <c r="E46" s="51"/>
      <c r="F46" s="51"/>
    </row>
  </sheetData>
  <mergeCells count="2">
    <mergeCell ref="A1:G1"/>
    <mergeCell ref="A2:G2"/>
  </mergeCells>
  <printOptions horizontalCentered="1"/>
  <pageMargins left="0.7" right="0.7" top="0.75" bottom="0.75" header="0.3" footer="0.3"/>
  <pageSetup orientation="landscape" r:id="rId1"/>
  <headerFooter>
    <oddFooter>&amp;RExhibit JW-2
Page &amp;P of 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zoomScaleNormal="100" workbookViewId="0">
      <selection activeCell="C20" sqref="C20"/>
    </sheetView>
  </sheetViews>
  <sheetFormatPr defaultRowHeight="12.75"/>
  <cols>
    <col min="1" max="1" width="4" style="20" customWidth="1"/>
    <col min="2" max="2" width="48" style="20" customWidth="1"/>
    <col min="3" max="3" width="11.28515625" style="20" bestFit="1" customWidth="1"/>
    <col min="4" max="4" width="12.28515625" style="20" bestFit="1" customWidth="1"/>
    <col min="5" max="5" width="13.28515625" style="20" customWidth="1"/>
    <col min="6" max="6" width="9" style="20" bestFit="1" customWidth="1"/>
    <col min="7" max="7" width="12.28515625" style="20" bestFit="1" customWidth="1"/>
    <col min="8" max="8" width="15" style="20" customWidth="1"/>
    <col min="9" max="12" width="18.140625" style="20" customWidth="1"/>
    <col min="13" max="13" width="10.5703125" style="20" bestFit="1" customWidth="1"/>
    <col min="14" max="16384" width="9.140625" style="20"/>
  </cols>
  <sheetData>
    <row r="1" spans="1:15" ht="15" customHeight="1">
      <c r="E1" s="36"/>
      <c r="F1" s="36"/>
      <c r="G1" s="36"/>
      <c r="H1" s="36" t="s">
        <v>647</v>
      </c>
    </row>
    <row r="2" spans="1:15" ht="10.5" customHeight="1">
      <c r="G2" s="36"/>
      <c r="H2" s="36"/>
    </row>
    <row r="3" spans="1:15">
      <c r="G3" s="36"/>
      <c r="H3" s="36"/>
    </row>
    <row r="4" spans="1:15">
      <c r="B4" s="402" t="s">
        <v>0</v>
      </c>
      <c r="C4" s="402"/>
      <c r="D4" s="402"/>
      <c r="E4" s="402"/>
      <c r="F4" s="402"/>
      <c r="G4" s="402"/>
      <c r="H4" s="402"/>
      <c r="I4" s="322"/>
      <c r="J4" s="322"/>
      <c r="K4" s="322"/>
      <c r="L4" s="322"/>
      <c r="M4" s="322"/>
      <c r="N4" s="322"/>
      <c r="O4" s="322"/>
    </row>
    <row r="5" spans="1:15">
      <c r="B5" s="402" t="s">
        <v>2</v>
      </c>
      <c r="C5" s="402"/>
      <c r="D5" s="402"/>
      <c r="E5" s="402"/>
      <c r="F5" s="402"/>
      <c r="G5" s="402"/>
      <c r="H5" s="402"/>
      <c r="I5" s="322"/>
      <c r="J5" s="322"/>
      <c r="K5" s="322"/>
      <c r="L5" s="322"/>
    </row>
    <row r="7" spans="1:15" s="37" customFormat="1" ht="15" customHeight="1">
      <c r="B7" s="403" t="s">
        <v>646</v>
      </c>
      <c r="C7" s="403"/>
      <c r="D7" s="403"/>
      <c r="E7" s="403"/>
      <c r="F7" s="403"/>
      <c r="G7" s="403"/>
      <c r="H7" s="403"/>
      <c r="I7" s="323"/>
      <c r="J7" s="323"/>
      <c r="K7" s="323"/>
      <c r="L7" s="323"/>
    </row>
    <row r="10" spans="1:15">
      <c r="H10" s="338"/>
      <c r="I10" s="338"/>
      <c r="J10" s="338"/>
      <c r="K10" s="338"/>
      <c r="L10" s="338"/>
      <c r="M10" s="48"/>
    </row>
    <row r="11" spans="1:15">
      <c r="C11" s="398" t="s">
        <v>648</v>
      </c>
      <c r="D11" s="422" t="s">
        <v>649</v>
      </c>
      <c r="E11" s="422" t="s">
        <v>650</v>
      </c>
      <c r="F11" s="422" t="s">
        <v>651</v>
      </c>
      <c r="G11" s="422" t="s">
        <v>652</v>
      </c>
      <c r="H11" s="422" t="s">
        <v>653</v>
      </c>
      <c r="I11" s="342"/>
      <c r="J11" s="342"/>
      <c r="K11" s="342"/>
      <c r="L11" s="342"/>
      <c r="M11" s="48"/>
    </row>
    <row r="12" spans="1:15">
      <c r="H12" s="342" t="s">
        <v>666</v>
      </c>
      <c r="I12" s="345"/>
      <c r="J12" s="345"/>
      <c r="K12" s="345"/>
      <c r="L12" s="345"/>
      <c r="M12" s="345"/>
    </row>
    <row r="13" spans="1:15" ht="30" customHeight="1">
      <c r="A13" s="423" t="s">
        <v>11</v>
      </c>
      <c r="B13" s="423" t="s">
        <v>662</v>
      </c>
      <c r="C13" s="423" t="s">
        <v>654</v>
      </c>
      <c r="D13" s="424" t="s">
        <v>655</v>
      </c>
      <c r="E13" s="424" t="s">
        <v>656</v>
      </c>
      <c r="F13" s="424" t="s">
        <v>657</v>
      </c>
      <c r="G13" s="424" t="s">
        <v>658</v>
      </c>
      <c r="H13" s="424" t="s">
        <v>196</v>
      </c>
      <c r="I13" s="345"/>
      <c r="J13" s="345"/>
      <c r="K13" s="345"/>
      <c r="L13" s="345"/>
      <c r="M13" s="48"/>
    </row>
    <row r="14" spans="1:15">
      <c r="A14" s="336">
        <v>1</v>
      </c>
      <c r="B14" s="336" t="s">
        <v>659</v>
      </c>
      <c r="C14" s="41">
        <v>22013</v>
      </c>
      <c r="D14" s="430">
        <v>413531.2</v>
      </c>
      <c r="E14" s="431">
        <f>C14+D14</f>
        <v>435544.2</v>
      </c>
      <c r="F14" s="425">
        <v>0.12</v>
      </c>
      <c r="G14" s="431">
        <f>F14*E14</f>
        <v>52265.303999999996</v>
      </c>
      <c r="H14" s="434">
        <f>C14-G14</f>
        <v>-30252.303999999996</v>
      </c>
      <c r="I14" s="345"/>
      <c r="J14" s="345"/>
      <c r="K14" s="345"/>
      <c r="L14" s="345"/>
      <c r="M14" s="48"/>
    </row>
    <row r="15" spans="1:15">
      <c r="A15" s="336">
        <f>A14+1</f>
        <v>2</v>
      </c>
      <c r="B15" s="336" t="s">
        <v>660</v>
      </c>
      <c r="C15" s="432">
        <v>39971</v>
      </c>
      <c r="D15" s="430">
        <v>362500.8</v>
      </c>
      <c r="E15" s="431">
        <f>C15+D15</f>
        <v>402471.8</v>
      </c>
      <c r="F15" s="425">
        <v>0.12</v>
      </c>
      <c r="G15" s="431">
        <f>F15*E15</f>
        <v>48296.615999999995</v>
      </c>
      <c r="H15" s="434">
        <f>C15-G15</f>
        <v>-8325.6159999999945</v>
      </c>
      <c r="I15" s="345"/>
      <c r="J15" s="345"/>
      <c r="K15" s="345"/>
      <c r="L15" s="345"/>
      <c r="M15" s="48"/>
    </row>
    <row r="16" spans="1:15">
      <c r="A16" s="336">
        <f t="shared" ref="A16:A21" si="0">A15+1</f>
        <v>3</v>
      </c>
      <c r="B16" s="45" t="s">
        <v>155</v>
      </c>
      <c r="C16" s="433">
        <f>SUM(C14:C15)</f>
        <v>61984</v>
      </c>
      <c r="D16" s="433">
        <f t="shared" ref="D16:H16" si="1">SUM(D14:D15)</f>
        <v>776032</v>
      </c>
      <c r="E16" s="433">
        <f t="shared" si="1"/>
        <v>838016</v>
      </c>
      <c r="F16" s="429"/>
      <c r="G16" s="433">
        <f t="shared" si="1"/>
        <v>100561.91999999998</v>
      </c>
      <c r="H16" s="433">
        <f t="shared" si="1"/>
        <v>-38577.919999999991</v>
      </c>
      <c r="I16" s="345"/>
      <c r="J16" s="345"/>
      <c r="K16" s="345"/>
      <c r="L16" s="345"/>
      <c r="M16" s="48"/>
    </row>
    <row r="17" spans="1:21">
      <c r="A17" s="336">
        <f t="shared" si="0"/>
        <v>4</v>
      </c>
      <c r="G17" s="61"/>
      <c r="H17" s="435"/>
      <c r="I17" s="345"/>
      <c r="J17" s="345"/>
      <c r="K17" s="345"/>
      <c r="L17" s="345"/>
      <c r="M17" s="48"/>
    </row>
    <row r="18" spans="1:21">
      <c r="A18" s="336">
        <f t="shared" si="0"/>
        <v>5</v>
      </c>
      <c r="B18" s="20" t="s">
        <v>663</v>
      </c>
      <c r="F18" s="427">
        <f>'1.12 Wages'!M122</f>
        <v>0.53768550446758012</v>
      </c>
      <c r="G18" s="61"/>
      <c r="H18" s="434">
        <f>F18*H16</f>
        <v>-20742.788376509943</v>
      </c>
      <c r="I18" s="345"/>
      <c r="J18" s="345"/>
      <c r="K18" s="345"/>
      <c r="L18" s="345"/>
      <c r="M18" s="48"/>
    </row>
    <row r="19" spans="1:21">
      <c r="A19" s="336">
        <f t="shared" si="0"/>
        <v>6</v>
      </c>
      <c r="B19" s="20" t="s">
        <v>664</v>
      </c>
      <c r="F19" s="427">
        <f>'1.12 Wages'!M124</f>
        <v>0.46231449553241988</v>
      </c>
      <c r="G19" s="61"/>
      <c r="H19" s="434">
        <f>F19*H16</f>
        <v>-17835.131623490048</v>
      </c>
      <c r="I19" s="345"/>
      <c r="J19" s="345"/>
      <c r="K19" s="345"/>
      <c r="L19" s="345"/>
      <c r="M19" s="48"/>
    </row>
    <row r="20" spans="1:21">
      <c r="A20" s="336">
        <f t="shared" si="0"/>
        <v>7</v>
      </c>
      <c r="F20" s="428">
        <f>SUM(F18:F19)</f>
        <v>1</v>
      </c>
      <c r="G20" s="61"/>
      <c r="H20" s="434"/>
      <c r="I20" s="345"/>
      <c r="J20" s="345"/>
      <c r="K20" s="345"/>
      <c r="L20" s="345"/>
      <c r="M20" s="48"/>
    </row>
    <row r="21" spans="1:21">
      <c r="A21" s="336">
        <f t="shared" si="0"/>
        <v>8</v>
      </c>
      <c r="B21" s="20" t="s">
        <v>665</v>
      </c>
      <c r="G21" s="61"/>
      <c r="H21" s="436">
        <f>H18</f>
        <v>-20742.788376509943</v>
      </c>
      <c r="I21" s="345"/>
      <c r="J21" s="345"/>
      <c r="K21" s="345"/>
      <c r="L21" s="345"/>
      <c r="M21" s="48"/>
    </row>
    <row r="22" spans="1:21">
      <c r="H22" s="426"/>
      <c r="I22" s="345"/>
      <c r="J22" s="345"/>
      <c r="K22" s="345"/>
      <c r="L22" s="345"/>
      <c r="M22" s="48"/>
    </row>
    <row r="23" spans="1:21">
      <c r="H23" s="426"/>
      <c r="I23" s="345"/>
      <c r="J23" s="345"/>
      <c r="K23" s="345"/>
      <c r="L23" s="345"/>
      <c r="M23" s="48"/>
    </row>
    <row r="24" spans="1:21" ht="12.75" customHeight="1">
      <c r="B24" s="409" t="s">
        <v>661</v>
      </c>
      <c r="C24" s="409"/>
      <c r="D24" s="409"/>
      <c r="E24" s="409"/>
      <c r="F24" s="409"/>
      <c r="G24" s="409"/>
      <c r="H24" s="409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</row>
    <row r="26" spans="1:21" ht="81.75" customHeight="1">
      <c r="B26" s="404" t="s">
        <v>667</v>
      </c>
      <c r="C26" s="404"/>
      <c r="D26" s="404"/>
      <c r="E26" s="404"/>
      <c r="F26" s="404"/>
      <c r="G26" s="404"/>
      <c r="H26" s="404"/>
      <c r="I26" s="421"/>
      <c r="J26" s="421"/>
      <c r="K26" s="421"/>
      <c r="L26" s="421"/>
    </row>
  </sheetData>
  <mergeCells count="5">
    <mergeCell ref="B4:H4"/>
    <mergeCell ref="B5:H5"/>
    <mergeCell ref="B7:H7"/>
    <mergeCell ref="B26:H26"/>
    <mergeCell ref="B24:H24"/>
  </mergeCells>
  <printOptions horizontalCentered="1"/>
  <pageMargins left="0.7" right="0.7" top="0.75" bottom="0.75" header="0.3" footer="0.3"/>
  <pageSetup orientation="landscape" r:id="rId1"/>
  <headerFooter>
    <oddFooter>&amp;RExhibit JW-2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zoomScale="75" zoomScaleNormal="75" workbookViewId="0">
      <selection activeCell="F16" sqref="F16"/>
    </sheetView>
  </sheetViews>
  <sheetFormatPr defaultRowHeight="14.25"/>
  <cols>
    <col min="1" max="1" width="9.140625" style="284"/>
    <col min="2" max="2" width="1.5703125" style="284" customWidth="1"/>
    <col min="3" max="3" width="38.42578125" style="252" bestFit="1" customWidth="1"/>
    <col min="4" max="4" width="15.5703125" style="306" bestFit="1" customWidth="1"/>
    <col min="5" max="5" width="17" style="307" customWidth="1"/>
    <col min="6" max="6" width="19.7109375" style="252" customWidth="1"/>
    <col min="7" max="7" width="4.5703125" style="252" customWidth="1"/>
    <col min="8" max="8" width="13.42578125" style="252" bestFit="1" customWidth="1"/>
    <col min="9" max="9" width="5.85546875" style="252" customWidth="1"/>
    <col min="10" max="16384" width="9.140625" style="252"/>
  </cols>
  <sheetData>
    <row r="1" spans="1:7" ht="15">
      <c r="A1" s="69" t="s">
        <v>0</v>
      </c>
      <c r="B1" s="232"/>
      <c r="C1" s="232"/>
      <c r="D1" s="232"/>
      <c r="E1" s="232"/>
      <c r="F1" s="232"/>
      <c r="G1" s="69"/>
    </row>
    <row r="2" spans="1:7" ht="15">
      <c r="A2" s="69" t="s">
        <v>486</v>
      </c>
      <c r="B2" s="232"/>
      <c r="C2" s="232"/>
      <c r="D2" s="232"/>
      <c r="E2" s="232"/>
      <c r="F2" s="232"/>
      <c r="G2" s="69"/>
    </row>
    <row r="3" spans="1:7">
      <c r="A3" s="69"/>
      <c r="B3" s="69"/>
      <c r="C3" s="69"/>
      <c r="D3" s="246"/>
      <c r="E3" s="212"/>
      <c r="F3" s="69"/>
      <c r="G3" s="69"/>
    </row>
    <row r="4" spans="1:7">
      <c r="A4" s="5"/>
      <c r="B4" s="5"/>
      <c r="C4" s="2"/>
      <c r="D4" s="247"/>
      <c r="E4" s="213"/>
      <c r="F4" s="1"/>
      <c r="G4" s="4"/>
    </row>
    <row r="5" spans="1:7">
      <c r="A5" s="1" t="s">
        <v>7</v>
      </c>
      <c r="B5" s="1"/>
      <c r="C5" s="1" t="s">
        <v>8</v>
      </c>
      <c r="D5" s="247" t="s">
        <v>9</v>
      </c>
      <c r="E5" s="213" t="s">
        <v>487</v>
      </c>
      <c r="F5" s="1" t="s">
        <v>488</v>
      </c>
      <c r="G5" s="4"/>
    </row>
    <row r="6" spans="1:7" s="283" customFormat="1" ht="15">
      <c r="A6" s="6" t="s">
        <v>11</v>
      </c>
      <c r="B6" s="6"/>
      <c r="C6" s="7">
        <v>1</v>
      </c>
      <c r="D6" s="7">
        <f>C6+1</f>
        <v>2</v>
      </c>
      <c r="E6" s="7">
        <f>D6+1</f>
        <v>3</v>
      </c>
      <c r="F6" s="7" t="s">
        <v>12</v>
      </c>
    </row>
    <row r="7" spans="1:7">
      <c r="A7" s="5">
        <v>1</v>
      </c>
      <c r="B7" s="214" t="s">
        <v>489</v>
      </c>
      <c r="C7" s="2"/>
      <c r="D7" s="103"/>
      <c r="E7" s="9"/>
      <c r="F7" s="2"/>
    </row>
    <row r="8" spans="1:7">
      <c r="A8" s="5">
        <f>A7+1</f>
        <v>2</v>
      </c>
      <c r="B8" s="5"/>
      <c r="C8" s="2" t="s">
        <v>490</v>
      </c>
      <c r="D8" s="215">
        <v>159055260</v>
      </c>
      <c r="E8" s="215">
        <v>0</v>
      </c>
      <c r="F8" s="215">
        <f>D8+E8</f>
        <v>159055260</v>
      </c>
    </row>
    <row r="9" spans="1:7">
      <c r="A9" s="5">
        <f t="shared" ref="A9:A64" si="0">A8+1</f>
        <v>3</v>
      </c>
      <c r="B9" s="5"/>
      <c r="C9" s="2" t="s">
        <v>491</v>
      </c>
      <c r="D9" s="215">
        <v>1671256</v>
      </c>
      <c r="E9" s="215">
        <v>0</v>
      </c>
      <c r="F9" s="215">
        <f>D9+E9</f>
        <v>1671256</v>
      </c>
    </row>
    <row r="10" spans="1:7">
      <c r="A10" s="5">
        <f t="shared" si="0"/>
        <v>4</v>
      </c>
      <c r="B10" s="5"/>
      <c r="C10" s="2" t="s">
        <v>492</v>
      </c>
      <c r="D10" s="215">
        <f>D8+D9</f>
        <v>160726516</v>
      </c>
      <c r="E10" s="215">
        <v>0</v>
      </c>
      <c r="F10" s="215">
        <f>D10+E10</f>
        <v>160726516</v>
      </c>
    </row>
    <row r="11" spans="1:7">
      <c r="A11" s="5">
        <f t="shared" si="0"/>
        <v>5</v>
      </c>
      <c r="B11" s="5"/>
      <c r="C11" s="2" t="s">
        <v>493</v>
      </c>
      <c r="D11" s="215">
        <v>-66201524</v>
      </c>
      <c r="E11" s="215">
        <v>0</v>
      </c>
      <c r="F11" s="215">
        <f>D11+E11</f>
        <v>-66201524</v>
      </c>
    </row>
    <row r="12" spans="1:7">
      <c r="A12" s="5">
        <f t="shared" si="0"/>
        <v>6</v>
      </c>
      <c r="B12" s="5"/>
      <c r="C12" s="11" t="s">
        <v>494</v>
      </c>
      <c r="D12" s="216">
        <f>SUM(D10:D11)</f>
        <v>94524992</v>
      </c>
      <c r="E12" s="216">
        <f t="shared" ref="E12:F12" si="1">SUM(E10:E11)</f>
        <v>0</v>
      </c>
      <c r="F12" s="216">
        <f t="shared" si="1"/>
        <v>94524992</v>
      </c>
    </row>
    <row r="13" spans="1:7">
      <c r="A13" s="5">
        <f t="shared" si="0"/>
        <v>7</v>
      </c>
      <c r="B13" s="5"/>
      <c r="C13" s="2"/>
      <c r="D13" s="215"/>
      <c r="E13" s="215"/>
      <c r="F13" s="215"/>
    </row>
    <row r="14" spans="1:7">
      <c r="A14" s="5">
        <f t="shared" si="0"/>
        <v>8</v>
      </c>
      <c r="B14" s="5"/>
      <c r="C14" s="2" t="s">
        <v>495</v>
      </c>
      <c r="D14" s="215">
        <v>1685964</v>
      </c>
      <c r="E14" s="215">
        <v>0</v>
      </c>
      <c r="F14" s="215">
        <f>D14+E14</f>
        <v>1685964</v>
      </c>
    </row>
    <row r="15" spans="1:7">
      <c r="A15" s="5">
        <f t="shared" si="0"/>
        <v>9</v>
      </c>
      <c r="B15" s="5"/>
      <c r="C15" s="2" t="s">
        <v>496</v>
      </c>
      <c r="D15" s="215">
        <v>0</v>
      </c>
      <c r="E15" s="215">
        <v>0</v>
      </c>
      <c r="F15" s="215">
        <f>D15+E15</f>
        <v>0</v>
      </c>
    </row>
    <row r="16" spans="1:7">
      <c r="A16" s="5">
        <f t="shared" si="0"/>
        <v>10</v>
      </c>
      <c r="B16" s="5"/>
      <c r="C16" s="2" t="s">
        <v>497</v>
      </c>
      <c r="D16" s="215">
        <v>1752880</v>
      </c>
      <c r="E16" s="215">
        <v>0</v>
      </c>
      <c r="F16" s="215">
        <f>D16+E16</f>
        <v>1752880</v>
      </c>
    </row>
    <row r="17" spans="1:6">
      <c r="A17" s="5">
        <f t="shared" si="0"/>
        <v>11</v>
      </c>
      <c r="B17" s="5"/>
      <c r="C17" s="2" t="s">
        <v>498</v>
      </c>
      <c r="D17" s="215">
        <v>0</v>
      </c>
      <c r="E17" s="215">
        <v>0</v>
      </c>
      <c r="F17" s="215">
        <f>D17+E17</f>
        <v>0</v>
      </c>
    </row>
    <row r="18" spans="1:6">
      <c r="A18" s="5">
        <f t="shared" si="0"/>
        <v>12</v>
      </c>
      <c r="B18" s="5"/>
      <c r="C18" s="11" t="s">
        <v>499</v>
      </c>
      <c r="D18" s="216">
        <f>SUM(D14:D17)</f>
        <v>3438844</v>
      </c>
      <c r="E18" s="216">
        <f t="shared" ref="E18:F18" si="2">SUM(E14:E17)</f>
        <v>0</v>
      </c>
      <c r="F18" s="216">
        <f t="shared" si="2"/>
        <v>3438844</v>
      </c>
    </row>
    <row r="19" spans="1:6">
      <c r="A19" s="5">
        <f t="shared" si="0"/>
        <v>13</v>
      </c>
      <c r="B19" s="5"/>
      <c r="C19" s="2"/>
      <c r="D19" s="215"/>
      <c r="E19" s="215"/>
      <c r="F19" s="215"/>
    </row>
    <row r="20" spans="1:6">
      <c r="A20" s="5">
        <f t="shared" si="0"/>
        <v>14</v>
      </c>
      <c r="B20" s="5"/>
      <c r="C20" s="2" t="s">
        <v>500</v>
      </c>
      <c r="D20" s="215">
        <v>2009182</v>
      </c>
      <c r="E20" s="215">
        <v>0</v>
      </c>
      <c r="F20" s="215">
        <f t="shared" ref="F20:F29" si="3">D20+E20</f>
        <v>2009182</v>
      </c>
    </row>
    <row r="21" spans="1:6">
      <c r="A21" s="5">
        <f t="shared" si="0"/>
        <v>15</v>
      </c>
      <c r="B21" s="5"/>
      <c r="C21" s="2" t="s">
        <v>501</v>
      </c>
      <c r="D21" s="215">
        <v>0</v>
      </c>
      <c r="E21" s="215">
        <v>0</v>
      </c>
      <c r="F21" s="215">
        <f t="shared" si="3"/>
        <v>0</v>
      </c>
    </row>
    <row r="22" spans="1:6">
      <c r="A22" s="5">
        <f t="shared" si="0"/>
        <v>16</v>
      </c>
      <c r="B22" s="5"/>
      <c r="C22" s="2" t="s">
        <v>502</v>
      </c>
      <c r="D22" s="215">
        <v>0</v>
      </c>
      <c r="E22" s="215">
        <v>0</v>
      </c>
      <c r="F22" s="215">
        <f t="shared" si="3"/>
        <v>0</v>
      </c>
    </row>
    <row r="23" spans="1:6">
      <c r="A23" s="5">
        <f t="shared" si="0"/>
        <v>17</v>
      </c>
      <c r="B23" s="5"/>
      <c r="C23" s="2" t="s">
        <v>503</v>
      </c>
      <c r="D23" s="215">
        <v>0</v>
      </c>
      <c r="E23" s="215">
        <v>0</v>
      </c>
      <c r="F23" s="215">
        <f t="shared" si="3"/>
        <v>0</v>
      </c>
    </row>
    <row r="24" spans="1:6">
      <c r="A24" s="5">
        <f t="shared" si="0"/>
        <v>18</v>
      </c>
      <c r="B24" s="5"/>
      <c r="C24" s="2" t="s">
        <v>504</v>
      </c>
      <c r="D24" s="215">
        <v>4649049</v>
      </c>
      <c r="E24" s="215">
        <v>0</v>
      </c>
      <c r="F24" s="215">
        <f t="shared" si="3"/>
        <v>4649049</v>
      </c>
    </row>
    <row r="25" spans="1:6">
      <c r="A25" s="5">
        <f t="shared" si="0"/>
        <v>19</v>
      </c>
      <c r="B25" s="5"/>
      <c r="C25" s="2" t="s">
        <v>505</v>
      </c>
      <c r="D25" s="215">
        <v>484840</v>
      </c>
      <c r="E25" s="215">
        <v>0</v>
      </c>
      <c r="F25" s="215">
        <f t="shared" si="3"/>
        <v>484840</v>
      </c>
    </row>
    <row r="26" spans="1:6">
      <c r="A26" s="5">
        <f t="shared" si="0"/>
        <v>20</v>
      </c>
      <c r="B26" s="5"/>
      <c r="C26" s="2" t="s">
        <v>506</v>
      </c>
      <c r="D26" s="217">
        <v>0</v>
      </c>
      <c r="E26" s="215">
        <v>0</v>
      </c>
      <c r="F26" s="215">
        <f t="shared" si="3"/>
        <v>0</v>
      </c>
    </row>
    <row r="27" spans="1:6">
      <c r="A27" s="5">
        <f t="shared" si="0"/>
        <v>21</v>
      </c>
      <c r="B27" s="5"/>
      <c r="C27" s="2" t="s">
        <v>507</v>
      </c>
      <c r="D27" s="215">
        <v>2179335</v>
      </c>
      <c r="E27" s="215">
        <v>0</v>
      </c>
      <c r="F27" s="215">
        <f t="shared" si="3"/>
        <v>2179335</v>
      </c>
    </row>
    <row r="28" spans="1:6">
      <c r="A28" s="5">
        <f t="shared" si="0"/>
        <v>22</v>
      </c>
      <c r="B28" s="5"/>
      <c r="C28" s="2" t="s">
        <v>508</v>
      </c>
      <c r="D28" s="215">
        <v>218013</v>
      </c>
      <c r="E28" s="215">
        <v>0</v>
      </c>
      <c r="F28" s="215">
        <f t="shared" si="3"/>
        <v>218013</v>
      </c>
    </row>
    <row r="29" spans="1:6">
      <c r="A29" s="5">
        <f t="shared" si="0"/>
        <v>23</v>
      </c>
      <c r="B29" s="5"/>
      <c r="C29" s="2" t="s">
        <v>509</v>
      </c>
      <c r="D29" s="215">
        <v>4215277</v>
      </c>
      <c r="E29" s="215">
        <v>0</v>
      </c>
      <c r="F29" s="215">
        <f t="shared" si="3"/>
        <v>4215277</v>
      </c>
    </row>
    <row r="30" spans="1:6">
      <c r="A30" s="5">
        <f t="shared" si="0"/>
        <v>24</v>
      </c>
      <c r="B30" s="5"/>
      <c r="C30" s="11" t="s">
        <v>510</v>
      </c>
      <c r="D30" s="216">
        <f>SUM(D20:D29)</f>
        <v>13755696</v>
      </c>
      <c r="E30" s="216">
        <f t="shared" ref="E30:F30" si="4">SUM(E20:E29)</f>
        <v>0</v>
      </c>
      <c r="F30" s="216">
        <f t="shared" si="4"/>
        <v>13755696</v>
      </c>
    </row>
    <row r="31" spans="1:6">
      <c r="A31" s="5">
        <f t="shared" si="0"/>
        <v>25</v>
      </c>
      <c r="B31" s="5"/>
      <c r="C31" s="2"/>
      <c r="D31" s="215"/>
      <c r="E31" s="215"/>
      <c r="F31" s="215"/>
    </row>
    <row r="32" spans="1:6">
      <c r="A32" s="5">
        <f t="shared" si="0"/>
        <v>26</v>
      </c>
      <c r="B32" s="5"/>
      <c r="C32" s="2" t="s">
        <v>511</v>
      </c>
      <c r="D32" s="215">
        <v>0</v>
      </c>
      <c r="E32" s="215">
        <v>0</v>
      </c>
      <c r="F32" s="215">
        <f>D32+E32</f>
        <v>0</v>
      </c>
    </row>
    <row r="33" spans="1:6">
      <c r="A33" s="5">
        <f t="shared" si="0"/>
        <v>27</v>
      </c>
      <c r="B33" s="5"/>
      <c r="C33" s="2" t="s">
        <v>512</v>
      </c>
      <c r="D33" s="215">
        <v>9825</v>
      </c>
      <c r="E33" s="215">
        <v>0</v>
      </c>
      <c r="F33" s="215">
        <f>D33+E33</f>
        <v>9825</v>
      </c>
    </row>
    <row r="34" spans="1:6">
      <c r="A34" s="5">
        <f t="shared" si="0"/>
        <v>28</v>
      </c>
      <c r="B34" s="5"/>
      <c r="C34" s="2"/>
      <c r="D34" s="10"/>
      <c r="E34" s="215"/>
      <c r="F34" s="215"/>
    </row>
    <row r="35" spans="1:6" ht="15" thickBot="1">
      <c r="A35" s="5">
        <f t="shared" si="0"/>
        <v>29</v>
      </c>
      <c r="B35" s="5"/>
      <c r="C35" s="17" t="s">
        <v>513</v>
      </c>
      <c r="D35" s="218">
        <f>D33+D32+D30+D18+D12</f>
        <v>111729357</v>
      </c>
      <c r="E35" s="218">
        <f t="shared" ref="E35:F35" si="5">E33+E32+E30+E18+E12</f>
        <v>0</v>
      </c>
      <c r="F35" s="218">
        <f t="shared" si="5"/>
        <v>111729357</v>
      </c>
    </row>
    <row r="36" spans="1:6" ht="15" thickTop="1">
      <c r="A36" s="5">
        <f t="shared" si="0"/>
        <v>30</v>
      </c>
      <c r="B36" s="5"/>
      <c r="C36" s="219"/>
      <c r="D36" s="220"/>
      <c r="E36" s="215"/>
      <c r="F36" s="215"/>
    </row>
    <row r="37" spans="1:6">
      <c r="A37" s="5">
        <f t="shared" si="0"/>
        <v>31</v>
      </c>
      <c r="B37" s="221" t="s">
        <v>514</v>
      </c>
      <c r="C37" s="2"/>
      <c r="D37" s="215"/>
      <c r="E37" s="215"/>
      <c r="F37" s="215"/>
    </row>
    <row r="38" spans="1:6">
      <c r="A38" s="5">
        <f t="shared" si="0"/>
        <v>32</v>
      </c>
      <c r="B38" s="5"/>
      <c r="C38" s="2" t="s">
        <v>515</v>
      </c>
      <c r="D38" s="215">
        <v>124495</v>
      </c>
      <c r="E38" s="9">
        <v>0</v>
      </c>
      <c r="F38" s="215">
        <f>D38+E38</f>
        <v>124495</v>
      </c>
    </row>
    <row r="39" spans="1:6">
      <c r="A39" s="5">
        <f t="shared" si="0"/>
        <v>33</v>
      </c>
      <c r="B39" s="5"/>
      <c r="C39" s="2" t="s">
        <v>516</v>
      </c>
      <c r="D39" s="215">
        <v>47279439</v>
      </c>
      <c r="E39" s="215">
        <v>0</v>
      </c>
      <c r="F39" s="215">
        <f>D39+E39</f>
        <v>47279439</v>
      </c>
    </row>
    <row r="40" spans="1:6">
      <c r="A40" s="5">
        <f t="shared" si="0"/>
        <v>34</v>
      </c>
      <c r="B40" s="5"/>
      <c r="C40" s="2" t="s">
        <v>517</v>
      </c>
      <c r="D40" s="215">
        <v>220328</v>
      </c>
      <c r="E40" s="215">
        <v>0</v>
      </c>
      <c r="F40" s="215">
        <f>D40+E40</f>
        <v>220328</v>
      </c>
    </row>
    <row r="41" spans="1:6">
      <c r="A41" s="5">
        <f t="shared" si="0"/>
        <v>35</v>
      </c>
      <c r="B41" s="5"/>
      <c r="C41" s="2" t="s">
        <v>518</v>
      </c>
      <c r="D41" s="215">
        <v>695598</v>
      </c>
      <c r="E41" s="215">
        <v>0</v>
      </c>
      <c r="F41" s="215">
        <f>D41+E41</f>
        <v>695598</v>
      </c>
    </row>
    <row r="42" spans="1:6">
      <c r="A42" s="5">
        <f t="shared" si="0"/>
        <v>36</v>
      </c>
      <c r="B42" s="5"/>
      <c r="C42" s="2" t="s">
        <v>519</v>
      </c>
      <c r="D42" s="215">
        <v>-118379</v>
      </c>
      <c r="E42" s="215">
        <v>0</v>
      </c>
      <c r="F42" s="215">
        <f>D42+E42</f>
        <v>-118379</v>
      </c>
    </row>
    <row r="43" spans="1:6">
      <c r="A43" s="5">
        <f t="shared" si="0"/>
        <v>37</v>
      </c>
      <c r="B43" s="5"/>
      <c r="C43" s="11" t="s">
        <v>520</v>
      </c>
      <c r="D43" s="216">
        <f>SUM(D38:D42)</f>
        <v>48201481</v>
      </c>
      <c r="E43" s="216">
        <f t="shared" ref="E43:F43" si="6">SUM(E38:E42)</f>
        <v>0</v>
      </c>
      <c r="F43" s="216">
        <f t="shared" si="6"/>
        <v>48201481</v>
      </c>
    </row>
    <row r="44" spans="1:6">
      <c r="A44" s="5">
        <f t="shared" si="0"/>
        <v>38</v>
      </c>
      <c r="B44" s="5"/>
      <c r="C44" s="2"/>
      <c r="D44" s="215"/>
      <c r="E44" s="215"/>
      <c r="F44" s="215"/>
    </row>
    <row r="45" spans="1:6">
      <c r="A45" s="5">
        <f t="shared" si="0"/>
        <v>39</v>
      </c>
      <c r="B45" s="5"/>
      <c r="C45" s="2" t="s">
        <v>521</v>
      </c>
      <c r="D45" s="220">
        <v>0</v>
      </c>
      <c r="E45" s="215">
        <v>0</v>
      </c>
      <c r="F45" s="215">
        <f t="shared" ref="F45:F50" si="7">D45+E45</f>
        <v>0</v>
      </c>
    </row>
    <row r="46" spans="1:6">
      <c r="A46" s="5">
        <f t="shared" si="0"/>
        <v>40</v>
      </c>
      <c r="B46" s="5"/>
      <c r="C46" s="2" t="s">
        <v>522</v>
      </c>
      <c r="D46" s="220">
        <v>20761550</v>
      </c>
      <c r="E46" s="215">
        <v>0</v>
      </c>
      <c r="F46" s="215">
        <f t="shared" si="7"/>
        <v>20761550</v>
      </c>
    </row>
    <row r="47" spans="1:6">
      <c r="A47" s="5">
        <f t="shared" si="0"/>
        <v>41</v>
      </c>
      <c r="B47" s="5"/>
      <c r="C47" s="2" t="s">
        <v>523</v>
      </c>
      <c r="D47" s="220">
        <v>0</v>
      </c>
      <c r="E47" s="215">
        <v>0</v>
      </c>
      <c r="F47" s="215">
        <f t="shared" si="7"/>
        <v>0</v>
      </c>
    </row>
    <row r="48" spans="1:6">
      <c r="A48" s="5">
        <f t="shared" si="0"/>
        <v>42</v>
      </c>
      <c r="B48" s="5"/>
      <c r="C48" s="2" t="s">
        <v>524</v>
      </c>
      <c r="D48" s="220">
        <v>31568681</v>
      </c>
      <c r="E48" s="215">
        <v>0</v>
      </c>
      <c r="F48" s="215">
        <f t="shared" si="7"/>
        <v>31568681</v>
      </c>
    </row>
    <row r="49" spans="1:6">
      <c r="A49" s="5">
        <f t="shared" si="0"/>
        <v>43</v>
      </c>
      <c r="B49" s="5"/>
      <c r="C49" s="2" t="s">
        <v>525</v>
      </c>
      <c r="D49" s="220">
        <v>0</v>
      </c>
      <c r="E49" s="215">
        <v>0</v>
      </c>
      <c r="F49" s="215">
        <f t="shared" si="7"/>
        <v>0</v>
      </c>
    </row>
    <row r="50" spans="1:6">
      <c r="A50" s="5">
        <f t="shared" si="0"/>
        <v>44</v>
      </c>
      <c r="B50" s="5"/>
      <c r="C50" s="2" t="s">
        <v>562</v>
      </c>
      <c r="D50" s="220">
        <v>-6522595</v>
      </c>
      <c r="E50" s="215">
        <v>0</v>
      </c>
      <c r="F50" s="215">
        <f t="shared" si="7"/>
        <v>-6522595</v>
      </c>
    </row>
    <row r="51" spans="1:6">
      <c r="A51" s="5">
        <f t="shared" si="0"/>
        <v>45</v>
      </c>
      <c r="B51" s="5"/>
      <c r="C51" s="11" t="s">
        <v>526</v>
      </c>
      <c r="D51" s="216">
        <f>SUM(D45:D50)</f>
        <v>45807636</v>
      </c>
      <c r="E51" s="216">
        <f t="shared" ref="E51:F51" si="8">SUM(E45:E50)</f>
        <v>0</v>
      </c>
      <c r="F51" s="216">
        <f t="shared" si="8"/>
        <v>45807636</v>
      </c>
    </row>
    <row r="52" spans="1:6">
      <c r="A52" s="5">
        <f t="shared" si="0"/>
        <v>46</v>
      </c>
      <c r="B52" s="5"/>
      <c r="C52" s="2"/>
      <c r="D52" s="215"/>
      <c r="E52" s="215"/>
      <c r="F52" s="215"/>
    </row>
    <row r="53" spans="1:6">
      <c r="A53" s="5">
        <f t="shared" si="0"/>
        <v>47</v>
      </c>
      <c r="B53" s="5"/>
      <c r="C53" s="219" t="s">
        <v>527</v>
      </c>
      <c r="D53" s="215">
        <v>2547483</v>
      </c>
      <c r="E53" s="215">
        <v>0</v>
      </c>
      <c r="F53" s="215">
        <f>D53+E53</f>
        <v>2547483</v>
      </c>
    </row>
    <row r="54" spans="1:6">
      <c r="A54" s="5">
        <f t="shared" si="0"/>
        <v>48</v>
      </c>
      <c r="B54" s="5"/>
      <c r="C54" s="2"/>
      <c r="D54" s="215"/>
      <c r="E54" s="215"/>
      <c r="F54" s="215"/>
    </row>
    <row r="55" spans="1:6">
      <c r="A55" s="5">
        <f t="shared" si="0"/>
        <v>49</v>
      </c>
      <c r="B55" s="5"/>
      <c r="C55" s="219" t="s">
        <v>528</v>
      </c>
      <c r="D55" s="215">
        <v>1200000</v>
      </c>
      <c r="E55" s="215">
        <v>0</v>
      </c>
      <c r="F55" s="215">
        <f>D55+E55</f>
        <v>1200000</v>
      </c>
    </row>
    <row r="56" spans="1:6">
      <c r="A56" s="5">
        <f t="shared" si="0"/>
        <v>50</v>
      </c>
      <c r="B56" s="5"/>
      <c r="C56" s="219" t="s">
        <v>529</v>
      </c>
      <c r="D56" s="215">
        <v>6272510</v>
      </c>
      <c r="E56" s="215">
        <v>0</v>
      </c>
      <c r="F56" s="215">
        <f>D56+E56</f>
        <v>6272510</v>
      </c>
    </row>
    <row r="57" spans="1:6">
      <c r="A57" s="5">
        <f t="shared" si="0"/>
        <v>51</v>
      </c>
      <c r="B57" s="5"/>
      <c r="C57" s="219" t="s">
        <v>530</v>
      </c>
      <c r="D57" s="215">
        <v>2288656</v>
      </c>
      <c r="E57" s="215">
        <v>0</v>
      </c>
      <c r="F57" s="215">
        <f>D57+E57</f>
        <v>2288656</v>
      </c>
    </row>
    <row r="58" spans="1:6">
      <c r="A58" s="5">
        <f t="shared" si="0"/>
        <v>52</v>
      </c>
      <c r="B58" s="5"/>
      <c r="C58" s="219" t="s">
        <v>563</v>
      </c>
      <c r="D58" s="215">
        <v>2760965</v>
      </c>
      <c r="E58" s="215">
        <v>0</v>
      </c>
      <c r="F58" s="215">
        <f>D58+E58</f>
        <v>2760965</v>
      </c>
    </row>
    <row r="59" spans="1:6">
      <c r="A59" s="5">
        <f t="shared" si="0"/>
        <v>53</v>
      </c>
      <c r="B59" s="5"/>
      <c r="C59" s="219" t="s">
        <v>531</v>
      </c>
      <c r="D59" s="215">
        <v>1756600</v>
      </c>
      <c r="E59" s="215">
        <v>0</v>
      </c>
      <c r="F59" s="215">
        <f>D59+E59</f>
        <v>1756600</v>
      </c>
    </row>
    <row r="60" spans="1:6">
      <c r="A60" s="5">
        <f t="shared" si="0"/>
        <v>54</v>
      </c>
      <c r="B60" s="5"/>
      <c r="C60" s="11" t="s">
        <v>532</v>
      </c>
      <c r="D60" s="216">
        <f>SUM(D55:D59)</f>
        <v>14278731</v>
      </c>
      <c r="E60" s="216">
        <f t="shared" ref="E60:F60" si="9">SUM(E55:E59)</f>
        <v>0</v>
      </c>
      <c r="F60" s="216">
        <f t="shared" si="9"/>
        <v>14278731</v>
      </c>
    </row>
    <row r="61" spans="1:6">
      <c r="A61" s="5">
        <f t="shared" si="0"/>
        <v>55</v>
      </c>
      <c r="B61" s="5"/>
      <c r="C61" s="2"/>
      <c r="D61" s="215"/>
      <c r="E61" s="215"/>
      <c r="F61" s="215"/>
    </row>
    <row r="62" spans="1:6">
      <c r="A62" s="5">
        <f t="shared" si="0"/>
        <v>56</v>
      </c>
      <c r="B62" s="5"/>
      <c r="C62" s="219" t="s">
        <v>533</v>
      </c>
      <c r="D62" s="215">
        <v>894026</v>
      </c>
      <c r="E62" s="215">
        <v>0</v>
      </c>
      <c r="F62" s="215">
        <f>D62+E62</f>
        <v>894026</v>
      </c>
    </row>
    <row r="63" spans="1:6">
      <c r="A63" s="5">
        <f t="shared" si="0"/>
        <v>57</v>
      </c>
      <c r="B63" s="5"/>
      <c r="C63" s="219" t="s">
        <v>534</v>
      </c>
      <c r="D63" s="215">
        <v>0</v>
      </c>
      <c r="E63" s="215">
        <v>0</v>
      </c>
      <c r="F63" s="215">
        <f>D63+E63</f>
        <v>0</v>
      </c>
    </row>
    <row r="64" spans="1:6" ht="15" thickBot="1">
      <c r="A64" s="5">
        <f t="shared" si="0"/>
        <v>58</v>
      </c>
      <c r="B64" s="5"/>
      <c r="C64" s="17" t="s">
        <v>535</v>
      </c>
      <c r="D64" s="218">
        <f>D63+D62+D60+D53+D51+D43</f>
        <v>111729357</v>
      </c>
      <c r="E64" s="218">
        <f t="shared" ref="E64:F64" si="10">E63+E62+E60+E53+E51+E43</f>
        <v>0</v>
      </c>
      <c r="F64" s="218">
        <f t="shared" si="10"/>
        <v>111729357</v>
      </c>
    </row>
    <row r="65" spans="1:6" ht="15" thickTop="1">
      <c r="A65" s="5"/>
      <c r="B65" s="5"/>
      <c r="C65" s="2"/>
      <c r="D65" s="215"/>
      <c r="E65" s="215"/>
      <c r="F65" s="215"/>
    </row>
    <row r="66" spans="1:6">
      <c r="A66" s="5"/>
      <c r="B66" s="5"/>
      <c r="C66" s="219"/>
      <c r="D66" s="10"/>
      <c r="E66" s="215"/>
      <c r="F66" s="215"/>
    </row>
    <row r="67" spans="1:6">
      <c r="A67" s="5"/>
      <c r="B67" s="5"/>
      <c r="C67" s="219"/>
      <c r="D67" s="10"/>
      <c r="E67" s="215"/>
      <c r="F67" s="215"/>
    </row>
    <row r="68" spans="1:6">
      <c r="A68" s="5"/>
      <c r="B68" s="5"/>
      <c r="C68" s="219"/>
      <c r="D68" s="10"/>
      <c r="E68" s="215"/>
      <c r="F68" s="215"/>
    </row>
    <row r="69" spans="1:6">
      <c r="A69" s="5"/>
      <c r="B69" s="5"/>
      <c r="C69" s="219"/>
      <c r="D69" s="10"/>
      <c r="E69" s="215"/>
      <c r="F69" s="215"/>
    </row>
  </sheetData>
  <printOptions horizontalCentered="1"/>
  <pageMargins left="1" right="0.75" top="0.75" bottom="0.75" header="0.3" footer="0.3"/>
  <pageSetup scale="71" orientation="portrait" r:id="rId1"/>
  <headerFooter>
    <oddFooter>&amp;RExhibit  JW-2
Page &amp;P of &amp;N</oddFooter>
  </headerFooter>
  <ignoredErrors>
    <ignoredError sqref="E1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E49"/>
  <sheetViews>
    <sheetView defaultGridColor="0" topLeftCell="C19" colorId="22" zoomScale="75" zoomScaleNormal="75" workbookViewId="0">
      <selection activeCell="R40" sqref="R40"/>
    </sheetView>
  </sheetViews>
  <sheetFormatPr defaultColWidth="12.5703125" defaultRowHeight="14.25"/>
  <cols>
    <col min="1" max="1" width="6.140625" style="235" customWidth="1"/>
    <col min="2" max="2" width="33.140625" style="224" customWidth="1"/>
    <col min="3" max="3" width="13.5703125" style="224" customWidth="1"/>
    <col min="4" max="4" width="12.42578125" style="224" customWidth="1"/>
    <col min="5" max="5" width="11.85546875" style="224" customWidth="1"/>
    <col min="6" max="6" width="12.140625" style="224" customWidth="1"/>
    <col min="7" max="7" width="13.42578125" style="224" customWidth="1"/>
    <col min="8" max="8" width="12.140625" style="224" customWidth="1"/>
    <col min="9" max="9" width="13.7109375" style="224" customWidth="1"/>
    <col min="10" max="10" width="12.42578125" style="224" customWidth="1"/>
    <col min="11" max="11" width="10.28515625" style="224" customWidth="1"/>
    <col min="12" max="12" width="12.42578125" style="224" customWidth="1"/>
    <col min="13" max="13" width="13" style="224" customWidth="1"/>
    <col min="14" max="14" width="13.5703125" style="224" customWidth="1"/>
    <col min="15" max="15" width="14" style="224" customWidth="1"/>
    <col min="16" max="16" width="14.28515625" style="224" customWidth="1"/>
    <col min="17" max="18" width="12.42578125" style="224" customWidth="1"/>
    <col min="19" max="19" width="15.5703125" style="224" bestFit="1" customWidth="1"/>
    <col min="20" max="20" width="3.5703125" style="224" customWidth="1"/>
    <col min="21" max="21" width="15.5703125" style="224" bestFit="1" customWidth="1"/>
    <col min="22" max="22" width="12.7109375" style="224" bestFit="1" customWidth="1"/>
    <col min="23" max="16384" width="12.5703125" style="224"/>
  </cols>
  <sheetData>
    <row r="1" spans="1:31">
      <c r="B1" s="233" t="s">
        <v>0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3"/>
    </row>
    <row r="2" spans="1:31">
      <c r="B2" s="69" t="s">
        <v>536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3"/>
    </row>
    <row r="3" spans="1:31" s="235" customFormat="1">
      <c r="R3" s="399"/>
    </row>
    <row r="4" spans="1:31">
      <c r="B4" s="223" t="s">
        <v>560</v>
      </c>
      <c r="C4" s="243">
        <v>1.01</v>
      </c>
      <c r="D4" s="243">
        <v>1.02</v>
      </c>
      <c r="E4" s="243">
        <v>1.03</v>
      </c>
      <c r="F4" s="243">
        <v>1.04</v>
      </c>
      <c r="G4" s="243">
        <v>1.05</v>
      </c>
      <c r="H4" s="243">
        <v>1.06</v>
      </c>
      <c r="I4" s="243">
        <v>1.07</v>
      </c>
      <c r="J4" s="243">
        <v>1.08</v>
      </c>
      <c r="K4" s="243">
        <v>1.0900000000000001</v>
      </c>
      <c r="L4" s="244">
        <v>1.1000000000000001</v>
      </c>
      <c r="M4" s="243">
        <v>1.1100000000000001</v>
      </c>
      <c r="N4" s="243">
        <v>1.1200000000000001</v>
      </c>
      <c r="O4" s="243">
        <v>1.1299999999999999</v>
      </c>
      <c r="P4" s="243">
        <v>1.1399999999999999</v>
      </c>
      <c r="Q4" s="243">
        <v>1.1499999999999999</v>
      </c>
      <c r="R4" s="243">
        <v>1.1599999999999999</v>
      </c>
      <c r="S4" s="245"/>
    </row>
    <row r="5" spans="1:31" s="225" customFormat="1" ht="44.25" customHeight="1">
      <c r="B5" s="223" t="s">
        <v>561</v>
      </c>
      <c r="C5" s="242" t="str">
        <f>PFAs!C7</f>
        <v>FAC</v>
      </c>
      <c r="D5" s="242" t="str">
        <f>PFAs!C8</f>
        <v>ES</v>
      </c>
      <c r="E5" s="242" t="str">
        <f>PFAs!C9</f>
        <v>MRSM</v>
      </c>
      <c r="F5" s="242" t="str">
        <f>PFAs!C10</f>
        <v>Non-FAC PPA</v>
      </c>
      <c r="G5" s="242" t="str">
        <f>PFAs!C11</f>
        <v>Rate Switching</v>
      </c>
      <c r="H5" s="242" t="str">
        <f>PFAs!C12</f>
        <v>Donations, Promo Ads &amp; Dues</v>
      </c>
      <c r="I5" s="242" t="str">
        <f>PFAs!C13</f>
        <v>401k Contributions</v>
      </c>
      <c r="J5" s="242" t="str">
        <f>PFAs!C14</f>
        <v>Life Insurance</v>
      </c>
      <c r="K5" s="242" t="str">
        <f>PFAs!C15</f>
        <v>Rate Case Costs</v>
      </c>
      <c r="L5" s="242" t="str">
        <f>PFAs!C16</f>
        <v>Interest</v>
      </c>
      <c r="M5" s="242" t="str">
        <f>PFAs!C17</f>
        <v>Year End Customers</v>
      </c>
      <c r="N5" s="242" t="str">
        <f>PFAs!C18</f>
        <v>Wages &amp; Salaries</v>
      </c>
      <c r="O5" s="242" t="str">
        <f>PFAs!C19</f>
        <v>Non-Operating Income</v>
      </c>
      <c r="P5" s="242" t="str">
        <f>PFAs!C20</f>
        <v>Depreciation Normalization</v>
      </c>
      <c r="Q5" s="242" t="str">
        <f>PFAs!C21</f>
        <v>Directors Expenses</v>
      </c>
      <c r="R5" s="242" t="str">
        <f>PFAs!C22</f>
        <v>Health Insurance Premiums</v>
      </c>
      <c r="S5" s="242" t="s">
        <v>110</v>
      </c>
    </row>
    <row r="6" spans="1:31">
      <c r="A6" s="235">
        <v>1</v>
      </c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W6" s="226"/>
      <c r="X6" s="226"/>
      <c r="Y6" s="226"/>
      <c r="Z6" s="226"/>
      <c r="AA6" s="226"/>
      <c r="AB6" s="226"/>
      <c r="AC6" s="226"/>
      <c r="AD6" s="226"/>
      <c r="AE6" s="226"/>
    </row>
    <row r="7" spans="1:31">
      <c r="A7" s="235">
        <f t="shared" ref="A7:A40" si="0">(A6+1)</f>
        <v>2</v>
      </c>
      <c r="B7" s="227" t="s">
        <v>537</v>
      </c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W7" s="226"/>
      <c r="X7" s="226"/>
      <c r="Y7" s="226"/>
      <c r="Z7" s="226"/>
      <c r="AA7" s="226"/>
      <c r="AB7" s="226"/>
      <c r="AC7" s="226"/>
      <c r="AD7" s="226"/>
      <c r="AE7" s="226"/>
    </row>
    <row r="8" spans="1:31">
      <c r="A8" s="235">
        <f t="shared" si="0"/>
        <v>3</v>
      </c>
      <c r="B8" s="224" t="s">
        <v>538</v>
      </c>
      <c r="C8" s="238">
        <v>0</v>
      </c>
      <c r="D8" s="238">
        <v>0</v>
      </c>
      <c r="E8" s="238">
        <v>0</v>
      </c>
      <c r="F8" s="238">
        <v>0</v>
      </c>
      <c r="G8" s="238">
        <f>PFAs!D11</f>
        <v>-331974.52429199993</v>
      </c>
      <c r="H8" s="238">
        <v>0</v>
      </c>
      <c r="I8" s="238">
        <v>0</v>
      </c>
      <c r="J8" s="238">
        <v>0</v>
      </c>
      <c r="K8" s="238">
        <v>0</v>
      </c>
      <c r="L8" s="238">
        <v>0</v>
      </c>
      <c r="M8" s="238">
        <f>PFAs!D17</f>
        <v>187452.57</v>
      </c>
      <c r="N8" s="238">
        <v>0</v>
      </c>
      <c r="O8" s="238">
        <v>0</v>
      </c>
      <c r="P8" s="238">
        <v>0</v>
      </c>
      <c r="Q8" s="238">
        <v>0</v>
      </c>
      <c r="R8" s="238">
        <v>0</v>
      </c>
      <c r="S8" s="238">
        <f>SUM(C8:R8)</f>
        <v>-144521.95429199992</v>
      </c>
      <c r="W8" s="226"/>
      <c r="X8" s="226"/>
      <c r="Y8" s="226"/>
      <c r="Z8" s="226"/>
      <c r="AA8" s="226"/>
      <c r="AB8" s="226"/>
      <c r="AC8" s="226"/>
      <c r="AD8" s="226"/>
      <c r="AE8" s="226"/>
    </row>
    <row r="9" spans="1:31">
      <c r="A9" s="235">
        <f t="shared" si="0"/>
        <v>4</v>
      </c>
      <c r="B9" s="224" t="s">
        <v>550</v>
      </c>
      <c r="C9" s="238">
        <f>PFAs!D7</f>
        <v>-728838.02</v>
      </c>
      <c r="D9" s="238">
        <f>PFAs!D8</f>
        <v>-4343730.1399999997</v>
      </c>
      <c r="E9" s="238">
        <f>PFAs!D9</f>
        <v>1345647.1</v>
      </c>
      <c r="F9" s="238">
        <f>PFAs!D10</f>
        <v>-857090.37</v>
      </c>
      <c r="G9" s="238">
        <v>0</v>
      </c>
      <c r="H9" s="238">
        <v>0</v>
      </c>
      <c r="I9" s="238">
        <v>0</v>
      </c>
      <c r="J9" s="238">
        <v>0</v>
      </c>
      <c r="K9" s="238">
        <v>0</v>
      </c>
      <c r="L9" s="238">
        <v>0</v>
      </c>
      <c r="M9" s="238">
        <v>0</v>
      </c>
      <c r="N9" s="238">
        <v>0</v>
      </c>
      <c r="O9" s="238">
        <v>0</v>
      </c>
      <c r="P9" s="238">
        <v>0</v>
      </c>
      <c r="Q9" s="238">
        <v>0</v>
      </c>
      <c r="R9" s="238">
        <v>0</v>
      </c>
      <c r="S9" s="238">
        <f t="shared" ref="S9:S40" si="1">SUM(C9:R9)</f>
        <v>-4584011.43</v>
      </c>
      <c r="U9" s="228"/>
      <c r="V9" s="228"/>
      <c r="W9" s="226"/>
      <c r="X9" s="226"/>
      <c r="Y9" s="226"/>
      <c r="Z9" s="226"/>
      <c r="AA9" s="226"/>
      <c r="AB9" s="226"/>
      <c r="AC9" s="226"/>
      <c r="AD9" s="226"/>
      <c r="AE9" s="226"/>
    </row>
    <row r="10" spans="1:31">
      <c r="A10" s="235">
        <f t="shared" si="0"/>
        <v>5</v>
      </c>
      <c r="B10" s="224" t="s">
        <v>17</v>
      </c>
      <c r="C10" s="238">
        <v>0</v>
      </c>
      <c r="D10" s="238">
        <v>0</v>
      </c>
      <c r="E10" s="238">
        <v>0</v>
      </c>
      <c r="F10" s="238">
        <v>0</v>
      </c>
      <c r="G10" s="238">
        <v>0</v>
      </c>
      <c r="H10" s="238">
        <v>0</v>
      </c>
      <c r="I10" s="238">
        <v>0</v>
      </c>
      <c r="J10" s="238">
        <v>0</v>
      </c>
      <c r="K10" s="238">
        <v>0</v>
      </c>
      <c r="L10" s="238">
        <v>0</v>
      </c>
      <c r="M10" s="238">
        <v>0</v>
      </c>
      <c r="N10" s="238">
        <v>0</v>
      </c>
      <c r="O10" s="238">
        <v>0</v>
      </c>
      <c r="P10" s="238">
        <v>0</v>
      </c>
      <c r="Q10" s="238">
        <v>0</v>
      </c>
      <c r="R10" s="238">
        <v>0</v>
      </c>
      <c r="S10" s="238">
        <f t="shared" si="1"/>
        <v>0</v>
      </c>
      <c r="W10" s="226"/>
      <c r="X10" s="226"/>
      <c r="Y10" s="226"/>
      <c r="Z10" s="226"/>
      <c r="AA10" s="226"/>
      <c r="AB10" s="226"/>
      <c r="AC10" s="226"/>
      <c r="AD10" s="226"/>
      <c r="AE10" s="226"/>
    </row>
    <row r="11" spans="1:31">
      <c r="A11" s="235">
        <f t="shared" si="0"/>
        <v>6</v>
      </c>
      <c r="B11" s="229" t="s">
        <v>539</v>
      </c>
      <c r="C11" s="239">
        <f t="shared" ref="C11:Q11" si="2">SUM(C6:C10)</f>
        <v>-728838.02</v>
      </c>
      <c r="D11" s="239">
        <f t="shared" si="2"/>
        <v>-4343730.1399999997</v>
      </c>
      <c r="E11" s="239">
        <f t="shared" si="2"/>
        <v>1345647.1</v>
      </c>
      <c r="F11" s="239">
        <f t="shared" si="2"/>
        <v>-857090.37</v>
      </c>
      <c r="G11" s="239">
        <f t="shared" si="2"/>
        <v>-331974.52429199993</v>
      </c>
      <c r="H11" s="239">
        <f t="shared" si="2"/>
        <v>0</v>
      </c>
      <c r="I11" s="239">
        <f t="shared" si="2"/>
        <v>0</v>
      </c>
      <c r="J11" s="239">
        <f t="shared" si="2"/>
        <v>0</v>
      </c>
      <c r="K11" s="239">
        <f t="shared" si="2"/>
        <v>0</v>
      </c>
      <c r="L11" s="239">
        <f t="shared" si="2"/>
        <v>0</v>
      </c>
      <c r="M11" s="239">
        <f t="shared" si="2"/>
        <v>187452.57</v>
      </c>
      <c r="N11" s="239">
        <f t="shared" si="2"/>
        <v>0</v>
      </c>
      <c r="O11" s="239">
        <f t="shared" si="2"/>
        <v>0</v>
      </c>
      <c r="P11" s="239">
        <f t="shared" si="2"/>
        <v>0</v>
      </c>
      <c r="Q11" s="239">
        <f t="shared" si="2"/>
        <v>0</v>
      </c>
      <c r="R11" s="239">
        <f t="shared" ref="R11" si="3">SUM(R6:R10)</f>
        <v>0</v>
      </c>
      <c r="S11" s="239">
        <f t="shared" si="1"/>
        <v>-4728533.384291999</v>
      </c>
      <c r="W11" s="226"/>
      <c r="X11" s="226"/>
      <c r="Y11" s="226"/>
      <c r="Z11" s="226"/>
      <c r="AA11" s="226"/>
      <c r="AB11" s="226"/>
      <c r="AC11" s="226"/>
      <c r="AD11" s="226"/>
      <c r="AE11" s="226"/>
    </row>
    <row r="12" spans="1:31">
      <c r="A12" s="235">
        <f t="shared" si="0"/>
        <v>7</v>
      </c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>
        <f t="shared" si="1"/>
        <v>0</v>
      </c>
      <c r="W12" s="226"/>
      <c r="X12" s="226"/>
      <c r="Y12" s="226"/>
      <c r="Z12" s="226"/>
      <c r="AA12" s="226"/>
      <c r="AB12" s="226"/>
      <c r="AC12" s="226"/>
      <c r="AD12" s="226"/>
      <c r="AE12" s="226"/>
    </row>
    <row r="13" spans="1:31">
      <c r="A13" s="235">
        <f t="shared" si="0"/>
        <v>8</v>
      </c>
      <c r="B13" s="227" t="s">
        <v>19</v>
      </c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>
        <f t="shared" si="1"/>
        <v>0</v>
      </c>
      <c r="W13" s="226"/>
      <c r="X13" s="226"/>
      <c r="Y13" s="226"/>
      <c r="Z13" s="226"/>
      <c r="AA13" s="226"/>
      <c r="AB13" s="226"/>
      <c r="AC13" s="226"/>
      <c r="AD13" s="226"/>
      <c r="AE13" s="226"/>
    </row>
    <row r="14" spans="1:31">
      <c r="A14" s="235">
        <f t="shared" si="0"/>
        <v>9</v>
      </c>
      <c r="B14" s="224" t="s">
        <v>20</v>
      </c>
      <c r="C14" s="238">
        <v>0</v>
      </c>
      <c r="D14" s="238">
        <v>0</v>
      </c>
      <c r="E14" s="238">
        <v>0</v>
      </c>
      <c r="F14" s="238">
        <v>0</v>
      </c>
      <c r="G14" s="238">
        <v>0</v>
      </c>
      <c r="H14" s="238">
        <v>0</v>
      </c>
      <c r="I14" s="238">
        <v>0</v>
      </c>
      <c r="J14" s="238">
        <v>0</v>
      </c>
      <c r="K14" s="238">
        <v>0</v>
      </c>
      <c r="L14" s="238">
        <v>0</v>
      </c>
      <c r="M14" s="238">
        <v>0</v>
      </c>
      <c r="N14" s="238">
        <v>0</v>
      </c>
      <c r="O14" s="238">
        <v>0</v>
      </c>
      <c r="P14" s="238">
        <v>0</v>
      </c>
      <c r="Q14" s="238">
        <v>0</v>
      </c>
      <c r="R14" s="238">
        <v>0</v>
      </c>
      <c r="S14" s="238">
        <f t="shared" si="1"/>
        <v>0</v>
      </c>
      <c r="W14" s="226"/>
      <c r="X14" s="226"/>
      <c r="Y14" s="226"/>
      <c r="Z14" s="226"/>
      <c r="AA14" s="226"/>
      <c r="AB14" s="226"/>
      <c r="AC14" s="226"/>
      <c r="AD14" s="226"/>
      <c r="AE14" s="226"/>
    </row>
    <row r="15" spans="1:31">
      <c r="A15" s="235">
        <f t="shared" si="0"/>
        <v>10</v>
      </c>
      <c r="B15" s="224" t="s">
        <v>540</v>
      </c>
      <c r="C15" s="238">
        <v>0</v>
      </c>
      <c r="D15" s="238">
        <v>0</v>
      </c>
      <c r="E15" s="238">
        <v>0</v>
      </c>
      <c r="F15" s="238">
        <v>0</v>
      </c>
      <c r="G15" s="238">
        <v>0</v>
      </c>
      <c r="H15" s="238">
        <v>0</v>
      </c>
      <c r="I15" s="238">
        <v>0</v>
      </c>
      <c r="J15" s="238">
        <v>0</v>
      </c>
      <c r="K15" s="238">
        <v>0</v>
      </c>
      <c r="L15" s="238">
        <v>0</v>
      </c>
      <c r="M15" s="238">
        <f>PFAs!E17</f>
        <v>151043.23000000001</v>
      </c>
      <c r="N15" s="238">
        <v>0</v>
      </c>
      <c r="O15" s="238">
        <v>0</v>
      </c>
      <c r="P15" s="238">
        <v>0</v>
      </c>
      <c r="Q15" s="238">
        <v>0</v>
      </c>
      <c r="R15" s="238">
        <v>0</v>
      </c>
      <c r="S15" s="238">
        <f t="shared" si="1"/>
        <v>151043.23000000001</v>
      </c>
      <c r="W15" s="226"/>
      <c r="X15" s="226"/>
      <c r="Y15" s="226"/>
      <c r="Z15" s="226"/>
      <c r="AA15" s="226"/>
      <c r="AB15" s="226"/>
      <c r="AC15" s="226"/>
      <c r="AD15" s="226"/>
      <c r="AE15" s="226"/>
    </row>
    <row r="16" spans="1:31">
      <c r="A16" s="235">
        <f t="shared" si="0"/>
        <v>11</v>
      </c>
      <c r="B16" s="224" t="s">
        <v>551</v>
      </c>
      <c r="C16" s="238">
        <f>PFAs!E7</f>
        <v>-788071.58</v>
      </c>
      <c r="D16" s="238">
        <f>PFAs!E8</f>
        <v>-4205570.58</v>
      </c>
      <c r="E16" s="238">
        <f>PFAs!E9</f>
        <v>973186.14</v>
      </c>
      <c r="F16" s="238">
        <f>PFAs!E10</f>
        <v>-849293.26</v>
      </c>
      <c r="G16" s="238">
        <v>0</v>
      </c>
      <c r="H16" s="238">
        <v>0</v>
      </c>
      <c r="I16" s="238">
        <v>0</v>
      </c>
      <c r="J16" s="238">
        <v>0</v>
      </c>
      <c r="K16" s="238">
        <v>0</v>
      </c>
      <c r="L16" s="238">
        <v>0</v>
      </c>
      <c r="M16" s="238">
        <v>0</v>
      </c>
      <c r="N16" s="238">
        <v>0</v>
      </c>
      <c r="O16" s="238">
        <v>0</v>
      </c>
      <c r="P16" s="238">
        <v>0</v>
      </c>
      <c r="Q16" s="238">
        <v>0</v>
      </c>
      <c r="R16" s="238">
        <v>0</v>
      </c>
      <c r="S16" s="238">
        <f t="shared" si="1"/>
        <v>-4869749.28</v>
      </c>
      <c r="W16" s="226"/>
      <c r="X16" s="226"/>
      <c r="Y16" s="226"/>
      <c r="Z16" s="226"/>
      <c r="AA16" s="226"/>
      <c r="AB16" s="226"/>
      <c r="AC16" s="226"/>
      <c r="AD16" s="226"/>
      <c r="AE16" s="226"/>
    </row>
    <row r="17" spans="1:31">
      <c r="A17" s="235">
        <f t="shared" si="0"/>
        <v>12</v>
      </c>
      <c r="B17" s="224" t="s">
        <v>541</v>
      </c>
      <c r="C17" s="238">
        <v>0</v>
      </c>
      <c r="D17" s="238">
        <v>0</v>
      </c>
      <c r="E17" s="238">
        <v>0</v>
      </c>
      <c r="F17" s="238">
        <v>0</v>
      </c>
      <c r="G17" s="238">
        <v>0</v>
      </c>
      <c r="H17" s="238">
        <f>'1.06 DonaAdsDues'!J24</f>
        <v>-9610.7999999999975</v>
      </c>
      <c r="I17" s="238">
        <f>-'1.07 401k'!N40-'1.07 401k'!N41-'1.07 401k'!N42</f>
        <v>-23128.420000000002</v>
      </c>
      <c r="J17" s="238">
        <f>'1.08 LifeInsur'!D73</f>
        <v>-2353.4702217665572</v>
      </c>
      <c r="K17" s="238">
        <v>0</v>
      </c>
      <c r="L17" s="238">
        <v>0</v>
      </c>
      <c r="M17" s="238">
        <v>0</v>
      </c>
      <c r="N17" s="238">
        <f>'1.12 Wages'!O117</f>
        <v>98406.424525896538</v>
      </c>
      <c r="O17" s="238">
        <v>0</v>
      </c>
      <c r="P17" s="238">
        <v>0</v>
      </c>
      <c r="Q17" s="238">
        <v>0</v>
      </c>
      <c r="R17" s="238">
        <v>0</v>
      </c>
      <c r="S17" s="238">
        <f t="shared" si="1"/>
        <v>63313.734304129983</v>
      </c>
      <c r="W17" s="226"/>
      <c r="X17" s="226"/>
      <c r="Y17" s="226"/>
      <c r="Z17" s="226"/>
      <c r="AA17" s="226"/>
      <c r="AB17" s="226"/>
      <c r="AC17" s="226"/>
      <c r="AD17" s="226"/>
      <c r="AE17" s="226"/>
    </row>
    <row r="18" spans="1:31">
      <c r="A18" s="235">
        <f t="shared" si="0"/>
        <v>13</v>
      </c>
      <c r="B18" s="224" t="s">
        <v>542</v>
      </c>
      <c r="C18" s="238">
        <v>0</v>
      </c>
      <c r="D18" s="238">
        <v>0</v>
      </c>
      <c r="E18" s="238">
        <v>0</v>
      </c>
      <c r="F18" s="238">
        <v>0</v>
      </c>
      <c r="G18" s="238">
        <v>0</v>
      </c>
      <c r="H18" s="238">
        <v>0</v>
      </c>
      <c r="I18" s="238">
        <f>-'1.07 401k'!N43-'1.07 401k'!N44</f>
        <v>-4568.8600000000006</v>
      </c>
      <c r="J18" s="238">
        <v>0</v>
      </c>
      <c r="K18" s="238">
        <v>0</v>
      </c>
      <c r="L18" s="238">
        <v>0</v>
      </c>
      <c r="M18" s="238">
        <v>0</v>
      </c>
      <c r="N18" s="238">
        <f>'1.12 Wages'!O118</f>
        <v>101010.11411194816</v>
      </c>
      <c r="O18" s="238">
        <v>0</v>
      </c>
      <c r="P18" s="238">
        <v>0</v>
      </c>
      <c r="Q18" s="238">
        <v>0</v>
      </c>
      <c r="R18" s="238">
        <v>0</v>
      </c>
      <c r="S18" s="238">
        <f t="shared" si="1"/>
        <v>96441.254111948161</v>
      </c>
      <c r="W18" s="226"/>
      <c r="X18" s="226"/>
      <c r="Y18" s="226"/>
      <c r="Z18" s="226"/>
      <c r="AA18" s="226"/>
      <c r="AB18" s="226"/>
      <c r="AC18" s="226"/>
      <c r="AD18" s="226"/>
      <c r="AE18" s="226"/>
    </row>
    <row r="19" spans="1:31">
      <c r="A19" s="235">
        <f t="shared" si="0"/>
        <v>14</v>
      </c>
      <c r="B19" s="224" t="s">
        <v>221</v>
      </c>
      <c r="C19" s="238">
        <v>0</v>
      </c>
      <c r="D19" s="238">
        <v>0</v>
      </c>
      <c r="E19" s="238">
        <v>0</v>
      </c>
      <c r="F19" s="238">
        <v>0</v>
      </c>
      <c r="G19" s="238">
        <v>0</v>
      </c>
      <c r="H19" s="238">
        <v>0</v>
      </c>
      <c r="I19" s="238">
        <v>0</v>
      </c>
      <c r="J19" s="238">
        <f>'1.08 LifeInsur'!D75</f>
        <v>-1027.8935059171599</v>
      </c>
      <c r="K19" s="238">
        <v>0</v>
      </c>
      <c r="L19" s="238">
        <v>0</v>
      </c>
      <c r="M19" s="238">
        <v>0</v>
      </c>
      <c r="N19" s="238">
        <f>'1.12 Wages'!O119</f>
        <v>55211.383447733933</v>
      </c>
      <c r="O19" s="238">
        <v>0</v>
      </c>
      <c r="P19" s="238">
        <v>0</v>
      </c>
      <c r="Q19" s="238">
        <v>0</v>
      </c>
      <c r="R19" s="238">
        <v>0</v>
      </c>
      <c r="S19" s="238">
        <f t="shared" si="1"/>
        <v>54183.489941816777</v>
      </c>
      <c r="W19" s="226"/>
      <c r="X19" s="226"/>
      <c r="Y19" s="226"/>
      <c r="Z19" s="226"/>
      <c r="AA19" s="226"/>
      <c r="AB19" s="226"/>
      <c r="AC19" s="226"/>
      <c r="AD19" s="226"/>
      <c r="AE19" s="226"/>
    </row>
    <row r="20" spans="1:31">
      <c r="A20" s="235">
        <f t="shared" si="0"/>
        <v>15</v>
      </c>
      <c r="B20" s="224" t="s">
        <v>24</v>
      </c>
      <c r="C20" s="238">
        <v>0</v>
      </c>
      <c r="D20" s="238">
        <v>0</v>
      </c>
      <c r="E20" s="238">
        <v>0</v>
      </c>
      <c r="F20" s="238">
        <v>0</v>
      </c>
      <c r="G20" s="238">
        <v>0</v>
      </c>
      <c r="H20" s="238">
        <f>'1.06 DonaAdsDues'!C24</f>
        <v>-321.2</v>
      </c>
      <c r="I20" s="238">
        <v>0</v>
      </c>
      <c r="J20" s="238">
        <v>0</v>
      </c>
      <c r="K20" s="238">
        <v>0</v>
      </c>
      <c r="L20" s="238">
        <v>0</v>
      </c>
      <c r="M20" s="238">
        <v>0</v>
      </c>
      <c r="N20" s="238">
        <f>'1.12 Wages'!O120</f>
        <v>4904.4476249952713</v>
      </c>
      <c r="O20" s="238">
        <v>0</v>
      </c>
      <c r="P20" s="238">
        <v>0</v>
      </c>
      <c r="Q20" s="238">
        <v>0</v>
      </c>
      <c r="R20" s="238">
        <v>0</v>
      </c>
      <c r="S20" s="238">
        <f t="shared" si="1"/>
        <v>4583.2476249952715</v>
      </c>
      <c r="W20" s="226"/>
      <c r="X20" s="226"/>
      <c r="Y20" s="226"/>
      <c r="Z20" s="226"/>
      <c r="AA20" s="226"/>
      <c r="AB20" s="226"/>
      <c r="AC20" s="226"/>
      <c r="AD20" s="226"/>
      <c r="AE20" s="226"/>
    </row>
    <row r="21" spans="1:31">
      <c r="A21" s="235">
        <f t="shared" si="0"/>
        <v>16</v>
      </c>
      <c r="B21" s="224" t="s">
        <v>543</v>
      </c>
      <c r="C21" s="238">
        <v>0</v>
      </c>
      <c r="D21" s="238">
        <v>0</v>
      </c>
      <c r="E21" s="238">
        <v>0</v>
      </c>
      <c r="F21" s="238">
        <v>0</v>
      </c>
      <c r="G21" s="238">
        <v>0</v>
      </c>
      <c r="H21" s="238">
        <v>0</v>
      </c>
      <c r="I21" s="238">
        <v>0</v>
      </c>
      <c r="J21" s="238">
        <v>0</v>
      </c>
      <c r="K21" s="238">
        <v>0</v>
      </c>
      <c r="L21" s="238">
        <v>0</v>
      </c>
      <c r="M21" s="238">
        <v>0</v>
      </c>
      <c r="N21" s="238">
        <v>0</v>
      </c>
      <c r="O21" s="238">
        <v>0</v>
      </c>
      <c r="P21" s="238">
        <v>0</v>
      </c>
      <c r="Q21" s="238">
        <v>0</v>
      </c>
      <c r="R21" s="238">
        <v>0</v>
      </c>
      <c r="S21" s="238">
        <f t="shared" si="1"/>
        <v>0</v>
      </c>
      <c r="W21" s="226"/>
      <c r="X21" s="226"/>
      <c r="Y21" s="226"/>
      <c r="Z21" s="226"/>
      <c r="AA21" s="226"/>
      <c r="AB21" s="226"/>
      <c r="AC21" s="226"/>
      <c r="AD21" s="226"/>
      <c r="AE21" s="226"/>
    </row>
    <row r="22" spans="1:31">
      <c r="A22" s="235">
        <f t="shared" si="0"/>
        <v>17</v>
      </c>
      <c r="B22" s="224" t="s">
        <v>544</v>
      </c>
      <c r="C22" s="238">
        <v>0</v>
      </c>
      <c r="D22" s="238">
        <v>0</v>
      </c>
      <c r="E22" s="238">
        <v>0</v>
      </c>
      <c r="F22" s="238">
        <v>0</v>
      </c>
      <c r="G22" s="238">
        <v>0</v>
      </c>
      <c r="H22" s="238">
        <f>'1.06 DonaAdsDues'!B24+'1.06 DonaAdsDues'!D24+'1.06 DonaAdsDues'!E24+'1.06 DonaAdsDues'!F24+'1.06 DonaAdsDues'!G24+'1.06 DonaAdsDues'!H24+'1.06 DonaAdsDues'!I24+'1.06 DonaAdsDues'!K24</f>
        <v>-135087.64000000001</v>
      </c>
      <c r="I22" s="238">
        <f>-'1.07 401k'!N45-'1.07 401k'!N46</f>
        <v>-12203.500000000002</v>
      </c>
      <c r="J22" s="238">
        <f>'1.08 LifeInsur'!D78</f>
        <v>-1804.6270030272269</v>
      </c>
      <c r="K22" s="238">
        <f>PFAs!E15</f>
        <v>25333.33</v>
      </c>
      <c r="L22" s="238">
        <v>0</v>
      </c>
      <c r="M22" s="238">
        <v>0</v>
      </c>
      <c r="N22" s="238">
        <f>'1.12 Wages'!O121</f>
        <v>60594.4758629524</v>
      </c>
      <c r="O22" s="238">
        <v>0</v>
      </c>
      <c r="P22" s="238">
        <v>0</v>
      </c>
      <c r="Q22" s="238">
        <f>PFAs!E21</f>
        <v>-16213.779999999999</v>
      </c>
      <c r="R22" s="238">
        <f>PFAs!E22</f>
        <v>-20742.788376509943</v>
      </c>
      <c r="S22" s="238">
        <f t="shared" si="1"/>
        <v>-100124.52951658476</v>
      </c>
      <c r="W22" s="226"/>
      <c r="X22" s="226"/>
      <c r="Y22" s="226"/>
      <c r="Z22" s="226"/>
      <c r="AA22" s="226"/>
      <c r="AB22" s="226"/>
      <c r="AC22" s="226"/>
      <c r="AD22" s="226"/>
      <c r="AE22" s="226"/>
    </row>
    <row r="23" spans="1:31">
      <c r="A23" s="235">
        <f t="shared" si="0"/>
        <v>18</v>
      </c>
      <c r="B23" s="229" t="s">
        <v>545</v>
      </c>
      <c r="C23" s="239">
        <f t="shared" ref="C23:Q23" si="4">SUM(C14:C22)</f>
        <v>-788071.58</v>
      </c>
      <c r="D23" s="239">
        <f t="shared" si="4"/>
        <v>-4205570.58</v>
      </c>
      <c r="E23" s="239">
        <f t="shared" si="4"/>
        <v>973186.14</v>
      </c>
      <c r="F23" s="239">
        <f t="shared" si="4"/>
        <v>-849293.26</v>
      </c>
      <c r="G23" s="239">
        <f t="shared" si="4"/>
        <v>0</v>
      </c>
      <c r="H23" s="239">
        <f t="shared" si="4"/>
        <v>-145019.64000000001</v>
      </c>
      <c r="I23" s="239">
        <f t="shared" si="4"/>
        <v>-39900.780000000006</v>
      </c>
      <c r="J23" s="239">
        <f t="shared" si="4"/>
        <v>-5185.9907307109443</v>
      </c>
      <c r="K23" s="239">
        <f t="shared" si="4"/>
        <v>25333.33</v>
      </c>
      <c r="L23" s="239">
        <f t="shared" si="4"/>
        <v>0</v>
      </c>
      <c r="M23" s="239">
        <f t="shared" si="4"/>
        <v>151043.23000000001</v>
      </c>
      <c r="N23" s="239">
        <f t="shared" si="4"/>
        <v>320126.84557352634</v>
      </c>
      <c r="O23" s="239">
        <f t="shared" si="4"/>
        <v>0</v>
      </c>
      <c r="P23" s="239">
        <f t="shared" si="4"/>
        <v>0</v>
      </c>
      <c r="Q23" s="239">
        <f t="shared" si="4"/>
        <v>-16213.779999999999</v>
      </c>
      <c r="R23" s="239">
        <f t="shared" ref="R23" si="5">SUM(R14:R22)</f>
        <v>-20742.788376509943</v>
      </c>
      <c r="S23" s="239">
        <f t="shared" si="1"/>
        <v>-4600308.8535336955</v>
      </c>
      <c r="W23" s="226"/>
      <c r="X23" s="226"/>
      <c r="Y23" s="226"/>
      <c r="Z23" s="226"/>
      <c r="AA23" s="226"/>
      <c r="AB23" s="226"/>
      <c r="AC23" s="226"/>
      <c r="AD23" s="226"/>
      <c r="AE23" s="226"/>
    </row>
    <row r="24" spans="1:31">
      <c r="A24" s="235">
        <f t="shared" si="0"/>
        <v>19</v>
      </c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>
        <f t="shared" si="1"/>
        <v>0</v>
      </c>
      <c r="W24" s="226"/>
      <c r="X24" s="226"/>
      <c r="Y24" s="226"/>
      <c r="Z24" s="226"/>
      <c r="AA24" s="226"/>
      <c r="AB24" s="226"/>
      <c r="AC24" s="226"/>
      <c r="AD24" s="226"/>
      <c r="AE24" s="226"/>
    </row>
    <row r="25" spans="1:31">
      <c r="A25" s="235">
        <f t="shared" si="0"/>
        <v>20</v>
      </c>
      <c r="B25" s="224" t="s">
        <v>59</v>
      </c>
      <c r="C25" s="238">
        <v>0</v>
      </c>
      <c r="D25" s="238">
        <v>0</v>
      </c>
      <c r="E25" s="238">
        <v>0</v>
      </c>
      <c r="F25" s="238">
        <v>0</v>
      </c>
      <c r="G25" s="238">
        <v>0</v>
      </c>
      <c r="H25" s="238">
        <v>0</v>
      </c>
      <c r="I25" s="238">
        <v>0</v>
      </c>
      <c r="J25" s="238">
        <v>0</v>
      </c>
      <c r="K25" s="238">
        <v>0</v>
      </c>
      <c r="L25" s="238">
        <v>0</v>
      </c>
      <c r="M25" s="238">
        <v>0</v>
      </c>
      <c r="N25" s="238">
        <v>0</v>
      </c>
      <c r="O25" s="238">
        <v>0</v>
      </c>
      <c r="P25" s="238">
        <f>PFAs!E20</f>
        <v>51518.91117542181</v>
      </c>
      <c r="Q25" s="238">
        <v>0</v>
      </c>
      <c r="R25" s="238">
        <v>0</v>
      </c>
      <c r="S25" s="238">
        <f t="shared" si="1"/>
        <v>51518.91117542181</v>
      </c>
      <c r="W25" s="226"/>
      <c r="X25" s="226"/>
      <c r="Y25" s="226"/>
      <c r="Z25" s="226"/>
      <c r="AA25" s="226"/>
      <c r="AB25" s="226"/>
      <c r="AC25" s="226"/>
      <c r="AD25" s="226"/>
      <c r="AE25" s="226"/>
    </row>
    <row r="26" spans="1:31">
      <c r="A26" s="235">
        <f t="shared" si="0"/>
        <v>21</v>
      </c>
      <c r="B26" s="224" t="s">
        <v>29</v>
      </c>
      <c r="C26" s="238">
        <v>0</v>
      </c>
      <c r="D26" s="238">
        <v>0</v>
      </c>
      <c r="E26" s="238">
        <v>0</v>
      </c>
      <c r="F26" s="238">
        <v>0</v>
      </c>
      <c r="G26" s="238">
        <v>0</v>
      </c>
      <c r="H26" s="238">
        <v>0</v>
      </c>
      <c r="I26" s="238">
        <v>0</v>
      </c>
      <c r="J26" s="238">
        <v>0</v>
      </c>
      <c r="K26" s="238">
        <v>0</v>
      </c>
      <c r="L26" s="238">
        <v>0</v>
      </c>
      <c r="M26" s="238">
        <v>0</v>
      </c>
      <c r="N26" s="238">
        <v>0</v>
      </c>
      <c r="O26" s="238">
        <v>0</v>
      </c>
      <c r="P26" s="238">
        <v>0</v>
      </c>
      <c r="Q26" s="238">
        <v>0</v>
      </c>
      <c r="R26" s="238">
        <v>0</v>
      </c>
      <c r="S26" s="238">
        <f t="shared" si="1"/>
        <v>0</v>
      </c>
      <c r="W26" s="226"/>
      <c r="X26" s="226"/>
      <c r="Y26" s="226"/>
      <c r="Z26" s="226"/>
      <c r="AA26" s="226"/>
      <c r="AB26" s="226"/>
      <c r="AC26" s="226"/>
      <c r="AD26" s="226"/>
      <c r="AE26" s="226"/>
    </row>
    <row r="27" spans="1:31">
      <c r="A27" s="235">
        <f t="shared" si="0"/>
        <v>22</v>
      </c>
      <c r="B27" s="224" t="s">
        <v>60</v>
      </c>
      <c r="C27" s="238">
        <v>0</v>
      </c>
      <c r="D27" s="238">
        <v>0</v>
      </c>
      <c r="E27" s="238">
        <v>0</v>
      </c>
      <c r="F27" s="238">
        <v>0</v>
      </c>
      <c r="G27" s="238">
        <v>0</v>
      </c>
      <c r="H27" s="238">
        <v>0</v>
      </c>
      <c r="I27" s="238">
        <v>0</v>
      </c>
      <c r="J27" s="238">
        <v>0</v>
      </c>
      <c r="K27" s="238">
        <v>0</v>
      </c>
      <c r="L27" s="238">
        <f>'1.10 Interest'!E16</f>
        <v>-82948.219999999972</v>
      </c>
      <c r="M27" s="238">
        <v>0</v>
      </c>
      <c r="N27" s="238">
        <v>0</v>
      </c>
      <c r="O27" s="238">
        <v>0</v>
      </c>
      <c r="P27" s="238">
        <v>0</v>
      </c>
      <c r="Q27" s="238">
        <v>0</v>
      </c>
      <c r="R27" s="238">
        <v>0</v>
      </c>
      <c r="S27" s="238">
        <f t="shared" si="1"/>
        <v>-82948.219999999972</v>
      </c>
      <c r="W27" s="226"/>
      <c r="X27" s="226"/>
      <c r="Y27" s="226"/>
      <c r="Z27" s="226"/>
      <c r="AA27" s="226"/>
      <c r="AB27" s="226"/>
      <c r="AC27" s="226"/>
      <c r="AD27" s="226"/>
      <c r="AE27" s="226"/>
    </row>
    <row r="28" spans="1:31">
      <c r="A28" s="235">
        <f>(A27+1)</f>
        <v>23</v>
      </c>
      <c r="B28" s="224" t="s">
        <v>546</v>
      </c>
      <c r="C28" s="238">
        <v>0</v>
      </c>
      <c r="D28" s="238">
        <v>0</v>
      </c>
      <c r="E28" s="238">
        <v>0</v>
      </c>
      <c r="F28" s="238">
        <v>0</v>
      </c>
      <c r="G28" s="238">
        <v>0</v>
      </c>
      <c r="H28" s="238">
        <v>0</v>
      </c>
      <c r="I28" s="238">
        <v>0</v>
      </c>
      <c r="J28" s="238">
        <v>0</v>
      </c>
      <c r="K28" s="238">
        <v>0</v>
      </c>
      <c r="L28" s="238">
        <f>'1.10 Interest'!E24</f>
        <v>39940.770000000004</v>
      </c>
      <c r="M28" s="238">
        <v>0</v>
      </c>
      <c r="N28" s="238">
        <v>0</v>
      </c>
      <c r="O28" s="238">
        <v>0</v>
      </c>
      <c r="P28" s="238">
        <v>0</v>
      </c>
      <c r="Q28" s="238">
        <v>0</v>
      </c>
      <c r="R28" s="238">
        <v>0</v>
      </c>
      <c r="S28" s="238">
        <f t="shared" si="1"/>
        <v>39940.770000000004</v>
      </c>
      <c r="W28" s="226"/>
      <c r="X28" s="226"/>
      <c r="Y28" s="226"/>
      <c r="Z28" s="226"/>
      <c r="AA28" s="226"/>
      <c r="AB28" s="226"/>
      <c r="AC28" s="226"/>
      <c r="AD28" s="226"/>
      <c r="AE28" s="226"/>
    </row>
    <row r="29" spans="1:31">
      <c r="A29" s="235">
        <f>(A28+1)</f>
        <v>24</v>
      </c>
      <c r="B29" s="224" t="s">
        <v>32</v>
      </c>
      <c r="C29" s="238">
        <v>0</v>
      </c>
      <c r="D29" s="238">
        <v>0</v>
      </c>
      <c r="E29" s="238">
        <v>0</v>
      </c>
      <c r="F29" s="238">
        <v>0</v>
      </c>
      <c r="G29" s="238">
        <v>0</v>
      </c>
      <c r="H29" s="238">
        <v>0</v>
      </c>
      <c r="I29" s="238">
        <v>0</v>
      </c>
      <c r="J29" s="238">
        <v>0</v>
      </c>
      <c r="K29" s="238">
        <v>0</v>
      </c>
      <c r="L29" s="238">
        <v>0</v>
      </c>
      <c r="M29" s="238">
        <v>0</v>
      </c>
      <c r="N29" s="238">
        <v>0</v>
      </c>
      <c r="O29" s="238">
        <v>0</v>
      </c>
      <c r="P29" s="238">
        <v>0</v>
      </c>
      <c r="Q29" s="238">
        <v>0</v>
      </c>
      <c r="R29" s="238">
        <v>0</v>
      </c>
      <c r="S29" s="238">
        <f t="shared" si="1"/>
        <v>0</v>
      </c>
      <c r="W29" s="226"/>
      <c r="X29" s="226"/>
      <c r="Y29" s="226"/>
      <c r="Z29" s="226"/>
      <c r="AA29" s="226"/>
      <c r="AB29" s="226"/>
      <c r="AC29" s="226"/>
      <c r="AD29" s="226"/>
      <c r="AE29" s="226"/>
    </row>
    <row r="30" spans="1:31">
      <c r="A30" s="235">
        <f t="shared" si="0"/>
        <v>25</v>
      </c>
      <c r="B30" s="229" t="s">
        <v>33</v>
      </c>
      <c r="C30" s="239">
        <f t="shared" ref="C30:Q30" si="6">SUM(C23:C29)</f>
        <v>-788071.58</v>
      </c>
      <c r="D30" s="239">
        <f t="shared" si="6"/>
        <v>-4205570.58</v>
      </c>
      <c r="E30" s="239">
        <f t="shared" si="6"/>
        <v>973186.14</v>
      </c>
      <c r="F30" s="239">
        <f t="shared" si="6"/>
        <v>-849293.26</v>
      </c>
      <c r="G30" s="239">
        <f t="shared" si="6"/>
        <v>0</v>
      </c>
      <c r="H30" s="239">
        <f t="shared" si="6"/>
        <v>-145019.64000000001</v>
      </c>
      <c r="I30" s="239">
        <f t="shared" si="6"/>
        <v>-39900.780000000006</v>
      </c>
      <c r="J30" s="239">
        <f t="shared" si="6"/>
        <v>-5185.9907307109443</v>
      </c>
      <c r="K30" s="239">
        <f t="shared" si="6"/>
        <v>25333.33</v>
      </c>
      <c r="L30" s="239">
        <f t="shared" si="6"/>
        <v>-43007.449999999968</v>
      </c>
      <c r="M30" s="239">
        <f t="shared" si="6"/>
        <v>151043.23000000001</v>
      </c>
      <c r="N30" s="239">
        <f t="shared" si="6"/>
        <v>320126.84557352634</v>
      </c>
      <c r="O30" s="239">
        <f t="shared" si="6"/>
        <v>0</v>
      </c>
      <c r="P30" s="239">
        <f t="shared" si="6"/>
        <v>51518.91117542181</v>
      </c>
      <c r="Q30" s="239">
        <f t="shared" si="6"/>
        <v>-16213.779999999999</v>
      </c>
      <c r="R30" s="239">
        <f t="shared" ref="R30" si="7">SUM(R23:R29)</f>
        <v>-20742.788376509943</v>
      </c>
      <c r="S30" s="239">
        <f t="shared" si="1"/>
        <v>-4591797.3923582733</v>
      </c>
      <c r="W30" s="226"/>
      <c r="X30" s="226"/>
      <c r="Y30" s="226"/>
      <c r="Z30" s="226"/>
      <c r="AA30" s="226"/>
      <c r="AB30" s="226"/>
      <c r="AC30" s="226"/>
      <c r="AD30" s="226"/>
      <c r="AE30" s="226"/>
    </row>
    <row r="31" spans="1:31">
      <c r="A31" s="235">
        <f t="shared" si="0"/>
        <v>26</v>
      </c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>
        <f t="shared" si="1"/>
        <v>0</v>
      </c>
      <c r="W31" s="226"/>
      <c r="X31" s="226"/>
      <c r="Y31" s="226"/>
      <c r="Z31" s="226"/>
      <c r="AA31" s="226"/>
      <c r="AB31" s="226"/>
      <c r="AC31" s="226"/>
      <c r="AD31" s="226"/>
      <c r="AE31" s="226"/>
    </row>
    <row r="32" spans="1:31">
      <c r="A32" s="235">
        <f t="shared" si="0"/>
        <v>27</v>
      </c>
      <c r="B32" s="224" t="s">
        <v>34</v>
      </c>
      <c r="C32" s="238">
        <f t="shared" ref="C32:Q32" si="8">(+C11-C30)</f>
        <v>59233.559999999939</v>
      </c>
      <c r="D32" s="238">
        <f t="shared" si="8"/>
        <v>-138159.55999999959</v>
      </c>
      <c r="E32" s="238">
        <f t="shared" si="8"/>
        <v>372460.96000000008</v>
      </c>
      <c r="F32" s="238">
        <f t="shared" si="8"/>
        <v>-7797.109999999986</v>
      </c>
      <c r="G32" s="238">
        <f t="shared" si="8"/>
        <v>-331974.52429199993</v>
      </c>
      <c r="H32" s="238">
        <f t="shared" si="8"/>
        <v>145019.64000000001</v>
      </c>
      <c r="I32" s="238">
        <f t="shared" si="8"/>
        <v>39900.780000000006</v>
      </c>
      <c r="J32" s="238">
        <f t="shared" si="8"/>
        <v>5185.9907307109443</v>
      </c>
      <c r="K32" s="238">
        <f t="shared" si="8"/>
        <v>-25333.33</v>
      </c>
      <c r="L32" s="238">
        <f t="shared" si="8"/>
        <v>43007.449999999968</v>
      </c>
      <c r="M32" s="238">
        <f t="shared" si="8"/>
        <v>36409.339999999997</v>
      </c>
      <c r="N32" s="238">
        <f t="shared" si="8"/>
        <v>-320126.84557352634</v>
      </c>
      <c r="O32" s="238">
        <f t="shared" si="8"/>
        <v>0</v>
      </c>
      <c r="P32" s="238">
        <f t="shared" si="8"/>
        <v>-51518.91117542181</v>
      </c>
      <c r="Q32" s="238">
        <f t="shared" si="8"/>
        <v>16213.779999999999</v>
      </c>
      <c r="R32" s="238">
        <f t="shared" ref="R32" si="9">(+R11-R30)</f>
        <v>20742.788376509943</v>
      </c>
      <c r="S32" s="238">
        <f t="shared" si="1"/>
        <v>-136735.99193372679</v>
      </c>
      <c r="W32" s="226"/>
      <c r="X32" s="226"/>
      <c r="Y32" s="226"/>
      <c r="Z32" s="226"/>
      <c r="AA32" s="226"/>
      <c r="AB32" s="226"/>
      <c r="AC32" s="226"/>
      <c r="AD32" s="226"/>
      <c r="AE32" s="226"/>
    </row>
    <row r="33" spans="1:31">
      <c r="A33" s="235">
        <f t="shared" si="0"/>
        <v>28</v>
      </c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>
        <f t="shared" si="1"/>
        <v>0</v>
      </c>
      <c r="W33" s="226"/>
      <c r="X33" s="226"/>
      <c r="Y33" s="226"/>
      <c r="Z33" s="226"/>
      <c r="AA33" s="226"/>
      <c r="AB33" s="226"/>
      <c r="AC33" s="226"/>
      <c r="AD33" s="226"/>
      <c r="AE33" s="226"/>
    </row>
    <row r="34" spans="1:31">
      <c r="A34" s="235">
        <f t="shared" si="0"/>
        <v>29</v>
      </c>
      <c r="B34" s="224" t="s">
        <v>35</v>
      </c>
      <c r="C34" s="238">
        <v>0</v>
      </c>
      <c r="D34" s="238">
        <v>0</v>
      </c>
      <c r="E34" s="238">
        <v>0</v>
      </c>
      <c r="F34" s="238">
        <v>0</v>
      </c>
      <c r="G34" s="238">
        <v>0</v>
      </c>
      <c r="H34" s="238">
        <v>0</v>
      </c>
      <c r="I34" s="238">
        <v>0</v>
      </c>
      <c r="J34" s="238">
        <v>0</v>
      </c>
      <c r="K34" s="238">
        <v>0</v>
      </c>
      <c r="L34" s="238">
        <v>0</v>
      </c>
      <c r="M34" s="238">
        <v>0</v>
      </c>
      <c r="N34" s="238">
        <v>0</v>
      </c>
      <c r="O34" s="238">
        <v>0</v>
      </c>
      <c r="P34" s="238">
        <v>0</v>
      </c>
      <c r="Q34" s="238">
        <v>0</v>
      </c>
      <c r="R34" s="238">
        <v>0</v>
      </c>
      <c r="S34" s="238">
        <f t="shared" si="1"/>
        <v>0</v>
      </c>
      <c r="W34" s="226"/>
      <c r="X34" s="226"/>
      <c r="Y34" s="226"/>
      <c r="Z34" s="226"/>
      <c r="AA34" s="226"/>
      <c r="AB34" s="226"/>
      <c r="AC34" s="226"/>
      <c r="AD34" s="226"/>
      <c r="AE34" s="226"/>
    </row>
    <row r="35" spans="1:31">
      <c r="A35" s="235">
        <f t="shared" si="0"/>
        <v>30</v>
      </c>
      <c r="B35" s="224" t="s">
        <v>38</v>
      </c>
      <c r="C35" s="238">
        <v>0</v>
      </c>
      <c r="D35" s="238">
        <v>0</v>
      </c>
      <c r="E35" s="238">
        <v>0</v>
      </c>
      <c r="F35" s="238">
        <v>0</v>
      </c>
      <c r="G35" s="238">
        <v>0</v>
      </c>
      <c r="H35" s="238">
        <v>0</v>
      </c>
      <c r="I35" s="238">
        <v>0</v>
      </c>
      <c r="J35" s="238">
        <v>0</v>
      </c>
      <c r="K35" s="238">
        <v>0</v>
      </c>
      <c r="L35" s="238">
        <v>0</v>
      </c>
      <c r="M35" s="238">
        <v>0</v>
      </c>
      <c r="N35" s="238">
        <v>0</v>
      </c>
      <c r="O35" s="238">
        <f>'1.13 NonOper'!F23</f>
        <v>-41846.26</v>
      </c>
      <c r="P35" s="238">
        <v>0</v>
      </c>
      <c r="Q35" s="238">
        <v>0</v>
      </c>
      <c r="R35" s="238">
        <v>0</v>
      </c>
      <c r="S35" s="238">
        <f t="shared" si="1"/>
        <v>-41846.26</v>
      </c>
      <c r="W35" s="226"/>
      <c r="X35" s="226"/>
      <c r="Y35" s="226"/>
      <c r="Z35" s="226"/>
      <c r="AA35" s="226"/>
      <c r="AB35" s="226"/>
      <c r="AC35" s="226"/>
      <c r="AD35" s="226"/>
      <c r="AE35" s="226"/>
    </row>
    <row r="36" spans="1:31">
      <c r="A36" s="235">
        <f t="shared" si="0"/>
        <v>31</v>
      </c>
      <c r="B36" s="224" t="s">
        <v>39</v>
      </c>
      <c r="C36" s="238">
        <v>0</v>
      </c>
      <c r="D36" s="238">
        <v>0</v>
      </c>
      <c r="E36" s="238">
        <v>0</v>
      </c>
      <c r="F36" s="238">
        <v>0</v>
      </c>
      <c r="G36" s="238">
        <v>0</v>
      </c>
      <c r="H36" s="238">
        <v>0</v>
      </c>
      <c r="I36" s="238">
        <v>0</v>
      </c>
      <c r="J36" s="238">
        <v>0</v>
      </c>
      <c r="K36" s="238">
        <v>0</v>
      </c>
      <c r="L36" s="238">
        <v>0</v>
      </c>
      <c r="M36" s="238">
        <v>0</v>
      </c>
      <c r="N36" s="238">
        <v>0</v>
      </c>
      <c r="O36" s="238">
        <v>0</v>
      </c>
      <c r="P36" s="238">
        <v>0</v>
      </c>
      <c r="Q36" s="238">
        <v>0</v>
      </c>
      <c r="R36" s="238">
        <v>0</v>
      </c>
      <c r="S36" s="238">
        <f t="shared" si="1"/>
        <v>0</v>
      </c>
      <c r="W36" s="226"/>
      <c r="X36" s="226"/>
      <c r="Y36" s="226"/>
      <c r="Z36" s="226"/>
      <c r="AA36" s="226"/>
      <c r="AB36" s="226"/>
      <c r="AC36" s="226"/>
      <c r="AD36" s="226"/>
      <c r="AE36" s="226"/>
    </row>
    <row r="37" spans="1:31">
      <c r="A37" s="235">
        <f t="shared" si="0"/>
        <v>32</v>
      </c>
      <c r="B37" s="224" t="s">
        <v>40</v>
      </c>
      <c r="C37" s="238">
        <v>0</v>
      </c>
      <c r="D37" s="238">
        <v>0</v>
      </c>
      <c r="E37" s="238">
        <v>0</v>
      </c>
      <c r="F37" s="238">
        <v>0</v>
      </c>
      <c r="G37" s="238">
        <v>0</v>
      </c>
      <c r="H37" s="238">
        <v>0</v>
      </c>
      <c r="I37" s="238">
        <v>0</v>
      </c>
      <c r="J37" s="238">
        <v>0</v>
      </c>
      <c r="K37" s="238">
        <v>0</v>
      </c>
      <c r="L37" s="238">
        <v>0</v>
      </c>
      <c r="M37" s="238">
        <v>0</v>
      </c>
      <c r="N37" s="238">
        <v>0</v>
      </c>
      <c r="O37" s="238">
        <v>0</v>
      </c>
      <c r="P37" s="238">
        <v>0</v>
      </c>
      <c r="Q37" s="238">
        <v>0</v>
      </c>
      <c r="R37" s="238">
        <v>0</v>
      </c>
      <c r="S37" s="238">
        <f t="shared" si="1"/>
        <v>0</v>
      </c>
      <c r="W37" s="226"/>
      <c r="X37" s="226"/>
      <c r="Y37" s="226"/>
      <c r="Z37" s="226"/>
      <c r="AA37" s="226"/>
      <c r="AB37" s="226"/>
      <c r="AC37" s="226"/>
      <c r="AD37" s="226"/>
      <c r="AE37" s="226"/>
    </row>
    <row r="38" spans="1:31">
      <c r="A38" s="235">
        <f t="shared" si="0"/>
        <v>33</v>
      </c>
      <c r="B38" s="229" t="s">
        <v>547</v>
      </c>
      <c r="C38" s="239">
        <f t="shared" ref="C38:Q38" si="10">SUM(C34:C37)</f>
        <v>0</v>
      </c>
      <c r="D38" s="239">
        <f t="shared" si="10"/>
        <v>0</v>
      </c>
      <c r="E38" s="239">
        <f t="shared" si="10"/>
        <v>0</v>
      </c>
      <c r="F38" s="239">
        <f t="shared" si="10"/>
        <v>0</v>
      </c>
      <c r="G38" s="239">
        <f t="shared" si="10"/>
        <v>0</v>
      </c>
      <c r="H38" s="239">
        <f t="shared" si="10"/>
        <v>0</v>
      </c>
      <c r="I38" s="239">
        <f t="shared" si="10"/>
        <v>0</v>
      </c>
      <c r="J38" s="239">
        <f t="shared" si="10"/>
        <v>0</v>
      </c>
      <c r="K38" s="239">
        <f t="shared" si="10"/>
        <v>0</v>
      </c>
      <c r="L38" s="239">
        <f t="shared" si="10"/>
        <v>0</v>
      </c>
      <c r="M38" s="239">
        <f t="shared" si="10"/>
        <v>0</v>
      </c>
      <c r="N38" s="239">
        <f t="shared" si="10"/>
        <v>0</v>
      </c>
      <c r="O38" s="239">
        <f t="shared" si="10"/>
        <v>-41846.26</v>
      </c>
      <c r="P38" s="239">
        <f t="shared" si="10"/>
        <v>0</v>
      </c>
      <c r="Q38" s="239">
        <f t="shared" si="10"/>
        <v>0</v>
      </c>
      <c r="R38" s="239">
        <f t="shared" ref="R38" si="11">SUM(R34:R37)</f>
        <v>0</v>
      </c>
      <c r="S38" s="239">
        <f t="shared" si="1"/>
        <v>-41846.26</v>
      </c>
      <c r="W38" s="226"/>
      <c r="X38" s="226"/>
      <c r="Y38" s="226"/>
      <c r="Z38" s="226"/>
      <c r="AA38" s="226"/>
      <c r="AB38" s="226"/>
      <c r="AC38" s="226"/>
      <c r="AD38" s="226"/>
      <c r="AE38" s="226"/>
    </row>
    <row r="39" spans="1:31">
      <c r="A39" s="235">
        <f t="shared" si="0"/>
        <v>34</v>
      </c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>
        <f t="shared" si="1"/>
        <v>0</v>
      </c>
      <c r="W39" s="226"/>
      <c r="X39" s="226"/>
      <c r="Y39" s="226"/>
      <c r="Z39" s="226"/>
      <c r="AA39" s="226"/>
      <c r="AB39" s="226"/>
      <c r="AC39" s="226"/>
      <c r="AD39" s="226"/>
      <c r="AE39" s="226"/>
    </row>
    <row r="40" spans="1:31" ht="15" thickBot="1">
      <c r="A40" s="235">
        <f t="shared" si="0"/>
        <v>35</v>
      </c>
      <c r="B40" s="230" t="s">
        <v>41</v>
      </c>
      <c r="C40" s="241">
        <f t="shared" ref="C40:Q40" si="12">+C32+C38</f>
        <v>59233.559999999939</v>
      </c>
      <c r="D40" s="241">
        <f t="shared" si="12"/>
        <v>-138159.55999999959</v>
      </c>
      <c r="E40" s="241">
        <f t="shared" si="12"/>
        <v>372460.96000000008</v>
      </c>
      <c r="F40" s="241">
        <f t="shared" si="12"/>
        <v>-7797.109999999986</v>
      </c>
      <c r="G40" s="241">
        <f t="shared" si="12"/>
        <v>-331974.52429199993</v>
      </c>
      <c r="H40" s="241">
        <f t="shared" si="12"/>
        <v>145019.64000000001</v>
      </c>
      <c r="I40" s="241">
        <f t="shared" si="12"/>
        <v>39900.780000000006</v>
      </c>
      <c r="J40" s="241">
        <f t="shared" si="12"/>
        <v>5185.9907307109443</v>
      </c>
      <c r="K40" s="241">
        <f t="shared" si="12"/>
        <v>-25333.33</v>
      </c>
      <c r="L40" s="241">
        <f t="shared" si="12"/>
        <v>43007.449999999968</v>
      </c>
      <c r="M40" s="241">
        <f t="shared" si="12"/>
        <v>36409.339999999997</v>
      </c>
      <c r="N40" s="241">
        <f t="shared" si="12"/>
        <v>-320126.84557352634</v>
      </c>
      <c r="O40" s="241">
        <f t="shared" si="12"/>
        <v>-41846.26</v>
      </c>
      <c r="P40" s="241">
        <f t="shared" si="12"/>
        <v>-51518.91117542181</v>
      </c>
      <c r="Q40" s="241">
        <f t="shared" si="12"/>
        <v>16213.779999999999</v>
      </c>
      <c r="R40" s="241">
        <f t="shared" ref="R40" si="13">+R32+R38</f>
        <v>20742.788376509943</v>
      </c>
      <c r="S40" s="241">
        <f t="shared" si="1"/>
        <v>-178582.2519337268</v>
      </c>
      <c r="W40" s="226"/>
      <c r="X40" s="226"/>
      <c r="Y40" s="226"/>
      <c r="Z40" s="226"/>
      <c r="AA40" s="226"/>
      <c r="AB40" s="226"/>
      <c r="AC40" s="226"/>
      <c r="AD40" s="226"/>
      <c r="AE40" s="226"/>
    </row>
    <row r="41" spans="1:31" ht="15" thickTop="1">
      <c r="B41" s="236"/>
      <c r="C41" s="237"/>
      <c r="D41" s="237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W41" s="226"/>
      <c r="X41" s="226"/>
      <c r="Y41" s="226"/>
      <c r="Z41" s="226"/>
      <c r="AA41" s="226"/>
      <c r="AB41" s="226"/>
      <c r="AC41" s="226"/>
      <c r="AD41" s="226"/>
      <c r="AE41" s="226"/>
    </row>
    <row r="42" spans="1:31">
      <c r="B42" s="236"/>
      <c r="C42" s="237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W42" s="226"/>
      <c r="X42" s="226"/>
      <c r="Y42" s="226"/>
      <c r="Z42" s="226"/>
      <c r="AA42" s="226"/>
      <c r="AB42" s="226"/>
      <c r="AC42" s="226"/>
      <c r="AD42" s="226"/>
      <c r="AE42" s="226"/>
    </row>
    <row r="43" spans="1:31" ht="18" customHeight="1">
      <c r="U43" s="401"/>
      <c r="V43" s="401"/>
    </row>
    <row r="44" spans="1:31" ht="18" customHeight="1"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U44" s="231"/>
      <c r="V44" s="231"/>
    </row>
    <row r="45" spans="1:31" ht="18" customHeight="1"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U45" s="231"/>
      <c r="V45" s="231"/>
    </row>
    <row r="46" spans="1:31" ht="18" customHeight="1"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U46" s="231"/>
      <c r="V46" s="231"/>
    </row>
    <row r="47" spans="1:31" ht="18" customHeight="1"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U47" s="231"/>
      <c r="V47" s="231"/>
    </row>
    <row r="48" spans="1:31" ht="18" customHeight="1"/>
    <row r="49" ht="18" customHeight="1"/>
  </sheetData>
  <mergeCells count="1">
    <mergeCell ref="U43:V43"/>
  </mergeCells>
  <printOptions horizontalCentered="1"/>
  <pageMargins left="0.25" right="0.25" top="0.75" bottom="0.75" header="0.3" footer="0.3"/>
  <pageSetup scale="54" orientation="landscape" r:id="rId1"/>
  <headerFooter>
    <oddFooter>&amp;RExhibit  JW-2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opLeftCell="A19" zoomScaleNormal="100" workbookViewId="0">
      <selection activeCell="I4" sqref="I4"/>
    </sheetView>
  </sheetViews>
  <sheetFormatPr defaultRowHeight="12.75"/>
  <cols>
    <col min="1" max="1" width="5.85546875" style="20" customWidth="1"/>
    <col min="2" max="2" width="2.28515625" style="20" customWidth="1"/>
    <col min="3" max="3" width="11.7109375" style="20" customWidth="1"/>
    <col min="4" max="4" width="10.85546875" style="20" customWidth="1"/>
    <col min="5" max="5" width="5.85546875" style="20" customWidth="1"/>
    <col min="6" max="6" width="15.28515625" style="20" customWidth="1"/>
    <col min="7" max="7" width="3.28515625" style="20" customWidth="1"/>
    <col min="8" max="8" width="15.7109375" style="20" customWidth="1"/>
    <col min="9" max="16384" width="9.140625" style="20"/>
  </cols>
  <sheetData>
    <row r="1" spans="1:15">
      <c r="G1" s="36"/>
      <c r="H1" s="36" t="s">
        <v>583</v>
      </c>
    </row>
    <row r="2" spans="1:15" ht="20.25" customHeight="1">
      <c r="G2" s="36"/>
      <c r="H2" s="36"/>
    </row>
    <row r="3" spans="1:15">
      <c r="G3" s="36"/>
      <c r="H3" s="36"/>
    </row>
    <row r="4" spans="1:15">
      <c r="A4" s="402" t="s">
        <v>0</v>
      </c>
      <c r="B4" s="402"/>
      <c r="C4" s="402"/>
      <c r="D4" s="402"/>
      <c r="E4" s="402"/>
      <c r="F4" s="402"/>
      <c r="G4" s="402"/>
      <c r="H4" s="402"/>
      <c r="J4" s="322"/>
      <c r="K4" s="322"/>
      <c r="L4" s="322"/>
      <c r="M4" s="322"/>
      <c r="N4" s="322"/>
      <c r="O4" s="322"/>
    </row>
    <row r="5" spans="1:15">
      <c r="A5" s="402" t="s">
        <v>2</v>
      </c>
      <c r="B5" s="402"/>
      <c r="C5" s="402"/>
      <c r="D5" s="402"/>
      <c r="E5" s="402"/>
      <c r="F5" s="402"/>
      <c r="G5" s="402"/>
      <c r="H5" s="402"/>
    </row>
    <row r="7" spans="1:15" s="37" customFormat="1" ht="15" customHeight="1">
      <c r="A7" s="403" t="s">
        <v>581</v>
      </c>
      <c r="B7" s="403"/>
      <c r="C7" s="403"/>
      <c r="D7" s="403"/>
      <c r="E7" s="403"/>
      <c r="F7" s="403"/>
      <c r="G7" s="403"/>
      <c r="H7" s="403"/>
    </row>
    <row r="9" spans="1:15">
      <c r="A9" s="27" t="s">
        <v>7</v>
      </c>
      <c r="C9" s="27" t="s">
        <v>156</v>
      </c>
      <c r="D9" s="27" t="s">
        <v>100</v>
      </c>
      <c r="E9" s="27"/>
      <c r="F9" s="27" t="s">
        <v>53</v>
      </c>
      <c r="G9" s="27"/>
      <c r="H9" s="27" t="s">
        <v>54</v>
      </c>
    </row>
    <row r="10" spans="1:15">
      <c r="A10" s="38" t="s">
        <v>11</v>
      </c>
      <c r="C10" s="39" t="s">
        <v>157</v>
      </c>
      <c r="D10" s="39" t="s">
        <v>158</v>
      </c>
      <c r="E10" s="27"/>
      <c r="F10" s="39" t="s">
        <v>159</v>
      </c>
      <c r="G10" s="39"/>
      <c r="H10" s="39" t="s">
        <v>12</v>
      </c>
    </row>
    <row r="11" spans="1:15">
      <c r="A11" s="27"/>
    </row>
    <row r="12" spans="1:15">
      <c r="A12" s="27"/>
    </row>
    <row r="13" spans="1:15">
      <c r="A13" s="27">
        <v>1</v>
      </c>
      <c r="C13" s="27">
        <v>2017</v>
      </c>
      <c r="D13" s="40" t="s">
        <v>111</v>
      </c>
      <c r="E13" s="41"/>
      <c r="F13" s="41">
        <v>175662.88</v>
      </c>
      <c r="G13" s="41"/>
      <c r="H13" s="41">
        <v>38614.68</v>
      </c>
    </row>
    <row r="14" spans="1:15">
      <c r="A14" s="27">
        <v>2</v>
      </c>
      <c r="C14" s="27">
        <f>C13</f>
        <v>2017</v>
      </c>
      <c r="D14" s="40" t="s">
        <v>112</v>
      </c>
      <c r="E14" s="41"/>
      <c r="F14" s="41">
        <v>-49640.39</v>
      </c>
      <c r="G14" s="41"/>
      <c r="H14" s="41">
        <v>62128.2</v>
      </c>
    </row>
    <row r="15" spans="1:15">
      <c r="A15" s="27">
        <v>3</v>
      </c>
      <c r="C15" s="27">
        <f t="shared" ref="C15:C24" si="0">C14</f>
        <v>2017</v>
      </c>
      <c r="D15" s="40" t="s">
        <v>113</v>
      </c>
      <c r="E15" s="41"/>
      <c r="F15" s="41">
        <v>40631.040000000001</v>
      </c>
      <c r="G15" s="41"/>
      <c r="H15" s="41">
        <v>82149.009999999995</v>
      </c>
    </row>
    <row r="16" spans="1:15">
      <c r="A16" s="27">
        <v>4</v>
      </c>
      <c r="C16" s="27">
        <f t="shared" si="0"/>
        <v>2017</v>
      </c>
      <c r="D16" s="40" t="s">
        <v>114</v>
      </c>
      <c r="E16" s="41"/>
      <c r="F16" s="41">
        <v>8493.93</v>
      </c>
      <c r="G16" s="41"/>
      <c r="H16" s="41">
        <v>37948.82</v>
      </c>
    </row>
    <row r="17" spans="1:8">
      <c r="A17" s="27">
        <v>5</v>
      </c>
      <c r="C17" s="27">
        <f t="shared" si="0"/>
        <v>2017</v>
      </c>
      <c r="D17" s="40" t="s">
        <v>83</v>
      </c>
      <c r="E17" s="41"/>
      <c r="F17" s="41">
        <v>75811.240000000005</v>
      </c>
      <c r="G17" s="41"/>
      <c r="H17" s="41">
        <v>23620.3</v>
      </c>
    </row>
    <row r="18" spans="1:8">
      <c r="A18" s="27">
        <v>6</v>
      </c>
      <c r="C18" s="27">
        <f t="shared" si="0"/>
        <v>2017</v>
      </c>
      <c r="D18" s="40" t="s">
        <v>115</v>
      </c>
      <c r="E18" s="41"/>
      <c r="F18" s="41">
        <v>61487.6</v>
      </c>
      <c r="G18" s="41"/>
      <c r="H18" s="41">
        <v>19269.91</v>
      </c>
    </row>
    <row r="19" spans="1:8">
      <c r="A19" s="27">
        <v>7</v>
      </c>
      <c r="C19" s="27">
        <f t="shared" si="0"/>
        <v>2017</v>
      </c>
      <c r="D19" s="40" t="s">
        <v>116</v>
      </c>
      <c r="E19" s="41"/>
      <c r="F19" s="41">
        <v>33348.639999999999</v>
      </c>
      <c r="G19" s="41"/>
      <c r="H19" s="41">
        <v>101666.31</v>
      </c>
    </row>
    <row r="20" spans="1:8">
      <c r="A20" s="27">
        <v>8</v>
      </c>
      <c r="C20" s="27">
        <f t="shared" si="0"/>
        <v>2017</v>
      </c>
      <c r="D20" s="40" t="s">
        <v>117</v>
      </c>
      <c r="E20" s="41"/>
      <c r="F20" s="41">
        <v>24781.070000000003</v>
      </c>
      <c r="G20" s="41"/>
      <c r="H20" s="41">
        <v>112959.36</v>
      </c>
    </row>
    <row r="21" spans="1:8">
      <c r="A21" s="27">
        <v>9</v>
      </c>
      <c r="C21" s="27">
        <f t="shared" si="0"/>
        <v>2017</v>
      </c>
      <c r="D21" s="40" t="s">
        <v>118</v>
      </c>
      <c r="E21" s="41"/>
      <c r="F21" s="41">
        <v>69445.33</v>
      </c>
      <c r="G21" s="41"/>
      <c r="H21" s="41">
        <v>89487.290000000008</v>
      </c>
    </row>
    <row r="22" spans="1:8">
      <c r="A22" s="27">
        <v>10</v>
      </c>
      <c r="C22" s="27">
        <f t="shared" si="0"/>
        <v>2017</v>
      </c>
      <c r="D22" s="40" t="s">
        <v>119</v>
      </c>
      <c r="E22" s="41"/>
      <c r="F22" s="41">
        <v>89359.3</v>
      </c>
      <c r="G22" s="41"/>
      <c r="H22" s="41">
        <v>93409.950000000012</v>
      </c>
    </row>
    <row r="23" spans="1:8">
      <c r="A23" s="27">
        <v>11</v>
      </c>
      <c r="C23" s="27">
        <f t="shared" si="0"/>
        <v>2017</v>
      </c>
      <c r="D23" s="40" t="s">
        <v>120</v>
      </c>
      <c r="E23" s="41"/>
      <c r="F23" s="41">
        <v>73349.460000000006</v>
      </c>
      <c r="G23" s="41"/>
      <c r="H23" s="41">
        <v>95662.58</v>
      </c>
    </row>
    <row r="24" spans="1:8">
      <c r="A24" s="27">
        <v>12</v>
      </c>
      <c r="C24" s="27">
        <f t="shared" si="0"/>
        <v>2017</v>
      </c>
      <c r="D24" s="40" t="s">
        <v>121</v>
      </c>
      <c r="E24" s="41"/>
      <c r="F24" s="41">
        <v>126107.92</v>
      </c>
      <c r="G24" s="41"/>
      <c r="H24" s="41">
        <v>31155.17</v>
      </c>
    </row>
    <row r="25" spans="1:8">
      <c r="A25" s="27">
        <v>13</v>
      </c>
      <c r="C25" s="45"/>
      <c r="D25" s="44" t="s">
        <v>110</v>
      </c>
      <c r="E25" s="203"/>
      <c r="F25" s="203">
        <f>SUM(F13:F24)</f>
        <v>728838.02</v>
      </c>
      <c r="G25" s="203"/>
      <c r="H25" s="203">
        <f>SUM(H13:H24)</f>
        <v>788071.58000000007</v>
      </c>
    </row>
    <row r="26" spans="1:8">
      <c r="A26" s="27">
        <v>14</v>
      </c>
      <c r="C26" s="48"/>
      <c r="D26" s="58"/>
      <c r="E26" s="46"/>
      <c r="F26" s="46"/>
      <c r="G26" s="46"/>
    </row>
    <row r="27" spans="1:8">
      <c r="A27" s="27">
        <v>15</v>
      </c>
      <c r="C27" s="58" t="s">
        <v>128</v>
      </c>
      <c r="D27" s="58"/>
      <c r="E27" s="46"/>
      <c r="F27" s="60">
        <f>F25</f>
        <v>728838.02</v>
      </c>
      <c r="G27" s="60"/>
      <c r="H27" s="60">
        <f>H25</f>
        <v>788071.58000000007</v>
      </c>
    </row>
    <row r="28" spans="1:8">
      <c r="A28" s="27">
        <v>16</v>
      </c>
      <c r="C28" s="58"/>
      <c r="D28" s="58"/>
      <c r="E28" s="46"/>
      <c r="F28" s="46"/>
      <c r="G28" s="46"/>
    </row>
    <row r="29" spans="1:8">
      <c r="A29" s="27">
        <v>17</v>
      </c>
      <c r="C29" s="62" t="s">
        <v>176</v>
      </c>
      <c r="E29" s="41"/>
      <c r="F29" s="41">
        <v>0</v>
      </c>
      <c r="G29" s="41"/>
      <c r="H29" s="41">
        <v>0</v>
      </c>
    </row>
    <row r="30" spans="1:8">
      <c r="A30" s="27">
        <v>18</v>
      </c>
      <c r="C30" s="62"/>
    </row>
    <row r="31" spans="1:8" ht="13.5" thickBot="1">
      <c r="A31" s="27">
        <v>19</v>
      </c>
      <c r="C31" s="63" t="s">
        <v>10</v>
      </c>
      <c r="D31" s="64"/>
      <c r="E31" s="65"/>
      <c r="F31" s="66">
        <f>ROUND(F29-F27,2)</f>
        <v>-728838.02</v>
      </c>
      <c r="G31" s="65"/>
      <c r="H31" s="66">
        <f>ROUND(H29-H27,2)</f>
        <v>-788071.58</v>
      </c>
    </row>
    <row r="32" spans="1:8" ht="13.5" thickTop="1"/>
    <row r="34" spans="3:8" ht="30" customHeight="1">
      <c r="C34" s="404" t="s">
        <v>582</v>
      </c>
      <c r="D34" s="404"/>
      <c r="E34" s="404"/>
      <c r="F34" s="404"/>
      <c r="G34" s="404"/>
      <c r="H34" s="404"/>
    </row>
  </sheetData>
  <mergeCells count="4">
    <mergeCell ref="A4:H4"/>
    <mergeCell ref="A5:H5"/>
    <mergeCell ref="A7:H7"/>
    <mergeCell ref="C34:H34"/>
  </mergeCells>
  <printOptions horizontalCentered="1"/>
  <pageMargins left="1" right="0.75" top="0.75" bottom="0.5" header="0.5" footer="0.5"/>
  <pageSetup orientation="portrait" r:id="rId1"/>
  <headerFooter alignWithMargins="0">
    <oddFooter>&amp;RExhibit JW-2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opLeftCell="A7" zoomScaleNormal="100" workbookViewId="0">
      <selection activeCell="I4" sqref="I4"/>
    </sheetView>
  </sheetViews>
  <sheetFormatPr defaultRowHeight="12.75"/>
  <cols>
    <col min="1" max="1" width="5.85546875" style="20" customWidth="1"/>
    <col min="2" max="2" width="2.28515625" style="20" customWidth="1"/>
    <col min="3" max="3" width="11.7109375" style="20" customWidth="1"/>
    <col min="4" max="4" width="10.85546875" style="20" customWidth="1"/>
    <col min="5" max="5" width="5.85546875" style="20" customWidth="1"/>
    <col min="6" max="6" width="15.28515625" style="20" customWidth="1"/>
    <col min="7" max="7" width="3.28515625" style="20" customWidth="1"/>
    <col min="8" max="8" width="15.7109375" style="20" customWidth="1"/>
    <col min="9" max="16384" width="9.140625" style="20"/>
  </cols>
  <sheetData>
    <row r="1" spans="1:15">
      <c r="G1" s="36"/>
      <c r="H1" s="36" t="s">
        <v>584</v>
      </c>
    </row>
    <row r="2" spans="1:15" ht="20.25" customHeight="1">
      <c r="G2" s="36"/>
      <c r="H2" s="36"/>
    </row>
    <row r="3" spans="1:15">
      <c r="G3" s="36"/>
      <c r="H3" s="36"/>
    </row>
    <row r="4" spans="1:15">
      <c r="A4" s="402" t="s">
        <v>0</v>
      </c>
      <c r="B4" s="402"/>
      <c r="C4" s="402"/>
      <c r="D4" s="402"/>
      <c r="E4" s="402"/>
      <c r="F4" s="402"/>
      <c r="G4" s="402"/>
      <c r="H4" s="402"/>
      <c r="J4" s="322"/>
      <c r="K4" s="322"/>
      <c r="L4" s="322"/>
      <c r="M4" s="322"/>
      <c r="N4" s="322"/>
      <c r="O4" s="322"/>
    </row>
    <row r="5" spans="1:15">
      <c r="A5" s="402" t="s">
        <v>2</v>
      </c>
      <c r="B5" s="402"/>
      <c r="C5" s="402"/>
      <c r="D5" s="402"/>
      <c r="E5" s="402"/>
      <c r="F5" s="402"/>
      <c r="G5" s="402"/>
      <c r="H5" s="402"/>
    </row>
    <row r="7" spans="1:15" s="37" customFormat="1" ht="15" customHeight="1">
      <c r="A7" s="403" t="s">
        <v>587</v>
      </c>
      <c r="B7" s="403"/>
      <c r="C7" s="403"/>
      <c r="D7" s="403"/>
      <c r="E7" s="403"/>
      <c r="F7" s="403"/>
      <c r="G7" s="403"/>
      <c r="H7" s="403"/>
    </row>
    <row r="9" spans="1:15">
      <c r="A9" s="27" t="s">
        <v>7</v>
      </c>
      <c r="C9" s="27" t="s">
        <v>156</v>
      </c>
      <c r="D9" s="27" t="s">
        <v>100</v>
      </c>
      <c r="E9" s="27"/>
      <c r="F9" s="27" t="s">
        <v>53</v>
      </c>
      <c r="G9" s="27"/>
      <c r="H9" s="27" t="s">
        <v>54</v>
      </c>
    </row>
    <row r="10" spans="1:15">
      <c r="A10" s="38" t="s">
        <v>11</v>
      </c>
      <c r="C10" s="39" t="s">
        <v>157</v>
      </c>
      <c r="D10" s="39" t="s">
        <v>158</v>
      </c>
      <c r="E10" s="27"/>
      <c r="F10" s="39" t="s">
        <v>159</v>
      </c>
      <c r="G10" s="39"/>
      <c r="H10" s="39" t="s">
        <v>12</v>
      </c>
    </row>
    <row r="11" spans="1:15">
      <c r="A11" s="27"/>
    </row>
    <row r="12" spans="1:15">
      <c r="A12" s="27"/>
    </row>
    <row r="13" spans="1:15">
      <c r="A13" s="27">
        <v>1</v>
      </c>
      <c r="C13" s="27">
        <v>2017</v>
      </c>
      <c r="D13" s="40" t="s">
        <v>111</v>
      </c>
      <c r="E13" s="41"/>
      <c r="F13" s="41">
        <v>498469.08999999997</v>
      </c>
      <c r="G13" s="41"/>
      <c r="H13" s="41">
        <v>484853.42</v>
      </c>
    </row>
    <row r="14" spans="1:15">
      <c r="A14" s="27">
        <v>2</v>
      </c>
      <c r="C14" s="27">
        <f>C13</f>
        <v>2017</v>
      </c>
      <c r="D14" s="40" t="s">
        <v>112</v>
      </c>
      <c r="E14" s="41"/>
      <c r="F14" s="41">
        <v>564209.72</v>
      </c>
      <c r="G14" s="41"/>
      <c r="H14" s="41">
        <v>303238.58</v>
      </c>
    </row>
    <row r="15" spans="1:15">
      <c r="A15" s="27">
        <v>3</v>
      </c>
      <c r="C15" s="27">
        <f t="shared" ref="C15:C24" si="0">C14</f>
        <v>2017</v>
      </c>
      <c r="D15" s="40" t="s">
        <v>113</v>
      </c>
      <c r="E15" s="41"/>
      <c r="F15" s="41">
        <v>336464.64999999997</v>
      </c>
      <c r="G15" s="41"/>
      <c r="H15" s="41">
        <v>226112.04</v>
      </c>
    </row>
    <row r="16" spans="1:15">
      <c r="A16" s="27">
        <v>4</v>
      </c>
      <c r="C16" s="27">
        <f t="shared" si="0"/>
        <v>2017</v>
      </c>
      <c r="D16" s="40" t="s">
        <v>114</v>
      </c>
      <c r="E16" s="41"/>
      <c r="F16" s="41">
        <v>140492.74</v>
      </c>
      <c r="G16" s="41"/>
      <c r="H16" s="41">
        <v>234139.51999999999</v>
      </c>
    </row>
    <row r="17" spans="1:8">
      <c r="A17" s="27">
        <v>5</v>
      </c>
      <c r="C17" s="27">
        <f t="shared" si="0"/>
        <v>2017</v>
      </c>
      <c r="D17" s="40" t="s">
        <v>83</v>
      </c>
      <c r="E17" s="41"/>
      <c r="F17" s="41">
        <v>260291.66999999998</v>
      </c>
      <c r="G17" s="41"/>
      <c r="H17" s="41">
        <v>290016.54000000004</v>
      </c>
    </row>
    <row r="18" spans="1:8">
      <c r="A18" s="27">
        <v>6</v>
      </c>
      <c r="C18" s="27">
        <f t="shared" si="0"/>
        <v>2017</v>
      </c>
      <c r="D18" s="40" t="s">
        <v>115</v>
      </c>
      <c r="E18" s="41"/>
      <c r="F18" s="41">
        <v>417830.38</v>
      </c>
      <c r="G18" s="41"/>
      <c r="H18" s="41">
        <v>449644.88</v>
      </c>
    </row>
    <row r="19" spans="1:8">
      <c r="A19" s="27">
        <v>7</v>
      </c>
      <c r="C19" s="27">
        <f t="shared" si="0"/>
        <v>2017</v>
      </c>
      <c r="D19" s="40" t="s">
        <v>116</v>
      </c>
      <c r="E19" s="41"/>
      <c r="F19" s="41">
        <v>410695.12</v>
      </c>
      <c r="G19" s="41"/>
      <c r="H19" s="41">
        <v>585712.67000000004</v>
      </c>
    </row>
    <row r="20" spans="1:8">
      <c r="A20" s="27">
        <v>8</v>
      </c>
      <c r="C20" s="27">
        <f t="shared" si="0"/>
        <v>2017</v>
      </c>
      <c r="D20" s="40" t="s">
        <v>117</v>
      </c>
      <c r="E20" s="41"/>
      <c r="F20" s="41">
        <v>504094.14</v>
      </c>
      <c r="G20" s="41"/>
      <c r="H20" s="41">
        <v>404886.7</v>
      </c>
    </row>
    <row r="21" spans="1:8">
      <c r="A21" s="27">
        <v>9</v>
      </c>
      <c r="C21" s="27">
        <f t="shared" si="0"/>
        <v>2017</v>
      </c>
      <c r="D21" s="40" t="s">
        <v>118</v>
      </c>
      <c r="E21" s="41"/>
      <c r="F21" s="41">
        <v>387513.06999999995</v>
      </c>
      <c r="G21" s="41"/>
      <c r="H21" s="41">
        <v>192562.63999999998</v>
      </c>
    </row>
    <row r="22" spans="1:8">
      <c r="A22" s="27">
        <v>10</v>
      </c>
      <c r="C22" s="27">
        <f t="shared" si="0"/>
        <v>2017</v>
      </c>
      <c r="D22" s="40" t="s">
        <v>119</v>
      </c>
      <c r="E22" s="41"/>
      <c r="F22" s="41">
        <v>256643.78</v>
      </c>
      <c r="G22" s="41"/>
      <c r="H22" s="41">
        <v>285081.36</v>
      </c>
    </row>
    <row r="23" spans="1:8">
      <c r="A23" s="27">
        <v>11</v>
      </c>
      <c r="C23" s="27">
        <f t="shared" si="0"/>
        <v>2017</v>
      </c>
      <c r="D23" s="40" t="s">
        <v>120</v>
      </c>
      <c r="E23" s="41"/>
      <c r="F23" s="41">
        <v>124403.56</v>
      </c>
      <c r="G23" s="41"/>
      <c r="H23" s="41">
        <v>308838.5</v>
      </c>
    </row>
    <row r="24" spans="1:8">
      <c r="A24" s="27">
        <v>12</v>
      </c>
      <c r="C24" s="27">
        <f t="shared" si="0"/>
        <v>2017</v>
      </c>
      <c r="D24" s="40" t="s">
        <v>121</v>
      </c>
      <c r="E24" s="41"/>
      <c r="F24" s="41">
        <v>442622.22</v>
      </c>
      <c r="G24" s="41"/>
      <c r="H24" s="41">
        <v>440483.73</v>
      </c>
    </row>
    <row r="25" spans="1:8">
      <c r="A25" s="27">
        <v>13</v>
      </c>
      <c r="C25" s="45"/>
      <c r="D25" s="44" t="s">
        <v>110</v>
      </c>
      <c r="E25" s="203"/>
      <c r="F25" s="203">
        <f>SUM(F13:F24)</f>
        <v>4343730.1399999997</v>
      </c>
      <c r="G25" s="203"/>
      <c r="H25" s="203">
        <f>SUM(H13:H24)</f>
        <v>4205570.58</v>
      </c>
    </row>
    <row r="26" spans="1:8">
      <c r="A26" s="27">
        <v>14</v>
      </c>
      <c r="C26" s="48"/>
      <c r="D26" s="58"/>
      <c r="E26" s="46"/>
      <c r="F26" s="46"/>
      <c r="G26" s="46"/>
    </row>
    <row r="27" spans="1:8">
      <c r="A27" s="27">
        <v>15</v>
      </c>
      <c r="C27" s="58" t="s">
        <v>128</v>
      </c>
      <c r="D27" s="58"/>
      <c r="E27" s="46"/>
      <c r="F27" s="60">
        <f>F25</f>
        <v>4343730.1399999997</v>
      </c>
      <c r="G27" s="60"/>
      <c r="H27" s="60">
        <f>H25</f>
        <v>4205570.58</v>
      </c>
    </row>
    <row r="28" spans="1:8">
      <c r="A28" s="27">
        <v>16</v>
      </c>
      <c r="C28" s="58"/>
      <c r="D28" s="58"/>
      <c r="E28" s="46"/>
      <c r="F28" s="46"/>
      <c r="G28" s="46"/>
    </row>
    <row r="29" spans="1:8">
      <c r="A29" s="27">
        <v>17</v>
      </c>
      <c r="C29" s="62" t="s">
        <v>176</v>
      </c>
      <c r="E29" s="41"/>
      <c r="F29" s="41">
        <v>0</v>
      </c>
      <c r="G29" s="41"/>
      <c r="H29" s="41">
        <v>0</v>
      </c>
    </row>
    <row r="30" spans="1:8">
      <c r="A30" s="27">
        <v>18</v>
      </c>
      <c r="C30" s="62"/>
    </row>
    <row r="31" spans="1:8" ht="13.5" thickBot="1">
      <c r="A31" s="27">
        <v>19</v>
      </c>
      <c r="C31" s="63" t="s">
        <v>10</v>
      </c>
      <c r="D31" s="64"/>
      <c r="E31" s="65"/>
      <c r="F31" s="66">
        <f>ROUND(F29-F27,2)</f>
        <v>-4343730.1399999997</v>
      </c>
      <c r="G31" s="65"/>
      <c r="H31" s="66">
        <f>ROUND(H29-H27,2)</f>
        <v>-4205570.58</v>
      </c>
    </row>
    <row r="32" spans="1:8" ht="13.5" thickTop="1"/>
    <row r="34" spans="3:8" ht="30" customHeight="1">
      <c r="C34" s="404" t="s">
        <v>588</v>
      </c>
      <c r="D34" s="404"/>
      <c r="E34" s="404"/>
      <c r="F34" s="404"/>
      <c r="G34" s="404"/>
      <c r="H34" s="404"/>
    </row>
  </sheetData>
  <mergeCells count="4">
    <mergeCell ref="A4:H4"/>
    <mergeCell ref="A5:H5"/>
    <mergeCell ref="A7:H7"/>
    <mergeCell ref="C34:H34"/>
  </mergeCells>
  <printOptions horizontalCentered="1"/>
  <pageMargins left="1" right="0.75" top="0.75" bottom="0.5" header="0.5" footer="0.5"/>
  <pageSetup orientation="portrait" r:id="rId1"/>
  <headerFooter alignWithMargins="0">
    <oddFooter>&amp;RExhibit JW-2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zoomScaleNormal="100" workbookViewId="0">
      <selection activeCell="I4" sqref="I4"/>
    </sheetView>
  </sheetViews>
  <sheetFormatPr defaultRowHeight="12.75"/>
  <cols>
    <col min="1" max="1" width="5.85546875" style="20" customWidth="1"/>
    <col min="2" max="2" width="2.28515625" style="20" customWidth="1"/>
    <col min="3" max="3" width="11.7109375" style="20" customWidth="1"/>
    <col min="4" max="4" width="10.85546875" style="20" customWidth="1"/>
    <col min="5" max="5" width="5.85546875" style="20" customWidth="1"/>
    <col min="6" max="6" width="15.28515625" style="20" customWidth="1"/>
    <col min="7" max="7" width="3.28515625" style="20" customWidth="1"/>
    <col min="8" max="8" width="15.7109375" style="20" customWidth="1"/>
    <col min="9" max="16384" width="9.140625" style="20"/>
  </cols>
  <sheetData>
    <row r="1" spans="1:15">
      <c r="G1" s="36"/>
      <c r="H1" s="36" t="s">
        <v>585</v>
      </c>
    </row>
    <row r="2" spans="1:15" ht="20.25" customHeight="1">
      <c r="G2" s="36"/>
      <c r="H2" s="36"/>
    </row>
    <row r="3" spans="1:15">
      <c r="G3" s="36"/>
      <c r="H3" s="36"/>
    </row>
    <row r="4" spans="1:15">
      <c r="A4" s="402" t="s">
        <v>0</v>
      </c>
      <c r="B4" s="402"/>
      <c r="C4" s="402"/>
      <c r="D4" s="402"/>
      <c r="E4" s="402"/>
      <c r="F4" s="402"/>
      <c r="G4" s="402"/>
      <c r="H4" s="402"/>
      <c r="J4" s="322"/>
      <c r="K4" s="322"/>
      <c r="L4" s="322"/>
      <c r="M4" s="322"/>
      <c r="N4" s="322"/>
      <c r="O4" s="322"/>
    </row>
    <row r="5" spans="1:15">
      <c r="A5" s="402" t="s">
        <v>2</v>
      </c>
      <c r="B5" s="402"/>
      <c r="C5" s="402"/>
      <c r="D5" s="402"/>
      <c r="E5" s="402"/>
      <c r="F5" s="402"/>
      <c r="G5" s="402"/>
      <c r="H5" s="402"/>
    </row>
    <row r="7" spans="1:15" s="37" customFormat="1" ht="15" customHeight="1">
      <c r="A7" s="403" t="s">
        <v>592</v>
      </c>
      <c r="B7" s="403"/>
      <c r="C7" s="403"/>
      <c r="D7" s="403"/>
      <c r="E7" s="403"/>
      <c r="F7" s="403"/>
      <c r="G7" s="403"/>
      <c r="H7" s="403"/>
    </row>
    <row r="9" spans="1:15">
      <c r="A9" s="27" t="s">
        <v>7</v>
      </c>
      <c r="C9" s="27" t="s">
        <v>156</v>
      </c>
      <c r="D9" s="27" t="s">
        <v>100</v>
      </c>
      <c r="E9" s="27"/>
      <c r="F9" s="27" t="s">
        <v>53</v>
      </c>
      <c r="G9" s="27"/>
      <c r="H9" s="27" t="s">
        <v>54</v>
      </c>
    </row>
    <row r="10" spans="1:15">
      <c r="A10" s="38" t="s">
        <v>11</v>
      </c>
      <c r="C10" s="39" t="s">
        <v>157</v>
      </c>
      <c r="D10" s="39" t="s">
        <v>158</v>
      </c>
      <c r="E10" s="27"/>
      <c r="F10" s="39" t="s">
        <v>159</v>
      </c>
      <c r="G10" s="39"/>
      <c r="H10" s="39" t="s">
        <v>12</v>
      </c>
    </row>
    <row r="11" spans="1:15">
      <c r="A11" s="27"/>
    </row>
    <row r="12" spans="1:15">
      <c r="A12" s="27"/>
    </row>
    <row r="13" spans="1:15">
      <c r="A13" s="27">
        <v>1</v>
      </c>
      <c r="C13" s="27">
        <v>2017</v>
      </c>
      <c r="D13" s="40" t="s">
        <v>111</v>
      </c>
      <c r="E13" s="41"/>
      <c r="F13" s="41">
        <v>-281850.03999999998</v>
      </c>
      <c r="G13" s="41"/>
      <c r="H13" s="41">
        <v>-72488.759999999995</v>
      </c>
    </row>
    <row r="14" spans="1:15">
      <c r="A14" s="27">
        <v>2</v>
      </c>
      <c r="C14" s="27">
        <f>C13</f>
        <v>2017</v>
      </c>
      <c r="D14" s="40" t="s">
        <v>112</v>
      </c>
      <c r="E14" s="41"/>
      <c r="F14" s="41">
        <v>-201891.35</v>
      </c>
      <c r="G14" s="41"/>
      <c r="H14" s="41">
        <v>-71900.69</v>
      </c>
    </row>
    <row r="15" spans="1:15">
      <c r="A15" s="27">
        <v>3</v>
      </c>
      <c r="C15" s="27">
        <f t="shared" ref="C15:C24" si="0">C14</f>
        <v>2017</v>
      </c>
      <c r="D15" s="40" t="s">
        <v>113</v>
      </c>
      <c r="E15" s="41"/>
      <c r="F15" s="41">
        <v>-72968.27</v>
      </c>
      <c r="G15" s="41"/>
      <c r="H15" s="41">
        <v>-64917.399999999994</v>
      </c>
    </row>
    <row r="16" spans="1:15">
      <c r="A16" s="27">
        <v>4</v>
      </c>
      <c r="C16" s="27">
        <f t="shared" si="0"/>
        <v>2017</v>
      </c>
      <c r="D16" s="40" t="s">
        <v>114</v>
      </c>
      <c r="E16" s="41"/>
      <c r="F16" s="41">
        <v>-52478.350000000006</v>
      </c>
      <c r="G16" s="41"/>
      <c r="H16" s="41">
        <v>-75866.740000000005</v>
      </c>
    </row>
    <row r="17" spans="1:8">
      <c r="A17" s="27">
        <v>5</v>
      </c>
      <c r="C17" s="27">
        <f t="shared" si="0"/>
        <v>2017</v>
      </c>
      <c r="D17" s="40" t="s">
        <v>83</v>
      </c>
      <c r="E17" s="41"/>
      <c r="F17" s="41">
        <v>-115043.79000000001</v>
      </c>
      <c r="G17" s="41"/>
      <c r="H17" s="41">
        <v>-75121.89</v>
      </c>
    </row>
    <row r="18" spans="1:8">
      <c r="A18" s="27">
        <v>6</v>
      </c>
      <c r="C18" s="27">
        <f t="shared" si="0"/>
        <v>2017</v>
      </c>
      <c r="D18" s="40" t="s">
        <v>115</v>
      </c>
      <c r="E18" s="41"/>
      <c r="F18" s="41">
        <v>-119180.38</v>
      </c>
      <c r="G18" s="41"/>
      <c r="H18" s="41">
        <v>-75837.459999999992</v>
      </c>
    </row>
    <row r="19" spans="1:8">
      <c r="A19" s="27">
        <v>7</v>
      </c>
      <c r="C19" s="27">
        <f t="shared" si="0"/>
        <v>2017</v>
      </c>
      <c r="D19" s="40" t="s">
        <v>116</v>
      </c>
      <c r="E19" s="41"/>
      <c r="F19" s="41">
        <v>-94578.18</v>
      </c>
      <c r="G19" s="41"/>
      <c r="H19" s="41">
        <v>-90849.12999999999</v>
      </c>
    </row>
    <row r="20" spans="1:8">
      <c r="A20" s="27">
        <v>8</v>
      </c>
      <c r="C20" s="27">
        <f t="shared" si="0"/>
        <v>2017</v>
      </c>
      <c r="D20" s="40" t="s">
        <v>117</v>
      </c>
      <c r="E20" s="41"/>
      <c r="F20" s="41">
        <v>-108282.86</v>
      </c>
      <c r="G20" s="41"/>
      <c r="H20" s="41">
        <v>-93153.39</v>
      </c>
    </row>
    <row r="21" spans="1:8">
      <c r="A21" s="27">
        <v>9</v>
      </c>
      <c r="C21" s="27">
        <f t="shared" si="0"/>
        <v>2017</v>
      </c>
      <c r="D21" s="40" t="s">
        <v>118</v>
      </c>
      <c r="E21" s="41"/>
      <c r="F21" s="41">
        <v>-62852.72</v>
      </c>
      <c r="G21" s="41"/>
      <c r="H21" s="41">
        <v>-93155.76</v>
      </c>
    </row>
    <row r="22" spans="1:8">
      <c r="A22" s="27">
        <v>10</v>
      </c>
      <c r="C22" s="27">
        <f t="shared" si="0"/>
        <v>2017</v>
      </c>
      <c r="D22" s="40" t="s">
        <v>119</v>
      </c>
      <c r="E22" s="41"/>
      <c r="F22" s="41">
        <v>-59806.35</v>
      </c>
      <c r="G22" s="41"/>
      <c r="H22" s="41">
        <v>-85509.25</v>
      </c>
    </row>
    <row r="23" spans="1:8">
      <c r="A23" s="27">
        <v>11</v>
      </c>
      <c r="C23" s="27">
        <f t="shared" si="0"/>
        <v>2017</v>
      </c>
      <c r="D23" s="40" t="s">
        <v>120</v>
      </c>
      <c r="E23" s="41"/>
      <c r="F23" s="41">
        <v>-74274.590000000011</v>
      </c>
      <c r="G23" s="41"/>
      <c r="H23" s="41">
        <v>-89191.42</v>
      </c>
    </row>
    <row r="24" spans="1:8">
      <c r="A24" s="27">
        <v>12</v>
      </c>
      <c r="C24" s="27">
        <f t="shared" si="0"/>
        <v>2017</v>
      </c>
      <c r="D24" s="40" t="s">
        <v>121</v>
      </c>
      <c r="E24" s="41"/>
      <c r="F24" s="41">
        <v>-102440.22</v>
      </c>
      <c r="G24" s="41"/>
      <c r="H24" s="41">
        <v>-85194.25</v>
      </c>
    </row>
    <row r="25" spans="1:8">
      <c r="A25" s="27">
        <v>13</v>
      </c>
      <c r="C25" s="45"/>
      <c r="D25" s="44" t="s">
        <v>110</v>
      </c>
      <c r="E25" s="203"/>
      <c r="F25" s="203">
        <f>SUM(F13:F24)</f>
        <v>-1345647.1000000003</v>
      </c>
      <c r="G25" s="203"/>
      <c r="H25" s="203">
        <f>SUM(H13:H24)</f>
        <v>-973186.14000000013</v>
      </c>
    </row>
    <row r="26" spans="1:8">
      <c r="A26" s="27">
        <v>14</v>
      </c>
      <c r="C26" s="48"/>
      <c r="D26" s="58"/>
      <c r="E26" s="46"/>
      <c r="F26" s="46"/>
      <c r="G26" s="46"/>
    </row>
    <row r="27" spans="1:8">
      <c r="A27" s="27">
        <v>15</v>
      </c>
      <c r="C27" s="58" t="s">
        <v>128</v>
      </c>
      <c r="D27" s="58"/>
      <c r="E27" s="46"/>
      <c r="F27" s="60">
        <f>F25</f>
        <v>-1345647.1000000003</v>
      </c>
      <c r="G27" s="60"/>
      <c r="H27" s="60">
        <f>H25</f>
        <v>-973186.14000000013</v>
      </c>
    </row>
    <row r="28" spans="1:8">
      <c r="A28" s="27">
        <v>16</v>
      </c>
      <c r="C28" s="58"/>
      <c r="D28" s="58"/>
      <c r="E28" s="46"/>
      <c r="F28" s="46"/>
      <c r="G28" s="46"/>
    </row>
    <row r="29" spans="1:8">
      <c r="A29" s="27">
        <v>17</v>
      </c>
      <c r="C29" s="62" t="s">
        <v>176</v>
      </c>
      <c r="E29" s="41"/>
      <c r="F29" s="41">
        <v>0</v>
      </c>
      <c r="G29" s="41"/>
      <c r="H29" s="41">
        <v>0</v>
      </c>
    </row>
    <row r="30" spans="1:8">
      <c r="A30" s="27">
        <v>18</v>
      </c>
      <c r="C30" s="62"/>
    </row>
    <row r="31" spans="1:8" ht="13.5" thickBot="1">
      <c r="A31" s="27">
        <v>19</v>
      </c>
      <c r="C31" s="63" t="s">
        <v>10</v>
      </c>
      <c r="D31" s="64"/>
      <c r="E31" s="65"/>
      <c r="F31" s="66">
        <f>ROUND(F29-F27,2)</f>
        <v>1345647.1</v>
      </c>
      <c r="G31" s="65"/>
      <c r="H31" s="66">
        <f>ROUND(H29-H27,2)</f>
        <v>973186.14</v>
      </c>
    </row>
    <row r="32" spans="1:8" ht="13.5" thickTop="1"/>
    <row r="34" spans="3:8" ht="30" customHeight="1">
      <c r="C34" s="404" t="s">
        <v>591</v>
      </c>
      <c r="D34" s="404"/>
      <c r="E34" s="404"/>
      <c r="F34" s="404"/>
      <c r="G34" s="404"/>
      <c r="H34" s="404"/>
    </row>
  </sheetData>
  <mergeCells count="4">
    <mergeCell ref="A4:H4"/>
    <mergeCell ref="A5:H5"/>
    <mergeCell ref="A7:H7"/>
    <mergeCell ref="C34:H34"/>
  </mergeCells>
  <printOptions horizontalCentered="1"/>
  <pageMargins left="1" right="0.75" top="0.75" bottom="0.5" header="0.5" footer="0.5"/>
  <pageSetup orientation="portrait" r:id="rId1"/>
  <headerFooter alignWithMargins="0">
    <oddFooter>&amp;RExhibit JW-2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opLeftCell="A16" zoomScaleNormal="100" workbookViewId="0">
      <selection activeCell="I4" sqref="I4"/>
    </sheetView>
  </sheetViews>
  <sheetFormatPr defaultRowHeight="12.75"/>
  <cols>
    <col min="1" max="1" width="5.85546875" style="20" customWidth="1"/>
    <col min="2" max="2" width="2.28515625" style="20" customWidth="1"/>
    <col min="3" max="3" width="11.7109375" style="20" customWidth="1"/>
    <col min="4" max="4" width="10.85546875" style="20" customWidth="1"/>
    <col min="5" max="5" width="5.85546875" style="20" customWidth="1"/>
    <col min="6" max="6" width="15.28515625" style="20" customWidth="1"/>
    <col min="7" max="7" width="3.28515625" style="20" customWidth="1"/>
    <col min="8" max="8" width="15.7109375" style="20" customWidth="1"/>
    <col min="9" max="16384" width="9.140625" style="20"/>
  </cols>
  <sheetData>
    <row r="1" spans="1:15">
      <c r="G1" s="36"/>
      <c r="H1" s="36" t="s">
        <v>586</v>
      </c>
    </row>
    <row r="2" spans="1:15" ht="20.25" customHeight="1">
      <c r="G2" s="36"/>
      <c r="H2" s="36"/>
    </row>
    <row r="3" spans="1:15">
      <c r="G3" s="36"/>
      <c r="H3" s="36"/>
    </row>
    <row r="4" spans="1:15">
      <c r="A4" s="402" t="s">
        <v>0</v>
      </c>
      <c r="B4" s="402"/>
      <c r="C4" s="402"/>
      <c r="D4" s="402"/>
      <c r="E4" s="402"/>
      <c r="F4" s="402"/>
      <c r="G4" s="402"/>
      <c r="H4" s="402"/>
      <c r="J4" s="322"/>
      <c r="K4" s="322"/>
      <c r="L4" s="322"/>
      <c r="M4" s="322"/>
      <c r="N4" s="322"/>
      <c r="O4" s="322"/>
    </row>
    <row r="5" spans="1:15">
      <c r="A5" s="402" t="s">
        <v>2</v>
      </c>
      <c r="B5" s="402"/>
      <c r="C5" s="402"/>
      <c r="D5" s="402"/>
      <c r="E5" s="402"/>
      <c r="F5" s="402"/>
      <c r="G5" s="402"/>
      <c r="H5" s="402"/>
    </row>
    <row r="7" spans="1:15" s="37" customFormat="1" ht="15" customHeight="1">
      <c r="A7" s="403" t="s">
        <v>589</v>
      </c>
      <c r="B7" s="403"/>
      <c r="C7" s="403"/>
      <c r="D7" s="403"/>
      <c r="E7" s="403"/>
      <c r="F7" s="403"/>
      <c r="G7" s="403"/>
      <c r="H7" s="403"/>
    </row>
    <row r="9" spans="1:15">
      <c r="A9" s="27" t="s">
        <v>7</v>
      </c>
      <c r="C9" s="27" t="s">
        <v>156</v>
      </c>
      <c r="D9" s="27" t="s">
        <v>100</v>
      </c>
      <c r="E9" s="27"/>
      <c r="F9" s="27" t="s">
        <v>53</v>
      </c>
      <c r="G9" s="27"/>
      <c r="H9" s="27" t="s">
        <v>54</v>
      </c>
    </row>
    <row r="10" spans="1:15">
      <c r="A10" s="38" t="s">
        <v>11</v>
      </c>
      <c r="C10" s="39" t="s">
        <v>157</v>
      </c>
      <c r="D10" s="39" t="s">
        <v>158</v>
      </c>
      <c r="E10" s="27"/>
      <c r="F10" s="39" t="s">
        <v>159</v>
      </c>
      <c r="G10" s="39"/>
      <c r="H10" s="39" t="s">
        <v>12</v>
      </c>
    </row>
    <row r="11" spans="1:15">
      <c r="A11" s="27"/>
    </row>
    <row r="12" spans="1:15">
      <c r="A12" s="27"/>
    </row>
    <row r="13" spans="1:15">
      <c r="A13" s="27">
        <v>1</v>
      </c>
      <c r="C13" s="27">
        <v>2017</v>
      </c>
      <c r="D13" s="40" t="s">
        <v>111</v>
      </c>
      <c r="E13" s="41"/>
      <c r="F13" s="41">
        <v>102450.17000000001</v>
      </c>
      <c r="G13" s="41"/>
      <c r="H13" s="41">
        <v>79612.98000000001</v>
      </c>
    </row>
    <row r="14" spans="1:15">
      <c r="A14" s="27">
        <v>2</v>
      </c>
      <c r="C14" s="27">
        <f>C13</f>
        <v>2017</v>
      </c>
      <c r="D14" s="40" t="s">
        <v>112</v>
      </c>
      <c r="E14" s="41"/>
      <c r="F14" s="41">
        <v>97107.21</v>
      </c>
      <c r="G14" s="41"/>
      <c r="H14" s="41">
        <v>61529.48</v>
      </c>
    </row>
    <row r="15" spans="1:15">
      <c r="A15" s="27">
        <v>3</v>
      </c>
      <c r="C15" s="27">
        <f t="shared" ref="C15:C24" si="0">C14</f>
        <v>2017</v>
      </c>
      <c r="D15" s="40" t="s">
        <v>113</v>
      </c>
      <c r="E15" s="41"/>
      <c r="F15" s="41">
        <v>52628.36</v>
      </c>
      <c r="G15" s="41"/>
      <c r="H15" s="41">
        <v>63623.8</v>
      </c>
    </row>
    <row r="16" spans="1:15">
      <c r="A16" s="27">
        <v>4</v>
      </c>
      <c r="C16" s="27">
        <f t="shared" si="0"/>
        <v>2017</v>
      </c>
      <c r="D16" s="40" t="s">
        <v>114</v>
      </c>
      <c r="E16" s="41"/>
      <c r="F16" s="41">
        <v>28238.85</v>
      </c>
      <c r="G16" s="41"/>
      <c r="H16" s="41">
        <v>55530.810000000005</v>
      </c>
    </row>
    <row r="17" spans="1:8">
      <c r="A17" s="27">
        <v>5</v>
      </c>
      <c r="C17" s="27">
        <f t="shared" si="0"/>
        <v>2017</v>
      </c>
      <c r="D17" s="40" t="s">
        <v>83</v>
      </c>
      <c r="E17" s="41"/>
      <c r="F17" s="41">
        <v>68838.8</v>
      </c>
      <c r="G17" s="41"/>
      <c r="H17" s="41">
        <v>64533.170000000006</v>
      </c>
    </row>
    <row r="18" spans="1:8">
      <c r="A18" s="27">
        <v>6</v>
      </c>
      <c r="C18" s="27">
        <f t="shared" si="0"/>
        <v>2017</v>
      </c>
      <c r="D18" s="40" t="s">
        <v>115</v>
      </c>
      <c r="E18" s="41"/>
      <c r="F18" s="41">
        <v>88521.799999999988</v>
      </c>
      <c r="G18" s="41"/>
      <c r="H18" s="41">
        <v>76167.42</v>
      </c>
    </row>
    <row r="19" spans="1:8">
      <c r="A19" s="27">
        <v>7</v>
      </c>
      <c r="C19" s="27">
        <f t="shared" si="0"/>
        <v>2017</v>
      </c>
      <c r="D19" s="40" t="s">
        <v>116</v>
      </c>
      <c r="E19" s="41"/>
      <c r="F19" s="41">
        <v>90211.87</v>
      </c>
      <c r="G19" s="41"/>
      <c r="H19" s="41">
        <v>92461.67</v>
      </c>
    </row>
    <row r="20" spans="1:8">
      <c r="A20" s="27">
        <v>8</v>
      </c>
      <c r="C20" s="27">
        <f t="shared" si="0"/>
        <v>2017</v>
      </c>
      <c r="D20" s="40" t="s">
        <v>117</v>
      </c>
      <c r="E20" s="41"/>
      <c r="F20" s="41">
        <v>86479.3</v>
      </c>
      <c r="G20" s="41"/>
      <c r="H20" s="41">
        <v>78723.899999999994</v>
      </c>
    </row>
    <row r="21" spans="1:8">
      <c r="A21" s="27">
        <v>9</v>
      </c>
      <c r="C21" s="27">
        <f t="shared" si="0"/>
        <v>2017</v>
      </c>
      <c r="D21" s="40" t="s">
        <v>118</v>
      </c>
      <c r="E21" s="41"/>
      <c r="F21" s="41">
        <v>58143.26</v>
      </c>
      <c r="G21" s="41"/>
      <c r="H21" s="41">
        <v>68214.47</v>
      </c>
    </row>
    <row r="22" spans="1:8">
      <c r="A22" s="27">
        <v>10</v>
      </c>
      <c r="C22" s="27">
        <f t="shared" si="0"/>
        <v>2017</v>
      </c>
      <c r="D22" s="40" t="s">
        <v>119</v>
      </c>
      <c r="E22" s="41"/>
      <c r="F22" s="41">
        <v>47353.84</v>
      </c>
      <c r="G22" s="41"/>
      <c r="H22" s="41">
        <v>60860.729999999996</v>
      </c>
    </row>
    <row r="23" spans="1:8">
      <c r="A23" s="27">
        <v>11</v>
      </c>
      <c r="C23" s="27">
        <f t="shared" si="0"/>
        <v>2017</v>
      </c>
      <c r="D23" s="40" t="s">
        <v>120</v>
      </c>
      <c r="E23" s="41"/>
      <c r="F23" s="41">
        <v>50645.54</v>
      </c>
      <c r="G23" s="41"/>
      <c r="H23" s="41">
        <v>64250.99</v>
      </c>
    </row>
    <row r="24" spans="1:8">
      <c r="A24" s="27">
        <v>12</v>
      </c>
      <c r="C24" s="27">
        <f t="shared" si="0"/>
        <v>2017</v>
      </c>
      <c r="D24" s="40" t="s">
        <v>121</v>
      </c>
      <c r="E24" s="41"/>
      <c r="F24" s="41">
        <v>86471.37</v>
      </c>
      <c r="G24" s="41"/>
      <c r="H24" s="41">
        <v>83783.839999999997</v>
      </c>
    </row>
    <row r="25" spans="1:8">
      <c r="A25" s="27">
        <v>13</v>
      </c>
      <c r="C25" s="45"/>
      <c r="D25" s="44" t="s">
        <v>110</v>
      </c>
      <c r="E25" s="203"/>
      <c r="F25" s="203">
        <f>SUM(F13:F24)</f>
        <v>857090.37</v>
      </c>
      <c r="G25" s="203"/>
      <c r="H25" s="203">
        <f>SUM(H13:H24)</f>
        <v>849293.25999999989</v>
      </c>
    </row>
    <row r="26" spans="1:8">
      <c r="A26" s="27">
        <v>14</v>
      </c>
      <c r="C26" s="48"/>
      <c r="D26" s="58"/>
      <c r="E26" s="46"/>
      <c r="F26" s="46"/>
      <c r="G26" s="46"/>
    </row>
    <row r="27" spans="1:8">
      <c r="A27" s="27">
        <v>15</v>
      </c>
      <c r="C27" s="58" t="s">
        <v>128</v>
      </c>
      <c r="D27" s="58"/>
      <c r="E27" s="46"/>
      <c r="F27" s="60">
        <f>F25</f>
        <v>857090.37</v>
      </c>
      <c r="G27" s="60"/>
      <c r="H27" s="60">
        <f>H25</f>
        <v>849293.25999999989</v>
      </c>
    </row>
    <row r="28" spans="1:8">
      <c r="A28" s="27">
        <v>16</v>
      </c>
      <c r="C28" s="58"/>
      <c r="D28" s="58"/>
      <c r="E28" s="46"/>
      <c r="F28" s="46"/>
      <c r="G28" s="46"/>
    </row>
    <row r="29" spans="1:8">
      <c r="A29" s="27">
        <v>17</v>
      </c>
      <c r="C29" s="62" t="s">
        <v>176</v>
      </c>
      <c r="E29" s="41"/>
      <c r="F29" s="41">
        <v>0</v>
      </c>
      <c r="G29" s="41"/>
      <c r="H29" s="41">
        <v>0</v>
      </c>
    </row>
    <row r="30" spans="1:8">
      <c r="A30" s="27">
        <v>18</v>
      </c>
      <c r="C30" s="62"/>
    </row>
    <row r="31" spans="1:8" ht="13.5" thickBot="1">
      <c r="A31" s="27">
        <v>19</v>
      </c>
      <c r="C31" s="63" t="s">
        <v>10</v>
      </c>
      <c r="D31" s="64"/>
      <c r="E31" s="65"/>
      <c r="F31" s="66">
        <f>ROUND(F29-F27,2)</f>
        <v>-857090.37</v>
      </c>
      <c r="G31" s="65"/>
      <c r="H31" s="66">
        <f>ROUND(H29-H27,2)</f>
        <v>-849293.26</v>
      </c>
    </row>
    <row r="32" spans="1:8" ht="13.5" thickTop="1"/>
    <row r="34" spans="3:8" ht="30" customHeight="1">
      <c r="C34" s="404" t="s">
        <v>590</v>
      </c>
      <c r="D34" s="404"/>
      <c r="E34" s="404"/>
      <c r="F34" s="404"/>
      <c r="G34" s="404"/>
      <c r="H34" s="404"/>
    </row>
  </sheetData>
  <mergeCells count="4">
    <mergeCell ref="A4:H4"/>
    <mergeCell ref="A5:H5"/>
    <mergeCell ref="A7:H7"/>
    <mergeCell ref="C34:H34"/>
  </mergeCells>
  <printOptions horizontalCentered="1"/>
  <pageMargins left="1" right="0.75" top="0.75" bottom="0.5" header="0.5" footer="0.5"/>
  <pageSetup orientation="portrait" r:id="rId1"/>
  <headerFooter alignWithMargins="0">
    <oddFooter>&amp;RExhibit JW-2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opLeftCell="A31" zoomScale="75" zoomScaleNormal="75" workbookViewId="0">
      <selection activeCell="I4" sqref="I4"/>
    </sheetView>
  </sheetViews>
  <sheetFormatPr defaultRowHeight="14.25"/>
  <cols>
    <col min="1" max="1" width="6" style="251" customWidth="1"/>
    <col min="2" max="2" width="12.7109375" style="251" customWidth="1"/>
    <col min="3" max="3" width="30.42578125" style="251" bestFit="1" customWidth="1"/>
    <col min="4" max="4" width="9.85546875" style="251" bestFit="1" customWidth="1"/>
    <col min="5" max="7" width="14.7109375" style="251" bestFit="1" customWidth="1"/>
    <col min="8" max="16384" width="9.140625" style="251"/>
  </cols>
  <sheetData>
    <row r="1" spans="1:16" s="20" customFormat="1" ht="12.75">
      <c r="G1" s="36" t="s">
        <v>597</v>
      </c>
      <c r="H1" s="36"/>
    </row>
    <row r="2" spans="1:16" s="20" customFormat="1" ht="20.25" customHeight="1">
      <c r="H2" s="36"/>
      <c r="I2" s="36"/>
    </row>
    <row r="3" spans="1:16" s="20" customFormat="1" ht="12.75">
      <c r="H3" s="36"/>
      <c r="I3" s="36"/>
    </row>
    <row r="4" spans="1:16" s="20" customFormat="1" ht="15" customHeight="1">
      <c r="A4" s="402" t="s">
        <v>0</v>
      </c>
      <c r="B4" s="402"/>
      <c r="C4" s="402"/>
      <c r="D4" s="402"/>
      <c r="E4" s="402"/>
      <c r="F4" s="402"/>
      <c r="G4" s="402"/>
      <c r="H4" s="322"/>
      <c r="I4" s="322"/>
      <c r="K4" s="322"/>
      <c r="L4" s="322"/>
      <c r="M4" s="322"/>
      <c r="N4" s="322"/>
      <c r="O4" s="322"/>
      <c r="P4" s="322"/>
    </row>
    <row r="5" spans="1:16" s="20" customFormat="1" ht="15" customHeight="1">
      <c r="A5" s="402" t="s">
        <v>2</v>
      </c>
      <c r="B5" s="402"/>
      <c r="C5" s="402"/>
      <c r="D5" s="402"/>
      <c r="E5" s="402"/>
      <c r="F5" s="402"/>
      <c r="G5" s="402"/>
      <c r="H5" s="322"/>
      <c r="I5" s="322"/>
    </row>
    <row r="6" spans="1:16" s="20" customFormat="1" ht="12.75"/>
    <row r="7" spans="1:16" s="37" customFormat="1" ht="15" customHeight="1">
      <c r="A7" s="403" t="s">
        <v>548</v>
      </c>
      <c r="B7" s="403"/>
      <c r="C7" s="403"/>
      <c r="D7" s="403"/>
      <c r="E7" s="403"/>
      <c r="F7" s="403"/>
      <c r="G7" s="403"/>
      <c r="H7" s="323"/>
      <c r="I7" s="323"/>
    </row>
    <row r="8" spans="1:16" s="20" customFormat="1" ht="12.75"/>
    <row r="9" spans="1:16" ht="15">
      <c r="A9" s="315">
        <v>1</v>
      </c>
      <c r="B9" s="310" t="s">
        <v>593</v>
      </c>
    </row>
    <row r="10" spans="1:16" ht="15">
      <c r="A10" s="315">
        <v>2</v>
      </c>
      <c r="B10" s="250" t="s">
        <v>62</v>
      </c>
    </row>
    <row r="11" spans="1:16">
      <c r="A11" s="315">
        <v>3</v>
      </c>
    </row>
    <row r="12" spans="1:16">
      <c r="A12" s="315">
        <v>4</v>
      </c>
      <c r="B12" s="251" t="s">
        <v>63</v>
      </c>
      <c r="F12" s="261">
        <v>414.97</v>
      </c>
    </row>
    <row r="13" spans="1:16">
      <c r="A13" s="315">
        <v>5</v>
      </c>
      <c r="B13" s="251" t="s">
        <v>64</v>
      </c>
      <c r="F13" s="261">
        <v>47721.03</v>
      </c>
    </row>
    <row r="14" spans="1:16">
      <c r="A14" s="315">
        <v>6</v>
      </c>
      <c r="B14" s="251" t="s">
        <v>65</v>
      </c>
      <c r="F14" s="261">
        <v>15.91</v>
      </c>
    </row>
    <row r="15" spans="1:16">
      <c r="A15" s="315">
        <v>7</v>
      </c>
      <c r="B15" s="251" t="s">
        <v>66</v>
      </c>
      <c r="F15" s="304">
        <v>3.8124999999999999E-2</v>
      </c>
    </row>
    <row r="16" spans="1:16">
      <c r="A16" s="315">
        <v>8</v>
      </c>
      <c r="F16" s="304"/>
    </row>
    <row r="17" spans="1:7" ht="15">
      <c r="A17" s="315">
        <v>9</v>
      </c>
      <c r="B17" s="250" t="s">
        <v>150</v>
      </c>
    </row>
    <row r="18" spans="1:7" ht="15">
      <c r="A18" s="315">
        <v>10</v>
      </c>
      <c r="B18" s="250" t="s">
        <v>67</v>
      </c>
    </row>
    <row r="19" spans="1:7">
      <c r="A19" s="315">
        <v>11</v>
      </c>
    </row>
    <row r="20" spans="1:7">
      <c r="A20" s="315">
        <v>12</v>
      </c>
      <c r="B20" s="251" t="s">
        <v>68</v>
      </c>
      <c r="F20" s="261">
        <v>48.42</v>
      </c>
    </row>
    <row r="21" spans="1:7">
      <c r="A21" s="315">
        <v>13</v>
      </c>
      <c r="B21" s="251" t="s">
        <v>69</v>
      </c>
      <c r="F21" s="261">
        <v>9</v>
      </c>
    </row>
    <row r="22" spans="1:7">
      <c r="A22" s="315">
        <v>14</v>
      </c>
      <c r="B22" s="251" t="s">
        <v>70</v>
      </c>
      <c r="C22" s="251" t="s">
        <v>71</v>
      </c>
      <c r="F22" s="304">
        <v>6.2202E-2</v>
      </c>
    </row>
    <row r="23" spans="1:7">
      <c r="A23" s="315">
        <v>15</v>
      </c>
      <c r="C23" s="251" t="s">
        <v>72</v>
      </c>
      <c r="F23" s="304">
        <v>5.2103999999999998E-2</v>
      </c>
    </row>
    <row r="24" spans="1:7">
      <c r="A24" s="315">
        <v>16</v>
      </c>
      <c r="C24" s="251" t="s">
        <v>72</v>
      </c>
      <c r="F24" s="304">
        <v>4.6973000000000001E-2</v>
      </c>
    </row>
    <row r="25" spans="1:7">
      <c r="A25" s="315">
        <v>17</v>
      </c>
      <c r="C25" s="251" t="s">
        <v>73</v>
      </c>
      <c r="F25" s="304">
        <v>4.1993000000000003E-2</v>
      </c>
    </row>
    <row r="26" spans="1:7">
      <c r="A26" s="315">
        <v>18</v>
      </c>
    </row>
    <row r="27" spans="1:7" ht="15">
      <c r="A27" s="315">
        <v>19</v>
      </c>
      <c r="E27" s="298" t="s">
        <v>74</v>
      </c>
      <c r="F27" s="254" t="s">
        <v>75</v>
      </c>
    </row>
    <row r="28" spans="1:7" ht="21.75" customHeight="1">
      <c r="A28" s="315">
        <v>20</v>
      </c>
      <c r="B28" s="257" t="s">
        <v>76</v>
      </c>
      <c r="C28" s="257" t="s">
        <v>77</v>
      </c>
      <c r="D28" s="257" t="s">
        <v>78</v>
      </c>
      <c r="E28" s="258" t="s">
        <v>594</v>
      </c>
      <c r="F28" s="258" t="s">
        <v>594</v>
      </c>
      <c r="G28" s="258" t="s">
        <v>595</v>
      </c>
    </row>
    <row r="29" spans="1:7">
      <c r="A29" s="315">
        <v>21</v>
      </c>
      <c r="B29" s="251" t="s">
        <v>79</v>
      </c>
      <c r="C29" s="264">
        <v>3067</v>
      </c>
      <c r="D29" s="290">
        <v>575940</v>
      </c>
      <c r="E29" s="262">
        <f>IF(C29&gt;3000,(C29-3000)*$F$14+$F$12+$F$13+$F$15*D29,$F$12+$F$13+$F$15*D29)</f>
        <v>71159.682499999995</v>
      </c>
      <c r="F29" s="265">
        <f>+$F$20+$F$21*C29+$F$22*200+$F$23*200+$F$24*200+(D29-600)*$F$25</f>
        <v>51843.928419999997</v>
      </c>
      <c r="G29" s="271">
        <f>+E29-F29</f>
        <v>19315.754079999999</v>
      </c>
    </row>
    <row r="30" spans="1:7">
      <c r="A30" s="315">
        <v>22</v>
      </c>
      <c r="B30" s="251" t="s">
        <v>80</v>
      </c>
      <c r="C30" s="264">
        <v>1825</v>
      </c>
      <c r="D30" s="290">
        <v>484690</v>
      </c>
      <c r="E30" s="262">
        <f t="shared" ref="E30:E40" si="0">IF(C30&gt;3000,(C30-3000)*$F$14+$F$12+$F$13+$F$15*D30,$F$12+$F$13+$F$15*D30)</f>
        <v>66614.806249999994</v>
      </c>
      <c r="F30" s="265">
        <f t="shared" ref="F30:F40" si="1">+$F$20+$F$21*C30+$F$22*200+$F$23*200+$F$24*200+(D30-600)*$F$25</f>
        <v>36834.067169999995</v>
      </c>
      <c r="G30" s="271">
        <f t="shared" ref="G30:G40" si="2">+E30-F30</f>
        <v>29780.739079999999</v>
      </c>
    </row>
    <row r="31" spans="1:7">
      <c r="A31" s="315">
        <v>23</v>
      </c>
      <c r="B31" s="251" t="s">
        <v>81</v>
      </c>
      <c r="C31" s="264">
        <v>1782</v>
      </c>
      <c r="D31" s="290">
        <v>356410</v>
      </c>
      <c r="E31" s="262">
        <f t="shared" si="0"/>
        <v>61724.131249999999</v>
      </c>
      <c r="F31" s="265">
        <f t="shared" si="1"/>
        <v>31060.205130000002</v>
      </c>
      <c r="G31" s="271">
        <f t="shared" si="2"/>
        <v>30663.926119999996</v>
      </c>
    </row>
    <row r="32" spans="1:7">
      <c r="A32" s="315">
        <v>24</v>
      </c>
      <c r="B32" s="251" t="s">
        <v>82</v>
      </c>
      <c r="C32" s="264">
        <v>1793</v>
      </c>
      <c r="D32" s="290">
        <v>555581</v>
      </c>
      <c r="E32" s="262">
        <f t="shared" si="0"/>
        <v>69317.525624999995</v>
      </c>
      <c r="F32" s="265">
        <f t="shared" si="1"/>
        <v>39522.992933000001</v>
      </c>
      <c r="G32" s="271">
        <f t="shared" si="2"/>
        <v>29794.532691999993</v>
      </c>
    </row>
    <row r="33" spans="1:7">
      <c r="A33" s="315">
        <v>25</v>
      </c>
      <c r="B33" s="251" t="s">
        <v>83</v>
      </c>
      <c r="C33" s="264">
        <v>3154</v>
      </c>
      <c r="D33" s="290">
        <v>954140</v>
      </c>
      <c r="E33" s="262">
        <f t="shared" si="0"/>
        <v>86962.727500000008</v>
      </c>
      <c r="F33" s="265">
        <f t="shared" si="1"/>
        <v>68508.681019999989</v>
      </c>
      <c r="G33" s="271">
        <f t="shared" si="2"/>
        <v>18454.046480000019</v>
      </c>
    </row>
    <row r="34" spans="1:7">
      <c r="A34" s="315">
        <v>26</v>
      </c>
      <c r="B34" s="251" t="s">
        <v>84</v>
      </c>
      <c r="C34" s="264">
        <v>1901</v>
      </c>
      <c r="D34" s="290">
        <v>445288</v>
      </c>
      <c r="E34" s="262">
        <f t="shared" si="0"/>
        <v>65112.604999999996</v>
      </c>
      <c r="F34" s="265">
        <f t="shared" si="1"/>
        <v>35863.458983999997</v>
      </c>
      <c r="G34" s="271">
        <f t="shared" si="2"/>
        <v>29249.146015999999</v>
      </c>
    </row>
    <row r="35" spans="1:7">
      <c r="A35" s="315">
        <v>27</v>
      </c>
      <c r="B35" s="251" t="s">
        <v>85</v>
      </c>
      <c r="C35" s="264">
        <v>3089</v>
      </c>
      <c r="D35" s="290">
        <v>568965</v>
      </c>
      <c r="E35" s="262">
        <f t="shared" si="0"/>
        <v>71243.780624999999</v>
      </c>
      <c r="F35" s="265">
        <f t="shared" si="1"/>
        <v>51749.027244999997</v>
      </c>
      <c r="G35" s="271">
        <f t="shared" si="2"/>
        <v>19494.753380000002</v>
      </c>
    </row>
    <row r="36" spans="1:7">
      <c r="A36" s="315">
        <v>28</v>
      </c>
      <c r="B36" s="251" t="s">
        <v>86</v>
      </c>
      <c r="C36" s="264">
        <v>1814</v>
      </c>
      <c r="D36" s="290">
        <v>420619</v>
      </c>
      <c r="E36" s="262">
        <f t="shared" si="0"/>
        <v>64172.099374999998</v>
      </c>
      <c r="F36" s="265">
        <f t="shared" si="1"/>
        <v>34044.533667000003</v>
      </c>
      <c r="G36" s="271">
        <f t="shared" si="2"/>
        <v>30127.565707999995</v>
      </c>
    </row>
    <row r="37" spans="1:7">
      <c r="A37" s="315">
        <v>29</v>
      </c>
      <c r="B37" s="251" t="s">
        <v>87</v>
      </c>
      <c r="C37" s="264">
        <v>1771</v>
      </c>
      <c r="D37" s="290">
        <v>371648</v>
      </c>
      <c r="E37" s="262">
        <f t="shared" si="0"/>
        <v>62305.08</v>
      </c>
      <c r="F37" s="265">
        <f t="shared" si="1"/>
        <v>31601.094464000002</v>
      </c>
      <c r="G37" s="271">
        <f t="shared" si="2"/>
        <v>30703.985536</v>
      </c>
    </row>
    <row r="38" spans="1:7">
      <c r="A38" s="315">
        <v>30</v>
      </c>
      <c r="B38" s="251" t="s">
        <v>88</v>
      </c>
      <c r="C38" s="264">
        <v>1760</v>
      </c>
      <c r="D38" s="290">
        <v>136445</v>
      </c>
      <c r="E38" s="262">
        <f t="shared" si="0"/>
        <v>53337.965624999997</v>
      </c>
      <c r="F38" s="265">
        <f t="shared" si="1"/>
        <v>21625.214885000001</v>
      </c>
      <c r="G38" s="271">
        <f t="shared" si="2"/>
        <v>31712.750739999996</v>
      </c>
    </row>
    <row r="39" spans="1:7">
      <c r="A39" s="315">
        <v>31</v>
      </c>
      <c r="B39" s="251" t="s">
        <v>89</v>
      </c>
      <c r="C39" s="264">
        <v>1804</v>
      </c>
      <c r="D39" s="290">
        <v>201987</v>
      </c>
      <c r="E39" s="262">
        <f t="shared" si="0"/>
        <v>55836.754374999997</v>
      </c>
      <c r="F39" s="265">
        <f t="shared" si="1"/>
        <v>24773.520090999999</v>
      </c>
      <c r="G39" s="271">
        <f t="shared" si="2"/>
        <v>31063.234283999998</v>
      </c>
    </row>
    <row r="40" spans="1:7">
      <c r="A40" s="315">
        <v>32</v>
      </c>
      <c r="B40" s="251" t="s">
        <v>90</v>
      </c>
      <c r="C40" s="264">
        <v>1793</v>
      </c>
      <c r="D40" s="290">
        <v>85168</v>
      </c>
      <c r="E40" s="305">
        <f t="shared" si="0"/>
        <v>51383.03</v>
      </c>
      <c r="F40" s="267">
        <f t="shared" si="1"/>
        <v>19768.939824000001</v>
      </c>
      <c r="G40" s="324">
        <f t="shared" si="2"/>
        <v>31614.090175999998</v>
      </c>
    </row>
    <row r="41" spans="1:7">
      <c r="A41" s="315">
        <v>33</v>
      </c>
      <c r="E41" s="262">
        <f>SUM(E29:E40)</f>
        <v>779170.18812499999</v>
      </c>
      <c r="F41" s="262">
        <f>SUM(F29:F40)</f>
        <v>447195.66383300006</v>
      </c>
      <c r="G41" s="271">
        <f>+E41-F41</f>
        <v>331974.52429199993</v>
      </c>
    </row>
    <row r="42" spans="1:7">
      <c r="A42" s="315">
        <v>34</v>
      </c>
    </row>
    <row r="43" spans="1:7">
      <c r="A43" s="315">
        <v>35</v>
      </c>
      <c r="B43" s="292" t="s">
        <v>91</v>
      </c>
    </row>
    <row r="44" spans="1:7">
      <c r="A44" s="315">
        <v>36</v>
      </c>
    </row>
    <row r="45" spans="1:7">
      <c r="A45" s="315">
        <v>37</v>
      </c>
      <c r="C45" s="251" t="s">
        <v>149</v>
      </c>
      <c r="G45" s="262">
        <f>E41</f>
        <v>779170.18812499999</v>
      </c>
    </row>
    <row r="46" spans="1:7">
      <c r="A46" s="315">
        <v>38</v>
      </c>
      <c r="C46" s="251" t="s">
        <v>150</v>
      </c>
      <c r="G46" s="262">
        <f>F41</f>
        <v>447195.66383300006</v>
      </c>
    </row>
    <row r="47" spans="1:7" ht="15">
      <c r="A47" s="315">
        <v>39</v>
      </c>
      <c r="C47" s="309" t="s">
        <v>10</v>
      </c>
      <c r="G47" s="326">
        <f>G46-G45</f>
        <v>-331974.52429199993</v>
      </c>
    </row>
    <row r="50" spans="2:9" s="20" customFormat="1" ht="30" customHeight="1">
      <c r="B50" s="405" t="s">
        <v>596</v>
      </c>
      <c r="C50" s="405"/>
      <c r="D50" s="405"/>
      <c r="E50" s="405"/>
      <c r="F50" s="405"/>
      <c r="G50" s="405"/>
      <c r="H50" s="325"/>
      <c r="I50" s="325"/>
    </row>
  </sheetData>
  <mergeCells count="4">
    <mergeCell ref="A7:G7"/>
    <mergeCell ref="B50:G50"/>
    <mergeCell ref="A4:G4"/>
    <mergeCell ref="A5:G5"/>
  </mergeCells>
  <printOptions horizontalCentered="1"/>
  <pageMargins left="0.7" right="0.7" top="0.75" bottom="0.75" header="0.3" footer="0.3"/>
  <pageSetup scale="87" orientation="portrait" r:id="rId1"/>
  <headerFooter>
    <oddFooter>&amp;RExhibit JW-2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22</vt:i4>
      </vt:variant>
    </vt:vector>
  </HeadingPairs>
  <TitlesOfParts>
    <vt:vector size="42" baseType="lpstr">
      <vt:lpstr>RevReq</vt:lpstr>
      <vt:lpstr>PFAs</vt:lpstr>
      <vt:lpstr>Adj BS</vt:lpstr>
      <vt:lpstr>Adj IS</vt:lpstr>
      <vt:lpstr>1.01 FAC</vt:lpstr>
      <vt:lpstr>1.02 ES</vt:lpstr>
      <vt:lpstr>1.03 MRSM</vt:lpstr>
      <vt:lpstr>1.04 NonFACPPA</vt:lpstr>
      <vt:lpstr>1.05 RateSwitch</vt:lpstr>
      <vt:lpstr>1.06 DonaAdsDues</vt:lpstr>
      <vt:lpstr>1.07 401k</vt:lpstr>
      <vt:lpstr>1.08 LifeInsur</vt:lpstr>
      <vt:lpstr>1.09 RC</vt:lpstr>
      <vt:lpstr>1.10 Interest</vt:lpstr>
      <vt:lpstr>1.11 YearEndCust</vt:lpstr>
      <vt:lpstr>1.12 Wages</vt:lpstr>
      <vt:lpstr>1.13 NonOper</vt:lpstr>
      <vt:lpstr>1.14 Depr</vt:lpstr>
      <vt:lpstr>1.15 BOD</vt:lpstr>
      <vt:lpstr>1.16 Health</vt:lpstr>
      <vt:lpstr>'1.01 FAC'!Print_Area</vt:lpstr>
      <vt:lpstr>'1.02 ES'!Print_Area</vt:lpstr>
      <vt:lpstr>'1.03 MRSM'!Print_Area</vt:lpstr>
      <vt:lpstr>'1.04 NonFACPPA'!Print_Area</vt:lpstr>
      <vt:lpstr>'1.05 RateSwitch'!Print_Area</vt:lpstr>
      <vt:lpstr>'1.06 DonaAdsDues'!Print_Area</vt:lpstr>
      <vt:lpstr>'1.07 401k'!Print_Area</vt:lpstr>
      <vt:lpstr>'1.08 LifeInsur'!Print_Area</vt:lpstr>
      <vt:lpstr>'1.09 RC'!Print_Area</vt:lpstr>
      <vt:lpstr>'1.10 Interest'!Print_Area</vt:lpstr>
      <vt:lpstr>'1.11 YearEndCust'!Print_Area</vt:lpstr>
      <vt:lpstr>'1.12 Wages'!Print_Area</vt:lpstr>
      <vt:lpstr>'1.13 NonOper'!Print_Area</vt:lpstr>
      <vt:lpstr>'1.14 Depr'!Print_Area</vt:lpstr>
      <vt:lpstr>'1.15 BOD'!Print_Area</vt:lpstr>
      <vt:lpstr>'1.16 Health'!Print_Area</vt:lpstr>
      <vt:lpstr>'Adj BS'!Print_Area</vt:lpstr>
      <vt:lpstr>'Adj IS'!Print_Area</vt:lpstr>
      <vt:lpstr>PFAs!Print_Area</vt:lpstr>
      <vt:lpstr>RevReq!Print_Area</vt:lpstr>
      <vt:lpstr>'1.11 YearEndCust'!Print_Titles</vt:lpstr>
      <vt:lpstr>'1.12 Wages'!Print_Titles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2019-06-13T17:18:01Z</cp:lastPrinted>
  <dcterms:created xsi:type="dcterms:W3CDTF">2019-01-18T23:17:06Z</dcterms:created>
  <dcterms:modified xsi:type="dcterms:W3CDTF">2019-06-13T18:02:44Z</dcterms:modified>
</cp:coreProperties>
</file>