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15" windowWidth="15195" windowHeight="8445" tabRatio="909"/>
  </bookViews>
  <sheets>
    <sheet name="Project 23" sheetId="23" r:id="rId1"/>
    <sheet name="Project 24" sheetId="26" r:id="rId2"/>
    <sheet name="Project 25" sheetId="25" r:id="rId3"/>
    <sheet name="Project 26" sheetId="24" r:id="rId4"/>
    <sheet name="Project 27" sheetId="27" r:id="rId5"/>
    <sheet name="Project 28" sheetId="28" r:id="rId6"/>
    <sheet name="Project 29" sheetId="30" r:id="rId7"/>
    <sheet name="Project 30" sheetId="29" r:id="rId8"/>
  </sheets>
  <calcPr calcId="152511"/>
</workbook>
</file>

<file path=xl/calcChain.xml><?xml version="1.0" encoding="utf-8"?>
<calcChain xmlns="http://schemas.openxmlformats.org/spreadsheetml/2006/main">
  <c r="F43" i="30" l="1"/>
  <c r="E43" i="30"/>
  <c r="F35" i="30"/>
  <c r="E35" i="30"/>
  <c r="E51" i="24" l="1"/>
  <c r="E24" i="24"/>
  <c r="E22" i="24"/>
  <c r="E21" i="24"/>
  <c r="H37" i="30" l="1"/>
  <c r="H36" i="30"/>
  <c r="H44" i="30"/>
  <c r="H35" i="30"/>
  <c r="H41" i="30"/>
  <c r="H43" i="30" s="1"/>
  <c r="H42" i="30"/>
  <c r="F41" i="30"/>
  <c r="F42" i="30"/>
  <c r="H33" i="30"/>
  <c r="H34" i="30"/>
  <c r="F34" i="30"/>
  <c r="F33" i="30"/>
  <c r="F40" i="30"/>
  <c r="H40" i="30" s="1"/>
  <c r="F32" i="30"/>
  <c r="H32" i="30" s="1"/>
  <c r="H38" i="30" l="1"/>
  <c r="H38" i="29" l="1"/>
  <c r="H35" i="29"/>
  <c r="M24" i="29"/>
  <c r="H24" i="29"/>
  <c r="L24" i="29" s="1"/>
  <c r="G24" i="29"/>
  <c r="L24" i="30"/>
  <c r="H24" i="30"/>
  <c r="G24" i="30"/>
  <c r="K24" i="30" s="1"/>
  <c r="H59" i="28"/>
  <c r="H46" i="28"/>
  <c r="H24" i="28"/>
  <c r="L24" i="28" s="1"/>
  <c r="K24" i="28" s="1"/>
  <c r="G24" i="28"/>
  <c r="H50" i="27"/>
  <c r="H41" i="27"/>
  <c r="L24" i="27"/>
  <c r="H24" i="27"/>
  <c r="G24" i="27"/>
  <c r="K24" i="27" s="1"/>
  <c r="H94" i="24"/>
  <c r="L24" i="24"/>
  <c r="H24" i="24"/>
  <c r="G24" i="24"/>
  <c r="K24" i="24" s="1"/>
  <c r="H38" i="25"/>
  <c r="H35" i="25"/>
  <c r="M24" i="25"/>
  <c r="L24" i="25"/>
  <c r="H24" i="25"/>
  <c r="G24" i="25"/>
  <c r="K24" i="25" s="1"/>
  <c r="H38" i="26"/>
  <c r="H35" i="26"/>
  <c r="M24" i="26"/>
  <c r="L24" i="26"/>
  <c r="H24" i="26"/>
  <c r="G24" i="26"/>
  <c r="K24" i="26" s="1"/>
  <c r="M24" i="23"/>
  <c r="H24" i="23"/>
  <c r="L24" i="23" s="1"/>
  <c r="G24" i="23"/>
  <c r="K24" i="23" s="1"/>
  <c r="K24" i="29" l="1"/>
  <c r="D37" i="29"/>
  <c r="F37" i="29" s="1"/>
  <c r="H37" i="29" s="1"/>
  <c r="H32" i="29"/>
  <c r="F32" i="29"/>
  <c r="H22" i="29"/>
  <c r="L22" i="29" s="1"/>
  <c r="G22" i="29"/>
  <c r="L21" i="29"/>
  <c r="H21" i="29"/>
  <c r="G21" i="29"/>
  <c r="H20" i="29"/>
  <c r="L20" i="29" s="1"/>
  <c r="G20" i="29"/>
  <c r="K20" i="29" s="1"/>
  <c r="H19" i="29"/>
  <c r="L19" i="29" s="1"/>
  <c r="G19" i="29"/>
  <c r="H18" i="29"/>
  <c r="L18" i="29" s="1"/>
  <c r="G18" i="29"/>
  <c r="H22" i="30"/>
  <c r="L22" i="30" s="1"/>
  <c r="G22" i="30"/>
  <c r="H21" i="30"/>
  <c r="L21" i="30" s="1"/>
  <c r="G21" i="30"/>
  <c r="H20" i="30"/>
  <c r="L20" i="30" s="1"/>
  <c r="G20" i="30"/>
  <c r="H19" i="30"/>
  <c r="L19" i="30" s="1"/>
  <c r="G19" i="30"/>
  <c r="H18" i="30"/>
  <c r="L18" i="30" s="1"/>
  <c r="G18" i="30"/>
  <c r="H42" i="28"/>
  <c r="F57" i="28"/>
  <c r="H57" i="28" s="1"/>
  <c r="F56" i="28"/>
  <c r="H56" i="28" s="1"/>
  <c r="F55" i="28"/>
  <c r="H55" i="28" s="1"/>
  <c r="F54" i="28"/>
  <c r="H54" i="28" s="1"/>
  <c r="F53" i="28"/>
  <c r="H53" i="28" s="1"/>
  <c r="F52" i="28"/>
  <c r="H52" i="28" s="1"/>
  <c r="F51" i="28"/>
  <c r="H51" i="28" s="1"/>
  <c r="F50" i="28"/>
  <c r="H50" i="28" s="1"/>
  <c r="E49" i="28"/>
  <c r="E58" i="28" s="1"/>
  <c r="D48" i="28"/>
  <c r="F48" i="28" s="1"/>
  <c r="H48" i="28" s="1"/>
  <c r="E43" i="28"/>
  <c r="F42" i="28"/>
  <c r="F41" i="28"/>
  <c r="H41" i="28" s="1"/>
  <c r="H40" i="28"/>
  <c r="F40" i="28"/>
  <c r="F39" i="28"/>
  <c r="H39" i="28" s="1"/>
  <c r="H38" i="28"/>
  <c r="F38" i="28"/>
  <c r="F37" i="28"/>
  <c r="H37" i="28" s="1"/>
  <c r="H36" i="28"/>
  <c r="F36" i="28"/>
  <c r="F35" i="28"/>
  <c r="H35" i="28" s="1"/>
  <c r="H34" i="28"/>
  <c r="F34" i="28"/>
  <c r="F33" i="28"/>
  <c r="F43" i="28" s="1"/>
  <c r="H32" i="28"/>
  <c r="F32" i="28"/>
  <c r="H22" i="28"/>
  <c r="L22" i="28" s="1"/>
  <c r="G22" i="28"/>
  <c r="H21" i="28"/>
  <c r="L21" i="28" s="1"/>
  <c r="G21" i="28"/>
  <c r="H20" i="28"/>
  <c r="L20" i="28" s="1"/>
  <c r="G20" i="28"/>
  <c r="H19" i="28"/>
  <c r="L19" i="28" s="1"/>
  <c r="G19" i="28"/>
  <c r="H18" i="28"/>
  <c r="L18" i="28" s="1"/>
  <c r="G18" i="28"/>
  <c r="E49" i="27"/>
  <c r="H48" i="27"/>
  <c r="F48" i="27"/>
  <c r="F47" i="27"/>
  <c r="H47" i="27" s="1"/>
  <c r="F46" i="27"/>
  <c r="H46" i="27" s="1"/>
  <c r="F45" i="27"/>
  <c r="H45" i="27" s="1"/>
  <c r="F44" i="27"/>
  <c r="H44" i="27" s="1"/>
  <c r="D43" i="27"/>
  <c r="F43" i="27" s="1"/>
  <c r="E38" i="27"/>
  <c r="F37" i="27"/>
  <c r="H37" i="27" s="1"/>
  <c r="F36" i="27"/>
  <c r="H36" i="27" s="1"/>
  <c r="F35" i="27"/>
  <c r="H35" i="27" s="1"/>
  <c r="F34" i="27"/>
  <c r="H34" i="27" s="1"/>
  <c r="H33" i="27"/>
  <c r="F33" i="27"/>
  <c r="F32" i="27"/>
  <c r="H22" i="27"/>
  <c r="L22" i="27" s="1"/>
  <c r="G22" i="27"/>
  <c r="H21" i="27"/>
  <c r="L21" i="27" s="1"/>
  <c r="G21" i="27"/>
  <c r="L20" i="27"/>
  <c r="H20" i="27"/>
  <c r="G20" i="27"/>
  <c r="H19" i="27"/>
  <c r="L19" i="27" s="1"/>
  <c r="G19" i="27"/>
  <c r="K19" i="27" s="1"/>
  <c r="H18" i="27"/>
  <c r="L18" i="27" s="1"/>
  <c r="G18" i="27"/>
  <c r="E61" i="24"/>
  <c r="H59" i="24"/>
  <c r="F60" i="24"/>
  <c r="H60" i="24" s="1"/>
  <c r="F59" i="24"/>
  <c r="F58" i="24"/>
  <c r="H58" i="24" s="1"/>
  <c r="F57" i="24"/>
  <c r="H57" i="24" s="1"/>
  <c r="F92" i="24"/>
  <c r="F91" i="24"/>
  <c r="F90" i="24"/>
  <c r="E93" i="24"/>
  <c r="H92" i="24"/>
  <c r="H91" i="24"/>
  <c r="F89" i="24"/>
  <c r="H89" i="24" s="1"/>
  <c r="F88" i="24"/>
  <c r="H88" i="24" s="1"/>
  <c r="F87" i="24"/>
  <c r="H87" i="24" s="1"/>
  <c r="F86" i="24"/>
  <c r="H86" i="24" s="1"/>
  <c r="F85" i="24"/>
  <c r="H85" i="24" s="1"/>
  <c r="F84" i="24"/>
  <c r="H84" i="24" s="1"/>
  <c r="F83" i="24"/>
  <c r="H83" i="24" s="1"/>
  <c r="F82" i="24"/>
  <c r="H82" i="24" s="1"/>
  <c r="F81" i="24"/>
  <c r="H81" i="24" s="1"/>
  <c r="F80" i="24"/>
  <c r="H80" i="24" s="1"/>
  <c r="F79" i="24"/>
  <c r="H79" i="24" s="1"/>
  <c r="F78" i="24"/>
  <c r="H78" i="24" s="1"/>
  <c r="F77" i="24"/>
  <c r="H77" i="24" s="1"/>
  <c r="F76" i="24"/>
  <c r="H76" i="24" s="1"/>
  <c r="F75" i="24"/>
  <c r="H75" i="24" s="1"/>
  <c r="F74" i="24"/>
  <c r="H74" i="24" s="1"/>
  <c r="F73" i="24"/>
  <c r="H73" i="24" s="1"/>
  <c r="F72" i="24"/>
  <c r="H72" i="24" s="1"/>
  <c r="F71" i="24"/>
  <c r="H71" i="24" s="1"/>
  <c r="F70" i="24"/>
  <c r="H70" i="24" s="1"/>
  <c r="F69" i="24"/>
  <c r="H69" i="24" s="1"/>
  <c r="F68" i="24"/>
  <c r="H68" i="24" s="1"/>
  <c r="F67" i="24"/>
  <c r="H67" i="24" s="1"/>
  <c r="D66" i="24"/>
  <c r="F66" i="24" s="1"/>
  <c r="F56" i="24"/>
  <c r="H56" i="24" s="1"/>
  <c r="H55" i="24"/>
  <c r="F55" i="24"/>
  <c r="F54" i="24"/>
  <c r="H54" i="24" s="1"/>
  <c r="F53" i="24"/>
  <c r="H53" i="24" s="1"/>
  <c r="F52" i="24"/>
  <c r="H52" i="24" s="1"/>
  <c r="F51" i="24"/>
  <c r="H51" i="24" s="1"/>
  <c r="F50" i="24"/>
  <c r="H50" i="24" s="1"/>
  <c r="F49" i="24"/>
  <c r="H49" i="24" s="1"/>
  <c r="F48" i="24"/>
  <c r="H48" i="24" s="1"/>
  <c r="H47" i="24"/>
  <c r="F47" i="24"/>
  <c r="F46" i="24"/>
  <c r="H46" i="24" s="1"/>
  <c r="F45" i="24"/>
  <c r="H45" i="24" s="1"/>
  <c r="F44" i="24"/>
  <c r="H44" i="24" s="1"/>
  <c r="F43" i="24"/>
  <c r="H43" i="24" s="1"/>
  <c r="F42" i="24"/>
  <c r="H42" i="24" s="1"/>
  <c r="F41" i="24"/>
  <c r="H41" i="24" s="1"/>
  <c r="F40" i="24"/>
  <c r="H40" i="24" s="1"/>
  <c r="H39" i="24"/>
  <c r="F39" i="24"/>
  <c r="F38" i="24"/>
  <c r="H38" i="24" s="1"/>
  <c r="F37" i="24"/>
  <c r="H37" i="24" s="1"/>
  <c r="F36" i="24"/>
  <c r="H36" i="24" s="1"/>
  <c r="F35" i="24"/>
  <c r="H35" i="24" s="1"/>
  <c r="F34" i="24"/>
  <c r="H34" i="24" s="1"/>
  <c r="F33" i="24"/>
  <c r="H33" i="24" s="1"/>
  <c r="F32" i="24"/>
  <c r="H32" i="24" s="1"/>
  <c r="H61" i="24" s="1"/>
  <c r="K20" i="30" l="1"/>
  <c r="K22" i="30"/>
  <c r="K19" i="28"/>
  <c r="K21" i="28"/>
  <c r="K20" i="28"/>
  <c r="F61" i="24"/>
  <c r="F93" i="24"/>
  <c r="K20" i="27"/>
  <c r="F38" i="27"/>
  <c r="K22" i="27"/>
  <c r="K22" i="28"/>
  <c r="H33" i="28"/>
  <c r="H43" i="28" s="1"/>
  <c r="K18" i="28"/>
  <c r="M18" i="28" s="1"/>
  <c r="M19" i="28" s="1"/>
  <c r="K18" i="29"/>
  <c r="M18" i="29" s="1"/>
  <c r="K21" i="29"/>
  <c r="K19" i="29"/>
  <c r="M19" i="29" s="1"/>
  <c r="M20" i="29" s="1"/>
  <c r="M21" i="29" s="1"/>
  <c r="K22" i="29"/>
  <c r="H33" i="29"/>
  <c r="H34" i="29" s="1"/>
  <c r="K18" i="30"/>
  <c r="M18" i="30" s="1"/>
  <c r="K19" i="30"/>
  <c r="K21" i="30"/>
  <c r="F49" i="28"/>
  <c r="F49" i="27"/>
  <c r="H43" i="27"/>
  <c r="H49" i="27" s="1"/>
  <c r="H32" i="27"/>
  <c r="H38" i="27" s="1"/>
  <c r="K18" i="27"/>
  <c r="M18" i="27" s="1"/>
  <c r="M19" i="27" s="1"/>
  <c r="M20" i="27" s="1"/>
  <c r="K21" i="27"/>
  <c r="H90" i="24"/>
  <c r="H66" i="24"/>
  <c r="H93" i="24" s="1"/>
  <c r="M19" i="30" l="1"/>
  <c r="M20" i="30" s="1"/>
  <c r="M22" i="29"/>
  <c r="M21" i="30"/>
  <c r="M22" i="30" s="1"/>
  <c r="M24" i="30" s="1"/>
  <c r="M20" i="28"/>
  <c r="M21" i="28" s="1"/>
  <c r="M22" i="28" s="1"/>
  <c r="M24" i="28" s="1"/>
  <c r="H49" i="28"/>
  <c r="H58" i="28" s="1"/>
  <c r="F58" i="28"/>
  <c r="H39" i="27"/>
  <c r="H40" i="27"/>
  <c r="M21" i="27"/>
  <c r="M22" i="27" s="1"/>
  <c r="M24" i="27" s="1"/>
  <c r="H62" i="24"/>
  <c r="H63" i="24" s="1"/>
  <c r="H64" i="24" s="1"/>
  <c r="H44" i="28" l="1"/>
  <c r="H45" i="28" s="1"/>
  <c r="H22" i="24" l="1"/>
  <c r="L22" i="24" s="1"/>
  <c r="G22" i="24"/>
  <c r="K22" i="24" s="1"/>
  <c r="H21" i="24"/>
  <c r="L21" i="24" s="1"/>
  <c r="G21" i="24"/>
  <c r="H20" i="24"/>
  <c r="L20" i="24" s="1"/>
  <c r="G20" i="24"/>
  <c r="H19" i="24"/>
  <c r="L19" i="24" s="1"/>
  <c r="G19" i="24"/>
  <c r="H18" i="24"/>
  <c r="L18" i="24" s="1"/>
  <c r="G18" i="24"/>
  <c r="H22" i="25"/>
  <c r="L22" i="25" s="1"/>
  <c r="G22" i="25"/>
  <c r="H21" i="25"/>
  <c r="L21" i="25" s="1"/>
  <c r="G21" i="25"/>
  <c r="H20" i="25"/>
  <c r="L20" i="25" s="1"/>
  <c r="G20" i="25"/>
  <c r="H19" i="25"/>
  <c r="L19" i="25" s="1"/>
  <c r="G19" i="25"/>
  <c r="H18" i="25"/>
  <c r="L18" i="25" s="1"/>
  <c r="G18" i="25"/>
  <c r="H22" i="26"/>
  <c r="L22" i="26" s="1"/>
  <c r="G22" i="26"/>
  <c r="H21" i="26"/>
  <c r="L21" i="26" s="1"/>
  <c r="G21" i="26"/>
  <c r="L20" i="26"/>
  <c r="H20" i="26"/>
  <c r="G20" i="26"/>
  <c r="H19" i="26"/>
  <c r="L19" i="26" s="1"/>
  <c r="G19" i="26"/>
  <c r="K19" i="26" s="1"/>
  <c r="H18" i="26"/>
  <c r="L18" i="26" s="1"/>
  <c r="G18" i="26"/>
  <c r="K18" i="26" s="1"/>
  <c r="M18" i="26" s="1"/>
  <c r="H22" i="23"/>
  <c r="L22" i="23" s="1"/>
  <c r="G22" i="23"/>
  <c r="H21" i="23"/>
  <c r="L21" i="23" s="1"/>
  <c r="G21" i="23"/>
  <c r="H20" i="23"/>
  <c r="L20" i="23" s="1"/>
  <c r="G20" i="23"/>
  <c r="H19" i="23"/>
  <c r="L19" i="23" s="1"/>
  <c r="G19" i="23"/>
  <c r="L18" i="23"/>
  <c r="H18" i="23"/>
  <c r="G18" i="23"/>
  <c r="K18" i="23" s="1"/>
  <c r="M18" i="23" s="1"/>
  <c r="K21" i="23" l="1"/>
  <c r="K19" i="23"/>
  <c r="K20" i="23"/>
  <c r="M19" i="23"/>
  <c r="M20" i="23" s="1"/>
  <c r="M21" i="23" s="1"/>
  <c r="M22" i="23" s="1"/>
  <c r="K22" i="23"/>
  <c r="K20" i="26"/>
  <c r="K22" i="26"/>
  <c r="K19" i="24"/>
  <c r="K18" i="24"/>
  <c r="M18" i="24" s="1"/>
  <c r="K21" i="24"/>
  <c r="K20" i="24"/>
  <c r="K18" i="25"/>
  <c r="M18" i="25" s="1"/>
  <c r="K20" i="25"/>
  <c r="K21" i="25"/>
  <c r="K19" i="25"/>
  <c r="K22" i="25"/>
  <c r="M19" i="26"/>
  <c r="M20" i="26" s="1"/>
  <c r="K21" i="26"/>
  <c r="E14" i="29"/>
  <c r="E14" i="30"/>
  <c r="E14" i="28"/>
  <c r="E14" i="27"/>
  <c r="E14" i="24"/>
  <c r="E14" i="25"/>
  <c r="E14" i="26"/>
  <c r="E14" i="23"/>
  <c r="M19" i="24" l="1"/>
  <c r="M19" i="25"/>
  <c r="M20" i="25" s="1"/>
  <c r="M21" i="25" s="1"/>
  <c r="M20" i="24"/>
  <c r="M21" i="24" s="1"/>
  <c r="M22" i="24" s="1"/>
  <c r="M24" i="24" s="1"/>
  <c r="M22" i="25"/>
  <c r="M21" i="26"/>
  <c r="M22" i="26" s="1"/>
  <c r="H14" i="28"/>
  <c r="G14" i="28"/>
  <c r="E13" i="29" l="1"/>
  <c r="E13" i="30"/>
  <c r="E13" i="28"/>
  <c r="E13" i="27"/>
  <c r="E13" i="24"/>
  <c r="E13" i="25"/>
  <c r="E13" i="26"/>
  <c r="E12" i="29" l="1"/>
  <c r="E12" i="30"/>
  <c r="E12" i="28"/>
  <c r="E12" i="27"/>
  <c r="E12" i="24"/>
  <c r="E12" i="25"/>
  <c r="E12" i="26"/>
  <c r="E11" i="29" l="1"/>
  <c r="E11" i="30"/>
  <c r="E11" i="28"/>
  <c r="E11" i="27"/>
  <c r="E11" i="24"/>
  <c r="E11" i="25"/>
  <c r="E11" i="26"/>
  <c r="E10" i="30" l="1"/>
  <c r="E10" i="28"/>
  <c r="E10" i="24"/>
  <c r="E10" i="23"/>
  <c r="G10" i="28" l="1"/>
  <c r="H10" i="28"/>
  <c r="L10" i="28" s="1"/>
  <c r="K10" i="28" l="1"/>
  <c r="H13" i="29" l="1"/>
  <c r="L13" i="29" s="1"/>
  <c r="G13" i="29"/>
  <c r="H12" i="29"/>
  <c r="L12" i="29" s="1"/>
  <c r="G12" i="29"/>
  <c r="H11" i="29"/>
  <c r="L11" i="29" s="1"/>
  <c r="G11" i="29"/>
  <c r="H10" i="29"/>
  <c r="L10" i="29" s="1"/>
  <c r="G10" i="29"/>
  <c r="K11" i="29" l="1"/>
  <c r="K13" i="29"/>
  <c r="K10" i="29"/>
  <c r="K12" i="29"/>
  <c r="H14" i="30" l="1"/>
  <c r="L14" i="30" s="1"/>
  <c r="G14" i="30"/>
  <c r="H13" i="30"/>
  <c r="L13" i="30" s="1"/>
  <c r="G13" i="30"/>
  <c r="H12" i="30"/>
  <c r="L12" i="30" s="1"/>
  <c r="G12" i="30"/>
  <c r="H11" i="30"/>
  <c r="L11" i="30" s="1"/>
  <c r="G11" i="30"/>
  <c r="H10" i="30"/>
  <c r="L10" i="30" s="1"/>
  <c r="G10" i="30"/>
  <c r="K11" i="30" l="1"/>
  <c r="K14" i="30"/>
  <c r="K10" i="30"/>
  <c r="M10" i="30" s="1"/>
  <c r="K13" i="30"/>
  <c r="K12" i="30"/>
  <c r="M11" i="30" l="1"/>
  <c r="M12" i="30" l="1"/>
  <c r="M13" i="30" s="1"/>
  <c r="M14" i="30" s="1"/>
  <c r="O10" i="30"/>
  <c r="O11" i="30"/>
  <c r="M10" i="29"/>
  <c r="M11" i="29" l="1"/>
  <c r="M10" i="28"/>
  <c r="D37" i="25"/>
  <c r="F37" i="25" s="1"/>
  <c r="M12" i="29" l="1"/>
  <c r="M13" i="29" s="1"/>
  <c r="O10" i="29"/>
  <c r="H37" i="25"/>
  <c r="H33" i="25" l="1"/>
  <c r="F32" i="25"/>
  <c r="H32" i="25" l="1"/>
  <c r="H34" i="25" s="1"/>
  <c r="D37" i="26"/>
  <c r="F37" i="26" s="1"/>
  <c r="F32" i="26"/>
  <c r="H37" i="26" l="1"/>
  <c r="H32" i="26"/>
  <c r="H33" i="26" l="1"/>
  <c r="H34" i="26"/>
  <c r="G12" i="28"/>
  <c r="G13" i="27"/>
  <c r="G12" i="27"/>
  <c r="G14" i="24"/>
  <c r="G13" i="24"/>
  <c r="G11" i="24"/>
  <c r="G12" i="23"/>
  <c r="G10" i="23"/>
  <c r="G11" i="23"/>
  <c r="G10" i="26"/>
  <c r="G14" i="29"/>
  <c r="H14" i="29"/>
  <c r="L14" i="29" s="1"/>
  <c r="H13" i="28"/>
  <c r="L13" i="28" s="1"/>
  <c r="G13" i="28"/>
  <c r="H12" i="28"/>
  <c r="L12" i="28" s="1"/>
  <c r="H11" i="28"/>
  <c r="L11" i="28" s="1"/>
  <c r="G11" i="28"/>
  <c r="L14" i="28"/>
  <c r="H12" i="27"/>
  <c r="L12" i="27" s="1"/>
  <c r="H11" i="27"/>
  <c r="L11" i="27" s="1"/>
  <c r="G10" i="27"/>
  <c r="H10" i="27"/>
  <c r="L10" i="27" s="1"/>
  <c r="G11" i="27"/>
  <c r="H13" i="27"/>
  <c r="L13" i="27" s="1"/>
  <c r="G14" i="27"/>
  <c r="H14" i="27"/>
  <c r="L14" i="27" s="1"/>
  <c r="H13" i="24"/>
  <c r="L13" i="24" s="1"/>
  <c r="H11" i="24"/>
  <c r="L11" i="24" s="1"/>
  <c r="G10" i="24"/>
  <c r="H10" i="24"/>
  <c r="L10" i="24" s="1"/>
  <c r="G12" i="24"/>
  <c r="H12" i="24"/>
  <c r="L12" i="24" s="1"/>
  <c r="H14" i="24"/>
  <c r="L14" i="24" s="1"/>
  <c r="G13" i="25"/>
  <c r="H11" i="25"/>
  <c r="L11" i="25" s="1"/>
  <c r="H12" i="25"/>
  <c r="L12" i="25" s="1"/>
  <c r="H13" i="25"/>
  <c r="L13" i="25" s="1"/>
  <c r="H14" i="25"/>
  <c r="L14" i="25" s="1"/>
  <c r="G11" i="25"/>
  <c r="G12" i="25"/>
  <c r="G14" i="25"/>
  <c r="H10" i="25"/>
  <c r="L10" i="25" s="1"/>
  <c r="G10" i="25"/>
  <c r="G11" i="26"/>
  <c r="G12" i="26"/>
  <c r="H12" i="26"/>
  <c r="L12" i="26" s="1"/>
  <c r="G13" i="26"/>
  <c r="G14" i="26"/>
  <c r="H14" i="26"/>
  <c r="L14" i="26" s="1"/>
  <c r="H11" i="26"/>
  <c r="L11" i="26" s="1"/>
  <c r="H13" i="26"/>
  <c r="L13" i="26" s="1"/>
  <c r="H10" i="26"/>
  <c r="L10" i="26" s="1"/>
  <c r="G14" i="23"/>
  <c r="H11" i="23"/>
  <c r="L11" i="23" s="1"/>
  <c r="H12" i="23"/>
  <c r="L12" i="23" s="1"/>
  <c r="G13" i="23"/>
  <c r="H13" i="23"/>
  <c r="L13" i="23" s="1"/>
  <c r="H14" i="23"/>
  <c r="L14" i="23" s="1"/>
  <c r="H10" i="23"/>
  <c r="L10" i="23" s="1"/>
  <c r="K14" i="27" l="1"/>
  <c r="K10" i="25"/>
  <c r="M10" i="25" s="1"/>
  <c r="K14" i="28"/>
  <c r="K14" i="25"/>
  <c r="K13" i="25"/>
  <c r="K11" i="25"/>
  <c r="K12" i="25"/>
  <c r="K13" i="26"/>
  <c r="K14" i="26"/>
  <c r="K12" i="26"/>
  <c r="K11" i="26"/>
  <c r="K10" i="26"/>
  <c r="M10" i="26" s="1"/>
  <c r="K10" i="23"/>
  <c r="M10" i="23" s="1"/>
  <c r="K13" i="23"/>
  <c r="K14" i="24"/>
  <c r="K12" i="23"/>
  <c r="K14" i="23"/>
  <c r="K11" i="23"/>
  <c r="K14" i="29"/>
  <c r="M14" i="29" s="1"/>
  <c r="O11" i="29" s="1"/>
  <c r="K13" i="28"/>
  <c r="K12" i="28"/>
  <c r="K11" i="28"/>
  <c r="K13" i="27"/>
  <c r="K12" i="27"/>
  <c r="K11" i="27"/>
  <c r="K10" i="27"/>
  <c r="M10" i="27" s="1"/>
  <c r="K13" i="24"/>
  <c r="K12" i="24"/>
  <c r="K11" i="24"/>
  <c r="K10" i="24"/>
  <c r="M10" i="24" s="1"/>
  <c r="M11" i="25" l="1"/>
  <c r="M11" i="27"/>
  <c r="M11" i="24"/>
  <c r="M11" i="26"/>
  <c r="M11" i="23"/>
  <c r="M12" i="27" l="1"/>
  <c r="M13" i="27" s="1"/>
  <c r="M14" i="27" s="1"/>
  <c r="O10" i="27"/>
  <c r="M12" i="24"/>
  <c r="M13" i="24" s="1"/>
  <c r="M12" i="25"/>
  <c r="M13" i="25" s="1"/>
  <c r="M14" i="25" s="1"/>
  <c r="O10" i="25"/>
  <c r="O11" i="25" s="1"/>
  <c r="M12" i="26"/>
  <c r="O10" i="26"/>
  <c r="M12" i="23"/>
  <c r="M13" i="23" s="1"/>
  <c r="M14" i="23" s="1"/>
  <c r="O11" i="27"/>
  <c r="M13" i="26"/>
  <c r="Q11" i="29"/>
  <c r="Q12" i="29" s="1"/>
  <c r="O10" i="23" l="1"/>
  <c r="O11" i="23" s="1"/>
  <c r="M14" i="24"/>
  <c r="M14" i="26"/>
  <c r="Q13" i="29"/>
  <c r="Q14" i="29" s="1"/>
  <c r="O10" i="24" l="1"/>
  <c r="O11" i="24" s="1"/>
  <c r="O11" i="26"/>
  <c r="Q15" i="29"/>
  <c r="M11" i="28"/>
  <c r="M12" i="28" l="1"/>
  <c r="M13" i="28" l="1"/>
  <c r="Q11" i="28"/>
  <c r="Q12" i="28" s="1"/>
  <c r="Q11" i="24"/>
  <c r="Q12" i="24" s="1"/>
  <c r="M14" i="28" l="1"/>
  <c r="Q11" i="27"/>
  <c r="Q12" i="27" s="1"/>
  <c r="O10" i="28" l="1"/>
  <c r="O11" i="28" s="1"/>
  <c r="Q13" i="28"/>
  <c r="Q14" i="28" s="1"/>
  <c r="Q13" i="27"/>
  <c r="Q14" i="27" s="1"/>
  <c r="Q15" i="27"/>
  <c r="Q13" i="24" l="1"/>
  <c r="Q14" i="24" s="1"/>
  <c r="Q15" i="24"/>
</calcChain>
</file>

<file path=xl/sharedStrings.xml><?xml version="1.0" encoding="utf-8"?>
<sst xmlns="http://schemas.openxmlformats.org/spreadsheetml/2006/main" count="291" uniqueCount="51">
  <si>
    <t>Month</t>
  </si>
  <si>
    <t>Plant Balance</t>
  </si>
  <si>
    <t>Book Depreciation</t>
  </si>
  <si>
    <t>Louisville Gas and Electric Company</t>
  </si>
  <si>
    <t>Deferred Taxes on Retirements</t>
  </si>
  <si>
    <t>Accumulated Deferred Taxes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</si>
  <si>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</si>
  <si>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</si>
  <si>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</si>
  <si>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</si>
  <si>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</si>
  <si>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</si>
  <si>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</si>
  <si>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</si>
  <si>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</si>
  <si>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27 - Trimble County Unit 1 Air Compliance</t>
  </si>
  <si>
    <t>2016 - Plan</t>
  </si>
  <si>
    <t>Project 28 - Supplemental Mecury Control</t>
  </si>
  <si>
    <t>Project 30 -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</si>
  <si>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</si>
  <si>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</si>
  <si>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</si>
  <si>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</si>
  <si>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</si>
  <si>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</si>
  <si>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</si>
  <si>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</si>
  <si>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 xml:space="preserve">Due to Bonus Depreciation for tax purposes taken on certain components of Project 27,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</si>
  <si>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</si>
  <si>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</si>
  <si>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</si>
  <si>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</si>
  <si>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</si>
  <si>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</si>
  <si>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</si>
  <si>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 xml:space="preserve">Due to Bonus Depreciation for tax purposes taken on certain components of Project 24, the deferred tax calculation for this project </t>
  </si>
  <si>
    <t>State Basis</t>
  </si>
  <si>
    <t>State Tax Depr</t>
  </si>
  <si>
    <t>St. Difference</t>
  </si>
  <si>
    <t>St Def Tax</t>
  </si>
  <si>
    <t>State Offset</t>
  </si>
  <si>
    <t xml:space="preserve">Due to Bonus Depreciation for tax purposes taken on certain components of Project 25, the deferred tax calculation for this project </t>
  </si>
  <si>
    <t>Subtotal</t>
  </si>
  <si>
    <t xml:space="preserve">Due to Bonus Depreciation for tax purposes taken on certain components of Project 26, the deferred tax calculation for this project </t>
  </si>
  <si>
    <t xml:space="preserve">Due to Bonus Depreciation for tax purposes taken on certain components of Project 28, the deferred tax calculation for this project </t>
  </si>
  <si>
    <t xml:space="preserve">Due to Bonus Depreciation for tax purposes taken on certain components of Project 30, the deferred tax calculation for this project </t>
  </si>
  <si>
    <t>Project 24 - Trimble County CCP Storage (Landfill - Phase I)</t>
  </si>
  <si>
    <t>Project 29 - Mill Creek New Process Water Systems</t>
  </si>
  <si>
    <t>Revised due to IRS guidance on bonus depreciation issued in August 2018 and change in state tax rate from 6% to 5%.</t>
  </si>
  <si>
    <t>depreciation, which reduces the Federal tax basis to 50% of the plant balance.  A sample calculation of deferred taxes for Aug 2018</t>
  </si>
  <si>
    <t xml:space="preserve">Due to Bonus Depreciation for tax purposes taken on certain components of Project 29, the deferred tax calculation for this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</si>
</sst>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Fill="1" applyBorder="1"/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41" fontId="0" fillId="0" borderId="0" xfId="0" applyNumberFormat="1"/>
    <xf numFmtId="166" fontId="1" fillId="0" borderId="0" xfId="1" applyNumberFormat="1"/>
    <xf numFmtId="0" fontId="3" fillId="0" borderId="0" xfId="0" applyFont="1" applyFill="1" applyAlignment="1">
      <alignment horizontal="centerContinuous"/>
    </xf>
    <xf numFmtId="41" fontId="4" fillId="0" borderId="0" xfId="0" applyNumberFormat="1" applyFont="1"/>
    <xf numFmtId="38" fontId="4" fillId="0" borderId="0" xfId="0" applyNumberFormat="1" applyFont="1"/>
    <xf numFmtId="166" fontId="4" fillId="0" borderId="0" xfId="1" applyNumberFormat="1" applyFont="1"/>
    <xf numFmtId="41" fontId="0" fillId="0" borderId="0" xfId="0" applyNumberFormat="1" applyFill="1"/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 applyFill="1" applyBorder="1" applyAlignment="1" applyProtection="1">
      <alignment horizontal="left"/>
    </xf>
    <xf numFmtId="165" fontId="2" fillId="0" borderId="0" xfId="0" quotePrefix="1" applyNumberFormat="1" applyFont="1" applyFill="1" applyBorder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166" fontId="0" fillId="0" borderId="0" xfId="0" applyNumberFormat="1"/>
    <xf numFmtId="41" fontId="1" fillId="0" borderId="0" xfId="0" quotePrefix="1" applyNumberFormat="1" applyFont="1" applyFill="1" applyAlignment="1">
      <alignment horizontal="left"/>
    </xf>
    <xf numFmtId="166" fontId="1" fillId="0" borderId="0" xfId="3" applyNumberFormat="1" applyFont="1" applyFill="1"/>
    <xf numFmtId="43" fontId="1" fillId="0" borderId="0" xfId="3" applyFont="1" applyFill="1"/>
    <xf numFmtId="0" fontId="1" fillId="0" borderId="0" xfId="0" quotePrefix="1" applyFont="1" applyFill="1" applyAlignment="1">
      <alignment horizontal="left"/>
    </xf>
    <xf numFmtId="166" fontId="1" fillId="0" borderId="0" xfId="3" quotePrefix="1" applyNumberFormat="1" applyFont="1" applyFill="1" applyAlignment="1">
      <alignment horizontal="left"/>
    </xf>
    <xf numFmtId="164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43" fontId="0" fillId="0" borderId="0" xfId="1" applyFont="1"/>
    <xf numFmtId="43" fontId="0" fillId="0" borderId="0" xfId="1" applyNumberFormat="1" applyFont="1"/>
    <xf numFmtId="165" fontId="1" fillId="0" borderId="0" xfId="0" applyNumberFormat="1" applyFont="1" applyAlignment="1">
      <alignment horizontal="left"/>
    </xf>
    <xf numFmtId="41" fontId="1" fillId="0" borderId="0" xfId="0" applyNumberFormat="1" applyFont="1"/>
    <xf numFmtId="41" fontId="1" fillId="0" borderId="0" xfId="0" applyNumberFormat="1" applyFont="1" applyFill="1"/>
    <xf numFmtId="164" fontId="1" fillId="0" borderId="0" xfId="0" applyNumberFormat="1" applyFont="1"/>
    <xf numFmtId="41" fontId="1" fillId="0" borderId="1" xfId="0" applyNumberFormat="1" applyFont="1" applyBorder="1"/>
    <xf numFmtId="38" fontId="4" fillId="0" borderId="0" xfId="0" applyNumberFormat="1" applyFont="1" applyFill="1"/>
    <xf numFmtId="166" fontId="4" fillId="0" borderId="0" xfId="1" applyNumberFormat="1" applyFont="1" applyFill="1"/>
    <xf numFmtId="41" fontId="1" fillId="0" borderId="0" xfId="0" applyNumberFormat="1" applyFont="1" applyBorder="1"/>
    <xf numFmtId="41" fontId="8" fillId="0" borderId="0" xfId="0" applyNumberFormat="1" applyFont="1" applyBorder="1"/>
    <xf numFmtId="0" fontId="3" fillId="0" borderId="0" xfId="0" applyFont="1" applyFill="1" applyAlignment="1">
      <alignment horizontal="center"/>
    </xf>
  </cellXfs>
  <cellStyles count="9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Normal" xfId="0" builtinId="0"/>
    <cellStyle name="Norm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24"/>
  <sheetViews>
    <sheetView tabSelected="1" workbookViewId="0">
      <selection activeCell="A3" sqref="A3:N3"/>
    </sheetView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9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9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9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9</v>
      </c>
    </row>
    <row r="6" spans="1:19" x14ac:dyDescent="0.2">
      <c r="A6" s="18" t="s">
        <v>10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967546.00094400009</v>
      </c>
    </row>
    <row r="10" spans="1:19" x14ac:dyDescent="0.2">
      <c r="A10" s="31">
        <v>43160</v>
      </c>
      <c r="C10" s="12">
        <v>9599354</v>
      </c>
      <c r="D10" s="13">
        <v>10336</v>
      </c>
      <c r="E10" s="14">
        <f>36178.53+5.39</f>
        <v>36183.919999999998</v>
      </c>
      <c r="F10" s="14">
        <v>36178.53</v>
      </c>
      <c r="G10" s="12">
        <f t="shared" ref="G10:G14" si="0">E10-D10</f>
        <v>25847.919999999998</v>
      </c>
      <c r="H10" s="12">
        <f t="shared" ref="H10:H14" si="1">F10-D10</f>
        <v>25842.53</v>
      </c>
      <c r="I10" s="3">
        <v>0.21</v>
      </c>
      <c r="J10" s="3">
        <v>0.06</v>
      </c>
      <c r="K10" s="9">
        <f t="shared" ref="K10:K14" si="2">G10*I10-L10*I10</f>
        <v>5102.447322</v>
      </c>
      <c r="L10" s="9">
        <f t="shared" ref="L10:L14" si="3">H10*J10</f>
        <v>1550.5518</v>
      </c>
      <c r="M10" s="15">
        <f t="shared" ref="M10:M14" si="4">M9+K10+L10</f>
        <v>974199.00006600015</v>
      </c>
      <c r="N10" s="9">
        <v>0</v>
      </c>
      <c r="O10" s="33">
        <f>999723-M14</f>
        <v>-1.0600022505968809E-4</v>
      </c>
      <c r="Q10" s="22"/>
    </row>
    <row r="11" spans="1:19" x14ac:dyDescent="0.2">
      <c r="A11" s="31">
        <v>43191</v>
      </c>
      <c r="C11" s="12">
        <v>9599354</v>
      </c>
      <c r="D11" s="13">
        <v>10336</v>
      </c>
      <c r="E11" s="14">
        <v>36179</v>
      </c>
      <c r="F11" s="14">
        <v>36178.53</v>
      </c>
      <c r="G11" s="12">
        <f t="shared" si="0"/>
        <v>25843</v>
      </c>
      <c r="H11" s="12">
        <f t="shared" si="1"/>
        <v>25842.53</v>
      </c>
      <c r="I11" s="3">
        <v>0.21</v>
      </c>
      <c r="J11" s="3">
        <v>0.05</v>
      </c>
      <c r="K11" s="9">
        <f t="shared" si="2"/>
        <v>5155.6834349999999</v>
      </c>
      <c r="L11" s="9">
        <f t="shared" si="3"/>
        <v>1292.1265000000001</v>
      </c>
      <c r="M11" s="15">
        <f t="shared" si="4"/>
        <v>980646.81000100018</v>
      </c>
      <c r="N11" s="9">
        <v>0</v>
      </c>
      <c r="O11" s="33">
        <f>+O10/0.21</f>
        <v>-5.047629764747052E-4</v>
      </c>
      <c r="Q11" s="9"/>
      <c r="S11" s="9"/>
    </row>
    <row r="12" spans="1:19" x14ac:dyDescent="0.2">
      <c r="A12" s="31">
        <v>43221</v>
      </c>
      <c r="C12" s="12">
        <v>9599354</v>
      </c>
      <c r="D12" s="13">
        <v>10336</v>
      </c>
      <c r="E12" s="14">
        <v>36179</v>
      </c>
      <c r="F12" s="14">
        <v>36178.53</v>
      </c>
      <c r="G12" s="12">
        <f t="shared" si="0"/>
        <v>25843</v>
      </c>
      <c r="H12" s="12">
        <f t="shared" si="1"/>
        <v>25842.53</v>
      </c>
      <c r="I12" s="3">
        <v>0.21</v>
      </c>
      <c r="J12" s="3">
        <v>0.05</v>
      </c>
      <c r="K12" s="9">
        <f t="shared" si="2"/>
        <v>5155.6834349999999</v>
      </c>
      <c r="L12" s="9">
        <f t="shared" si="3"/>
        <v>1292.1265000000001</v>
      </c>
      <c r="M12" s="15">
        <f t="shared" si="4"/>
        <v>987094.61993600021</v>
      </c>
      <c r="N12" s="9">
        <v>0</v>
      </c>
      <c r="Q12" s="9"/>
    </row>
    <row r="13" spans="1:19" x14ac:dyDescent="0.2">
      <c r="A13" s="31">
        <v>43252</v>
      </c>
      <c r="C13" s="12">
        <v>9599354</v>
      </c>
      <c r="D13" s="13">
        <v>10336</v>
      </c>
      <c r="E13" s="14">
        <v>36179</v>
      </c>
      <c r="F13" s="14">
        <v>36178.53</v>
      </c>
      <c r="G13" s="12">
        <f t="shared" si="0"/>
        <v>25843</v>
      </c>
      <c r="H13" s="12">
        <f t="shared" si="1"/>
        <v>25842.53</v>
      </c>
      <c r="I13" s="3">
        <v>0.21</v>
      </c>
      <c r="J13" s="3">
        <v>0.05</v>
      </c>
      <c r="K13" s="9">
        <f t="shared" si="2"/>
        <v>5155.6834349999999</v>
      </c>
      <c r="L13" s="9">
        <f t="shared" si="3"/>
        <v>1292.1265000000001</v>
      </c>
      <c r="M13" s="15">
        <f t="shared" si="4"/>
        <v>993542.42987100023</v>
      </c>
      <c r="N13" s="9">
        <v>0</v>
      </c>
      <c r="Q13" s="12"/>
    </row>
    <row r="14" spans="1:19" x14ac:dyDescent="0.2">
      <c r="A14" s="31">
        <v>43282</v>
      </c>
      <c r="C14" s="12">
        <v>9599354</v>
      </c>
      <c r="D14" s="13">
        <v>10336</v>
      </c>
      <c r="E14" s="14">
        <f>36179-1272.57</f>
        <v>34906.43</v>
      </c>
      <c r="F14" s="14">
        <v>36178.53</v>
      </c>
      <c r="G14" s="12">
        <f t="shared" si="0"/>
        <v>24570.43</v>
      </c>
      <c r="H14" s="12">
        <f t="shared" si="1"/>
        <v>25842.53</v>
      </c>
      <c r="I14" s="3">
        <v>0.21</v>
      </c>
      <c r="J14" s="3">
        <v>0.05</v>
      </c>
      <c r="K14" s="9">
        <f t="shared" si="2"/>
        <v>4888.4437349999998</v>
      </c>
      <c r="L14" s="9">
        <f t="shared" si="3"/>
        <v>1292.1265000000001</v>
      </c>
      <c r="M14" s="15">
        <f t="shared" si="4"/>
        <v>999723.00010600023</v>
      </c>
      <c r="N14" s="9">
        <v>0</v>
      </c>
      <c r="P14" s="12"/>
      <c r="Q14" s="9"/>
    </row>
    <row r="15" spans="1:19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</row>
    <row r="16" spans="1:19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967141</v>
      </c>
      <c r="O17" s="15"/>
      <c r="P17" s="9"/>
    </row>
    <row r="18" spans="1:16" x14ac:dyDescent="0.2">
      <c r="A18" s="31">
        <v>43160</v>
      </c>
      <c r="C18" s="12">
        <v>9599354</v>
      </c>
      <c r="D18" s="13">
        <v>10336</v>
      </c>
      <c r="E18" s="14">
        <v>36179</v>
      </c>
      <c r="F18" s="14">
        <v>36178.53</v>
      </c>
      <c r="G18" s="12">
        <f t="shared" ref="G18:G22" si="5">E18-D18</f>
        <v>25843</v>
      </c>
      <c r="H18" s="12">
        <f t="shared" ref="H18:H22" si="6">F18-D18</f>
        <v>25842.53</v>
      </c>
      <c r="I18" s="3">
        <v>0.21</v>
      </c>
      <c r="J18" s="3">
        <v>0.05</v>
      </c>
      <c r="K18" s="9">
        <f t="shared" ref="K18:K22" si="7">G18*I18-L18*I18</f>
        <v>5155.6834349999999</v>
      </c>
      <c r="L18" s="9">
        <f t="shared" ref="L18:L22" si="8">H18*J18</f>
        <v>1292.1265000000001</v>
      </c>
      <c r="M18" s="15">
        <f t="shared" ref="M18:M22" si="9">M17+K18+L18</f>
        <v>973588.80993500003</v>
      </c>
      <c r="N18" s="9">
        <v>0</v>
      </c>
    </row>
    <row r="19" spans="1:16" x14ac:dyDescent="0.2">
      <c r="A19" s="31">
        <v>43191</v>
      </c>
      <c r="C19" s="12">
        <v>9599354</v>
      </c>
      <c r="D19" s="13">
        <v>10336</v>
      </c>
      <c r="E19" s="14">
        <v>36179</v>
      </c>
      <c r="F19" s="14">
        <v>36178.53</v>
      </c>
      <c r="G19" s="12">
        <f t="shared" si="5"/>
        <v>25843</v>
      </c>
      <c r="H19" s="12">
        <f t="shared" si="6"/>
        <v>25842.53</v>
      </c>
      <c r="I19" s="3">
        <v>0.21</v>
      </c>
      <c r="J19" s="3">
        <v>0.05</v>
      </c>
      <c r="K19" s="9">
        <f t="shared" si="7"/>
        <v>5155.6834349999999</v>
      </c>
      <c r="L19" s="9">
        <f t="shared" si="8"/>
        <v>1292.1265000000001</v>
      </c>
      <c r="M19" s="15">
        <f t="shared" si="9"/>
        <v>980036.61987000005</v>
      </c>
      <c r="N19" s="9">
        <v>0</v>
      </c>
    </row>
    <row r="20" spans="1:16" x14ac:dyDescent="0.2">
      <c r="A20" s="31">
        <v>43221</v>
      </c>
      <c r="C20" s="12">
        <v>9599354</v>
      </c>
      <c r="D20" s="13">
        <v>10336</v>
      </c>
      <c r="E20" s="14">
        <v>36179</v>
      </c>
      <c r="F20" s="14">
        <v>36178.53</v>
      </c>
      <c r="G20" s="12">
        <f t="shared" si="5"/>
        <v>25843</v>
      </c>
      <c r="H20" s="12">
        <f t="shared" si="6"/>
        <v>25842.53</v>
      </c>
      <c r="I20" s="3">
        <v>0.21</v>
      </c>
      <c r="J20" s="3">
        <v>0.05</v>
      </c>
      <c r="K20" s="9">
        <f t="shared" si="7"/>
        <v>5155.6834349999999</v>
      </c>
      <c r="L20" s="9">
        <f t="shared" si="8"/>
        <v>1292.1265000000001</v>
      </c>
      <c r="M20" s="15">
        <f t="shared" si="9"/>
        <v>986484.42980500008</v>
      </c>
      <c r="N20" s="9">
        <v>0</v>
      </c>
    </row>
    <row r="21" spans="1:16" x14ac:dyDescent="0.2">
      <c r="A21" s="31">
        <v>43252</v>
      </c>
      <c r="C21" s="12">
        <v>9599354</v>
      </c>
      <c r="D21" s="13">
        <v>10336</v>
      </c>
      <c r="E21" s="14">
        <v>36179</v>
      </c>
      <c r="F21" s="14">
        <v>36178.53</v>
      </c>
      <c r="G21" s="12">
        <f t="shared" si="5"/>
        <v>25843</v>
      </c>
      <c r="H21" s="12">
        <f t="shared" si="6"/>
        <v>25842.53</v>
      </c>
      <c r="I21" s="3">
        <v>0.21</v>
      </c>
      <c r="J21" s="3">
        <v>0.05</v>
      </c>
      <c r="K21" s="9">
        <f t="shared" si="7"/>
        <v>5155.6834349999999</v>
      </c>
      <c r="L21" s="9">
        <f t="shared" si="8"/>
        <v>1292.1265000000001</v>
      </c>
      <c r="M21" s="15">
        <f t="shared" si="9"/>
        <v>992932.23974000011</v>
      </c>
      <c r="N21" s="9">
        <v>0</v>
      </c>
    </row>
    <row r="22" spans="1:16" x14ac:dyDescent="0.2">
      <c r="A22" s="31">
        <v>43282</v>
      </c>
      <c r="C22" s="12">
        <v>9599354</v>
      </c>
      <c r="D22" s="13">
        <v>10336</v>
      </c>
      <c r="E22" s="14">
        <v>36179</v>
      </c>
      <c r="F22" s="14">
        <v>36178.53</v>
      </c>
      <c r="G22" s="12">
        <f t="shared" si="5"/>
        <v>25843</v>
      </c>
      <c r="H22" s="12">
        <f t="shared" si="6"/>
        <v>25842.53</v>
      </c>
      <c r="I22" s="3">
        <v>0.21</v>
      </c>
      <c r="J22" s="3">
        <v>0.05</v>
      </c>
      <c r="K22" s="9">
        <f t="shared" si="7"/>
        <v>5155.6834349999999</v>
      </c>
      <c r="L22" s="9">
        <f t="shared" si="8"/>
        <v>1292.1265000000001</v>
      </c>
      <c r="M22" s="15">
        <f t="shared" si="9"/>
        <v>999380.04967500013</v>
      </c>
      <c r="N22" s="9">
        <v>0</v>
      </c>
    </row>
    <row r="24" spans="1:16" x14ac:dyDescent="0.2">
      <c r="A24" s="31">
        <v>43313</v>
      </c>
      <c r="C24" s="12">
        <v>9599354</v>
      </c>
      <c r="D24" s="13">
        <v>10336</v>
      </c>
      <c r="E24" s="14">
        <v>36179</v>
      </c>
      <c r="F24" s="14">
        <v>36178.53</v>
      </c>
      <c r="G24" s="12">
        <f t="shared" ref="G24" si="10">E24-D24</f>
        <v>25843</v>
      </c>
      <c r="H24" s="12">
        <f t="shared" ref="H24" si="11">F24-D24</f>
        <v>25842.53</v>
      </c>
      <c r="I24" s="3">
        <v>0.21</v>
      </c>
      <c r="J24" s="3">
        <v>0.05</v>
      </c>
      <c r="K24" s="9">
        <f t="shared" ref="K24" si="12">G24*I24-L24*I24</f>
        <v>5155.6834349999999</v>
      </c>
      <c r="L24" s="9">
        <f t="shared" ref="L24" si="13">H24*J24</f>
        <v>1292.1265000000001</v>
      </c>
      <c r="M24" s="15">
        <f>M22+K24+L24</f>
        <v>1005827.8596100002</v>
      </c>
      <c r="N24" s="9">
        <v>0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1" orientation="portrait" r:id="rId1"/>
  <headerFooter alignWithMargins="0">
    <oddHeader>&amp;R&amp;"Times New Roman,Bold"&amp;12Attachment to Response to Question No. 3
Page 1 of 8
Williams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6" workbookViewId="0">
      <selection activeCell="C25" sqref="C25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8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8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8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19" t="s">
        <v>9</v>
      </c>
    </row>
    <row r="6" spans="1:18" x14ac:dyDescent="0.2">
      <c r="A6" s="20" t="s">
        <v>46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2230212.9991679997</v>
      </c>
    </row>
    <row r="10" spans="1:18" x14ac:dyDescent="0.2">
      <c r="A10" s="31">
        <v>43160</v>
      </c>
      <c r="C10" s="12">
        <v>13395528</v>
      </c>
      <c r="D10" s="13">
        <v>28310</v>
      </c>
      <c r="E10" s="13">
        <v>34780.980000000003</v>
      </c>
      <c r="F10" s="13">
        <v>69561.960000000006</v>
      </c>
      <c r="G10" s="14">
        <f t="shared" ref="G10:G14" si="0">E10-D10</f>
        <v>6470.9800000000032</v>
      </c>
      <c r="H10" s="14">
        <f t="shared" ref="H10:H14" si="1">F10-D10</f>
        <v>41251.960000000006</v>
      </c>
      <c r="I10" s="3">
        <v>0.21</v>
      </c>
      <c r="J10" s="3">
        <v>0.06</v>
      </c>
      <c r="K10" s="9">
        <f t="shared" ref="K10:K14" si="2">G10*I10-L10*I10</f>
        <v>839.13110400000062</v>
      </c>
      <c r="L10" s="9">
        <f t="shared" ref="L10:L14" si="3">H10*J10</f>
        <v>2475.1176000000005</v>
      </c>
      <c r="M10" s="15">
        <f t="shared" ref="M10:M14" si="4">M9+K10+L10</f>
        <v>2233527.2478719996</v>
      </c>
      <c r="N10" s="9">
        <v>296464.46999999997</v>
      </c>
      <c r="O10" s="32">
        <f>2236407-M11</f>
        <v>-3.9199972525238991E-4</v>
      </c>
      <c r="R10" s="22"/>
    </row>
    <row r="11" spans="1:18" x14ac:dyDescent="0.2">
      <c r="A11" s="31">
        <v>43191</v>
      </c>
      <c r="C11" s="12">
        <v>13395528</v>
      </c>
      <c r="D11" s="13">
        <v>28310</v>
      </c>
      <c r="E11" s="13">
        <f>34780.98-517.17</f>
        <v>34263.810000000005</v>
      </c>
      <c r="F11" s="13">
        <v>69561.960000000006</v>
      </c>
      <c r="G11" s="14">
        <f t="shared" si="0"/>
        <v>5953.8100000000049</v>
      </c>
      <c r="H11" s="14">
        <f t="shared" si="1"/>
        <v>41251.960000000006</v>
      </c>
      <c r="I11" s="3">
        <v>0.21</v>
      </c>
      <c r="J11" s="3">
        <v>0.05</v>
      </c>
      <c r="K11" s="9">
        <f t="shared" si="2"/>
        <v>817.15452000000096</v>
      </c>
      <c r="L11" s="9">
        <f t="shared" si="3"/>
        <v>2062.5980000000004</v>
      </c>
      <c r="M11" s="15">
        <f t="shared" si="4"/>
        <v>2236407.0003919997</v>
      </c>
      <c r="N11" s="9">
        <v>296464.46999999997</v>
      </c>
      <c r="O11" s="32">
        <f>+O10/0.21</f>
        <v>-1.8666653583447139E-3</v>
      </c>
      <c r="Q11" s="9"/>
      <c r="R11" s="22"/>
    </row>
    <row r="12" spans="1:18" x14ac:dyDescent="0.2">
      <c r="A12" s="31">
        <v>43221</v>
      </c>
      <c r="C12" s="12">
        <v>13395528</v>
      </c>
      <c r="D12" s="13">
        <v>28310</v>
      </c>
      <c r="E12" s="13">
        <f>34780.98-519.17</f>
        <v>34261.810000000005</v>
      </c>
      <c r="F12" s="13">
        <v>69561.960000000006</v>
      </c>
      <c r="G12" s="14">
        <f t="shared" si="0"/>
        <v>5951.8100000000049</v>
      </c>
      <c r="H12" s="14">
        <f t="shared" si="1"/>
        <v>41251.960000000006</v>
      </c>
      <c r="I12" s="3">
        <v>0.21</v>
      </c>
      <c r="J12" s="3">
        <v>0.05</v>
      </c>
      <c r="K12" s="9">
        <f t="shared" si="2"/>
        <v>816.73452000000088</v>
      </c>
      <c r="L12" s="9">
        <f t="shared" si="3"/>
        <v>2062.5980000000004</v>
      </c>
      <c r="M12" s="15">
        <f t="shared" si="4"/>
        <v>2239286.3329119999</v>
      </c>
      <c r="N12" s="9">
        <v>296464.46999999997</v>
      </c>
      <c r="R12" s="22"/>
    </row>
    <row r="13" spans="1:18" x14ac:dyDescent="0.2">
      <c r="A13" s="31">
        <v>43252</v>
      </c>
      <c r="C13" s="12">
        <v>13395528</v>
      </c>
      <c r="D13" s="13">
        <v>28310</v>
      </c>
      <c r="E13" s="13">
        <f>34780.98-519.17</f>
        <v>34261.810000000005</v>
      </c>
      <c r="F13" s="13">
        <v>69561.960000000006</v>
      </c>
      <c r="G13" s="14">
        <f t="shared" si="0"/>
        <v>5951.8100000000049</v>
      </c>
      <c r="H13" s="14">
        <f t="shared" si="1"/>
        <v>41251.960000000006</v>
      </c>
      <c r="I13" s="3">
        <v>0.21</v>
      </c>
      <c r="J13" s="3">
        <v>0.05</v>
      </c>
      <c r="K13" s="9">
        <f t="shared" si="2"/>
        <v>816.73452000000088</v>
      </c>
      <c r="L13" s="9">
        <f t="shared" si="3"/>
        <v>2062.5980000000004</v>
      </c>
      <c r="M13" s="15">
        <f t="shared" si="4"/>
        <v>2242165.6654320001</v>
      </c>
      <c r="N13" s="9">
        <v>296464.46999999997</v>
      </c>
      <c r="Q13" s="17"/>
      <c r="R13" s="22"/>
    </row>
    <row r="14" spans="1:18" x14ac:dyDescent="0.2">
      <c r="A14" s="31">
        <v>43282</v>
      </c>
      <c r="C14" s="12">
        <v>13395528</v>
      </c>
      <c r="D14" s="13">
        <v>28310</v>
      </c>
      <c r="E14" s="13">
        <f>34780.98-519.17+4</f>
        <v>34265.810000000005</v>
      </c>
      <c r="F14" s="13">
        <v>69561.960000000006</v>
      </c>
      <c r="G14" s="14">
        <f t="shared" si="0"/>
        <v>5955.8100000000049</v>
      </c>
      <c r="H14" s="14">
        <f t="shared" si="1"/>
        <v>41251.960000000006</v>
      </c>
      <c r="I14" s="3">
        <v>0.21</v>
      </c>
      <c r="J14" s="3">
        <v>0.05</v>
      </c>
      <c r="K14" s="9">
        <f t="shared" si="2"/>
        <v>817.5745200000008</v>
      </c>
      <c r="L14" s="9">
        <f t="shared" si="3"/>
        <v>2062.5980000000004</v>
      </c>
      <c r="M14" s="15">
        <f t="shared" si="4"/>
        <v>2245045.8379520001</v>
      </c>
      <c r="N14" s="9">
        <v>296464.46999999997</v>
      </c>
      <c r="Q14" s="12"/>
      <c r="R14" s="22"/>
    </row>
    <row r="15" spans="1:18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</row>
    <row r="16" spans="1:18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2229560</v>
      </c>
      <c r="O17" s="15"/>
      <c r="P17" s="9"/>
    </row>
    <row r="18" spans="1:16" x14ac:dyDescent="0.2">
      <c r="A18" s="31">
        <v>43160</v>
      </c>
      <c r="C18" s="12">
        <v>13395528</v>
      </c>
      <c r="D18" s="13">
        <v>28310</v>
      </c>
      <c r="E18" s="13">
        <v>34780.980000000003</v>
      </c>
      <c r="F18" s="13">
        <v>69561.960000000006</v>
      </c>
      <c r="G18" s="14">
        <f t="shared" ref="G18:G22" si="5">E18-D18</f>
        <v>6470.9800000000032</v>
      </c>
      <c r="H18" s="14">
        <f t="shared" ref="H18:H22" si="6">F18-D18</f>
        <v>41251.960000000006</v>
      </c>
      <c r="I18" s="3">
        <v>0.21</v>
      </c>
      <c r="J18" s="3">
        <v>0.05</v>
      </c>
      <c r="K18" s="9">
        <f t="shared" ref="K18:K22" si="7">G18*I18-L18*I18</f>
        <v>925.76022000000057</v>
      </c>
      <c r="L18" s="9">
        <f t="shared" ref="L18:L22" si="8">H18*J18</f>
        <v>2062.5980000000004</v>
      </c>
      <c r="M18" s="15">
        <f t="shared" ref="M18:M22" si="9">M17+K18+L18</f>
        <v>2232548.3582200003</v>
      </c>
      <c r="N18" s="9">
        <v>296464</v>
      </c>
      <c r="O18" s="15"/>
      <c r="P18" s="9"/>
    </row>
    <row r="19" spans="1:16" x14ac:dyDescent="0.2">
      <c r="A19" s="31">
        <v>43191</v>
      </c>
      <c r="C19" s="12">
        <v>13395528</v>
      </c>
      <c r="D19" s="13">
        <v>28310</v>
      </c>
      <c r="E19" s="13">
        <v>34781</v>
      </c>
      <c r="F19" s="13">
        <v>69561.960000000006</v>
      </c>
      <c r="G19" s="14">
        <f t="shared" si="5"/>
        <v>6471</v>
      </c>
      <c r="H19" s="14">
        <f t="shared" si="6"/>
        <v>41251.960000000006</v>
      </c>
      <c r="I19" s="3">
        <v>0.21</v>
      </c>
      <c r="J19" s="3">
        <v>0.05</v>
      </c>
      <c r="K19" s="9">
        <f t="shared" si="7"/>
        <v>925.76441999999975</v>
      </c>
      <c r="L19" s="9">
        <f t="shared" si="8"/>
        <v>2062.5980000000004</v>
      </c>
      <c r="M19" s="15">
        <f t="shared" si="9"/>
        <v>2235536.7206400004</v>
      </c>
      <c r="N19" s="9">
        <v>296464</v>
      </c>
      <c r="O19" s="15"/>
      <c r="P19" s="9"/>
    </row>
    <row r="20" spans="1:16" x14ac:dyDescent="0.2">
      <c r="A20" s="31">
        <v>43221</v>
      </c>
      <c r="C20" s="12">
        <v>13395528</v>
      </c>
      <c r="D20" s="13">
        <v>28310</v>
      </c>
      <c r="E20" s="13">
        <v>34781</v>
      </c>
      <c r="F20" s="13">
        <v>69561.960000000006</v>
      </c>
      <c r="G20" s="14">
        <f t="shared" si="5"/>
        <v>6471</v>
      </c>
      <c r="H20" s="14">
        <f t="shared" si="6"/>
        <v>41251.960000000006</v>
      </c>
      <c r="I20" s="3">
        <v>0.21</v>
      </c>
      <c r="J20" s="3">
        <v>0.05</v>
      </c>
      <c r="K20" s="9">
        <f t="shared" si="7"/>
        <v>925.76441999999975</v>
      </c>
      <c r="L20" s="9">
        <f t="shared" si="8"/>
        <v>2062.5980000000004</v>
      </c>
      <c r="M20" s="15">
        <f t="shared" si="9"/>
        <v>2238525.0830600006</v>
      </c>
      <c r="N20" s="9">
        <v>296464</v>
      </c>
      <c r="O20" s="15"/>
      <c r="P20" s="9"/>
    </row>
    <row r="21" spans="1:16" x14ac:dyDescent="0.2">
      <c r="A21" s="31">
        <v>43252</v>
      </c>
      <c r="C21" s="12">
        <v>13395528</v>
      </c>
      <c r="D21" s="13">
        <v>28310</v>
      </c>
      <c r="E21" s="13">
        <v>34781</v>
      </c>
      <c r="F21" s="13">
        <v>69561.960000000006</v>
      </c>
      <c r="G21" s="14">
        <f t="shared" si="5"/>
        <v>6471</v>
      </c>
      <c r="H21" s="14">
        <f t="shared" si="6"/>
        <v>41251.960000000006</v>
      </c>
      <c r="I21" s="3">
        <v>0.21</v>
      </c>
      <c r="J21" s="3">
        <v>0.05</v>
      </c>
      <c r="K21" s="9">
        <f t="shared" si="7"/>
        <v>925.76441999999975</v>
      </c>
      <c r="L21" s="9">
        <f t="shared" si="8"/>
        <v>2062.5980000000004</v>
      </c>
      <c r="M21" s="15">
        <f t="shared" si="9"/>
        <v>2241513.4454800007</v>
      </c>
      <c r="N21" s="9">
        <v>296464</v>
      </c>
      <c r="O21" s="15"/>
      <c r="P21" s="9"/>
    </row>
    <row r="22" spans="1:16" x14ac:dyDescent="0.2">
      <c r="A22" s="31">
        <v>43282</v>
      </c>
      <c r="C22" s="12">
        <v>13395528</v>
      </c>
      <c r="D22" s="13">
        <v>28310</v>
      </c>
      <c r="E22" s="13">
        <v>34781</v>
      </c>
      <c r="F22" s="13">
        <v>69561.960000000006</v>
      </c>
      <c r="G22" s="14">
        <f t="shared" si="5"/>
        <v>6471</v>
      </c>
      <c r="H22" s="14">
        <f t="shared" si="6"/>
        <v>41251.960000000006</v>
      </c>
      <c r="I22" s="3">
        <v>0.21</v>
      </c>
      <c r="J22" s="3">
        <v>0.05</v>
      </c>
      <c r="K22" s="9">
        <f t="shared" si="7"/>
        <v>925.76441999999975</v>
      </c>
      <c r="L22" s="9">
        <f t="shared" si="8"/>
        <v>2062.5980000000004</v>
      </c>
      <c r="M22" s="15">
        <f t="shared" si="9"/>
        <v>2244501.8079000008</v>
      </c>
      <c r="N22" s="9">
        <v>296464</v>
      </c>
      <c r="O22" s="15"/>
      <c r="P22" s="9"/>
    </row>
    <row r="23" spans="1:16" x14ac:dyDescent="0.2">
      <c r="A23" s="16"/>
      <c r="C23" s="12"/>
      <c r="D23" s="13"/>
      <c r="E23" s="13"/>
      <c r="F23" s="13"/>
      <c r="G23" s="14"/>
      <c r="H23" s="14"/>
      <c r="I23" s="14"/>
      <c r="J23" s="12"/>
      <c r="K23" s="12"/>
      <c r="L23" s="3"/>
      <c r="M23" s="3"/>
      <c r="N23" s="9"/>
      <c r="O23" s="15"/>
      <c r="P23" s="9"/>
    </row>
    <row r="24" spans="1:16" x14ac:dyDescent="0.2">
      <c r="A24" s="31">
        <v>43313</v>
      </c>
      <c r="C24" s="12">
        <v>13399111</v>
      </c>
      <c r="D24" s="13">
        <v>28310</v>
      </c>
      <c r="E24" s="13">
        <v>34781</v>
      </c>
      <c r="F24" s="13">
        <v>69561.960000000006</v>
      </c>
      <c r="G24" s="14">
        <f t="shared" ref="G24" si="10">E24-D24</f>
        <v>6471</v>
      </c>
      <c r="H24" s="14">
        <f t="shared" ref="H24" si="11">F24-D24</f>
        <v>41251.960000000006</v>
      </c>
      <c r="I24" s="3">
        <v>0.21</v>
      </c>
      <c r="J24" s="3">
        <v>0.05</v>
      </c>
      <c r="K24" s="9">
        <f t="shared" ref="K24" si="12">G24*I24-L24*I24</f>
        <v>925.76441999999975</v>
      </c>
      <c r="L24" s="9">
        <f t="shared" ref="L24" si="13">H24*J24</f>
        <v>2062.5980000000004</v>
      </c>
      <c r="M24" s="15">
        <f>M22+K24+L24</f>
        <v>2247490.170320001</v>
      </c>
      <c r="N24" s="9">
        <v>296464.46999999997</v>
      </c>
      <c r="O24" s="15"/>
      <c r="P24" s="9"/>
    </row>
    <row r="25" spans="1:16" x14ac:dyDescent="0.2">
      <c r="A25" s="31"/>
      <c r="C25" s="12"/>
      <c r="D25" s="13"/>
      <c r="E25" s="13"/>
      <c r="F25" s="13"/>
      <c r="G25" s="14"/>
      <c r="H25" s="14"/>
      <c r="I25" s="3"/>
      <c r="J25" s="3"/>
      <c r="K25" s="9"/>
      <c r="L25" s="9"/>
      <c r="M25" s="15"/>
      <c r="N25" s="9"/>
      <c r="O25" s="15"/>
      <c r="P25" s="9"/>
    </row>
    <row r="26" spans="1:16" x14ac:dyDescent="0.2">
      <c r="C26" s="23" t="s">
        <v>35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0" spans="1:16" x14ac:dyDescent="0.2">
      <c r="C30" s="26"/>
      <c r="D30" s="24"/>
      <c r="E30" s="24"/>
      <c r="F30" s="24"/>
      <c r="G30" s="24"/>
      <c r="H30" s="24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12">
        <v>2033858.4350000001</v>
      </c>
      <c r="D32" s="12">
        <v>28310</v>
      </c>
      <c r="E32" s="12">
        <v>34781</v>
      </c>
      <c r="F32" s="12">
        <f>E32-D32</f>
        <v>6471</v>
      </c>
      <c r="G32" s="3">
        <v>0.21</v>
      </c>
      <c r="H32" s="12">
        <f>F32*G32</f>
        <v>1358.9099999999999</v>
      </c>
    </row>
    <row r="33" spans="3:8" ht="15" x14ac:dyDescent="0.35">
      <c r="E33" s="9"/>
      <c r="F33" s="9"/>
      <c r="G33" s="30" t="s">
        <v>40</v>
      </c>
      <c r="H33" s="29">
        <f>-H37*0.21</f>
        <v>-433.14599999999996</v>
      </c>
    </row>
    <row r="34" spans="3:8" x14ac:dyDescent="0.2">
      <c r="H34" s="12">
        <f>H32+H33</f>
        <v>925.7639999999999</v>
      </c>
    </row>
    <row r="35" spans="3:8" x14ac:dyDescent="0.2">
      <c r="H35" s="12">
        <f>H34-K24</f>
        <v>-4.1999999984909664E-4</v>
      </c>
    </row>
    <row r="36" spans="3:8" x14ac:dyDescent="0.2">
      <c r="C36" s="15" t="s">
        <v>36</v>
      </c>
      <c r="D36" s="24" t="s">
        <v>31</v>
      </c>
      <c r="E36" s="25" t="s">
        <v>37</v>
      </c>
      <c r="F36" s="15" t="s">
        <v>38</v>
      </c>
      <c r="G36" s="28" t="s">
        <v>24</v>
      </c>
      <c r="H36" s="15" t="s">
        <v>39</v>
      </c>
    </row>
    <row r="37" spans="3:8" x14ac:dyDescent="0.2">
      <c r="C37" s="12">
        <v>4067716.87</v>
      </c>
      <c r="D37" s="12">
        <f>D32</f>
        <v>28310</v>
      </c>
      <c r="E37" s="12">
        <v>69562</v>
      </c>
      <c r="F37" s="12">
        <f>E37-D37</f>
        <v>41252</v>
      </c>
      <c r="G37" s="3">
        <v>0.05</v>
      </c>
      <c r="H37" s="12">
        <f>F37*G37</f>
        <v>2062.6</v>
      </c>
    </row>
    <row r="38" spans="3:8" x14ac:dyDescent="0.2">
      <c r="E38" s="9"/>
      <c r="F38" s="9"/>
      <c r="H38" s="12">
        <f>H37-L24</f>
        <v>1.9999999994979589E-3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2 of 8
Williams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39"/>
  <sheetViews>
    <sheetView topLeftCell="A13" workbookViewId="0">
      <selection activeCell="A3" sqref="A3:N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8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8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6" t="s">
        <v>9</v>
      </c>
    </row>
    <row r="6" spans="1:18" x14ac:dyDescent="0.2">
      <c r="A6" s="18" t="s">
        <v>13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1434060.9996639998</v>
      </c>
    </row>
    <row r="10" spans="1:18" x14ac:dyDescent="0.2">
      <c r="A10" s="31">
        <v>43160</v>
      </c>
      <c r="C10" s="12">
        <v>7413755</v>
      </c>
      <c r="D10" s="13">
        <v>14253</v>
      </c>
      <c r="E10" s="13">
        <v>17831.509999999998</v>
      </c>
      <c r="F10" s="13">
        <v>35663.03</v>
      </c>
      <c r="G10" s="14">
        <f t="shared" ref="G10:G14" si="0">E10-D10</f>
        <v>3578.5099999999984</v>
      </c>
      <c r="H10" s="14">
        <f t="shared" ref="H10:H14" si="1">F10-D10</f>
        <v>21410.03</v>
      </c>
      <c r="I10" s="3">
        <v>0.21</v>
      </c>
      <c r="J10" s="3">
        <v>0.06</v>
      </c>
      <c r="K10" s="9">
        <f t="shared" ref="K10:K14" si="2">G10*I10-L10*I10</f>
        <v>481.72072199999963</v>
      </c>
      <c r="L10" s="9">
        <f t="shared" ref="L10:L14" si="3">H10*J10</f>
        <v>1284.6017999999999</v>
      </c>
      <c r="M10" s="15">
        <f t="shared" ref="M10:M14" si="4">M9+K10+L10</f>
        <v>1435827.3221859999</v>
      </c>
      <c r="N10" s="9">
        <v>0</v>
      </c>
      <c r="O10" s="32">
        <f>1437368-M11</f>
        <v>-7.7100005000829697E-4</v>
      </c>
      <c r="Q10" s="9"/>
      <c r="R10" s="22"/>
    </row>
    <row r="11" spans="1:18" x14ac:dyDescent="0.2">
      <c r="A11" s="31">
        <v>43191</v>
      </c>
      <c r="C11" s="12">
        <v>7413755</v>
      </c>
      <c r="D11" s="13">
        <v>14253</v>
      </c>
      <c r="E11" s="13">
        <f>17831.51-269.07</f>
        <v>17562.439999999999</v>
      </c>
      <c r="F11" s="13">
        <v>35663.03</v>
      </c>
      <c r="G11" s="14">
        <f t="shared" si="0"/>
        <v>3309.4399999999987</v>
      </c>
      <c r="H11" s="14">
        <f t="shared" si="1"/>
        <v>21410.03</v>
      </c>
      <c r="I11" s="3">
        <v>0.21</v>
      </c>
      <c r="J11" s="3">
        <v>0.05</v>
      </c>
      <c r="K11" s="9">
        <f t="shared" si="2"/>
        <v>470.17708499999964</v>
      </c>
      <c r="L11" s="9">
        <f t="shared" si="3"/>
        <v>1070.5015000000001</v>
      </c>
      <c r="M11" s="15">
        <f t="shared" si="4"/>
        <v>1437368.0007710001</v>
      </c>
      <c r="N11" s="9">
        <v>0</v>
      </c>
      <c r="O11" s="32">
        <f>+O10/0.21</f>
        <v>-3.6714288095633192E-3</v>
      </c>
      <c r="Q11" s="9"/>
      <c r="R11" s="22"/>
    </row>
    <row r="12" spans="1:18" x14ac:dyDescent="0.2">
      <c r="A12" s="31">
        <v>43221</v>
      </c>
      <c r="C12" s="12">
        <v>7413755</v>
      </c>
      <c r="D12" s="13">
        <v>14253</v>
      </c>
      <c r="E12" s="13">
        <f>17831.51-269.07</f>
        <v>17562.439999999999</v>
      </c>
      <c r="F12" s="13">
        <v>35663.03</v>
      </c>
      <c r="G12" s="14">
        <f t="shared" si="0"/>
        <v>3309.4399999999987</v>
      </c>
      <c r="H12" s="14">
        <f t="shared" si="1"/>
        <v>21410.03</v>
      </c>
      <c r="I12" s="3">
        <v>0.21</v>
      </c>
      <c r="J12" s="3">
        <v>0.05</v>
      </c>
      <c r="K12" s="9">
        <f t="shared" si="2"/>
        <v>470.17708499999964</v>
      </c>
      <c r="L12" s="9">
        <f t="shared" si="3"/>
        <v>1070.5015000000001</v>
      </c>
      <c r="M12" s="15">
        <f t="shared" si="4"/>
        <v>1438908.6793560002</v>
      </c>
      <c r="N12" s="9">
        <v>0</v>
      </c>
      <c r="R12" s="22"/>
    </row>
    <row r="13" spans="1:18" x14ac:dyDescent="0.2">
      <c r="A13" s="31">
        <v>43252</v>
      </c>
      <c r="C13" s="12">
        <v>7413755</v>
      </c>
      <c r="D13" s="13">
        <v>14253</v>
      </c>
      <c r="E13" s="13">
        <f>17831.51-269.07+2</f>
        <v>17564.439999999999</v>
      </c>
      <c r="F13" s="13">
        <v>35663.03</v>
      </c>
      <c r="G13" s="14">
        <f t="shared" si="0"/>
        <v>3311.4399999999987</v>
      </c>
      <c r="H13" s="14">
        <f t="shared" si="1"/>
        <v>21410.03</v>
      </c>
      <c r="I13" s="3">
        <v>0.21</v>
      </c>
      <c r="J13" s="3">
        <v>0.05</v>
      </c>
      <c r="K13" s="9">
        <f t="shared" si="2"/>
        <v>470.59708499999971</v>
      </c>
      <c r="L13" s="9">
        <f t="shared" si="3"/>
        <v>1070.5015000000001</v>
      </c>
      <c r="M13" s="15">
        <f t="shared" si="4"/>
        <v>1440449.7779410002</v>
      </c>
      <c r="N13" s="9">
        <v>0</v>
      </c>
      <c r="R13" s="22"/>
    </row>
    <row r="14" spans="1:18" x14ac:dyDescent="0.2">
      <c r="A14" s="31">
        <v>43282</v>
      </c>
      <c r="C14" s="12">
        <v>7413755</v>
      </c>
      <c r="D14" s="13">
        <v>14253</v>
      </c>
      <c r="E14" s="13">
        <f>17831.51-269.07</f>
        <v>17562.439999999999</v>
      </c>
      <c r="F14" s="13">
        <v>35663.03</v>
      </c>
      <c r="G14" s="14">
        <f t="shared" si="0"/>
        <v>3309.4399999999987</v>
      </c>
      <c r="H14" s="14">
        <f t="shared" si="1"/>
        <v>21410.03</v>
      </c>
      <c r="I14" s="3">
        <v>0.21</v>
      </c>
      <c r="J14" s="3">
        <v>0.05</v>
      </c>
      <c r="K14" s="9">
        <f t="shared" si="2"/>
        <v>470.17708499999964</v>
      </c>
      <c r="L14" s="9">
        <f t="shared" si="3"/>
        <v>1070.5015000000001</v>
      </c>
      <c r="M14" s="15">
        <f t="shared" si="4"/>
        <v>1441990.4565260003</v>
      </c>
      <c r="N14" s="9">
        <v>0</v>
      </c>
      <c r="R14" s="22"/>
    </row>
    <row r="15" spans="1:18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</row>
    <row r="16" spans="1:18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1433725</v>
      </c>
      <c r="O17" s="15"/>
      <c r="P17" s="9"/>
    </row>
    <row r="18" spans="1:16" x14ac:dyDescent="0.2">
      <c r="A18" s="31">
        <v>43160</v>
      </c>
      <c r="C18" s="12">
        <v>7413755</v>
      </c>
      <c r="D18" s="13">
        <v>14253</v>
      </c>
      <c r="E18" s="13">
        <v>17831.509999999998</v>
      </c>
      <c r="F18" s="13">
        <v>35663.03</v>
      </c>
      <c r="G18" s="14">
        <f t="shared" ref="G18:G22" si="5">E18-D18</f>
        <v>3578.5099999999984</v>
      </c>
      <c r="H18" s="14">
        <f t="shared" ref="H18:H22" si="6">F18-D18</f>
        <v>21410.03</v>
      </c>
      <c r="I18" s="3">
        <v>0.21</v>
      </c>
      <c r="J18" s="3">
        <v>0.05</v>
      </c>
      <c r="K18" s="9">
        <f t="shared" ref="K18:K22" si="7">G18*I18-L18*I18</f>
        <v>526.68178499999954</v>
      </c>
      <c r="L18" s="9">
        <f t="shared" ref="L18:L22" si="8">H18*J18</f>
        <v>1070.5015000000001</v>
      </c>
      <c r="M18" s="15">
        <f t="shared" ref="M18:M22" si="9">M17+K18+L18</f>
        <v>1435322.183285</v>
      </c>
      <c r="N18" s="9">
        <v>0</v>
      </c>
      <c r="O18" s="15"/>
      <c r="P18" s="9"/>
    </row>
    <row r="19" spans="1:16" x14ac:dyDescent="0.2">
      <c r="A19" s="31">
        <v>43191</v>
      </c>
      <c r="C19" s="12">
        <v>7413755</v>
      </c>
      <c r="D19" s="13">
        <v>14253</v>
      </c>
      <c r="E19" s="13">
        <v>17831.509999999998</v>
      </c>
      <c r="F19" s="13">
        <v>35663.03</v>
      </c>
      <c r="G19" s="14">
        <f t="shared" si="5"/>
        <v>3578.5099999999984</v>
      </c>
      <c r="H19" s="14">
        <f t="shared" si="6"/>
        <v>21410.03</v>
      </c>
      <c r="I19" s="3">
        <v>0.21</v>
      </c>
      <c r="J19" s="3">
        <v>0.05</v>
      </c>
      <c r="K19" s="9">
        <f t="shared" si="7"/>
        <v>526.68178499999954</v>
      </c>
      <c r="L19" s="9">
        <f t="shared" si="8"/>
        <v>1070.5015000000001</v>
      </c>
      <c r="M19" s="15">
        <f t="shared" si="9"/>
        <v>1436919.3665700001</v>
      </c>
      <c r="N19" s="9">
        <v>0</v>
      </c>
      <c r="O19" s="15"/>
      <c r="P19" s="9"/>
    </row>
    <row r="20" spans="1:16" x14ac:dyDescent="0.2">
      <c r="A20" s="31">
        <v>43221</v>
      </c>
      <c r="C20" s="12">
        <v>7413755</v>
      </c>
      <c r="D20" s="13">
        <v>14253</v>
      </c>
      <c r="E20" s="13">
        <v>17831.509999999998</v>
      </c>
      <c r="F20" s="13">
        <v>35663.03</v>
      </c>
      <c r="G20" s="14">
        <f t="shared" si="5"/>
        <v>3578.5099999999984</v>
      </c>
      <c r="H20" s="14">
        <f t="shared" si="6"/>
        <v>21410.03</v>
      </c>
      <c r="I20" s="3">
        <v>0.21</v>
      </c>
      <c r="J20" s="3">
        <v>0.05</v>
      </c>
      <c r="K20" s="9">
        <f t="shared" si="7"/>
        <v>526.68178499999954</v>
      </c>
      <c r="L20" s="9">
        <f t="shared" si="8"/>
        <v>1070.5015000000001</v>
      </c>
      <c r="M20" s="15">
        <f t="shared" si="9"/>
        <v>1438516.5498550001</v>
      </c>
      <c r="N20" s="9">
        <v>0</v>
      </c>
      <c r="O20" s="15"/>
      <c r="P20" s="9"/>
    </row>
    <row r="21" spans="1:16" x14ac:dyDescent="0.2">
      <c r="A21" s="31">
        <v>43252</v>
      </c>
      <c r="C21" s="12">
        <v>7413755</v>
      </c>
      <c r="D21" s="13">
        <v>14253</v>
      </c>
      <c r="E21" s="13">
        <v>17831.509999999998</v>
      </c>
      <c r="F21" s="13">
        <v>35663.03</v>
      </c>
      <c r="G21" s="14">
        <f t="shared" si="5"/>
        <v>3578.5099999999984</v>
      </c>
      <c r="H21" s="14">
        <f t="shared" si="6"/>
        <v>21410.03</v>
      </c>
      <c r="I21" s="3">
        <v>0.21</v>
      </c>
      <c r="J21" s="3">
        <v>0.05</v>
      </c>
      <c r="K21" s="9">
        <f t="shared" si="7"/>
        <v>526.68178499999954</v>
      </c>
      <c r="L21" s="9">
        <f t="shared" si="8"/>
        <v>1070.5015000000001</v>
      </c>
      <c r="M21" s="15">
        <f t="shared" si="9"/>
        <v>1440113.7331400001</v>
      </c>
      <c r="N21" s="9">
        <v>0</v>
      </c>
      <c r="O21" s="15"/>
      <c r="P21" s="9"/>
    </row>
    <row r="22" spans="1:16" x14ac:dyDescent="0.2">
      <c r="A22" s="31">
        <v>43282</v>
      </c>
      <c r="C22" s="12">
        <v>7413755</v>
      </c>
      <c r="D22" s="13">
        <v>14253</v>
      </c>
      <c r="E22" s="13">
        <v>17831.509999999998</v>
      </c>
      <c r="F22" s="13">
        <v>35663.03</v>
      </c>
      <c r="G22" s="14">
        <f t="shared" si="5"/>
        <v>3578.5099999999984</v>
      </c>
      <c r="H22" s="14">
        <f t="shared" si="6"/>
        <v>21410.03</v>
      </c>
      <c r="I22" s="3">
        <v>0.21</v>
      </c>
      <c r="J22" s="3">
        <v>0.05</v>
      </c>
      <c r="K22" s="9">
        <f t="shared" si="7"/>
        <v>526.68178499999954</v>
      </c>
      <c r="L22" s="9">
        <f t="shared" si="8"/>
        <v>1070.5015000000001</v>
      </c>
      <c r="M22" s="15">
        <f t="shared" si="9"/>
        <v>1441710.9164250002</v>
      </c>
      <c r="N22" s="9">
        <v>0</v>
      </c>
      <c r="O22" s="15"/>
      <c r="P22" s="9"/>
    </row>
    <row r="23" spans="1:16" x14ac:dyDescent="0.2">
      <c r="A23" s="16"/>
      <c r="C23" s="12"/>
      <c r="D23" s="13"/>
      <c r="E23" s="13"/>
      <c r="F23" s="13"/>
      <c r="G23" s="14"/>
      <c r="H23" s="14"/>
      <c r="I23" s="14"/>
      <c r="J23" s="12"/>
      <c r="K23" s="12"/>
      <c r="L23" s="3"/>
      <c r="M23" s="3"/>
      <c r="N23" s="9"/>
      <c r="O23" s="15"/>
      <c r="P23" s="9"/>
    </row>
    <row r="24" spans="1:16" x14ac:dyDescent="0.2">
      <c r="A24" s="31">
        <v>43313</v>
      </c>
      <c r="C24" s="12">
        <v>7413755</v>
      </c>
      <c r="D24" s="13">
        <v>14253</v>
      </c>
      <c r="E24" s="13">
        <v>17831.509999999998</v>
      </c>
      <c r="F24" s="13">
        <v>35663.03</v>
      </c>
      <c r="G24" s="14">
        <f t="shared" ref="G24" si="10">E24-D24</f>
        <v>3578.5099999999984</v>
      </c>
      <c r="H24" s="14">
        <f t="shared" ref="H24" si="11">F24-D24</f>
        <v>21410.03</v>
      </c>
      <c r="I24" s="3">
        <v>0.21</v>
      </c>
      <c r="J24" s="3">
        <v>0.05</v>
      </c>
      <c r="K24" s="9">
        <f t="shared" ref="K24" si="12">G24*I24-L24*I24</f>
        <v>526.68178499999954</v>
      </c>
      <c r="L24" s="9">
        <f t="shared" ref="L24" si="13">H24*J24</f>
        <v>1070.5015000000001</v>
      </c>
      <c r="M24" s="15">
        <f>M22+K24+L24</f>
        <v>1443308.0997100002</v>
      </c>
      <c r="N24" s="9">
        <v>0</v>
      </c>
      <c r="O24" s="15"/>
      <c r="P24" s="9"/>
    </row>
    <row r="25" spans="1:16" x14ac:dyDescent="0.2">
      <c r="A25" s="31"/>
      <c r="C25" s="12"/>
      <c r="D25" s="13"/>
      <c r="E25" s="13"/>
      <c r="F25" s="13"/>
      <c r="G25" s="14"/>
      <c r="H25" s="14"/>
      <c r="I25" s="3"/>
      <c r="J25" s="3"/>
      <c r="K25" s="9"/>
      <c r="L25" s="9"/>
      <c r="M25" s="15"/>
      <c r="N25" s="9"/>
      <c r="O25" s="15"/>
      <c r="P25" s="9"/>
    </row>
    <row r="26" spans="1:16" x14ac:dyDescent="0.2">
      <c r="C26" s="23" t="s">
        <v>41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0" spans="1:16" x14ac:dyDescent="0.2">
      <c r="C30" s="26"/>
      <c r="D30" s="24"/>
      <c r="E30" s="24"/>
      <c r="F30" s="24"/>
      <c r="G30" s="24"/>
      <c r="H30" s="24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12">
        <v>3706878</v>
      </c>
      <c r="D32" s="12">
        <v>14253</v>
      </c>
      <c r="E32" s="12">
        <v>17832</v>
      </c>
      <c r="F32" s="12">
        <f>E32-D32</f>
        <v>3579</v>
      </c>
      <c r="G32" s="3">
        <v>0.21</v>
      </c>
      <c r="H32" s="12">
        <f>F32*G32</f>
        <v>751.58999999999992</v>
      </c>
    </row>
    <row r="33" spans="3:8" ht="15" x14ac:dyDescent="0.35">
      <c r="E33" s="9"/>
      <c r="F33" s="9"/>
      <c r="G33" s="30" t="s">
        <v>40</v>
      </c>
      <c r="H33" s="29">
        <f>-H37*0.21</f>
        <v>-224.80499999999998</v>
      </c>
    </row>
    <row r="34" spans="3:8" x14ac:dyDescent="0.2">
      <c r="H34" s="9">
        <f>H32+H33</f>
        <v>526.78499999999997</v>
      </c>
    </row>
    <row r="35" spans="3:8" x14ac:dyDescent="0.2">
      <c r="H35" s="9">
        <f>H34-K24</f>
        <v>0.10321500000043216</v>
      </c>
    </row>
    <row r="36" spans="3:8" x14ac:dyDescent="0.2">
      <c r="C36" s="15" t="s">
        <v>36</v>
      </c>
      <c r="D36" s="24" t="s">
        <v>31</v>
      </c>
      <c r="E36" s="25" t="s">
        <v>37</v>
      </c>
      <c r="F36" s="15" t="s">
        <v>38</v>
      </c>
      <c r="G36" s="28" t="s">
        <v>24</v>
      </c>
      <c r="H36" s="15" t="s">
        <v>39</v>
      </c>
    </row>
    <row r="37" spans="3:8" x14ac:dyDescent="0.2">
      <c r="C37" s="12">
        <v>7413755</v>
      </c>
      <c r="D37" s="12">
        <f>D32</f>
        <v>14253</v>
      </c>
      <c r="E37" s="12">
        <v>35663</v>
      </c>
      <c r="F37" s="12">
        <f>E37-D37</f>
        <v>21410</v>
      </c>
      <c r="G37" s="3">
        <v>0.05</v>
      </c>
      <c r="H37" s="12">
        <f>F37*G37</f>
        <v>1070.5</v>
      </c>
    </row>
    <row r="38" spans="3:8" x14ac:dyDescent="0.2">
      <c r="E38" s="9"/>
      <c r="F38" s="9"/>
      <c r="H38" s="9">
        <f>H37-L24</f>
        <v>-1.5000000000782165E-3</v>
      </c>
    </row>
    <row r="39" spans="3:8" x14ac:dyDescent="0.2">
      <c r="H39" s="9"/>
    </row>
  </sheetData>
  <mergeCells count="3">
    <mergeCell ref="A1:N1"/>
    <mergeCell ref="A2:N2"/>
    <mergeCell ref="A3:N3"/>
  </mergeCells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3 of 8
Williams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94"/>
  <sheetViews>
    <sheetView topLeftCell="A40" workbookViewId="0">
      <selection activeCell="F25" sqref="F25"/>
    </sheetView>
  </sheetViews>
  <sheetFormatPr defaultRowHeight="12.75" x14ac:dyDescent="0.2"/>
  <cols>
    <col min="1" max="1" width="11.28515625" style="8" customWidth="1"/>
    <col min="2" max="2" width="1.7109375" customWidth="1"/>
    <col min="3" max="3" width="14" customWidth="1"/>
    <col min="4" max="4" width="12.7109375" customWidth="1"/>
    <col min="5" max="5" width="16.7109375" customWidth="1"/>
    <col min="6" max="6" width="15" customWidth="1"/>
    <col min="7" max="14" width="12.7109375" customWidth="1"/>
    <col min="15" max="15" width="13.5703125" bestFit="1" customWidth="1"/>
    <col min="16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9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9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9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11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223875222.00000396</v>
      </c>
    </row>
    <row r="10" spans="1:19" x14ac:dyDescent="0.2">
      <c r="A10" s="31">
        <v>43160</v>
      </c>
      <c r="C10" s="12">
        <v>1019573876</v>
      </c>
      <c r="D10" s="13">
        <v>2054347</v>
      </c>
      <c r="E10" s="13">
        <f>5348701.75-2935.27</f>
        <v>5345766.4800000004</v>
      </c>
      <c r="F10" s="13">
        <v>10408923.130000001</v>
      </c>
      <c r="G10" s="14">
        <f t="shared" ref="G10:G14" si="0">E10-D10</f>
        <v>3291419.4800000004</v>
      </c>
      <c r="H10" s="14">
        <f t="shared" ref="H10:H14" si="1">F10-D10</f>
        <v>8354576.1300000008</v>
      </c>
      <c r="I10" s="3">
        <v>0.21</v>
      </c>
      <c r="J10" s="3">
        <v>0.06</v>
      </c>
      <c r="K10" s="9">
        <f t="shared" ref="K10:K14" si="2">G10*I10-L10*I10</f>
        <v>585930.43156200019</v>
      </c>
      <c r="L10" s="9">
        <f t="shared" ref="L10:L14" si="3">H10*J10</f>
        <v>501274.56780000002</v>
      </c>
      <c r="M10" s="15">
        <f t="shared" ref="M10:M14" si="4">M9+K10+L10</f>
        <v>224962426.99936596</v>
      </c>
      <c r="N10" s="9">
        <v>0</v>
      </c>
      <c r="O10" s="32">
        <f>228997251-M14</f>
        <v>-3.859102725982666E-4</v>
      </c>
      <c r="S10" s="22"/>
    </row>
    <row r="11" spans="1:19" x14ac:dyDescent="0.2">
      <c r="A11" s="31">
        <v>43191</v>
      </c>
      <c r="C11" s="12">
        <v>1019573876</v>
      </c>
      <c r="D11" s="13">
        <v>2054347</v>
      </c>
      <c r="E11" s="13">
        <f>5348701.75-107701.21</f>
        <v>5241000.54</v>
      </c>
      <c r="F11" s="13">
        <v>10408923.130000001</v>
      </c>
      <c r="G11" s="14">
        <f t="shared" si="0"/>
        <v>3186653.54</v>
      </c>
      <c r="H11" s="14">
        <f t="shared" si="1"/>
        <v>8354576.1300000008</v>
      </c>
      <c r="I11" s="3">
        <v>0.21</v>
      </c>
      <c r="J11" s="3">
        <v>0.05</v>
      </c>
      <c r="K11" s="9">
        <f t="shared" si="2"/>
        <v>581474.19403500005</v>
      </c>
      <c r="L11" s="9">
        <f t="shared" si="3"/>
        <v>417728.80650000006</v>
      </c>
      <c r="M11" s="15">
        <f t="shared" si="4"/>
        <v>225961629.99990094</v>
      </c>
      <c r="N11" s="9">
        <v>0</v>
      </c>
      <c r="O11" s="32">
        <f>+O10/0.21</f>
        <v>-1.8376679647536505E-3</v>
      </c>
      <c r="Q11" s="9">
        <f>358619-M12</f>
        <v>-226602214.63043591</v>
      </c>
      <c r="S11" s="22"/>
    </row>
    <row r="12" spans="1:19" x14ac:dyDescent="0.2">
      <c r="A12" s="31">
        <v>43221</v>
      </c>
      <c r="C12" s="12">
        <v>1019573876</v>
      </c>
      <c r="D12" s="13">
        <v>2054347</v>
      </c>
      <c r="E12" s="13">
        <f>5348701.75-107698.21</f>
        <v>5241003.54</v>
      </c>
      <c r="F12" s="13">
        <v>10408923.130000001</v>
      </c>
      <c r="G12" s="14">
        <f t="shared" si="0"/>
        <v>3186656.54</v>
      </c>
      <c r="H12" s="14">
        <f t="shared" si="1"/>
        <v>8354576.1300000008</v>
      </c>
      <c r="I12" s="3">
        <v>0.21</v>
      </c>
      <c r="J12" s="3">
        <v>0.05</v>
      </c>
      <c r="K12" s="9">
        <f t="shared" si="2"/>
        <v>581474.82403500006</v>
      </c>
      <c r="L12" s="9">
        <f t="shared" si="3"/>
        <v>417728.80650000006</v>
      </c>
      <c r="M12" s="15">
        <f t="shared" si="4"/>
        <v>226960833.63043591</v>
      </c>
      <c r="N12" s="9">
        <v>0</v>
      </c>
      <c r="Q12">
        <f>+Q11/0.389</f>
        <v>-582524973.34302294</v>
      </c>
      <c r="R12" s="9"/>
      <c r="S12" s="22"/>
    </row>
    <row r="13" spans="1:19" x14ac:dyDescent="0.2">
      <c r="A13" s="31">
        <v>43252</v>
      </c>
      <c r="C13" s="12">
        <v>1030393742</v>
      </c>
      <c r="D13" s="13">
        <v>2065465</v>
      </c>
      <c r="E13" s="13">
        <f>5445504.27-119000.82</f>
        <v>5326503.4499999993</v>
      </c>
      <c r="F13" s="13">
        <v>10505725.65</v>
      </c>
      <c r="G13" s="14">
        <f t="shared" si="0"/>
        <v>3261038.4499999993</v>
      </c>
      <c r="H13" s="14">
        <f t="shared" si="1"/>
        <v>8440260.6500000004</v>
      </c>
      <c r="I13" s="3">
        <v>0.21</v>
      </c>
      <c r="J13" s="3">
        <v>0.05</v>
      </c>
      <c r="K13" s="9">
        <f t="shared" si="2"/>
        <v>596195.33767499984</v>
      </c>
      <c r="L13" s="9">
        <f t="shared" si="3"/>
        <v>422013.03250000003</v>
      </c>
      <c r="M13" s="15">
        <f t="shared" si="4"/>
        <v>227979042.00061092</v>
      </c>
      <c r="N13" s="9">
        <v>0</v>
      </c>
      <c r="Q13" s="9">
        <f>374733-M14</f>
        <v>-228622518.00038591</v>
      </c>
      <c r="S13" s="22"/>
    </row>
    <row r="14" spans="1:19" x14ac:dyDescent="0.2">
      <c r="A14" s="31">
        <v>43282</v>
      </c>
      <c r="C14" s="12">
        <v>1030393742</v>
      </c>
      <c r="D14" s="13">
        <v>2076573</v>
      </c>
      <c r="E14" s="13">
        <f>5445504.27-105800.46</f>
        <v>5339703.8099999996</v>
      </c>
      <c r="F14" s="13">
        <v>10505725.65</v>
      </c>
      <c r="G14" s="14">
        <f t="shared" si="0"/>
        <v>3263130.8099999996</v>
      </c>
      <c r="H14" s="14">
        <f t="shared" si="1"/>
        <v>8429152.6500000004</v>
      </c>
      <c r="I14" s="3">
        <v>0.21</v>
      </c>
      <c r="J14" s="3">
        <v>0.05</v>
      </c>
      <c r="K14" s="9">
        <f t="shared" si="2"/>
        <v>596751.36727499985</v>
      </c>
      <c r="L14" s="9">
        <f t="shared" si="3"/>
        <v>421457.63250000007</v>
      </c>
      <c r="M14" s="15">
        <f t="shared" si="4"/>
        <v>228997251.00038591</v>
      </c>
      <c r="N14" s="9">
        <v>0</v>
      </c>
      <c r="Q14">
        <f>+Q13/0.389</f>
        <v>-587718555.27091491</v>
      </c>
      <c r="R14" s="9"/>
      <c r="S14" s="22"/>
    </row>
    <row r="15" spans="1:19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  <c r="Q15" t="e">
        <f>+#REF!/0.389</f>
        <v>#REF!</v>
      </c>
    </row>
    <row r="16" spans="1:19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223737054</v>
      </c>
      <c r="O17" s="15"/>
      <c r="P17" s="9"/>
    </row>
    <row r="18" spans="1:16" x14ac:dyDescent="0.2">
      <c r="A18" s="31">
        <v>43160</v>
      </c>
      <c r="C18" s="12">
        <v>1019573876</v>
      </c>
      <c r="D18" s="13">
        <v>2054347</v>
      </c>
      <c r="E18" s="13">
        <v>5348702</v>
      </c>
      <c r="F18" s="13">
        <v>10408923.130000001</v>
      </c>
      <c r="G18" s="14">
        <f t="shared" ref="G18:G22" si="5">E18-D18</f>
        <v>3294355</v>
      </c>
      <c r="H18" s="14">
        <f t="shared" ref="H18:H22" si="6">F18-D18</f>
        <v>8354576.1300000008</v>
      </c>
      <c r="I18" s="3">
        <v>0.21</v>
      </c>
      <c r="J18" s="3">
        <v>0.05</v>
      </c>
      <c r="K18" s="9">
        <f t="shared" ref="K18:K22" si="7">G18*I18-L18*I18</f>
        <v>604091.50063499995</v>
      </c>
      <c r="L18" s="9">
        <f t="shared" ref="L18:L22" si="8">H18*J18</f>
        <v>417728.80650000006</v>
      </c>
      <c r="M18" s="15">
        <f t="shared" ref="M18:M22" si="9">M17+K18+L18</f>
        <v>224758874.30713499</v>
      </c>
      <c r="N18" s="9">
        <v>0</v>
      </c>
      <c r="O18" s="15"/>
      <c r="P18" s="9"/>
    </row>
    <row r="19" spans="1:16" x14ac:dyDescent="0.2">
      <c r="A19" s="31">
        <v>43191</v>
      </c>
      <c r="C19" s="12">
        <v>1019573876</v>
      </c>
      <c r="D19" s="13">
        <v>2054347</v>
      </c>
      <c r="E19" s="13">
        <v>5348702</v>
      </c>
      <c r="F19" s="13">
        <v>10408923.130000001</v>
      </c>
      <c r="G19" s="14">
        <f t="shared" si="5"/>
        <v>3294355</v>
      </c>
      <c r="H19" s="14">
        <f t="shared" si="6"/>
        <v>8354576.1300000008</v>
      </c>
      <c r="I19" s="3">
        <v>0.21</v>
      </c>
      <c r="J19" s="3">
        <v>0.05</v>
      </c>
      <c r="K19" s="9">
        <f t="shared" si="7"/>
        <v>604091.50063499995</v>
      </c>
      <c r="L19" s="9">
        <f t="shared" si="8"/>
        <v>417728.80650000006</v>
      </c>
      <c r="M19" s="15">
        <f t="shared" si="9"/>
        <v>225780694.61426997</v>
      </c>
      <c r="N19" s="9">
        <v>0</v>
      </c>
      <c r="O19" s="15"/>
      <c r="P19" s="9"/>
    </row>
    <row r="20" spans="1:16" x14ac:dyDescent="0.2">
      <c r="A20" s="31">
        <v>43221</v>
      </c>
      <c r="C20" s="12">
        <v>1019573876</v>
      </c>
      <c r="D20" s="13">
        <v>2054347</v>
      </c>
      <c r="E20" s="13">
        <v>5348702</v>
      </c>
      <c r="F20" s="13">
        <v>10408923.130000001</v>
      </c>
      <c r="G20" s="14">
        <f t="shared" si="5"/>
        <v>3294355</v>
      </c>
      <c r="H20" s="14">
        <f t="shared" si="6"/>
        <v>8354576.1300000008</v>
      </c>
      <c r="I20" s="3">
        <v>0.21</v>
      </c>
      <c r="J20" s="3">
        <v>0.05</v>
      </c>
      <c r="K20" s="9">
        <f t="shared" si="7"/>
        <v>604091.50063499995</v>
      </c>
      <c r="L20" s="9">
        <f t="shared" si="8"/>
        <v>417728.80650000006</v>
      </c>
      <c r="M20" s="15">
        <f t="shared" si="9"/>
        <v>226802514.92140496</v>
      </c>
      <c r="N20" s="9">
        <v>0</v>
      </c>
      <c r="O20" s="15"/>
      <c r="P20" s="9"/>
    </row>
    <row r="21" spans="1:16" x14ac:dyDescent="0.2">
      <c r="A21" s="31">
        <v>43252</v>
      </c>
      <c r="C21" s="12">
        <v>1030393742</v>
      </c>
      <c r="D21" s="39">
        <v>2065465</v>
      </c>
      <c r="E21" s="39">
        <f>6145053-11300</f>
        <v>6133753</v>
      </c>
      <c r="F21" s="13">
        <v>10505725.65</v>
      </c>
      <c r="G21" s="14">
        <f t="shared" si="5"/>
        <v>4068288</v>
      </c>
      <c r="H21" s="14">
        <f t="shared" si="6"/>
        <v>8440260.6500000004</v>
      </c>
      <c r="I21" s="3">
        <v>0.21</v>
      </c>
      <c r="J21" s="3">
        <v>0.05</v>
      </c>
      <c r="K21" s="9">
        <f t="shared" si="7"/>
        <v>765717.74317499995</v>
      </c>
      <c r="L21" s="9">
        <f t="shared" si="8"/>
        <v>422013.03250000003</v>
      </c>
      <c r="M21" s="15">
        <f t="shared" si="9"/>
        <v>227990245.69707996</v>
      </c>
      <c r="N21" s="9">
        <v>0</v>
      </c>
      <c r="O21" s="15"/>
      <c r="P21" s="9"/>
    </row>
    <row r="22" spans="1:16" x14ac:dyDescent="0.2">
      <c r="A22" s="31">
        <v>43282</v>
      </c>
      <c r="C22" s="12">
        <v>1030393742</v>
      </c>
      <c r="D22" s="39">
        <v>2076573</v>
      </c>
      <c r="E22" s="39">
        <f>6145053+1893</f>
        <v>6146946</v>
      </c>
      <c r="F22" s="13">
        <v>10505725.65</v>
      </c>
      <c r="G22" s="14">
        <f t="shared" si="5"/>
        <v>4070373</v>
      </c>
      <c r="H22" s="14">
        <f t="shared" si="6"/>
        <v>8429152.6500000004</v>
      </c>
      <c r="I22" s="3">
        <v>0.21</v>
      </c>
      <c r="J22" s="3">
        <v>0.05</v>
      </c>
      <c r="K22" s="9">
        <f t="shared" si="7"/>
        <v>766272.22717499989</v>
      </c>
      <c r="L22" s="9">
        <f t="shared" si="8"/>
        <v>421457.63250000007</v>
      </c>
      <c r="M22" s="15">
        <f t="shared" si="9"/>
        <v>229177975.55675495</v>
      </c>
      <c r="N22" s="9">
        <v>0</v>
      </c>
      <c r="O22" s="15"/>
      <c r="P22" s="9"/>
    </row>
    <row r="23" spans="1:16" x14ac:dyDescent="0.2">
      <c r="A23" s="16"/>
      <c r="C23" s="12"/>
      <c r="D23" s="39"/>
      <c r="E23" s="39"/>
      <c r="F23" s="13"/>
      <c r="G23" s="14"/>
      <c r="H23" s="14"/>
      <c r="I23" s="14"/>
      <c r="J23" s="12"/>
      <c r="K23" s="12"/>
      <c r="L23" s="3"/>
      <c r="M23" s="3"/>
      <c r="N23" s="9"/>
      <c r="O23" s="15"/>
      <c r="P23" s="9"/>
    </row>
    <row r="24" spans="1:16" x14ac:dyDescent="0.2">
      <c r="A24" s="31">
        <v>43313</v>
      </c>
      <c r="C24" s="12">
        <v>1030393742</v>
      </c>
      <c r="D24" s="39">
        <v>2076573</v>
      </c>
      <c r="E24" s="39">
        <f>6145053+1893</f>
        <v>6146946</v>
      </c>
      <c r="F24" s="13">
        <v>10505725.65</v>
      </c>
      <c r="G24" s="14">
        <f t="shared" ref="G24" si="10">E24-D24</f>
        <v>4070373</v>
      </c>
      <c r="H24" s="14">
        <f t="shared" ref="H24" si="11">F24-D24</f>
        <v>8429152.6500000004</v>
      </c>
      <c r="I24" s="3">
        <v>0.21</v>
      </c>
      <c r="J24" s="3">
        <v>0.05</v>
      </c>
      <c r="K24" s="9">
        <f t="shared" ref="K24" si="12">G24*I24-L24*I24</f>
        <v>766272.22717499989</v>
      </c>
      <c r="L24" s="9">
        <f t="shared" ref="L24" si="13">H24*J24</f>
        <v>421457.63250000007</v>
      </c>
      <c r="M24" s="15">
        <f>M22+K24+L24</f>
        <v>230365705.41642994</v>
      </c>
      <c r="N24" s="9">
        <v>4883.3900000000003</v>
      </c>
      <c r="O24" s="15"/>
      <c r="P24" s="9"/>
    </row>
    <row r="25" spans="1:16" x14ac:dyDescent="0.2">
      <c r="A25" s="31"/>
      <c r="C25" s="12"/>
      <c r="D25" s="39"/>
      <c r="E25" s="39"/>
      <c r="F25" s="39"/>
      <c r="G25" s="40"/>
      <c r="H25" s="40"/>
      <c r="I25" s="28"/>
      <c r="J25" s="28"/>
      <c r="K25" s="15"/>
      <c r="L25" s="15"/>
      <c r="M25" s="15"/>
      <c r="N25" s="15"/>
      <c r="O25" s="15"/>
      <c r="P25" s="9"/>
    </row>
    <row r="26" spans="1:16" x14ac:dyDescent="0.2">
      <c r="C26" s="23" t="s">
        <v>43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0" spans="1:16" x14ac:dyDescent="0.2">
      <c r="C30" s="26"/>
      <c r="D30" s="24"/>
      <c r="E30" s="24"/>
      <c r="F30" s="24"/>
      <c r="G30" s="24"/>
      <c r="H30" s="24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35">
        <v>360851</v>
      </c>
      <c r="D32" s="35">
        <v>2076573</v>
      </c>
      <c r="E32" s="35">
        <v>0</v>
      </c>
      <c r="F32" s="35">
        <f>E32-D32</f>
        <v>-2076573</v>
      </c>
      <c r="G32" s="3">
        <v>0.21</v>
      </c>
      <c r="H32" s="35">
        <f>F32*G32</f>
        <v>-436080.32999999996</v>
      </c>
    </row>
    <row r="33" spans="3:8" x14ac:dyDescent="0.2">
      <c r="C33" s="35">
        <v>982514</v>
      </c>
      <c r="D33" s="35"/>
      <c r="E33" s="35">
        <v>4002</v>
      </c>
      <c r="F33" s="35">
        <f>E33</f>
        <v>4002</v>
      </c>
      <c r="G33" s="3">
        <v>0.21</v>
      </c>
      <c r="H33" s="35">
        <f t="shared" ref="H33:H56" si="14">F33*G33</f>
        <v>840.42</v>
      </c>
    </row>
    <row r="34" spans="3:8" x14ac:dyDescent="0.2">
      <c r="C34" s="35">
        <v>9377.5</v>
      </c>
      <c r="D34" s="35"/>
      <c r="E34" s="35">
        <v>45</v>
      </c>
      <c r="F34" s="35">
        <f t="shared" ref="F34:F60" si="15">E34</f>
        <v>45</v>
      </c>
      <c r="G34" s="3">
        <v>0.21</v>
      </c>
      <c r="H34" s="35">
        <f t="shared" si="14"/>
        <v>9.4499999999999993</v>
      </c>
    </row>
    <row r="35" spans="3:8" x14ac:dyDescent="0.2">
      <c r="C35" s="35">
        <v>2975815</v>
      </c>
      <c r="D35" s="35"/>
      <c r="E35" s="35">
        <v>13106</v>
      </c>
      <c r="F35" s="35">
        <f t="shared" si="15"/>
        <v>13106</v>
      </c>
      <c r="G35" s="3">
        <v>0.21</v>
      </c>
      <c r="H35" s="35">
        <f t="shared" si="14"/>
        <v>2752.2599999999998</v>
      </c>
    </row>
    <row r="36" spans="3:8" x14ac:dyDescent="0.2">
      <c r="C36" s="35">
        <v>-5631.44</v>
      </c>
      <c r="D36" s="35"/>
      <c r="E36" s="35">
        <v>-27</v>
      </c>
      <c r="F36" s="35">
        <f t="shared" si="15"/>
        <v>-27</v>
      </c>
      <c r="G36" s="3">
        <v>0.21</v>
      </c>
      <c r="H36" s="35">
        <f t="shared" si="14"/>
        <v>-5.67</v>
      </c>
    </row>
    <row r="37" spans="3:8" x14ac:dyDescent="0.2">
      <c r="C37" s="35">
        <v>64989652.743999988</v>
      </c>
      <c r="D37" s="35"/>
      <c r="E37" s="35">
        <v>309405</v>
      </c>
      <c r="F37" s="35">
        <f t="shared" si="15"/>
        <v>309405</v>
      </c>
      <c r="G37" s="3">
        <v>0.21</v>
      </c>
      <c r="H37" s="35">
        <f t="shared" si="14"/>
        <v>64975.049999999996</v>
      </c>
    </row>
    <row r="38" spans="3:8" x14ac:dyDescent="0.2">
      <c r="C38" s="35">
        <v>97484479.115999967</v>
      </c>
      <c r="D38" s="35"/>
      <c r="E38" s="35">
        <v>1160529</v>
      </c>
      <c r="F38" s="35">
        <f t="shared" si="15"/>
        <v>1160529</v>
      </c>
      <c r="G38" s="3">
        <v>0.21</v>
      </c>
      <c r="H38" s="35">
        <f t="shared" si="14"/>
        <v>243711.09</v>
      </c>
    </row>
    <row r="39" spans="3:8" x14ac:dyDescent="0.2">
      <c r="C39" s="35">
        <v>3354199.04</v>
      </c>
      <c r="D39" s="35"/>
      <c r="E39" s="35">
        <v>15969</v>
      </c>
      <c r="F39" s="35">
        <f t="shared" si="15"/>
        <v>15969</v>
      </c>
      <c r="G39" s="3">
        <v>0.21</v>
      </c>
      <c r="H39" s="35">
        <f t="shared" si="14"/>
        <v>3353.49</v>
      </c>
    </row>
    <row r="40" spans="3:8" x14ac:dyDescent="0.2">
      <c r="C40" s="35">
        <v>2749178.17</v>
      </c>
      <c r="D40" s="35"/>
      <c r="E40" s="35">
        <v>14151</v>
      </c>
      <c r="F40" s="35">
        <f t="shared" si="15"/>
        <v>14151</v>
      </c>
      <c r="G40" s="3">
        <v>0.21</v>
      </c>
      <c r="H40" s="35">
        <f t="shared" si="14"/>
        <v>2971.71</v>
      </c>
    </row>
    <row r="41" spans="3:8" x14ac:dyDescent="0.2">
      <c r="C41" s="35">
        <v>4123767.2549999999</v>
      </c>
      <c r="D41" s="35"/>
      <c r="E41" s="35">
        <v>49092.467321428565</v>
      </c>
      <c r="F41" s="35">
        <f t="shared" si="15"/>
        <v>49092.467321428565</v>
      </c>
      <c r="G41" s="3">
        <v>0.21</v>
      </c>
      <c r="H41" s="35">
        <f t="shared" si="14"/>
        <v>10309.418137499999</v>
      </c>
    </row>
    <row r="42" spans="3:8" x14ac:dyDescent="0.2">
      <c r="C42" s="35">
        <v>73250212.46800001</v>
      </c>
      <c r="D42" s="35"/>
      <c r="E42" s="35">
        <v>377056</v>
      </c>
      <c r="F42" s="35">
        <f t="shared" si="15"/>
        <v>377056</v>
      </c>
      <c r="G42" s="3">
        <v>0.21</v>
      </c>
      <c r="H42" s="35">
        <f t="shared" si="14"/>
        <v>79181.759999999995</v>
      </c>
    </row>
    <row r="43" spans="3:8" x14ac:dyDescent="0.2">
      <c r="C43" s="35">
        <v>109875318.70200001</v>
      </c>
      <c r="D43" s="35"/>
      <c r="E43" s="35">
        <v>1831255.3117000002</v>
      </c>
      <c r="F43" s="35">
        <f t="shared" si="15"/>
        <v>1831255.3117000002</v>
      </c>
      <c r="G43" s="3">
        <v>0.21</v>
      </c>
      <c r="H43" s="35">
        <f t="shared" si="14"/>
        <v>384563.61545700004</v>
      </c>
    </row>
    <row r="44" spans="3:8" x14ac:dyDescent="0.2">
      <c r="C44" s="35">
        <v>787778.5340000001</v>
      </c>
      <c r="D44" s="35"/>
      <c r="E44" s="35">
        <v>4056</v>
      </c>
      <c r="F44" s="35">
        <f t="shared" si="15"/>
        <v>4056</v>
      </c>
      <c r="G44" s="3">
        <v>0.21</v>
      </c>
      <c r="H44" s="35">
        <f t="shared" si="14"/>
        <v>851.76</v>
      </c>
    </row>
    <row r="45" spans="3:8" x14ac:dyDescent="0.2">
      <c r="C45" s="35">
        <v>1181667.801</v>
      </c>
      <c r="D45" s="35"/>
      <c r="E45" s="35">
        <v>14067.47382142857</v>
      </c>
      <c r="F45" s="35">
        <f t="shared" si="15"/>
        <v>14067.47382142857</v>
      </c>
      <c r="G45" s="3">
        <v>0.21</v>
      </c>
      <c r="H45" s="35">
        <f t="shared" si="14"/>
        <v>2954.1695024999995</v>
      </c>
    </row>
    <row r="46" spans="3:8" x14ac:dyDescent="0.2">
      <c r="C46" s="35">
        <v>2965892.7320000008</v>
      </c>
      <c r="D46" s="35"/>
      <c r="E46" s="35">
        <v>15267</v>
      </c>
      <c r="F46" s="35">
        <f t="shared" si="15"/>
        <v>15267</v>
      </c>
      <c r="G46" s="3">
        <v>0.21</v>
      </c>
      <c r="H46" s="35">
        <f t="shared" si="14"/>
        <v>3206.0699999999997</v>
      </c>
    </row>
    <row r="47" spans="3:8" x14ac:dyDescent="0.2">
      <c r="C47" s="35">
        <v>4448839.0980000012</v>
      </c>
      <c r="D47" s="35"/>
      <c r="E47" s="35">
        <v>74147.318300000028</v>
      </c>
      <c r="F47" s="35">
        <f t="shared" si="15"/>
        <v>74147.318300000028</v>
      </c>
      <c r="G47" s="3">
        <v>0.21</v>
      </c>
      <c r="H47" s="35">
        <f t="shared" si="14"/>
        <v>15570.936843000005</v>
      </c>
    </row>
    <row r="48" spans="3:8" x14ac:dyDescent="0.2">
      <c r="C48" s="35">
        <v>61477.070000000007</v>
      </c>
      <c r="D48" s="35"/>
      <c r="E48" s="35">
        <v>316</v>
      </c>
      <c r="F48" s="35">
        <f t="shared" si="15"/>
        <v>316</v>
      </c>
      <c r="G48" s="3">
        <v>0.21</v>
      </c>
      <c r="H48" s="35">
        <f t="shared" si="14"/>
        <v>66.36</v>
      </c>
    </row>
    <row r="49" spans="3:8" x14ac:dyDescent="0.2">
      <c r="C49" s="35">
        <v>48864.22</v>
      </c>
      <c r="D49" s="35"/>
      <c r="E49" s="35">
        <v>272</v>
      </c>
      <c r="F49" s="35">
        <f t="shared" si="15"/>
        <v>272</v>
      </c>
      <c r="G49" s="3">
        <v>0.21</v>
      </c>
      <c r="H49" s="35">
        <f t="shared" si="14"/>
        <v>57.12</v>
      </c>
    </row>
    <row r="50" spans="3:8" x14ac:dyDescent="0.2">
      <c r="C50" s="35">
        <v>59018708.316</v>
      </c>
      <c r="D50" s="35"/>
      <c r="E50" s="35">
        <v>328390</v>
      </c>
      <c r="F50" s="35">
        <f t="shared" si="15"/>
        <v>328390</v>
      </c>
      <c r="G50" s="3">
        <v>0.21</v>
      </c>
      <c r="H50" s="35">
        <f t="shared" si="14"/>
        <v>68961.899999999994</v>
      </c>
    </row>
    <row r="51" spans="3:8" x14ac:dyDescent="0.2">
      <c r="C51" s="35">
        <v>88528062.473999992</v>
      </c>
      <c r="D51" s="35"/>
      <c r="E51" s="35">
        <f>1053905.50564286+1893</f>
        <v>1055798.50564286</v>
      </c>
      <c r="F51" s="35">
        <f t="shared" si="15"/>
        <v>1055798.50564286</v>
      </c>
      <c r="G51" s="3">
        <v>0.21</v>
      </c>
      <c r="H51" s="35">
        <f t="shared" si="14"/>
        <v>221717.68618500058</v>
      </c>
    </row>
    <row r="52" spans="3:8" x14ac:dyDescent="0.2">
      <c r="C52" s="35">
        <v>2761999.0980000007</v>
      </c>
      <c r="D52" s="35"/>
      <c r="E52" s="35">
        <v>15368</v>
      </c>
      <c r="F52" s="35">
        <f t="shared" si="15"/>
        <v>15368</v>
      </c>
      <c r="G52" s="3">
        <v>0.21</v>
      </c>
      <c r="H52" s="35">
        <f t="shared" si="14"/>
        <v>3227.2799999999997</v>
      </c>
    </row>
    <row r="53" spans="3:8" x14ac:dyDescent="0.2">
      <c r="C53" s="35">
        <v>1834207.4429999997</v>
      </c>
      <c r="D53" s="35"/>
      <c r="E53" s="35">
        <v>30570.124049999995</v>
      </c>
      <c r="F53" s="35">
        <f t="shared" si="15"/>
        <v>30570.124049999995</v>
      </c>
      <c r="G53" s="3">
        <v>0.21</v>
      </c>
      <c r="H53" s="35">
        <f t="shared" si="14"/>
        <v>6419.7260504999986</v>
      </c>
    </row>
    <row r="54" spans="3:8" x14ac:dyDescent="0.2">
      <c r="C54" s="35">
        <v>2308791.2039999999</v>
      </c>
      <c r="D54" s="35"/>
      <c r="E54" s="36">
        <v>27486</v>
      </c>
      <c r="F54" s="35">
        <f t="shared" si="15"/>
        <v>27486</v>
      </c>
      <c r="G54" s="3">
        <v>0.21</v>
      </c>
      <c r="H54" s="35">
        <f t="shared" si="14"/>
        <v>5772.0599999999995</v>
      </c>
    </row>
    <row r="55" spans="3:8" x14ac:dyDescent="0.2">
      <c r="C55" s="35">
        <v>28925</v>
      </c>
      <c r="D55" s="35"/>
      <c r="E55" s="35">
        <v>174</v>
      </c>
      <c r="F55" s="35">
        <f t="shared" si="15"/>
        <v>174</v>
      </c>
      <c r="G55" s="3">
        <v>0.21</v>
      </c>
      <c r="H55" s="35">
        <f t="shared" si="14"/>
        <v>36.54</v>
      </c>
    </row>
    <row r="56" spans="3:8" x14ac:dyDescent="0.2">
      <c r="C56" s="35">
        <v>1678783</v>
      </c>
      <c r="D56" s="35"/>
      <c r="E56" s="35">
        <v>10099</v>
      </c>
      <c r="F56" s="35">
        <f t="shared" si="15"/>
        <v>10099</v>
      </c>
      <c r="G56" s="3">
        <v>0.21</v>
      </c>
      <c r="H56" s="35">
        <f t="shared" si="14"/>
        <v>2120.79</v>
      </c>
    </row>
    <row r="57" spans="3:8" x14ac:dyDescent="0.2">
      <c r="C57" s="35">
        <v>5224318</v>
      </c>
      <c r="D57" s="35"/>
      <c r="E57" s="35">
        <v>746331</v>
      </c>
      <c r="F57" s="35">
        <f t="shared" si="15"/>
        <v>746331</v>
      </c>
      <c r="G57" s="3">
        <v>0.21</v>
      </c>
      <c r="H57" s="35">
        <f t="shared" ref="H57:H60" si="16">F57*G57</f>
        <v>156729.50999999998</v>
      </c>
    </row>
    <row r="58" spans="3:8" x14ac:dyDescent="0.2">
      <c r="C58" s="35">
        <v>2238219</v>
      </c>
      <c r="D58" s="35"/>
      <c r="E58" s="35">
        <v>11990</v>
      </c>
      <c r="F58" s="35">
        <f t="shared" si="15"/>
        <v>11990</v>
      </c>
      <c r="G58" s="3">
        <v>0.21</v>
      </c>
      <c r="H58" s="35">
        <f t="shared" si="16"/>
        <v>2517.9</v>
      </c>
    </row>
    <row r="59" spans="3:8" x14ac:dyDescent="0.2">
      <c r="C59" s="35">
        <v>2433435</v>
      </c>
      <c r="D59" s="35"/>
      <c r="E59" s="35">
        <v>24831</v>
      </c>
      <c r="F59" s="35">
        <f t="shared" si="15"/>
        <v>24831</v>
      </c>
      <c r="G59" s="3">
        <v>0.21</v>
      </c>
      <c r="H59" s="35">
        <f t="shared" si="16"/>
        <v>5214.51</v>
      </c>
    </row>
    <row r="60" spans="3:8" ht="15" x14ac:dyDescent="0.35">
      <c r="C60" s="35">
        <v>923894</v>
      </c>
      <c r="D60" s="35"/>
      <c r="E60" s="29">
        <v>13198</v>
      </c>
      <c r="F60" s="29">
        <f t="shared" si="15"/>
        <v>13198</v>
      </c>
      <c r="G60" s="3">
        <v>0.21</v>
      </c>
      <c r="H60" s="29">
        <f t="shared" si="16"/>
        <v>2771.58</v>
      </c>
    </row>
    <row r="61" spans="3:8" x14ac:dyDescent="0.2">
      <c r="E61" s="9">
        <f>SUM(E32:E60)</f>
        <v>6146945.2008357178</v>
      </c>
      <c r="F61" s="9">
        <f>SUM(F32:F60)</f>
        <v>4070372.2008357174</v>
      </c>
      <c r="G61" s="30" t="s">
        <v>42</v>
      </c>
      <c r="H61" s="35">
        <f>SUM(H32:H60)</f>
        <v>854778.16217550077</v>
      </c>
    </row>
    <row r="62" spans="3:8" ht="15" x14ac:dyDescent="0.35">
      <c r="E62" s="9"/>
      <c r="F62" s="9"/>
      <c r="G62" s="30" t="s">
        <v>40</v>
      </c>
      <c r="H62" s="29">
        <f>-H93*0.21</f>
        <v>-88506.106604250002</v>
      </c>
    </row>
    <row r="63" spans="3:8" x14ac:dyDescent="0.2">
      <c r="H63" s="9">
        <f>H61+H62</f>
        <v>766272.05557125073</v>
      </c>
    </row>
    <row r="64" spans="3:8" x14ac:dyDescent="0.2">
      <c r="H64" s="15">
        <f>H63-K24</f>
        <v>-0.17160374915692955</v>
      </c>
    </row>
    <row r="65" spans="3:8" x14ac:dyDescent="0.2">
      <c r="C65" s="15" t="s">
        <v>36</v>
      </c>
      <c r="D65" s="24" t="s">
        <v>31</v>
      </c>
      <c r="E65" s="25" t="s">
        <v>37</v>
      </c>
      <c r="F65" s="15" t="s">
        <v>38</v>
      </c>
      <c r="G65" s="28" t="s">
        <v>24</v>
      </c>
      <c r="H65" s="15" t="s">
        <v>39</v>
      </c>
    </row>
    <row r="66" spans="3:8" x14ac:dyDescent="0.2">
      <c r="C66" s="35">
        <v>360851</v>
      </c>
      <c r="D66" s="35">
        <f>D32</f>
        <v>2076573</v>
      </c>
      <c r="E66" s="35">
        <v>0</v>
      </c>
      <c r="F66" s="35">
        <f>E66-D66</f>
        <v>-2076573</v>
      </c>
      <c r="G66" s="3">
        <v>0.05</v>
      </c>
      <c r="H66" s="35">
        <f>F66*G66</f>
        <v>-103828.65000000001</v>
      </c>
    </row>
    <row r="67" spans="3:8" x14ac:dyDescent="0.2">
      <c r="C67" s="35">
        <v>1965028</v>
      </c>
      <c r="D67" s="35"/>
      <c r="E67" s="35">
        <v>8004</v>
      </c>
      <c r="F67" s="35">
        <f>E67</f>
        <v>8004</v>
      </c>
      <c r="G67" s="3">
        <v>0.05</v>
      </c>
      <c r="H67" s="35">
        <f t="shared" ref="H67:H89" si="17">F67*G67</f>
        <v>400.20000000000005</v>
      </c>
    </row>
    <row r="68" spans="3:8" x14ac:dyDescent="0.2">
      <c r="C68" s="35">
        <v>18755</v>
      </c>
      <c r="D68" s="35"/>
      <c r="E68" s="35">
        <v>90</v>
      </c>
      <c r="F68" s="35">
        <f t="shared" ref="F68:F92" si="18">E68</f>
        <v>90</v>
      </c>
      <c r="G68" s="3">
        <v>0.05</v>
      </c>
      <c r="H68" s="35">
        <f t="shared" si="17"/>
        <v>4.5</v>
      </c>
    </row>
    <row r="69" spans="3:8" x14ac:dyDescent="0.2">
      <c r="C69" s="35">
        <v>3107470</v>
      </c>
      <c r="D69" s="35"/>
      <c r="E69" s="35">
        <v>13686</v>
      </c>
      <c r="F69" s="35">
        <f t="shared" si="18"/>
        <v>13686</v>
      </c>
      <c r="G69" s="3">
        <v>0.05</v>
      </c>
      <c r="H69" s="35">
        <f t="shared" si="17"/>
        <v>684.30000000000007</v>
      </c>
    </row>
    <row r="70" spans="3:8" x14ac:dyDescent="0.2">
      <c r="C70" s="35">
        <v>-5725</v>
      </c>
      <c r="D70" s="35"/>
      <c r="E70" s="35">
        <v>-27</v>
      </c>
      <c r="F70" s="35">
        <f t="shared" si="18"/>
        <v>-27</v>
      </c>
      <c r="G70" s="3">
        <v>0.05</v>
      </c>
      <c r="H70" s="35">
        <f t="shared" si="17"/>
        <v>-1.35</v>
      </c>
    </row>
    <row r="71" spans="3:8" x14ac:dyDescent="0.2">
      <c r="C71" s="35">
        <v>127918333.47199999</v>
      </c>
      <c r="D71" s="35"/>
      <c r="E71" s="35">
        <v>608998</v>
      </c>
      <c r="F71" s="35">
        <f t="shared" si="18"/>
        <v>608998</v>
      </c>
      <c r="G71" s="3">
        <v>0.05</v>
      </c>
      <c r="H71" s="35">
        <f t="shared" si="17"/>
        <v>30449.9</v>
      </c>
    </row>
    <row r="72" spans="3:8" x14ac:dyDescent="0.2">
      <c r="C72" s="35">
        <v>191877500.20799997</v>
      </c>
      <c r="D72" s="35"/>
      <c r="E72" s="35">
        <v>2284255.9548571426</v>
      </c>
      <c r="F72" s="35">
        <f t="shared" si="18"/>
        <v>2284255.9548571426</v>
      </c>
      <c r="G72" s="3">
        <v>0.05</v>
      </c>
      <c r="H72" s="35">
        <f t="shared" si="17"/>
        <v>114212.79774285713</v>
      </c>
    </row>
    <row r="73" spans="3:8" x14ac:dyDescent="0.2">
      <c r="C73" s="35">
        <v>3354199.04</v>
      </c>
      <c r="D73" s="35"/>
      <c r="E73" s="35">
        <v>15969</v>
      </c>
      <c r="F73" s="35">
        <f t="shared" si="18"/>
        <v>15969</v>
      </c>
      <c r="G73" s="3">
        <v>0.05</v>
      </c>
      <c r="H73" s="35">
        <f t="shared" si="17"/>
        <v>798.45</v>
      </c>
    </row>
    <row r="74" spans="3:8" x14ac:dyDescent="0.2">
      <c r="C74" s="35">
        <v>5411173.5480000004</v>
      </c>
      <c r="D74" s="35"/>
      <c r="E74" s="35">
        <v>27854</v>
      </c>
      <c r="F74" s="35">
        <f t="shared" si="18"/>
        <v>27854</v>
      </c>
      <c r="G74" s="3">
        <v>0.05</v>
      </c>
      <c r="H74" s="35">
        <f t="shared" si="17"/>
        <v>1392.7</v>
      </c>
    </row>
    <row r="75" spans="3:8" x14ac:dyDescent="0.2">
      <c r="C75" s="35">
        <v>8116760.3219999988</v>
      </c>
      <c r="D75" s="35"/>
      <c r="E75" s="35">
        <v>96628</v>
      </c>
      <c r="F75" s="35">
        <f t="shared" si="18"/>
        <v>96628</v>
      </c>
      <c r="G75" s="3">
        <v>0.05</v>
      </c>
      <c r="H75" s="35">
        <f t="shared" si="17"/>
        <v>4831.4000000000005</v>
      </c>
    </row>
    <row r="76" spans="3:8" x14ac:dyDescent="0.2">
      <c r="C76" s="35">
        <v>143218226.94000003</v>
      </c>
      <c r="D76" s="35"/>
      <c r="E76" s="35">
        <v>737216</v>
      </c>
      <c r="F76" s="35">
        <f t="shared" si="18"/>
        <v>737216</v>
      </c>
      <c r="G76" s="3">
        <v>0.05</v>
      </c>
      <c r="H76" s="35">
        <f t="shared" si="17"/>
        <v>36860.800000000003</v>
      </c>
    </row>
    <row r="77" spans="3:8" x14ac:dyDescent="0.2">
      <c r="C77" s="35">
        <v>214827340.41</v>
      </c>
      <c r="D77" s="35"/>
      <c r="E77" s="35">
        <v>3580455.6735</v>
      </c>
      <c r="F77" s="35">
        <f t="shared" si="18"/>
        <v>3580455.6735</v>
      </c>
      <c r="G77" s="3">
        <v>0.05</v>
      </c>
      <c r="H77" s="35">
        <f t="shared" si="17"/>
        <v>179022.78367500001</v>
      </c>
    </row>
    <row r="78" spans="3:8" x14ac:dyDescent="0.2">
      <c r="C78" s="35">
        <v>1550574.7880000002</v>
      </c>
      <c r="D78" s="35"/>
      <c r="E78" s="35">
        <v>7982</v>
      </c>
      <c r="F78" s="35">
        <f t="shared" si="18"/>
        <v>7982</v>
      </c>
      <c r="G78" s="3">
        <v>0.05</v>
      </c>
      <c r="H78" s="35">
        <f t="shared" si="17"/>
        <v>399.1</v>
      </c>
    </row>
    <row r="79" spans="3:8" x14ac:dyDescent="0.2">
      <c r="C79" s="35">
        <v>2325862.182</v>
      </c>
      <c r="D79" s="35"/>
      <c r="E79" s="35">
        <v>27688.835500000001</v>
      </c>
      <c r="F79" s="35">
        <f t="shared" si="18"/>
        <v>27688.835500000001</v>
      </c>
      <c r="G79" s="3">
        <v>0.05</v>
      </c>
      <c r="H79" s="35">
        <f t="shared" si="17"/>
        <v>1384.4417750000002</v>
      </c>
    </row>
    <row r="80" spans="3:8" x14ac:dyDescent="0.2">
      <c r="C80" s="35">
        <v>5798889.6400000006</v>
      </c>
      <c r="D80" s="35"/>
      <c r="E80" s="35">
        <v>29850</v>
      </c>
      <c r="F80" s="35">
        <f t="shared" si="18"/>
        <v>29850</v>
      </c>
      <c r="G80" s="3">
        <v>0.05</v>
      </c>
      <c r="H80" s="35">
        <f t="shared" si="17"/>
        <v>1492.5</v>
      </c>
    </row>
    <row r="81" spans="3:8" x14ac:dyDescent="0.2">
      <c r="C81" s="35">
        <v>8698334.459999999</v>
      </c>
      <c r="D81" s="35"/>
      <c r="E81" s="35">
        <v>144972.24099999998</v>
      </c>
      <c r="F81" s="35">
        <f t="shared" si="18"/>
        <v>144972.24099999998</v>
      </c>
      <c r="G81" s="3">
        <v>0.05</v>
      </c>
      <c r="H81" s="35">
        <f t="shared" si="17"/>
        <v>7248.6120499999997</v>
      </c>
    </row>
    <row r="82" spans="3:8" x14ac:dyDescent="0.2">
      <c r="C82" s="35">
        <v>61477.070000000007</v>
      </c>
      <c r="D82" s="35"/>
      <c r="E82" s="35">
        <v>316</v>
      </c>
      <c r="F82" s="35">
        <f t="shared" si="18"/>
        <v>316</v>
      </c>
      <c r="G82" s="3">
        <v>0.05</v>
      </c>
      <c r="H82" s="35">
        <f t="shared" si="17"/>
        <v>15.8</v>
      </c>
    </row>
    <row r="83" spans="3:8" x14ac:dyDescent="0.2">
      <c r="C83" s="35">
        <v>97728.44</v>
      </c>
      <c r="D83" s="35"/>
      <c r="E83" s="35">
        <v>544</v>
      </c>
      <c r="F83" s="35">
        <f t="shared" si="18"/>
        <v>544</v>
      </c>
      <c r="G83" s="3">
        <v>0.05</v>
      </c>
      <c r="H83" s="35">
        <f t="shared" si="17"/>
        <v>27.200000000000003</v>
      </c>
    </row>
    <row r="84" spans="3:8" x14ac:dyDescent="0.2">
      <c r="C84" s="35">
        <v>113639335.91600001</v>
      </c>
      <c r="D84" s="35"/>
      <c r="E84" s="35">
        <v>632308</v>
      </c>
      <c r="F84" s="35">
        <f t="shared" si="18"/>
        <v>632308</v>
      </c>
      <c r="G84" s="3">
        <v>0.05</v>
      </c>
      <c r="H84" s="35">
        <f t="shared" si="17"/>
        <v>31615.4</v>
      </c>
    </row>
    <row r="85" spans="3:8" x14ac:dyDescent="0.2">
      <c r="C85" s="35">
        <v>170459003.87400001</v>
      </c>
      <c r="D85" s="35"/>
      <c r="E85" s="35">
        <v>2029273.8556428573</v>
      </c>
      <c r="F85" s="35">
        <f t="shared" si="18"/>
        <v>2029273.8556428573</v>
      </c>
      <c r="G85" s="3">
        <v>0.05</v>
      </c>
      <c r="H85" s="35">
        <f t="shared" si="17"/>
        <v>101463.69278214287</v>
      </c>
    </row>
    <row r="86" spans="3:8" x14ac:dyDescent="0.2">
      <c r="C86" s="35">
        <v>5354505.7920000004</v>
      </c>
      <c r="D86" s="35"/>
      <c r="E86" s="35">
        <v>29793</v>
      </c>
      <c r="F86" s="35">
        <f t="shared" si="18"/>
        <v>29793</v>
      </c>
      <c r="G86" s="3">
        <v>0.05</v>
      </c>
      <c r="H86" s="35">
        <f t="shared" si="17"/>
        <v>1489.65</v>
      </c>
    </row>
    <row r="87" spans="3:8" x14ac:dyDescent="0.2">
      <c r="C87" s="35">
        <v>3586227.6599999997</v>
      </c>
      <c r="D87" s="35"/>
      <c r="E87" s="35">
        <v>59770.460999999988</v>
      </c>
      <c r="F87" s="35">
        <f t="shared" si="18"/>
        <v>59770.460999999988</v>
      </c>
      <c r="G87" s="3">
        <v>0.05</v>
      </c>
      <c r="H87" s="35">
        <f t="shared" si="17"/>
        <v>2988.5230499999998</v>
      </c>
    </row>
    <row r="88" spans="3:8" x14ac:dyDescent="0.2">
      <c r="C88" s="35">
        <v>4445531.0279999999</v>
      </c>
      <c r="D88" s="35"/>
      <c r="E88" s="35">
        <v>52922.988428571429</v>
      </c>
      <c r="F88" s="35">
        <f t="shared" si="18"/>
        <v>52922.988428571429</v>
      </c>
      <c r="G88" s="3">
        <v>0.05</v>
      </c>
      <c r="H88" s="35">
        <f t="shared" si="17"/>
        <v>2646.1494214285717</v>
      </c>
    </row>
    <row r="89" spans="3:8" x14ac:dyDescent="0.2">
      <c r="C89" s="35">
        <v>3386491</v>
      </c>
      <c r="D89" s="35"/>
      <c r="E89" s="35">
        <v>20372</v>
      </c>
      <c r="F89" s="35">
        <f t="shared" si="18"/>
        <v>20372</v>
      </c>
      <c r="G89" s="37">
        <v>0.05</v>
      </c>
      <c r="H89" s="35">
        <f t="shared" si="17"/>
        <v>1018.6</v>
      </c>
    </row>
    <row r="90" spans="3:8" x14ac:dyDescent="0.2">
      <c r="C90" s="36">
        <v>4327946</v>
      </c>
      <c r="D90" s="35"/>
      <c r="E90" s="35">
        <v>23185</v>
      </c>
      <c r="F90" s="35">
        <f t="shared" si="18"/>
        <v>23185</v>
      </c>
      <c r="G90" s="37">
        <v>0.05</v>
      </c>
      <c r="H90" s="35">
        <f t="shared" ref="H90:H92" si="19">F90*G90</f>
        <v>1159.25</v>
      </c>
    </row>
    <row r="91" spans="3:8" x14ac:dyDescent="0.2">
      <c r="C91" s="36">
        <v>4685530</v>
      </c>
      <c r="D91" s="35"/>
      <c r="E91" s="35">
        <v>47812</v>
      </c>
      <c r="F91" s="35">
        <f t="shared" si="18"/>
        <v>47812</v>
      </c>
      <c r="G91" s="37">
        <v>0.05</v>
      </c>
      <c r="H91" s="35">
        <f t="shared" si="19"/>
        <v>2390.6</v>
      </c>
    </row>
    <row r="92" spans="3:8" ht="15" x14ac:dyDescent="0.35">
      <c r="C92" s="36">
        <v>1806390</v>
      </c>
      <c r="D92" s="35"/>
      <c r="E92" s="29">
        <v>25806</v>
      </c>
      <c r="F92" s="29">
        <f t="shared" si="18"/>
        <v>25806</v>
      </c>
      <c r="G92" s="37">
        <v>0.05</v>
      </c>
      <c r="H92" s="29">
        <f t="shared" si="19"/>
        <v>1290.3000000000002</v>
      </c>
    </row>
    <row r="93" spans="3:8" x14ac:dyDescent="0.2">
      <c r="E93" s="9">
        <f>SUM(E66:E92)</f>
        <v>10505726.009928571</v>
      </c>
      <c r="F93" s="9">
        <f>SUM(F66:F92)</f>
        <v>8429153.0099285711</v>
      </c>
      <c r="H93" s="35">
        <f>SUM(H66:H92)</f>
        <v>421457.6504964286</v>
      </c>
    </row>
    <row r="94" spans="3:8" x14ac:dyDescent="0.2">
      <c r="E94" s="9"/>
      <c r="F94" s="9"/>
      <c r="H94" s="9">
        <f>H93-L24</f>
        <v>1.7996428534388542E-2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4 of 8
Williams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opLeftCell="A19" workbookViewId="0">
      <selection activeCell="A3" sqref="A3:N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9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9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9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15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21068488.000604</v>
      </c>
    </row>
    <row r="10" spans="1:19" x14ac:dyDescent="0.2">
      <c r="A10" s="31">
        <v>43160</v>
      </c>
      <c r="C10" s="12">
        <v>100846405</v>
      </c>
      <c r="D10" s="13">
        <v>230052</v>
      </c>
      <c r="E10" s="13">
        <v>464350.12</v>
      </c>
      <c r="F10" s="13">
        <v>928700.23</v>
      </c>
      <c r="G10" s="14">
        <f t="shared" ref="G10:G14" si="0">E10-D10</f>
        <v>234298.12</v>
      </c>
      <c r="H10" s="14">
        <f t="shared" ref="H10:H14" si="1">F10-D10</f>
        <v>698648.23</v>
      </c>
      <c r="I10" s="3">
        <v>0.21</v>
      </c>
      <c r="J10" s="3">
        <v>0.06</v>
      </c>
      <c r="K10" s="9">
        <f t="shared" ref="K10:K14" si="2">G10*I10-L10*I10</f>
        <v>40399.637501999998</v>
      </c>
      <c r="L10" s="9">
        <f t="shared" ref="L10:L14" si="3">H10*J10</f>
        <v>41918.893799999998</v>
      </c>
      <c r="M10" s="15">
        <f t="shared" ref="M10:M14" si="4">M9+K10+L10</f>
        <v>21150806.531906001</v>
      </c>
      <c r="N10" s="9">
        <v>0</v>
      </c>
      <c r="O10" s="32">
        <f>21225766-M11</f>
        <v>6.0899928212165833E-4</v>
      </c>
      <c r="S10" s="22"/>
    </row>
    <row r="11" spans="1:19" x14ac:dyDescent="0.2">
      <c r="A11" s="31">
        <v>43191</v>
      </c>
      <c r="C11" s="12">
        <v>100846405</v>
      </c>
      <c r="D11" s="13">
        <v>230052</v>
      </c>
      <c r="E11" s="13">
        <f>464350.12-8760.68</f>
        <v>455589.44</v>
      </c>
      <c r="F11" s="13">
        <v>928700.23</v>
      </c>
      <c r="G11" s="14">
        <f t="shared" si="0"/>
        <v>225537.44</v>
      </c>
      <c r="H11" s="14">
        <f t="shared" si="1"/>
        <v>698648.23</v>
      </c>
      <c r="I11" s="3">
        <v>0.21</v>
      </c>
      <c r="J11" s="3">
        <v>0.05</v>
      </c>
      <c r="K11" s="9">
        <f t="shared" si="2"/>
        <v>40027.055984999999</v>
      </c>
      <c r="L11" s="9">
        <f t="shared" si="3"/>
        <v>34932.411500000002</v>
      </c>
      <c r="M11" s="15">
        <f t="shared" si="4"/>
        <v>21225765.999391001</v>
      </c>
      <c r="N11" s="9">
        <v>0</v>
      </c>
      <c r="O11" s="32">
        <f>+O10/0.21</f>
        <v>2.8999965815317062E-3</v>
      </c>
      <c r="Q11" s="9">
        <f>358619-M12</f>
        <v>-20942106.886876002</v>
      </c>
      <c r="R11" s="17"/>
      <c r="S11" s="22"/>
    </row>
    <row r="12" spans="1:19" x14ac:dyDescent="0.2">
      <c r="A12" s="31">
        <v>43221</v>
      </c>
      <c r="C12" s="12">
        <v>100846405</v>
      </c>
      <c r="D12" s="13">
        <v>230052</v>
      </c>
      <c r="E12" s="13">
        <f>464350.12-8758.68</f>
        <v>455591.44</v>
      </c>
      <c r="F12" s="13">
        <v>928700.23</v>
      </c>
      <c r="G12" s="14">
        <f t="shared" si="0"/>
        <v>225539.44</v>
      </c>
      <c r="H12" s="14">
        <f t="shared" si="1"/>
        <v>698648.23</v>
      </c>
      <c r="I12" s="3">
        <v>0.21</v>
      </c>
      <c r="J12" s="3">
        <v>0.05</v>
      </c>
      <c r="K12" s="9">
        <f t="shared" si="2"/>
        <v>40027.475984999997</v>
      </c>
      <c r="L12" s="9">
        <f t="shared" si="3"/>
        <v>34932.411500000002</v>
      </c>
      <c r="M12" s="15">
        <f t="shared" si="4"/>
        <v>21300725.886876002</v>
      </c>
      <c r="N12" s="9">
        <v>0</v>
      </c>
      <c r="Q12">
        <f>+Q11/0.389</f>
        <v>-53835750.351866327</v>
      </c>
      <c r="R12" s="9"/>
      <c r="S12" s="22"/>
    </row>
    <row r="13" spans="1:19" x14ac:dyDescent="0.2">
      <c r="A13" s="31">
        <v>43252</v>
      </c>
      <c r="C13" s="12">
        <v>100846405</v>
      </c>
      <c r="D13" s="13">
        <v>230052</v>
      </c>
      <c r="E13" s="13">
        <f>464350.12-8758.68-2</f>
        <v>455589.44</v>
      </c>
      <c r="F13" s="13">
        <v>928700.23</v>
      </c>
      <c r="G13" s="14">
        <f t="shared" si="0"/>
        <v>225537.44</v>
      </c>
      <c r="H13" s="14">
        <f t="shared" si="1"/>
        <v>698648.23</v>
      </c>
      <c r="I13" s="3">
        <v>0.21</v>
      </c>
      <c r="J13" s="3">
        <v>0.05</v>
      </c>
      <c r="K13" s="9">
        <f t="shared" si="2"/>
        <v>40027.055984999999</v>
      </c>
      <c r="L13" s="9">
        <f t="shared" si="3"/>
        <v>34932.411500000002</v>
      </c>
      <c r="M13" s="15">
        <f t="shared" si="4"/>
        <v>21375685.354361001</v>
      </c>
      <c r="N13" s="9">
        <v>0</v>
      </c>
      <c r="Q13" s="9">
        <f>374733-M14</f>
        <v>-21075911.821846001</v>
      </c>
      <c r="S13" s="22"/>
    </row>
    <row r="14" spans="1:19" x14ac:dyDescent="0.2">
      <c r="A14" s="31">
        <v>43282</v>
      </c>
      <c r="C14" s="12">
        <v>100846405</v>
      </c>
      <c r="D14" s="13">
        <v>230052</v>
      </c>
      <c r="E14" s="13">
        <f>464350.12-8758.68-2</f>
        <v>455589.44</v>
      </c>
      <c r="F14" s="13">
        <v>928700.23</v>
      </c>
      <c r="G14" s="14">
        <f t="shared" si="0"/>
        <v>225537.44</v>
      </c>
      <c r="H14" s="14">
        <f t="shared" si="1"/>
        <v>698648.23</v>
      </c>
      <c r="I14" s="3">
        <v>0.21</v>
      </c>
      <c r="J14" s="3">
        <v>0.05</v>
      </c>
      <c r="K14" s="9">
        <f t="shared" si="2"/>
        <v>40027.055984999999</v>
      </c>
      <c r="L14" s="9">
        <f t="shared" si="3"/>
        <v>34932.411500000002</v>
      </c>
      <c r="M14" s="15">
        <f t="shared" si="4"/>
        <v>21450644.821846001</v>
      </c>
      <c r="N14" s="9">
        <v>0</v>
      </c>
      <c r="Q14">
        <f>+Q13/0.389</f>
        <v>-54179721.907059126</v>
      </c>
      <c r="R14" s="9"/>
      <c r="S14" s="22"/>
    </row>
    <row r="15" spans="1:19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  <c r="Q15" t="e">
        <f>+#REF!/0.389</f>
        <v>#REF!</v>
      </c>
    </row>
    <row r="16" spans="1:19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21057450</v>
      </c>
      <c r="O17" s="15"/>
      <c r="P17" s="9"/>
    </row>
    <row r="18" spans="1:16" x14ac:dyDescent="0.2">
      <c r="A18" s="31">
        <v>43160</v>
      </c>
      <c r="C18" s="12">
        <v>100846405</v>
      </c>
      <c r="D18" s="13">
        <v>230052</v>
      </c>
      <c r="E18" s="13">
        <v>464350.12</v>
      </c>
      <c r="F18" s="13">
        <v>928700.23</v>
      </c>
      <c r="G18" s="14">
        <f t="shared" ref="G18:G22" si="5">E18-D18</f>
        <v>234298.12</v>
      </c>
      <c r="H18" s="14">
        <f t="shared" ref="H18:H22" si="6">F18-D18</f>
        <v>698648.23</v>
      </c>
      <c r="I18" s="3">
        <v>0.21</v>
      </c>
      <c r="J18" s="3">
        <v>0.05</v>
      </c>
      <c r="K18" s="9">
        <f t="shared" ref="K18:K22" si="7">G18*I18-L18*I18</f>
        <v>41866.798784999999</v>
      </c>
      <c r="L18" s="9">
        <f t="shared" ref="L18:L22" si="8">H18*J18</f>
        <v>34932.411500000002</v>
      </c>
      <c r="M18" s="15">
        <f t="shared" ref="M18:M22" si="9">M17+K18+L18</f>
        <v>21134249.210285001</v>
      </c>
      <c r="N18" s="9">
        <v>0</v>
      </c>
      <c r="O18" s="15"/>
      <c r="P18" s="9"/>
    </row>
    <row r="19" spans="1:16" x14ac:dyDescent="0.2">
      <c r="A19" s="31">
        <v>43191</v>
      </c>
      <c r="C19" s="12">
        <v>100846405</v>
      </c>
      <c r="D19" s="13">
        <v>230052</v>
      </c>
      <c r="E19" s="13">
        <v>464350.12</v>
      </c>
      <c r="F19" s="13">
        <v>928700.23</v>
      </c>
      <c r="G19" s="14">
        <f t="shared" si="5"/>
        <v>234298.12</v>
      </c>
      <c r="H19" s="14">
        <f t="shared" si="6"/>
        <v>698648.23</v>
      </c>
      <c r="I19" s="3">
        <v>0.21</v>
      </c>
      <c r="J19" s="3">
        <v>0.05</v>
      </c>
      <c r="K19" s="9">
        <f t="shared" si="7"/>
        <v>41866.798784999999</v>
      </c>
      <c r="L19" s="9">
        <f t="shared" si="8"/>
        <v>34932.411500000002</v>
      </c>
      <c r="M19" s="15">
        <f t="shared" si="9"/>
        <v>21211048.420570001</v>
      </c>
      <c r="N19" s="9">
        <v>0</v>
      </c>
      <c r="O19" s="15"/>
      <c r="P19" s="9"/>
    </row>
    <row r="20" spans="1:16" x14ac:dyDescent="0.2">
      <c r="A20" s="31">
        <v>43221</v>
      </c>
      <c r="C20" s="12">
        <v>100846405</v>
      </c>
      <c r="D20" s="13">
        <v>230052</v>
      </c>
      <c r="E20" s="13">
        <v>464350.12</v>
      </c>
      <c r="F20" s="13">
        <v>928700.23</v>
      </c>
      <c r="G20" s="14">
        <f t="shared" si="5"/>
        <v>234298.12</v>
      </c>
      <c r="H20" s="14">
        <f t="shared" si="6"/>
        <v>698648.23</v>
      </c>
      <c r="I20" s="3">
        <v>0.21</v>
      </c>
      <c r="J20" s="3">
        <v>0.05</v>
      </c>
      <c r="K20" s="9">
        <f t="shared" si="7"/>
        <v>41866.798784999999</v>
      </c>
      <c r="L20" s="9">
        <f t="shared" si="8"/>
        <v>34932.411500000002</v>
      </c>
      <c r="M20" s="15">
        <f t="shared" si="9"/>
        <v>21287847.630855002</v>
      </c>
      <c r="N20" s="9">
        <v>0</v>
      </c>
      <c r="O20" s="15"/>
      <c r="P20" s="9"/>
    </row>
    <row r="21" spans="1:16" x14ac:dyDescent="0.2">
      <c r="A21" s="31">
        <v>43252</v>
      </c>
      <c r="C21" s="12">
        <v>100846405</v>
      </c>
      <c r="D21" s="13">
        <v>230052</v>
      </c>
      <c r="E21" s="13">
        <v>464350.12</v>
      </c>
      <c r="F21" s="13">
        <v>928700.23</v>
      </c>
      <c r="G21" s="14">
        <f t="shared" si="5"/>
        <v>234298.12</v>
      </c>
      <c r="H21" s="14">
        <f t="shared" si="6"/>
        <v>698648.23</v>
      </c>
      <c r="I21" s="3">
        <v>0.21</v>
      </c>
      <c r="J21" s="3">
        <v>0.05</v>
      </c>
      <c r="K21" s="9">
        <f t="shared" si="7"/>
        <v>41866.798784999999</v>
      </c>
      <c r="L21" s="9">
        <f t="shared" si="8"/>
        <v>34932.411500000002</v>
      </c>
      <c r="M21" s="15">
        <f t="shared" si="9"/>
        <v>21364646.841140002</v>
      </c>
      <c r="N21" s="9">
        <v>0</v>
      </c>
      <c r="O21" s="15"/>
      <c r="P21" s="9"/>
    </row>
    <row r="22" spans="1:16" x14ac:dyDescent="0.2">
      <c r="A22" s="31">
        <v>43282</v>
      </c>
      <c r="C22" s="12">
        <v>100846405</v>
      </c>
      <c r="D22" s="13">
        <v>230052</v>
      </c>
      <c r="E22" s="13">
        <v>464350.12</v>
      </c>
      <c r="F22" s="13">
        <v>928700.23</v>
      </c>
      <c r="G22" s="14">
        <f t="shared" si="5"/>
        <v>234298.12</v>
      </c>
      <c r="H22" s="14">
        <f t="shared" si="6"/>
        <v>698648.23</v>
      </c>
      <c r="I22" s="3">
        <v>0.21</v>
      </c>
      <c r="J22" s="3">
        <v>0.05</v>
      </c>
      <c r="K22" s="9">
        <f t="shared" si="7"/>
        <v>41866.798784999999</v>
      </c>
      <c r="L22" s="9">
        <f t="shared" si="8"/>
        <v>34932.411500000002</v>
      </c>
      <c r="M22" s="15">
        <f t="shared" si="9"/>
        <v>21441446.051425003</v>
      </c>
      <c r="N22" s="9">
        <v>0</v>
      </c>
      <c r="O22" s="15"/>
      <c r="P22" s="9"/>
    </row>
    <row r="23" spans="1:16" x14ac:dyDescent="0.2">
      <c r="A23" s="16"/>
      <c r="C23" s="12"/>
      <c r="D23" s="13"/>
      <c r="E23" s="13"/>
      <c r="F23" s="13"/>
      <c r="G23" s="14"/>
      <c r="H23" s="14"/>
      <c r="I23" s="14"/>
      <c r="J23" s="12"/>
      <c r="K23" s="12"/>
      <c r="L23" s="3"/>
      <c r="M23" s="3"/>
      <c r="N23" s="9"/>
      <c r="O23" s="15"/>
      <c r="P23" s="9"/>
    </row>
    <row r="24" spans="1:16" x14ac:dyDescent="0.2">
      <c r="A24" s="31">
        <v>43313</v>
      </c>
      <c r="C24" s="12">
        <v>100846405</v>
      </c>
      <c r="D24" s="13">
        <v>230052</v>
      </c>
      <c r="E24" s="13">
        <v>464350.12</v>
      </c>
      <c r="F24" s="13">
        <v>928700.23</v>
      </c>
      <c r="G24" s="14">
        <f t="shared" ref="G24" si="10">E24-D24</f>
        <v>234298.12</v>
      </c>
      <c r="H24" s="14">
        <f t="shared" ref="H24" si="11">F24-D24</f>
        <v>698648.23</v>
      </c>
      <c r="I24" s="3">
        <v>0.21</v>
      </c>
      <c r="J24" s="3">
        <v>0.05</v>
      </c>
      <c r="K24" s="9">
        <f t="shared" ref="K24" si="12">G24*I24-L24*I24</f>
        <v>41866.798784999999</v>
      </c>
      <c r="L24" s="9">
        <f t="shared" ref="L24" si="13">H24*J24</f>
        <v>34932.411500000002</v>
      </c>
      <c r="M24" s="15">
        <f>M22+K24+L24</f>
        <v>21518245.261710003</v>
      </c>
      <c r="N24" s="9">
        <v>0</v>
      </c>
      <c r="O24" s="15"/>
      <c r="P24" s="9"/>
    </row>
    <row r="25" spans="1:16" x14ac:dyDescent="0.2">
      <c r="A25" s="31"/>
      <c r="C25" s="12"/>
      <c r="D25" s="13"/>
      <c r="E25" s="13"/>
      <c r="F25" s="13"/>
      <c r="G25" s="14"/>
      <c r="H25" s="14"/>
      <c r="I25" s="3"/>
      <c r="J25" s="3"/>
      <c r="K25" s="9"/>
      <c r="L25" s="9"/>
      <c r="M25" s="15"/>
      <c r="N25" s="9"/>
      <c r="O25" s="15"/>
      <c r="P25" s="9"/>
    </row>
    <row r="26" spans="1:16" x14ac:dyDescent="0.2">
      <c r="C26" s="23" t="s">
        <v>27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0" spans="1:16" x14ac:dyDescent="0.2">
      <c r="C30" s="26"/>
      <c r="D30" s="24"/>
      <c r="E30" s="24"/>
      <c r="F30" s="24"/>
      <c r="G30" s="24"/>
      <c r="H30" s="24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35">
        <v>19447093.452</v>
      </c>
      <c r="D32" s="35">
        <v>230052</v>
      </c>
      <c r="E32" s="35">
        <v>100104</v>
      </c>
      <c r="F32" s="35">
        <f>E32-D32</f>
        <v>-129948</v>
      </c>
      <c r="G32" s="3">
        <v>0.21</v>
      </c>
      <c r="H32" s="35">
        <f>F32*G32</f>
        <v>-27289.079999999998</v>
      </c>
    </row>
    <row r="33" spans="3:8" x14ac:dyDescent="0.2">
      <c r="C33" s="35">
        <v>29170640.177999996</v>
      </c>
      <c r="D33" s="35"/>
      <c r="E33" s="35">
        <v>347269.52592857141</v>
      </c>
      <c r="F33" s="35">
        <f>E33</f>
        <v>347269.52592857141</v>
      </c>
      <c r="G33" s="3">
        <v>0.21</v>
      </c>
      <c r="H33" s="35">
        <f t="shared" ref="H33:H37" si="14">F33*G33</f>
        <v>72926.600444999989</v>
      </c>
    </row>
    <row r="34" spans="3:8" x14ac:dyDescent="0.2">
      <c r="C34" s="35">
        <v>584700.50199999998</v>
      </c>
      <c r="D34" s="35"/>
      <c r="E34" s="35">
        <v>3253</v>
      </c>
      <c r="F34" s="35">
        <f t="shared" ref="F34:F37" si="15">E34</f>
        <v>3253</v>
      </c>
      <c r="G34" s="3">
        <v>0.21</v>
      </c>
      <c r="H34" s="35">
        <f t="shared" si="14"/>
        <v>683.13</v>
      </c>
    </row>
    <row r="35" spans="3:8" x14ac:dyDescent="0.2">
      <c r="C35" s="35">
        <v>877050.75299999991</v>
      </c>
      <c r="D35" s="35"/>
      <c r="E35" s="35">
        <v>10441.080392857142</v>
      </c>
      <c r="F35" s="35">
        <f t="shared" si="15"/>
        <v>10441.080392857142</v>
      </c>
      <c r="G35" s="37">
        <v>0.21</v>
      </c>
      <c r="H35" s="35">
        <f t="shared" si="14"/>
        <v>2192.6268824999997</v>
      </c>
    </row>
    <row r="36" spans="3:8" x14ac:dyDescent="0.2">
      <c r="C36" s="35">
        <v>137487</v>
      </c>
      <c r="D36" s="35"/>
      <c r="E36" s="35">
        <v>827</v>
      </c>
      <c r="F36" s="35">
        <f t="shared" si="15"/>
        <v>827</v>
      </c>
      <c r="G36" s="37">
        <v>0.21</v>
      </c>
      <c r="H36" s="35">
        <f t="shared" si="14"/>
        <v>173.67</v>
      </c>
    </row>
    <row r="37" spans="3:8" ht="15" x14ac:dyDescent="0.35">
      <c r="C37" s="35">
        <v>206231</v>
      </c>
      <c r="D37" s="35"/>
      <c r="E37" s="29">
        <v>2455</v>
      </c>
      <c r="F37" s="29">
        <f t="shared" si="15"/>
        <v>2455</v>
      </c>
      <c r="G37" s="37">
        <v>0.21</v>
      </c>
      <c r="H37" s="29">
        <f t="shared" si="14"/>
        <v>515.54999999999995</v>
      </c>
    </row>
    <row r="38" spans="3:8" x14ac:dyDescent="0.2">
      <c r="C38" s="35"/>
      <c r="D38" s="35"/>
      <c r="E38" s="35">
        <f>SUM(E32:E37)</f>
        <v>464349.60632142855</v>
      </c>
      <c r="F38" s="35">
        <f>SUM(F32:F37)</f>
        <v>234297.60632142855</v>
      </c>
      <c r="G38" s="30" t="s">
        <v>42</v>
      </c>
      <c r="H38" s="35">
        <f>SUM(H32:H37)</f>
        <v>49202.497327499987</v>
      </c>
    </row>
    <row r="39" spans="3:8" ht="15" x14ac:dyDescent="0.35">
      <c r="E39" s="9"/>
      <c r="F39" s="9"/>
      <c r="G39" s="30" t="s">
        <v>40</v>
      </c>
      <c r="H39" s="29">
        <f>-H49*0.21</f>
        <v>-7335.8062327499993</v>
      </c>
    </row>
    <row r="40" spans="3:8" x14ac:dyDescent="0.2">
      <c r="H40" s="9">
        <f>H38+H39</f>
        <v>41866.691094749985</v>
      </c>
    </row>
    <row r="41" spans="3:8" x14ac:dyDescent="0.2">
      <c r="H41" s="9">
        <f>H40-K24</f>
        <v>-0.10769025001354748</v>
      </c>
    </row>
    <row r="42" spans="3:8" x14ac:dyDescent="0.2">
      <c r="C42" s="15" t="s">
        <v>36</v>
      </c>
      <c r="D42" s="24" t="s">
        <v>31</v>
      </c>
      <c r="E42" s="25" t="s">
        <v>37</v>
      </c>
      <c r="F42" s="15" t="s">
        <v>38</v>
      </c>
      <c r="G42" s="28" t="s">
        <v>24</v>
      </c>
      <c r="H42" s="15" t="s">
        <v>39</v>
      </c>
    </row>
    <row r="43" spans="3:8" x14ac:dyDescent="0.2">
      <c r="C43" s="35">
        <v>38894186.903999999</v>
      </c>
      <c r="D43" s="35">
        <f>D32</f>
        <v>230052</v>
      </c>
      <c r="E43" s="35">
        <v>200208</v>
      </c>
      <c r="F43" s="35">
        <f>E43-D43</f>
        <v>-29844</v>
      </c>
      <c r="G43" s="3">
        <v>0.05</v>
      </c>
      <c r="H43" s="35">
        <f>F43*G43</f>
        <v>-1492.2</v>
      </c>
    </row>
    <row r="44" spans="3:8" x14ac:dyDescent="0.2">
      <c r="C44" s="35">
        <v>58341280.355999991</v>
      </c>
      <c r="D44" s="35"/>
      <c r="E44" s="35">
        <v>694539.05185714283</v>
      </c>
      <c r="F44" s="35">
        <f>E44</f>
        <v>694539.05185714283</v>
      </c>
      <c r="G44" s="3">
        <v>0.05</v>
      </c>
      <c r="H44" s="35">
        <f t="shared" ref="H44:H48" si="16">F44*G44</f>
        <v>34726.952592857146</v>
      </c>
    </row>
    <row r="45" spans="3:8" x14ac:dyDescent="0.2">
      <c r="C45" s="35">
        <v>1169401.004</v>
      </c>
      <c r="D45" s="35"/>
      <c r="E45" s="35">
        <v>6507</v>
      </c>
      <c r="F45" s="35">
        <f t="shared" ref="F45:F48" si="17">E45</f>
        <v>6507</v>
      </c>
      <c r="G45" s="3">
        <v>0.05</v>
      </c>
      <c r="H45" s="35">
        <f t="shared" si="16"/>
        <v>325.35000000000002</v>
      </c>
    </row>
    <row r="46" spans="3:8" x14ac:dyDescent="0.2">
      <c r="C46" s="35">
        <v>1754101.5059999998</v>
      </c>
      <c r="D46" s="35"/>
      <c r="E46" s="35">
        <v>20882.160785714284</v>
      </c>
      <c r="F46" s="35">
        <f t="shared" si="17"/>
        <v>20882.160785714284</v>
      </c>
      <c r="G46" s="3">
        <v>0.05</v>
      </c>
      <c r="H46" s="35">
        <f t="shared" si="16"/>
        <v>1044.1080392857143</v>
      </c>
    </row>
    <row r="47" spans="3:8" x14ac:dyDescent="0.2">
      <c r="C47" s="35">
        <v>274974</v>
      </c>
      <c r="D47" s="35"/>
      <c r="E47" s="35">
        <v>1654</v>
      </c>
      <c r="F47" s="35">
        <f t="shared" si="17"/>
        <v>1654</v>
      </c>
      <c r="G47" s="3">
        <v>0.05</v>
      </c>
      <c r="H47" s="35">
        <f t="shared" si="16"/>
        <v>82.7</v>
      </c>
    </row>
    <row r="48" spans="3:8" ht="15" x14ac:dyDescent="0.35">
      <c r="C48" s="35">
        <v>412461</v>
      </c>
      <c r="D48" s="35"/>
      <c r="E48" s="29">
        <v>4910</v>
      </c>
      <c r="F48" s="29">
        <f t="shared" si="17"/>
        <v>4910</v>
      </c>
      <c r="G48" s="3">
        <v>0.05</v>
      </c>
      <c r="H48" s="29">
        <f t="shared" si="16"/>
        <v>245.5</v>
      </c>
    </row>
    <row r="49" spans="5:8" x14ac:dyDescent="0.2">
      <c r="E49" s="9">
        <f>SUM(E43:E48)</f>
        <v>928700.21264285711</v>
      </c>
      <c r="F49" s="9">
        <f>SUM(F43:F48)</f>
        <v>698648.21264285711</v>
      </c>
      <c r="H49" s="35">
        <f>SUM(H43:H48)</f>
        <v>34932.410632142855</v>
      </c>
    </row>
    <row r="50" spans="5:8" x14ac:dyDescent="0.2">
      <c r="E50" s="9"/>
      <c r="F50" s="9"/>
      <c r="H50" s="9">
        <f>H49-L24</f>
        <v>-8.6785714665893465E-4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5 of 8
Williams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opLeftCell="A28" workbookViewId="0">
      <selection activeCell="E43" sqref="E43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9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9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9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16</v>
      </c>
    </row>
    <row r="6" spans="1:19" x14ac:dyDescent="0.2">
      <c r="A6" s="21" t="s">
        <v>17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758370.00008799986</v>
      </c>
    </row>
    <row r="10" spans="1:19" x14ac:dyDescent="0.2">
      <c r="A10" s="31">
        <v>43160</v>
      </c>
      <c r="C10" s="12">
        <v>4506424</v>
      </c>
      <c r="D10" s="13">
        <v>7411</v>
      </c>
      <c r="E10" s="13">
        <f>25596.35+214.62</f>
        <v>25810.969999999998</v>
      </c>
      <c r="F10" s="13">
        <v>47094.66</v>
      </c>
      <c r="G10" s="14">
        <f t="shared" ref="G10:G13" si="0">E10-D10</f>
        <v>18399.969999999998</v>
      </c>
      <c r="H10" s="14">
        <f t="shared" ref="H10:H13" si="1">F10-D10</f>
        <v>39683.660000000003</v>
      </c>
      <c r="I10" s="3">
        <v>0.21</v>
      </c>
      <c r="J10" s="3">
        <v>0.06</v>
      </c>
      <c r="K10" s="9">
        <f t="shared" ref="K10:K14" si="2">G10*I10-L10*I10</f>
        <v>3363.9795839999997</v>
      </c>
      <c r="L10" s="9">
        <f t="shared" ref="L10:L14" si="3">H10*J10</f>
        <v>2381.0196000000001</v>
      </c>
      <c r="M10" s="15">
        <f t="shared" ref="M10:M14" si="4">M9+K10+L10</f>
        <v>764114.99927199981</v>
      </c>
      <c r="N10" s="9">
        <v>0</v>
      </c>
      <c r="O10" s="32">
        <f>780892-M14</f>
        <v>-5.1999813877046108E-5</v>
      </c>
    </row>
    <row r="11" spans="1:19" x14ac:dyDescent="0.2">
      <c r="A11" s="31">
        <v>43191</v>
      </c>
      <c r="C11" s="12">
        <v>4506424</v>
      </c>
      <c r="D11" s="13">
        <v>7411</v>
      </c>
      <c r="E11" s="13">
        <f>25596.35-282.99</f>
        <v>25313.359999999997</v>
      </c>
      <c r="F11" s="13">
        <v>47094.66</v>
      </c>
      <c r="G11" s="14">
        <f t="shared" si="0"/>
        <v>17902.359999999997</v>
      </c>
      <c r="H11" s="14">
        <f t="shared" si="1"/>
        <v>39683.660000000003</v>
      </c>
      <c r="I11" s="3">
        <v>0.21</v>
      </c>
      <c r="J11" s="3">
        <v>0.05</v>
      </c>
      <c r="K11" s="9">
        <f t="shared" si="2"/>
        <v>3342.8171699999994</v>
      </c>
      <c r="L11" s="9">
        <f t="shared" si="3"/>
        <v>1984.1830000000002</v>
      </c>
      <c r="M11" s="15">
        <f t="shared" si="4"/>
        <v>769441.99944199983</v>
      </c>
      <c r="N11" s="9">
        <v>0</v>
      </c>
      <c r="O11" s="32">
        <f>+O10/0.21</f>
        <v>-2.476181613192672E-4</v>
      </c>
      <c r="Q11" s="9">
        <f>358619-M12</f>
        <v>-411008.00051199982</v>
      </c>
      <c r="R11" s="17"/>
      <c r="S11" s="9"/>
    </row>
    <row r="12" spans="1:19" x14ac:dyDescent="0.2">
      <c r="A12" s="31">
        <v>43221</v>
      </c>
      <c r="C12" s="12">
        <v>4506424</v>
      </c>
      <c r="D12" s="13">
        <v>7411</v>
      </c>
      <c r="E12" s="13">
        <f>25596.35-24768.7</f>
        <v>827.64999999999782</v>
      </c>
      <c r="F12" s="13">
        <v>47094.66</v>
      </c>
      <c r="G12" s="14">
        <f t="shared" si="0"/>
        <v>-6583.3500000000022</v>
      </c>
      <c r="H12" s="14">
        <f t="shared" si="1"/>
        <v>39683.660000000003</v>
      </c>
      <c r="I12" s="3">
        <v>0.21</v>
      </c>
      <c r="J12" s="3">
        <v>0.05</v>
      </c>
      <c r="K12" s="9">
        <f t="shared" si="2"/>
        <v>-1799.1819300000006</v>
      </c>
      <c r="L12" s="9">
        <f t="shared" si="3"/>
        <v>1984.1830000000002</v>
      </c>
      <c r="M12" s="15">
        <f t="shared" si="4"/>
        <v>769627.00051199982</v>
      </c>
      <c r="N12" s="9">
        <v>0</v>
      </c>
      <c r="Q12">
        <f>+Q11/0.389</f>
        <v>-1056575.8367917733</v>
      </c>
      <c r="R12" s="9"/>
      <c r="S12" s="9"/>
    </row>
    <row r="13" spans="1:19" x14ac:dyDescent="0.2">
      <c r="A13" s="31">
        <v>43252</v>
      </c>
      <c r="C13" s="12">
        <v>4506424</v>
      </c>
      <c r="D13" s="13">
        <v>7411</v>
      </c>
      <c r="E13" s="13">
        <f t="shared" ref="E13" si="5">25596.35+3212.24</f>
        <v>28808.589999999997</v>
      </c>
      <c r="F13" s="13">
        <v>47094.66</v>
      </c>
      <c r="G13" s="14">
        <f t="shared" si="0"/>
        <v>21397.589999999997</v>
      </c>
      <c r="H13" s="14">
        <f t="shared" si="1"/>
        <v>39683.660000000003</v>
      </c>
      <c r="I13" s="3">
        <v>0.21</v>
      </c>
      <c r="J13" s="3">
        <v>0.05</v>
      </c>
      <c r="K13" s="9">
        <f t="shared" si="2"/>
        <v>4076.8154699999996</v>
      </c>
      <c r="L13" s="9">
        <f t="shared" si="3"/>
        <v>1984.1830000000002</v>
      </c>
      <c r="M13" s="15">
        <f t="shared" si="4"/>
        <v>775687.99898199982</v>
      </c>
      <c r="N13" s="9">
        <v>0</v>
      </c>
      <c r="Q13" s="9">
        <f>374733-M14</f>
        <v>-406159.00005199981</v>
      </c>
      <c r="S13" s="9"/>
    </row>
    <row r="14" spans="1:19" x14ac:dyDescent="0.2">
      <c r="A14" s="31">
        <v>43282</v>
      </c>
      <c r="C14" s="12">
        <v>4506424</v>
      </c>
      <c r="D14" s="13">
        <v>7411</v>
      </c>
      <c r="E14" s="13">
        <f>25596.35-868.7</f>
        <v>24727.649999999998</v>
      </c>
      <c r="F14" s="13">
        <v>47094.66</v>
      </c>
      <c r="G14" s="14">
        <f t="shared" ref="G14" si="6">E14-D14</f>
        <v>17316.649999999998</v>
      </c>
      <c r="H14" s="14">
        <f t="shared" ref="H14" si="7">F14-D14</f>
        <v>39683.660000000003</v>
      </c>
      <c r="I14" s="3">
        <v>0.21</v>
      </c>
      <c r="J14" s="3">
        <v>0.05</v>
      </c>
      <c r="K14" s="9">
        <f t="shared" si="2"/>
        <v>3219.8180699999994</v>
      </c>
      <c r="L14" s="9">
        <f t="shared" si="3"/>
        <v>1984.1830000000002</v>
      </c>
      <c r="M14" s="15">
        <f t="shared" si="4"/>
        <v>780892.00005199981</v>
      </c>
      <c r="N14" s="9">
        <v>0</v>
      </c>
      <c r="Q14">
        <f>+Q13/0.389</f>
        <v>-1044110.539979434</v>
      </c>
      <c r="R14" s="9"/>
      <c r="S14" s="9"/>
    </row>
    <row r="15" spans="1:19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</row>
    <row r="16" spans="1:19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759586</v>
      </c>
      <c r="O17" s="15"/>
      <c r="P17" s="9"/>
    </row>
    <row r="18" spans="1:16" x14ac:dyDescent="0.2">
      <c r="A18" s="31">
        <v>43160</v>
      </c>
      <c r="C18" s="12">
        <v>4506424</v>
      </c>
      <c r="D18" s="13">
        <v>7411</v>
      </c>
      <c r="E18" s="13">
        <v>41475</v>
      </c>
      <c r="F18" s="13">
        <v>47094.66</v>
      </c>
      <c r="G18" s="14">
        <f t="shared" ref="G18:G22" si="8">E18-D18</f>
        <v>34064</v>
      </c>
      <c r="H18" s="14">
        <f t="shared" ref="H18:H22" si="9">F18-D18</f>
        <v>39683.660000000003</v>
      </c>
      <c r="I18" s="3">
        <v>0.21</v>
      </c>
      <c r="J18" s="3">
        <v>0.05</v>
      </c>
      <c r="K18" s="9">
        <f>G18*I18-L18*I18+11</f>
        <v>6747.3415699999996</v>
      </c>
      <c r="L18" s="9">
        <f>H18*J18+2</f>
        <v>1986.1830000000002</v>
      </c>
      <c r="M18" s="15">
        <f t="shared" ref="M18:M22" si="10">M17+K18+L18</f>
        <v>768319.52457000001</v>
      </c>
      <c r="N18" s="9">
        <v>0</v>
      </c>
      <c r="O18" s="15"/>
      <c r="P18" s="9"/>
    </row>
    <row r="19" spans="1:16" x14ac:dyDescent="0.2">
      <c r="A19" s="31">
        <v>43191</v>
      </c>
      <c r="C19" s="12">
        <v>4506424</v>
      </c>
      <c r="D19" s="13">
        <v>7411</v>
      </c>
      <c r="E19" s="13">
        <v>41475</v>
      </c>
      <c r="F19" s="13">
        <v>47094.66</v>
      </c>
      <c r="G19" s="14">
        <f t="shared" si="8"/>
        <v>34064</v>
      </c>
      <c r="H19" s="14">
        <f t="shared" si="9"/>
        <v>39683.660000000003</v>
      </c>
      <c r="I19" s="3">
        <v>0.21</v>
      </c>
      <c r="J19" s="3">
        <v>0.05</v>
      </c>
      <c r="K19" s="9">
        <f>G19*I19-L19*I19+11</f>
        <v>6747.3415699999996</v>
      </c>
      <c r="L19" s="9">
        <f>H19*J19+2</f>
        <v>1986.1830000000002</v>
      </c>
      <c r="M19" s="15">
        <f t="shared" si="10"/>
        <v>777053.04914000002</v>
      </c>
      <c r="N19" s="9">
        <v>0</v>
      </c>
      <c r="O19" s="15"/>
      <c r="P19" s="9"/>
    </row>
    <row r="20" spans="1:16" x14ac:dyDescent="0.2">
      <c r="A20" s="31">
        <v>43221</v>
      </c>
      <c r="C20" s="12">
        <v>4506424</v>
      </c>
      <c r="D20" s="13">
        <v>7411</v>
      </c>
      <c r="E20" s="13">
        <v>41475</v>
      </c>
      <c r="F20" s="13">
        <v>47094.66</v>
      </c>
      <c r="G20" s="14">
        <f t="shared" si="8"/>
        <v>34064</v>
      </c>
      <c r="H20" s="14">
        <f t="shared" si="9"/>
        <v>39683.660000000003</v>
      </c>
      <c r="I20" s="3">
        <v>0.21</v>
      </c>
      <c r="J20" s="3">
        <v>0.05</v>
      </c>
      <c r="K20" s="9">
        <f>G20*I20-L20*I20+11</f>
        <v>6747.3415699999996</v>
      </c>
      <c r="L20" s="9">
        <f>H20*J20+2</f>
        <v>1986.1830000000002</v>
      </c>
      <c r="M20" s="15">
        <f t="shared" si="10"/>
        <v>785786.57371000003</v>
      </c>
      <c r="N20" s="9">
        <v>0</v>
      </c>
      <c r="O20" s="15"/>
      <c r="P20" s="9"/>
    </row>
    <row r="21" spans="1:16" x14ac:dyDescent="0.2">
      <c r="A21" s="31">
        <v>43252</v>
      </c>
      <c r="C21" s="12">
        <v>4506424</v>
      </c>
      <c r="D21" s="13">
        <v>7411</v>
      </c>
      <c r="E21" s="13">
        <v>41475</v>
      </c>
      <c r="F21" s="13">
        <v>47094.66</v>
      </c>
      <c r="G21" s="14">
        <f t="shared" si="8"/>
        <v>34064</v>
      </c>
      <c r="H21" s="14">
        <f t="shared" si="9"/>
        <v>39683.660000000003</v>
      </c>
      <c r="I21" s="3">
        <v>0.21</v>
      </c>
      <c r="J21" s="3">
        <v>0.05</v>
      </c>
      <c r="K21" s="9">
        <f>G21*I21-L21*I21+11</f>
        <v>6747.3415699999996</v>
      </c>
      <c r="L21" s="9">
        <f>H21*J21+2</f>
        <v>1986.1830000000002</v>
      </c>
      <c r="M21" s="15">
        <f t="shared" si="10"/>
        <v>794520.09828000003</v>
      </c>
      <c r="N21" s="9">
        <v>0</v>
      </c>
      <c r="O21" s="15"/>
      <c r="P21" s="9"/>
    </row>
    <row r="22" spans="1:16" x14ac:dyDescent="0.2">
      <c r="A22" s="31">
        <v>43282</v>
      </c>
      <c r="C22" s="12">
        <v>4506424</v>
      </c>
      <c r="D22" s="13">
        <v>7411</v>
      </c>
      <c r="E22" s="13">
        <v>41475</v>
      </c>
      <c r="F22" s="13">
        <v>47094.66</v>
      </c>
      <c r="G22" s="14">
        <f t="shared" si="8"/>
        <v>34064</v>
      </c>
      <c r="H22" s="14">
        <f t="shared" si="9"/>
        <v>39683.660000000003</v>
      </c>
      <c r="I22" s="3">
        <v>0.21</v>
      </c>
      <c r="J22" s="3">
        <v>0.05</v>
      </c>
      <c r="K22" s="9">
        <f>G22*I22-L22*I22+11</f>
        <v>6747.3415699999996</v>
      </c>
      <c r="L22" s="9">
        <f>H22*J22+2</f>
        <v>1986.1830000000002</v>
      </c>
      <c r="M22" s="15">
        <f t="shared" si="10"/>
        <v>803253.62285000004</v>
      </c>
      <c r="N22" s="9">
        <v>0</v>
      </c>
      <c r="O22" s="15"/>
      <c r="P22" s="9"/>
    </row>
    <row r="23" spans="1:16" x14ac:dyDescent="0.2">
      <c r="A23" s="31"/>
      <c r="C23" s="12"/>
      <c r="D23" s="13"/>
      <c r="E23" s="13"/>
      <c r="F23" s="13"/>
      <c r="G23" s="14"/>
      <c r="H23" s="14"/>
      <c r="I23" s="3"/>
      <c r="J23" s="3"/>
      <c r="K23" s="9"/>
      <c r="L23" s="9"/>
      <c r="M23" s="15"/>
      <c r="N23" s="9"/>
      <c r="O23" s="15"/>
      <c r="P23" s="9"/>
    </row>
    <row r="24" spans="1:16" x14ac:dyDescent="0.2">
      <c r="A24" s="31">
        <v>43313</v>
      </c>
      <c r="C24" s="12">
        <v>4506424</v>
      </c>
      <c r="D24" s="13">
        <v>7411</v>
      </c>
      <c r="E24" s="13">
        <v>41475</v>
      </c>
      <c r="F24" s="13">
        <v>47094.66</v>
      </c>
      <c r="G24" s="14">
        <f t="shared" ref="G24" si="11">E24-D24</f>
        <v>34064</v>
      </c>
      <c r="H24" s="14">
        <f t="shared" ref="H24" si="12">F24-D24</f>
        <v>39683.660000000003</v>
      </c>
      <c r="I24" s="3">
        <v>0.21</v>
      </c>
      <c r="J24" s="3">
        <v>0.05</v>
      </c>
      <c r="K24" s="9">
        <f>G24*I24-L24*I24+11</f>
        <v>6747.3415699999996</v>
      </c>
      <c r="L24" s="9">
        <f>H24*J24+2</f>
        <v>1986.1830000000002</v>
      </c>
      <c r="M24" s="15">
        <f>M22+K24+L24</f>
        <v>811987.14742000005</v>
      </c>
      <c r="N24" s="9">
        <v>0</v>
      </c>
      <c r="O24" s="15"/>
      <c r="P24" s="9"/>
    </row>
    <row r="25" spans="1:16" x14ac:dyDescent="0.2">
      <c r="A25" s="31"/>
      <c r="C25" s="12"/>
      <c r="D25" s="13"/>
      <c r="E25" s="13"/>
      <c r="F25" s="13"/>
      <c r="G25" s="14"/>
      <c r="H25" s="14"/>
      <c r="I25" s="3"/>
      <c r="J25" s="3"/>
      <c r="K25" s="9"/>
      <c r="L25" s="9"/>
      <c r="M25" s="15"/>
      <c r="N25" s="9"/>
      <c r="O25" s="15"/>
      <c r="P25" s="9"/>
    </row>
    <row r="26" spans="1:16" x14ac:dyDescent="0.2">
      <c r="C26" s="23" t="s">
        <v>44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0" spans="1:16" x14ac:dyDescent="0.2">
      <c r="C30" s="26"/>
      <c r="D30" s="24"/>
      <c r="E30" s="24"/>
      <c r="F30" s="24"/>
      <c r="G30" s="24"/>
      <c r="H30" s="24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35">
        <v>234559.42400000003</v>
      </c>
      <c r="D32" s="35">
        <v>7411</v>
      </c>
      <c r="E32" s="35">
        <v>1305</v>
      </c>
      <c r="F32" s="35">
        <f>E32-D32</f>
        <v>-6106</v>
      </c>
      <c r="G32" s="3">
        <v>0.21</v>
      </c>
      <c r="H32" s="35">
        <f>F32*G32</f>
        <v>-1282.26</v>
      </c>
    </row>
    <row r="33" spans="3:8" x14ac:dyDescent="0.2">
      <c r="C33" s="35">
        <v>351839.136</v>
      </c>
      <c r="D33" s="35"/>
      <c r="E33" s="35">
        <v>4188.5611428571428</v>
      </c>
      <c r="F33" s="35">
        <f>E33</f>
        <v>4188.5611428571428</v>
      </c>
      <c r="G33" s="37">
        <v>0.21</v>
      </c>
      <c r="H33" s="35">
        <f>F33*G33</f>
        <v>879.59784000000002</v>
      </c>
    </row>
    <row r="34" spans="3:8" x14ac:dyDescent="0.2">
      <c r="C34" s="35">
        <v>2765</v>
      </c>
      <c r="D34" s="35"/>
      <c r="E34" s="35">
        <v>17</v>
      </c>
      <c r="F34" s="35">
        <f t="shared" ref="F34:F42" si="13">E34</f>
        <v>17</v>
      </c>
      <c r="G34" s="37">
        <v>0.21</v>
      </c>
      <c r="H34" s="35">
        <f t="shared" ref="H34:H41" si="14">F34*G34</f>
        <v>3.57</v>
      </c>
    </row>
    <row r="35" spans="3:8" x14ac:dyDescent="0.2">
      <c r="C35" s="35">
        <v>4147</v>
      </c>
      <c r="D35" s="35"/>
      <c r="E35" s="35">
        <v>49</v>
      </c>
      <c r="F35" s="35">
        <f t="shared" si="13"/>
        <v>49</v>
      </c>
      <c r="G35" s="37">
        <v>0.21</v>
      </c>
      <c r="H35" s="35">
        <f t="shared" si="14"/>
        <v>10.29</v>
      </c>
    </row>
    <row r="36" spans="3:8" x14ac:dyDescent="0.2">
      <c r="C36" s="35">
        <v>363607</v>
      </c>
      <c r="D36" s="35"/>
      <c r="E36" s="35">
        <v>2187</v>
      </c>
      <c r="F36" s="35">
        <f t="shared" si="13"/>
        <v>2187</v>
      </c>
      <c r="G36" s="37">
        <v>0.21</v>
      </c>
      <c r="H36" s="35">
        <f t="shared" si="14"/>
        <v>459.27</v>
      </c>
    </row>
    <row r="37" spans="3:8" x14ac:dyDescent="0.2">
      <c r="C37" s="35">
        <v>545411</v>
      </c>
      <c r="D37" s="35"/>
      <c r="E37" s="35">
        <v>9090</v>
      </c>
      <c r="F37" s="35">
        <f t="shared" si="13"/>
        <v>9090</v>
      </c>
      <c r="G37" s="37">
        <v>0.21</v>
      </c>
      <c r="H37" s="35">
        <f t="shared" si="14"/>
        <v>1908.8999999999999</v>
      </c>
    </row>
    <row r="38" spans="3:8" x14ac:dyDescent="0.2">
      <c r="C38" s="35">
        <v>195243</v>
      </c>
      <c r="D38" s="35"/>
      <c r="E38" s="35">
        <v>1175</v>
      </c>
      <c r="F38" s="35">
        <f t="shared" si="13"/>
        <v>1175</v>
      </c>
      <c r="G38" s="37">
        <v>0.21</v>
      </c>
      <c r="H38" s="35">
        <f t="shared" si="14"/>
        <v>246.75</v>
      </c>
    </row>
    <row r="39" spans="3:8" x14ac:dyDescent="0.2">
      <c r="C39" s="35">
        <v>292865</v>
      </c>
      <c r="D39" s="35"/>
      <c r="E39" s="36">
        <v>3487</v>
      </c>
      <c r="F39" s="35">
        <f t="shared" si="13"/>
        <v>3487</v>
      </c>
      <c r="G39" s="37">
        <v>0.21</v>
      </c>
      <c r="H39" s="35">
        <f t="shared" si="14"/>
        <v>732.27</v>
      </c>
    </row>
    <row r="40" spans="3:8" x14ac:dyDescent="0.2">
      <c r="C40" s="35">
        <v>210220</v>
      </c>
      <c r="D40" s="35"/>
      <c r="E40" s="35">
        <v>17518</v>
      </c>
      <c r="F40" s="35">
        <f t="shared" si="13"/>
        <v>17518</v>
      </c>
      <c r="G40" s="37">
        <v>0.21</v>
      </c>
      <c r="H40" s="35">
        <f t="shared" si="14"/>
        <v>3678.7799999999997</v>
      </c>
    </row>
    <row r="41" spans="3:8" x14ac:dyDescent="0.2">
      <c r="C41" s="35">
        <v>126132</v>
      </c>
      <c r="D41" s="35"/>
      <c r="E41" s="35">
        <v>394</v>
      </c>
      <c r="F41" s="35">
        <f t="shared" si="13"/>
        <v>394</v>
      </c>
      <c r="G41" s="37">
        <v>0.21</v>
      </c>
      <c r="H41" s="35">
        <f t="shared" si="14"/>
        <v>82.74</v>
      </c>
    </row>
    <row r="42" spans="3:8" ht="15" x14ac:dyDescent="0.35">
      <c r="C42" s="35">
        <v>189198</v>
      </c>
      <c r="D42" s="35"/>
      <c r="E42" s="29">
        <v>2065</v>
      </c>
      <c r="F42" s="29">
        <f t="shared" si="13"/>
        <v>2065</v>
      </c>
      <c r="G42" s="37">
        <v>0.21</v>
      </c>
      <c r="H42" s="29">
        <f>F42*G42+11</f>
        <v>444.65</v>
      </c>
    </row>
    <row r="43" spans="3:8" x14ac:dyDescent="0.2">
      <c r="C43" s="35"/>
      <c r="D43" s="35"/>
      <c r="E43" s="35">
        <f>SUM(E32:E42)</f>
        <v>41475.561142857143</v>
      </c>
      <c r="F43" s="35">
        <f>SUM(F32:F42)</f>
        <v>34064.561142857143</v>
      </c>
      <c r="G43" s="30" t="s">
        <v>42</v>
      </c>
      <c r="H43" s="35">
        <f>SUM(H32:H42)</f>
        <v>7164.5578399999995</v>
      </c>
    </row>
    <row r="44" spans="3:8" x14ac:dyDescent="0.2">
      <c r="E44" s="9"/>
      <c r="F44" s="9"/>
      <c r="G44" s="30" t="s">
        <v>40</v>
      </c>
      <c r="H44" s="38">
        <f>-H58*0.21</f>
        <v>-417.10328400000003</v>
      </c>
    </row>
    <row r="45" spans="3:8" x14ac:dyDescent="0.2">
      <c r="H45" s="9">
        <f>H43+H44</f>
        <v>6747.4545559999997</v>
      </c>
    </row>
    <row r="46" spans="3:8" x14ac:dyDescent="0.2">
      <c r="H46" s="15">
        <f>H45-K24</f>
        <v>0.11298600000009174</v>
      </c>
    </row>
    <row r="47" spans="3:8" x14ac:dyDescent="0.2">
      <c r="C47" s="15" t="s">
        <v>36</v>
      </c>
      <c r="D47" s="24" t="s">
        <v>31</v>
      </c>
      <c r="E47" s="25" t="s">
        <v>37</v>
      </c>
      <c r="F47" s="15" t="s">
        <v>38</v>
      </c>
      <c r="G47" s="28" t="s">
        <v>24</v>
      </c>
      <c r="H47" s="15" t="s">
        <v>39</v>
      </c>
    </row>
    <row r="48" spans="3:8" x14ac:dyDescent="0.2">
      <c r="C48" s="35">
        <v>469118.84800000006</v>
      </c>
      <c r="D48" s="35">
        <f>D32</f>
        <v>7411</v>
      </c>
      <c r="E48" s="35">
        <v>2610</v>
      </c>
      <c r="F48" s="35">
        <f>E48-D48</f>
        <v>-4801</v>
      </c>
      <c r="G48" s="3">
        <v>0.05</v>
      </c>
      <c r="H48" s="35">
        <f>F48*G48</f>
        <v>-240.05</v>
      </c>
    </row>
    <row r="49" spans="3:8" x14ac:dyDescent="0.2">
      <c r="C49" s="35">
        <v>703678.272</v>
      </c>
      <c r="D49" s="35"/>
      <c r="E49" s="35">
        <f>8377.12228571429</f>
        <v>8377.1222857142893</v>
      </c>
      <c r="F49" s="35">
        <f>E49</f>
        <v>8377.1222857142893</v>
      </c>
      <c r="G49" s="3">
        <v>0.05</v>
      </c>
      <c r="H49" s="35">
        <f>F49*G49</f>
        <v>418.85611428571451</v>
      </c>
    </row>
    <row r="50" spans="3:8" x14ac:dyDescent="0.2">
      <c r="C50" s="35">
        <v>5529</v>
      </c>
      <c r="D50" s="35"/>
      <c r="E50" s="35">
        <v>33</v>
      </c>
      <c r="F50" s="35">
        <f t="shared" ref="F50:F57" si="15">E50</f>
        <v>33</v>
      </c>
      <c r="G50" s="3">
        <v>0.05</v>
      </c>
      <c r="H50" s="35">
        <f t="shared" ref="H50:H56" si="16">F50*G50</f>
        <v>1.6500000000000001</v>
      </c>
    </row>
    <row r="51" spans="3:8" x14ac:dyDescent="0.2">
      <c r="C51" s="35">
        <v>8294</v>
      </c>
      <c r="D51" s="35"/>
      <c r="E51" s="35">
        <v>99</v>
      </c>
      <c r="F51" s="35">
        <f t="shared" si="15"/>
        <v>99</v>
      </c>
      <c r="G51" s="3">
        <v>0.05</v>
      </c>
      <c r="H51" s="35">
        <f t="shared" si="16"/>
        <v>4.95</v>
      </c>
    </row>
    <row r="52" spans="3:8" x14ac:dyDescent="0.2">
      <c r="C52" s="35">
        <v>727215</v>
      </c>
      <c r="D52" s="35"/>
      <c r="E52" s="35">
        <v>4375</v>
      </c>
      <c r="F52" s="35">
        <f t="shared" si="15"/>
        <v>4375</v>
      </c>
      <c r="G52" s="3">
        <v>0.05</v>
      </c>
      <c r="H52" s="35">
        <f t="shared" si="16"/>
        <v>218.75</v>
      </c>
    </row>
    <row r="53" spans="3:8" x14ac:dyDescent="0.2">
      <c r="C53" s="35">
        <v>1090822</v>
      </c>
      <c r="D53" s="35"/>
      <c r="E53" s="35">
        <v>18180</v>
      </c>
      <c r="F53" s="35">
        <f t="shared" si="15"/>
        <v>18180</v>
      </c>
      <c r="G53" s="3">
        <v>0.05</v>
      </c>
      <c r="H53" s="35">
        <f t="shared" si="16"/>
        <v>909</v>
      </c>
    </row>
    <row r="54" spans="3:8" x14ac:dyDescent="0.2">
      <c r="C54" s="35">
        <v>390487</v>
      </c>
      <c r="D54" s="35"/>
      <c r="E54" s="35">
        <v>2349</v>
      </c>
      <c r="F54" s="35">
        <f t="shared" si="15"/>
        <v>2349</v>
      </c>
      <c r="G54" s="3">
        <v>0.05</v>
      </c>
      <c r="H54" s="35">
        <f t="shared" si="16"/>
        <v>117.45</v>
      </c>
    </row>
    <row r="55" spans="3:8" x14ac:dyDescent="0.2">
      <c r="C55" s="35">
        <v>585730</v>
      </c>
      <c r="D55" s="35"/>
      <c r="E55" s="35">
        <v>6975</v>
      </c>
      <c r="F55" s="35">
        <f t="shared" si="15"/>
        <v>6975</v>
      </c>
      <c r="G55" s="3">
        <v>0.05</v>
      </c>
      <c r="H55" s="35">
        <f t="shared" si="16"/>
        <v>348.75</v>
      </c>
    </row>
    <row r="56" spans="3:8" x14ac:dyDescent="0.2">
      <c r="C56" s="35">
        <v>210220</v>
      </c>
      <c r="D56" s="35"/>
      <c r="E56" s="35">
        <v>656</v>
      </c>
      <c r="F56" s="35">
        <f t="shared" si="15"/>
        <v>656</v>
      </c>
      <c r="G56" s="3">
        <v>0.05</v>
      </c>
      <c r="H56" s="35">
        <f t="shared" si="16"/>
        <v>32.800000000000004</v>
      </c>
    </row>
    <row r="57" spans="3:8" ht="15" x14ac:dyDescent="0.35">
      <c r="C57" s="35">
        <v>315330</v>
      </c>
      <c r="D57" s="35"/>
      <c r="E57" s="29">
        <v>3441</v>
      </c>
      <c r="F57" s="29">
        <f t="shared" si="15"/>
        <v>3441</v>
      </c>
      <c r="G57" s="3">
        <v>0.05</v>
      </c>
      <c r="H57" s="29">
        <f>F57*G57+2</f>
        <v>174.05</v>
      </c>
    </row>
    <row r="58" spans="3:8" x14ac:dyDescent="0.2">
      <c r="C58" s="35"/>
      <c r="D58" s="35"/>
      <c r="E58" s="35">
        <f>SUM(E48:E57)</f>
        <v>47095.122285714286</v>
      </c>
      <c r="F58" s="35">
        <f>SUM(F48:F57)</f>
        <v>39684.122285714286</v>
      </c>
      <c r="H58" s="35">
        <f>SUM(H48:H57)</f>
        <v>1986.2061142857144</v>
      </c>
    </row>
    <row r="59" spans="3:8" x14ac:dyDescent="0.2">
      <c r="E59" s="9"/>
      <c r="F59" s="9"/>
      <c r="H59" s="9">
        <f>H58-L24</f>
        <v>2.3114285714200378E-2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6 of 8
Williams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22" workbookViewId="0">
      <selection activeCell="F44" sqref="F44"/>
    </sheetView>
  </sheetViews>
  <sheetFormatPr defaultRowHeight="12.75" x14ac:dyDescent="0.2"/>
  <cols>
    <col min="1" max="1" width="11.28515625" style="8" customWidth="1"/>
    <col min="2" max="2" width="1.7109375" customWidth="1"/>
    <col min="3" max="4" width="12.7109375" customWidth="1"/>
    <col min="5" max="5" width="15.85546875" customWidth="1"/>
    <col min="6" max="6" width="14.5703125" customWidth="1"/>
    <col min="7" max="16" width="12.7109375" customWidth="1"/>
    <col min="17" max="17" width="9.28515625" bestFit="1" customWidth="1"/>
  </cols>
  <sheetData>
    <row r="1" spans="1:17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17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17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17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6" t="s">
        <v>16</v>
      </c>
    </row>
    <row r="6" spans="1:17" x14ac:dyDescent="0.2">
      <c r="A6" s="21" t="s">
        <v>47</v>
      </c>
    </row>
    <row r="8" spans="1:17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7" x14ac:dyDescent="0.2">
      <c r="A9" s="8" t="s">
        <v>8</v>
      </c>
      <c r="M9" s="10">
        <v>1645805.9997679999</v>
      </c>
    </row>
    <row r="10" spans="1:17" x14ac:dyDescent="0.2">
      <c r="A10" s="31">
        <v>43160</v>
      </c>
      <c r="C10" s="12">
        <v>8756574</v>
      </c>
      <c r="D10" s="13">
        <v>13141</v>
      </c>
      <c r="E10" s="14">
        <f>40328.77-1369.52</f>
        <v>38959.25</v>
      </c>
      <c r="F10" s="14">
        <v>87954.68</v>
      </c>
      <c r="G10" s="12">
        <f t="shared" ref="G10:G13" si="0">E10-D10</f>
        <v>25818.25</v>
      </c>
      <c r="H10" s="12">
        <f t="shared" ref="H10:H13" si="1">F10-D10</f>
        <v>74813.679999999993</v>
      </c>
      <c r="I10" s="3">
        <v>0.21</v>
      </c>
      <c r="J10" s="3">
        <v>0.06</v>
      </c>
      <c r="K10" s="9">
        <f t="shared" ref="K10:K14" si="2">G10*I10-L10*I10</f>
        <v>4479.1801319999995</v>
      </c>
      <c r="L10" s="9">
        <f t="shared" ref="L10:L14" si="3">H10*J10</f>
        <v>4488.8207999999995</v>
      </c>
      <c r="M10" s="15">
        <f t="shared" ref="M10:M14" si="4">M9+K10+L10</f>
        <v>1654774.0007</v>
      </c>
      <c r="N10" s="9">
        <v>40400.239999999998</v>
      </c>
      <c r="O10" s="32">
        <f>1663032-M11</f>
        <v>-1.5999982133507729E-4</v>
      </c>
      <c r="Q10" s="22"/>
    </row>
    <row r="11" spans="1:17" x14ac:dyDescent="0.2">
      <c r="A11" s="31">
        <v>43191</v>
      </c>
      <c r="C11" s="12">
        <v>8756574</v>
      </c>
      <c r="D11" s="13">
        <v>13141</v>
      </c>
      <c r="E11" s="14">
        <f>40328.77-1936.06</f>
        <v>38392.71</v>
      </c>
      <c r="F11" s="14">
        <v>87954.68</v>
      </c>
      <c r="G11" s="12">
        <f t="shared" si="0"/>
        <v>25251.71</v>
      </c>
      <c r="H11" s="12">
        <f t="shared" si="1"/>
        <v>74813.679999999993</v>
      </c>
      <c r="I11" s="3">
        <v>0.21</v>
      </c>
      <c r="J11" s="3">
        <v>0.05</v>
      </c>
      <c r="K11" s="9">
        <f t="shared" si="2"/>
        <v>4517.3154599999998</v>
      </c>
      <c r="L11" s="9">
        <f t="shared" si="3"/>
        <v>3740.6839999999997</v>
      </c>
      <c r="M11" s="15">
        <f t="shared" si="4"/>
        <v>1663032.0001599998</v>
      </c>
      <c r="N11" s="9">
        <v>40400.239999999998</v>
      </c>
      <c r="O11" s="32">
        <f>+O10/0.21</f>
        <v>-7.6190391111941567E-4</v>
      </c>
      <c r="Q11" s="9"/>
    </row>
    <row r="12" spans="1:17" x14ac:dyDescent="0.2">
      <c r="A12" s="31">
        <v>43221</v>
      </c>
      <c r="C12" s="12">
        <v>8756574</v>
      </c>
      <c r="D12" s="13">
        <v>13141</v>
      </c>
      <c r="E12" s="14">
        <f>40328.77-1939.06</f>
        <v>38389.71</v>
      </c>
      <c r="F12" s="14">
        <v>87954.68</v>
      </c>
      <c r="G12" s="12">
        <f>E12-D12</f>
        <v>25248.71</v>
      </c>
      <c r="H12" s="12">
        <f>F12-D12</f>
        <v>74813.679999999993</v>
      </c>
      <c r="I12" s="3">
        <v>0.21</v>
      </c>
      <c r="J12" s="3">
        <v>0.05</v>
      </c>
      <c r="K12" s="9">
        <f t="shared" si="2"/>
        <v>4516.6854599999997</v>
      </c>
      <c r="L12" s="9">
        <f t="shared" si="3"/>
        <v>3740.6839999999997</v>
      </c>
      <c r="M12" s="15">
        <f t="shared" si="4"/>
        <v>1671289.3696199998</v>
      </c>
      <c r="N12" s="9">
        <v>40400.239999999998</v>
      </c>
      <c r="Q12" s="9"/>
    </row>
    <row r="13" spans="1:17" x14ac:dyDescent="0.2">
      <c r="A13" s="31">
        <v>43252</v>
      </c>
      <c r="C13" s="12">
        <v>8756574</v>
      </c>
      <c r="D13" s="13">
        <v>13141</v>
      </c>
      <c r="E13" s="14">
        <f>40328.77-1939.06-2</f>
        <v>38387.71</v>
      </c>
      <c r="F13" s="14">
        <v>87954.68</v>
      </c>
      <c r="G13" s="12">
        <f t="shared" si="0"/>
        <v>25246.71</v>
      </c>
      <c r="H13" s="12">
        <f t="shared" si="1"/>
        <v>74813.679999999993</v>
      </c>
      <c r="I13" s="3">
        <v>0.21</v>
      </c>
      <c r="J13" s="3">
        <v>0.05</v>
      </c>
      <c r="K13" s="9">
        <f t="shared" si="2"/>
        <v>4516.2654599999996</v>
      </c>
      <c r="L13" s="9">
        <f t="shared" si="3"/>
        <v>3740.6839999999997</v>
      </c>
      <c r="M13" s="15">
        <f t="shared" si="4"/>
        <v>1679546.3190799996</v>
      </c>
      <c r="N13" s="9">
        <v>40400.239999999998</v>
      </c>
      <c r="Q13" s="12"/>
    </row>
    <row r="14" spans="1:17" x14ac:dyDescent="0.2">
      <c r="A14" s="31">
        <v>43282</v>
      </c>
      <c r="C14" s="12">
        <v>8756574</v>
      </c>
      <c r="D14" s="13">
        <v>13141</v>
      </c>
      <c r="E14" s="14">
        <f>40328.77-1939.06</f>
        <v>38389.71</v>
      </c>
      <c r="F14" s="14">
        <v>87954.68</v>
      </c>
      <c r="G14" s="12">
        <f>E14-D14</f>
        <v>25248.71</v>
      </c>
      <c r="H14" s="12">
        <f>F14-D14</f>
        <v>74813.679999999993</v>
      </c>
      <c r="I14" s="3">
        <v>0.21</v>
      </c>
      <c r="J14" s="3">
        <v>0.05</v>
      </c>
      <c r="K14" s="9">
        <f t="shared" si="2"/>
        <v>4516.6854599999997</v>
      </c>
      <c r="L14" s="9">
        <f t="shared" si="3"/>
        <v>3740.6839999999997</v>
      </c>
      <c r="M14" s="15">
        <f t="shared" si="4"/>
        <v>1687803.6885399995</v>
      </c>
      <c r="N14" s="9">
        <v>40400.239999999998</v>
      </c>
      <c r="P14" s="12"/>
      <c r="Q14" s="9"/>
    </row>
    <row r="15" spans="1:17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</row>
    <row r="16" spans="1:17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1645325</v>
      </c>
      <c r="O17" s="15"/>
      <c r="P17" s="9"/>
    </row>
    <row r="18" spans="1:16" x14ac:dyDescent="0.2">
      <c r="A18" s="31">
        <v>43160</v>
      </c>
      <c r="C18" s="12">
        <v>8756574</v>
      </c>
      <c r="D18" s="13">
        <v>13141</v>
      </c>
      <c r="E18" s="14">
        <v>40329</v>
      </c>
      <c r="F18" s="14">
        <v>80658</v>
      </c>
      <c r="G18" s="12">
        <f t="shared" ref="G18:G19" si="5">E18-D18</f>
        <v>27188</v>
      </c>
      <c r="H18" s="12">
        <f t="shared" ref="H18:H19" si="6">F18-D18</f>
        <v>67517</v>
      </c>
      <c r="I18" s="3">
        <v>0.21</v>
      </c>
      <c r="J18" s="3">
        <v>0.05</v>
      </c>
      <c r="K18" s="9">
        <f t="shared" ref="K18:K22" si="7">G18*I18-L18*I18</f>
        <v>5000.5514999999996</v>
      </c>
      <c r="L18" s="9">
        <f t="shared" ref="L18:L22" si="8">H18*J18</f>
        <v>3375.8500000000004</v>
      </c>
      <c r="M18" s="15">
        <f t="shared" ref="M18:M22" si="9">M17+K18+L18</f>
        <v>1653701.4015000002</v>
      </c>
      <c r="N18" s="9">
        <v>40400.239999999998</v>
      </c>
    </row>
    <row r="19" spans="1:16" x14ac:dyDescent="0.2">
      <c r="A19" s="31">
        <v>43191</v>
      </c>
      <c r="C19" s="12">
        <v>8756574</v>
      </c>
      <c r="D19" s="13">
        <v>13141</v>
      </c>
      <c r="E19" s="14">
        <v>40329</v>
      </c>
      <c r="F19" s="14">
        <v>80658</v>
      </c>
      <c r="G19" s="12">
        <f t="shared" si="5"/>
        <v>27188</v>
      </c>
      <c r="H19" s="12">
        <f t="shared" si="6"/>
        <v>67517</v>
      </c>
      <c r="I19" s="3">
        <v>0.21</v>
      </c>
      <c r="J19" s="3">
        <v>0.05</v>
      </c>
      <c r="K19" s="9">
        <f t="shared" si="7"/>
        <v>5000.5514999999996</v>
      </c>
      <c r="L19" s="9">
        <f t="shared" si="8"/>
        <v>3375.8500000000004</v>
      </c>
      <c r="M19" s="15">
        <f t="shared" si="9"/>
        <v>1662077.8030000003</v>
      </c>
      <c r="N19" s="9">
        <v>40400.239999999998</v>
      </c>
    </row>
    <row r="20" spans="1:16" x14ac:dyDescent="0.2">
      <c r="A20" s="31">
        <v>43221</v>
      </c>
      <c r="C20" s="12">
        <v>8756574</v>
      </c>
      <c r="D20" s="13">
        <v>13141</v>
      </c>
      <c r="E20" s="14">
        <v>40329</v>
      </c>
      <c r="F20" s="14">
        <v>80658</v>
      </c>
      <c r="G20" s="12">
        <f>E20-D20</f>
        <v>27188</v>
      </c>
      <c r="H20" s="12">
        <f>F20-D20</f>
        <v>67517</v>
      </c>
      <c r="I20" s="3">
        <v>0.21</v>
      </c>
      <c r="J20" s="3">
        <v>0.05</v>
      </c>
      <c r="K20" s="9">
        <f t="shared" si="7"/>
        <v>5000.5514999999996</v>
      </c>
      <c r="L20" s="9">
        <f t="shared" si="8"/>
        <v>3375.8500000000004</v>
      </c>
      <c r="M20" s="15">
        <f t="shared" si="9"/>
        <v>1670454.2045000005</v>
      </c>
      <c r="N20" s="9">
        <v>40400.239999999998</v>
      </c>
    </row>
    <row r="21" spans="1:16" x14ac:dyDescent="0.2">
      <c r="A21" s="31">
        <v>43252</v>
      </c>
      <c r="C21" s="12">
        <v>8756574</v>
      </c>
      <c r="D21" s="13">
        <v>13141</v>
      </c>
      <c r="E21" s="14">
        <v>40329</v>
      </c>
      <c r="F21" s="14">
        <v>80658</v>
      </c>
      <c r="G21" s="12">
        <f t="shared" ref="G21" si="10">E21-D21</f>
        <v>27188</v>
      </c>
      <c r="H21" s="12">
        <f t="shared" ref="H21" si="11">F21-D21</f>
        <v>67517</v>
      </c>
      <c r="I21" s="3">
        <v>0.21</v>
      </c>
      <c r="J21" s="3">
        <v>0.05</v>
      </c>
      <c r="K21" s="9">
        <f t="shared" si="7"/>
        <v>5000.5514999999996</v>
      </c>
      <c r="L21" s="9">
        <f t="shared" si="8"/>
        <v>3375.8500000000004</v>
      </c>
      <c r="M21" s="15">
        <f t="shared" si="9"/>
        <v>1678830.6060000006</v>
      </c>
      <c r="N21" s="9">
        <v>40400.239999999998</v>
      </c>
    </row>
    <row r="22" spans="1:16" x14ac:dyDescent="0.2">
      <c r="A22" s="31">
        <v>43282</v>
      </c>
      <c r="C22" s="12">
        <v>8756574</v>
      </c>
      <c r="D22" s="13">
        <v>13141</v>
      </c>
      <c r="E22" s="14">
        <v>40329</v>
      </c>
      <c r="F22" s="14">
        <v>80658</v>
      </c>
      <c r="G22" s="12">
        <f>E22-D22</f>
        <v>27188</v>
      </c>
      <c r="H22" s="12">
        <f>F22-D22</f>
        <v>67517</v>
      </c>
      <c r="I22" s="3">
        <v>0.21</v>
      </c>
      <c r="J22" s="3">
        <v>0.05</v>
      </c>
      <c r="K22" s="9">
        <f t="shared" si="7"/>
        <v>5000.5514999999996</v>
      </c>
      <c r="L22" s="9">
        <f t="shared" si="8"/>
        <v>3375.8500000000004</v>
      </c>
      <c r="M22" s="15">
        <f t="shared" si="9"/>
        <v>1687207.0075000008</v>
      </c>
      <c r="N22" s="9">
        <v>40400.239999999998</v>
      </c>
    </row>
    <row r="24" spans="1:16" x14ac:dyDescent="0.2">
      <c r="A24" s="31">
        <v>43313</v>
      </c>
      <c r="C24" s="12">
        <v>8756574</v>
      </c>
      <c r="D24" s="13">
        <v>13141</v>
      </c>
      <c r="E24" s="14">
        <v>40329</v>
      </c>
      <c r="F24" s="14">
        <v>80658</v>
      </c>
      <c r="G24" s="12">
        <f>E24-D24</f>
        <v>27188</v>
      </c>
      <c r="H24" s="12">
        <f>F24-D24</f>
        <v>67517</v>
      </c>
      <c r="I24" s="3">
        <v>0.21</v>
      </c>
      <c r="J24" s="3">
        <v>0.05</v>
      </c>
      <c r="K24" s="9">
        <f t="shared" ref="K24" si="12">G24*I24-L24*I24</f>
        <v>5000.5514999999996</v>
      </c>
      <c r="L24" s="9">
        <f t="shared" ref="L24" si="13">H24*J24</f>
        <v>3375.8500000000004</v>
      </c>
      <c r="M24" s="15">
        <f>M22+K24+L24</f>
        <v>1695583.4090000009</v>
      </c>
      <c r="N24" s="9">
        <v>40400.239999999998</v>
      </c>
    </row>
    <row r="26" spans="1:16" x14ac:dyDescent="0.2">
      <c r="C26" s="23" t="s">
        <v>50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35">
        <v>1313486.1100000001</v>
      </c>
      <c r="D32" s="35">
        <v>13141</v>
      </c>
      <c r="E32" s="35">
        <v>21891.439999999999</v>
      </c>
      <c r="F32" s="35">
        <f>E32-D32</f>
        <v>8750.4399999999987</v>
      </c>
      <c r="G32" s="3">
        <v>0.21</v>
      </c>
      <c r="H32" s="35">
        <f>F32*G32</f>
        <v>1837.5923999999998</v>
      </c>
    </row>
    <row r="33" spans="3:8" x14ac:dyDescent="0.2">
      <c r="C33" s="35">
        <v>875657.41</v>
      </c>
      <c r="D33" s="35"/>
      <c r="E33" s="35">
        <v>5267.81</v>
      </c>
      <c r="F33" s="35">
        <f>E33-D33</f>
        <v>5267.81</v>
      </c>
      <c r="G33" s="3">
        <v>0.21</v>
      </c>
      <c r="H33" s="35">
        <f t="shared" ref="H33:H34" si="14">F33*G33</f>
        <v>1106.2401</v>
      </c>
    </row>
    <row r="34" spans="3:8" ht="15" x14ac:dyDescent="0.35">
      <c r="C34" s="35">
        <v>2189143.52</v>
      </c>
      <c r="D34" s="35"/>
      <c r="E34" s="29">
        <v>13169.52</v>
      </c>
      <c r="F34" s="29">
        <f>E34-D34</f>
        <v>13169.52</v>
      </c>
      <c r="G34" s="3">
        <v>0.21</v>
      </c>
      <c r="H34" s="29">
        <f t="shared" si="14"/>
        <v>2765.5992000000001</v>
      </c>
    </row>
    <row r="35" spans="3:8" x14ac:dyDescent="0.2">
      <c r="C35" s="35"/>
      <c r="D35" s="35"/>
      <c r="E35" s="35">
        <f>SUM(E32:E34)</f>
        <v>40328.770000000004</v>
      </c>
      <c r="F35" s="35">
        <f>SUM(F32:F34)</f>
        <v>27187.77</v>
      </c>
      <c r="G35" s="3"/>
      <c r="H35" s="35">
        <f>SUM(H32:H34)</f>
        <v>5709.4316999999992</v>
      </c>
    </row>
    <row r="36" spans="3:8" ht="15" x14ac:dyDescent="0.35">
      <c r="G36" t="s">
        <v>40</v>
      </c>
      <c r="H36" s="29">
        <f>-H43*G32</f>
        <v>-708.92367000000002</v>
      </c>
    </row>
    <row r="37" spans="3:8" x14ac:dyDescent="0.2">
      <c r="H37" s="9">
        <f>H35+H36</f>
        <v>5000.5080299999991</v>
      </c>
    </row>
    <row r="38" spans="3:8" x14ac:dyDescent="0.2">
      <c r="H38" s="9">
        <f>H37-K24</f>
        <v>-4.3470000000525033E-2</v>
      </c>
    </row>
    <row r="39" spans="3:8" x14ac:dyDescent="0.2">
      <c r="C39" s="15" t="s">
        <v>36</v>
      </c>
      <c r="D39" s="24" t="s">
        <v>31</v>
      </c>
      <c r="E39" s="25" t="s">
        <v>37</v>
      </c>
      <c r="F39" s="15" t="s">
        <v>38</v>
      </c>
      <c r="G39" s="28" t="s">
        <v>24</v>
      </c>
      <c r="H39" s="15" t="s">
        <v>39</v>
      </c>
    </row>
    <row r="40" spans="3:8" x14ac:dyDescent="0.2">
      <c r="C40" s="35">
        <v>2626972.2200000002</v>
      </c>
      <c r="D40" s="35">
        <v>13141</v>
      </c>
      <c r="E40" s="35">
        <v>43782.87</v>
      </c>
      <c r="F40" s="35">
        <f>E40-D40</f>
        <v>30641.870000000003</v>
      </c>
      <c r="G40" s="3">
        <v>0.05</v>
      </c>
      <c r="H40" s="35">
        <f>F40*G40</f>
        <v>1532.0935000000002</v>
      </c>
    </row>
    <row r="41" spans="3:8" x14ac:dyDescent="0.2">
      <c r="C41" s="35">
        <v>1751314.81</v>
      </c>
      <c r="D41" s="35"/>
      <c r="E41" s="35">
        <v>10535.62</v>
      </c>
      <c r="F41" s="35">
        <f t="shared" ref="F41:F42" si="15">E41-D41</f>
        <v>10535.62</v>
      </c>
      <c r="G41" s="3">
        <v>0.05</v>
      </c>
      <c r="H41" s="35">
        <f t="shared" ref="H41:H42" si="16">F41*G41</f>
        <v>526.78100000000006</v>
      </c>
    </row>
    <row r="42" spans="3:8" ht="15" x14ac:dyDescent="0.35">
      <c r="C42" s="35">
        <v>4378287.03</v>
      </c>
      <c r="D42" s="35"/>
      <c r="E42" s="29">
        <v>26339.05</v>
      </c>
      <c r="F42" s="29">
        <f t="shared" si="15"/>
        <v>26339.05</v>
      </c>
      <c r="G42" s="3">
        <v>0.05</v>
      </c>
      <c r="H42" s="42">
        <f t="shared" si="16"/>
        <v>1316.9525000000001</v>
      </c>
    </row>
    <row r="43" spans="3:8" x14ac:dyDescent="0.2">
      <c r="C43" s="35"/>
      <c r="D43" s="35"/>
      <c r="E43" s="35">
        <f>SUM(E40:E42)</f>
        <v>80657.540000000008</v>
      </c>
      <c r="F43" s="35">
        <f>SUM(F40:F42)</f>
        <v>67516.540000000008</v>
      </c>
      <c r="G43" s="3"/>
      <c r="H43" s="41">
        <f>SUM(H40:H42)</f>
        <v>3375.8270000000002</v>
      </c>
    </row>
    <row r="44" spans="3:8" x14ac:dyDescent="0.2">
      <c r="H44" s="9">
        <f>H43-L24</f>
        <v>-2.3000000000138243E-2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9" orientation="portrait" r:id="rId1"/>
  <headerFooter alignWithMargins="0">
    <oddHeader>&amp;R&amp;"Times New Roman,Bold"&amp;12Attachment to Response to Question No. 3
Page 7 of 8
Williams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selection activeCell="M25" sqref="M25"/>
    </sheetView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"/>
      <c r="P1" s="11"/>
    </row>
    <row r="2" spans="1:20" x14ac:dyDescent="0.2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"/>
      <c r="P2" s="11"/>
    </row>
    <row r="3" spans="1:20" x14ac:dyDescent="0.2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</row>
    <row r="4" spans="1:20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0" x14ac:dyDescent="0.2">
      <c r="A5" s="6" t="s">
        <v>16</v>
      </c>
    </row>
    <row r="6" spans="1:20" x14ac:dyDescent="0.2">
      <c r="A6" s="21" t="s">
        <v>18</v>
      </c>
    </row>
    <row r="8" spans="1:20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20" x14ac:dyDescent="0.2">
      <c r="A9" s="8" t="s">
        <v>8</v>
      </c>
      <c r="M9" s="10">
        <v>65970.99958399999</v>
      </c>
    </row>
    <row r="10" spans="1:20" x14ac:dyDescent="0.2">
      <c r="A10" s="31">
        <v>43160</v>
      </c>
      <c r="C10" s="12">
        <v>379213</v>
      </c>
      <c r="D10" s="13">
        <v>866</v>
      </c>
      <c r="E10" s="13">
        <v>1140.6400000000001</v>
      </c>
      <c r="F10" s="13">
        <v>2281.2800000000002</v>
      </c>
      <c r="G10" s="14">
        <f t="shared" ref="G10:G13" si="0">E10-D10</f>
        <v>274.6400000000001</v>
      </c>
      <c r="H10" s="14">
        <f t="shared" ref="H10:H13" si="1">F10-D10</f>
        <v>1415.2800000000002</v>
      </c>
      <c r="I10" s="3">
        <v>0.21</v>
      </c>
      <c r="J10" s="3">
        <v>0.06</v>
      </c>
      <c r="K10" s="9">
        <f t="shared" ref="K10:K13" si="2">G10*I10-L10*I10</f>
        <v>39.841872000000023</v>
      </c>
      <c r="L10" s="9">
        <f t="shared" ref="L10:L13" si="3">H10*J10</f>
        <v>84.916800000000009</v>
      </c>
      <c r="M10" s="15">
        <f t="shared" ref="M10:M14" si="4">M9+K10+L10</f>
        <v>66095.758256000001</v>
      </c>
      <c r="N10" s="9">
        <v>0</v>
      </c>
      <c r="O10" s="32">
        <f>66206-M11</f>
        <v>6.8399999872781336E-4</v>
      </c>
    </row>
    <row r="11" spans="1:20" x14ac:dyDescent="0.2">
      <c r="A11" s="31">
        <v>43191</v>
      </c>
      <c r="C11" s="12">
        <v>379213</v>
      </c>
      <c r="D11" s="13">
        <v>866</v>
      </c>
      <c r="E11" s="13">
        <f>1140.64-15.89</f>
        <v>1124.75</v>
      </c>
      <c r="F11" s="13">
        <v>2281.2800000000002</v>
      </c>
      <c r="G11" s="14">
        <f t="shared" si="0"/>
        <v>258.75</v>
      </c>
      <c r="H11" s="14">
        <f t="shared" si="1"/>
        <v>1415.2800000000002</v>
      </c>
      <c r="I11" s="3">
        <v>0.21</v>
      </c>
      <c r="J11" s="3">
        <v>0.05</v>
      </c>
      <c r="K11" s="9">
        <f t="shared" si="2"/>
        <v>39.477059999999994</v>
      </c>
      <c r="L11" s="9">
        <f t="shared" si="3"/>
        <v>70.76400000000001</v>
      </c>
      <c r="M11" s="15">
        <f t="shared" si="4"/>
        <v>66205.999316000001</v>
      </c>
      <c r="N11" s="9">
        <v>0</v>
      </c>
      <c r="O11" s="32">
        <f>+O10/0.21</f>
        <v>3.2571428510848256E-3</v>
      </c>
      <c r="Q11" s="9">
        <f>358619-M12</f>
        <v>292303.59962400002</v>
      </c>
      <c r="R11" s="17" t="s">
        <v>14</v>
      </c>
    </row>
    <row r="12" spans="1:20" x14ac:dyDescent="0.2">
      <c r="A12" s="31">
        <v>43221</v>
      </c>
      <c r="C12" s="12">
        <v>379213</v>
      </c>
      <c r="D12" s="13">
        <v>866</v>
      </c>
      <c r="E12" s="13">
        <f>1140.64-19.89</f>
        <v>1120.75</v>
      </c>
      <c r="F12" s="13">
        <v>2281.2800000000002</v>
      </c>
      <c r="G12" s="14">
        <f t="shared" si="0"/>
        <v>254.75</v>
      </c>
      <c r="H12" s="14">
        <f t="shared" si="1"/>
        <v>1415.2800000000002</v>
      </c>
      <c r="I12" s="3">
        <v>0.21</v>
      </c>
      <c r="J12" s="3">
        <v>0.05</v>
      </c>
      <c r="K12" s="9">
        <f t="shared" si="2"/>
        <v>38.637059999999991</v>
      </c>
      <c r="L12" s="9">
        <f t="shared" si="3"/>
        <v>70.76400000000001</v>
      </c>
      <c r="M12" s="15">
        <f t="shared" si="4"/>
        <v>66315.400375999991</v>
      </c>
      <c r="N12" s="9">
        <v>0</v>
      </c>
      <c r="Q12">
        <f>+Q11/0.389</f>
        <v>751423.13528020564</v>
      </c>
      <c r="R12" s="9"/>
    </row>
    <row r="13" spans="1:20" x14ac:dyDescent="0.2">
      <c r="A13" s="31">
        <v>43252</v>
      </c>
      <c r="C13" s="12">
        <v>379213</v>
      </c>
      <c r="D13" s="13">
        <v>866</v>
      </c>
      <c r="E13" s="13">
        <f>1140.64-19.89</f>
        <v>1120.75</v>
      </c>
      <c r="F13" s="13">
        <v>2281.2800000000002</v>
      </c>
      <c r="G13" s="14">
        <f t="shared" si="0"/>
        <v>254.75</v>
      </c>
      <c r="H13" s="14">
        <f t="shared" si="1"/>
        <v>1415.2800000000002</v>
      </c>
      <c r="I13" s="3">
        <v>0.21</v>
      </c>
      <c r="J13" s="3">
        <v>0.05</v>
      </c>
      <c r="K13" s="9">
        <f t="shared" si="2"/>
        <v>38.637059999999991</v>
      </c>
      <c r="L13" s="9">
        <f t="shared" si="3"/>
        <v>70.76400000000001</v>
      </c>
      <c r="M13" s="15">
        <f t="shared" si="4"/>
        <v>66424.80143599998</v>
      </c>
      <c r="N13" s="9">
        <v>0</v>
      </c>
      <c r="Q13" s="9">
        <f>374733-M14</f>
        <v>308198.37750400003</v>
      </c>
    </row>
    <row r="14" spans="1:20" x14ac:dyDescent="0.2">
      <c r="A14" s="31">
        <v>43282</v>
      </c>
      <c r="C14" s="12">
        <v>379213</v>
      </c>
      <c r="D14" s="13">
        <v>866</v>
      </c>
      <c r="E14" s="13">
        <f>1140.64-19.89+2</f>
        <v>1122.75</v>
      </c>
      <c r="F14" s="13">
        <v>2281.2800000000002</v>
      </c>
      <c r="G14" s="14">
        <f>E14-D14</f>
        <v>256.75</v>
      </c>
      <c r="H14" s="14">
        <f>F14-D14</f>
        <v>1415.2800000000002</v>
      </c>
      <c r="I14" s="3">
        <v>0.21</v>
      </c>
      <c r="J14" s="3">
        <v>0.05</v>
      </c>
      <c r="K14" s="9">
        <f>G14*I14-L14*I14</f>
        <v>39.057059999999993</v>
      </c>
      <c r="L14" s="9">
        <f>H14*J14</f>
        <v>70.76400000000001</v>
      </c>
      <c r="M14" s="15">
        <f t="shared" si="4"/>
        <v>66534.622495999982</v>
      </c>
      <c r="N14" s="9">
        <v>0</v>
      </c>
      <c r="Q14">
        <f>+Q13/0.389</f>
        <v>792283.74679691519</v>
      </c>
      <c r="R14" s="9"/>
      <c r="S14" s="9"/>
      <c r="T14" s="9"/>
    </row>
    <row r="15" spans="1:20" x14ac:dyDescent="0.2">
      <c r="A15" s="16"/>
      <c r="C15" s="12"/>
      <c r="D15" s="13"/>
      <c r="E15" s="13"/>
      <c r="F15" s="13"/>
      <c r="G15" s="14"/>
      <c r="H15" s="14"/>
      <c r="I15" s="14"/>
      <c r="J15" s="12"/>
      <c r="K15" s="12"/>
      <c r="L15" s="3"/>
      <c r="M15" s="3"/>
      <c r="N15" s="9"/>
      <c r="O15" s="15"/>
      <c r="P15" s="9"/>
      <c r="Q15" t="e">
        <f>+#REF!/0.389</f>
        <v>#REF!</v>
      </c>
    </row>
    <row r="16" spans="1:20" x14ac:dyDescent="0.2">
      <c r="A16" s="34" t="s">
        <v>48</v>
      </c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8" t="s">
        <v>8</v>
      </c>
      <c r="M17" s="10">
        <v>65949</v>
      </c>
      <c r="O17" s="15"/>
      <c r="P17" s="9"/>
    </row>
    <row r="18" spans="1:16" x14ac:dyDescent="0.2">
      <c r="A18" s="31">
        <v>43160</v>
      </c>
      <c r="C18" s="12">
        <v>379213</v>
      </c>
      <c r="D18" s="13">
        <v>866</v>
      </c>
      <c r="E18" s="13">
        <v>1140.6400000000001</v>
      </c>
      <c r="F18" s="13">
        <v>2281.2800000000002</v>
      </c>
      <c r="G18" s="14">
        <f t="shared" ref="G18:G21" si="5">E18-D18</f>
        <v>274.6400000000001</v>
      </c>
      <c r="H18" s="14">
        <f t="shared" ref="H18:H21" si="6">F18-D18</f>
        <v>1415.2800000000002</v>
      </c>
      <c r="I18" s="3">
        <v>0.21</v>
      </c>
      <c r="J18" s="3">
        <v>0.05</v>
      </c>
      <c r="K18" s="9">
        <f t="shared" ref="K18:K21" si="7">G18*I18-L18*I18</f>
        <v>42.813960000000016</v>
      </c>
      <c r="L18" s="9">
        <f t="shared" ref="L18:L21" si="8">H18*J18</f>
        <v>70.76400000000001</v>
      </c>
      <c r="M18" s="15">
        <f t="shared" ref="M18:M22" si="9">M17+K18+L18</f>
        <v>66062.577959999995</v>
      </c>
      <c r="N18" s="9">
        <v>0</v>
      </c>
      <c r="O18" s="15"/>
      <c r="P18" s="9"/>
    </row>
    <row r="19" spans="1:16" x14ac:dyDescent="0.2">
      <c r="A19" s="31">
        <v>43191</v>
      </c>
      <c r="C19" s="12">
        <v>379213</v>
      </c>
      <c r="D19" s="13">
        <v>866</v>
      </c>
      <c r="E19" s="13">
        <v>1140.6400000000001</v>
      </c>
      <c r="F19" s="13">
        <v>2281.2800000000002</v>
      </c>
      <c r="G19" s="14">
        <f t="shared" si="5"/>
        <v>274.6400000000001</v>
      </c>
      <c r="H19" s="14">
        <f t="shared" si="6"/>
        <v>1415.2800000000002</v>
      </c>
      <c r="I19" s="3">
        <v>0.21</v>
      </c>
      <c r="J19" s="3">
        <v>0.05</v>
      </c>
      <c r="K19" s="9">
        <f t="shared" si="7"/>
        <v>42.813960000000016</v>
      </c>
      <c r="L19" s="9">
        <f t="shared" si="8"/>
        <v>70.76400000000001</v>
      </c>
      <c r="M19" s="15">
        <f t="shared" si="9"/>
        <v>66176.15591999999</v>
      </c>
      <c r="N19" s="9">
        <v>0</v>
      </c>
      <c r="O19" s="15"/>
      <c r="P19" s="9"/>
    </row>
    <row r="20" spans="1:16" x14ac:dyDescent="0.2">
      <c r="A20" s="31">
        <v>43221</v>
      </c>
      <c r="C20" s="12">
        <v>379213</v>
      </c>
      <c r="D20" s="13">
        <v>866</v>
      </c>
      <c r="E20" s="13">
        <v>1140.6400000000001</v>
      </c>
      <c r="F20" s="13">
        <v>2281.2800000000002</v>
      </c>
      <c r="G20" s="14">
        <f t="shared" si="5"/>
        <v>274.6400000000001</v>
      </c>
      <c r="H20" s="14">
        <f t="shared" si="6"/>
        <v>1415.2800000000002</v>
      </c>
      <c r="I20" s="3">
        <v>0.21</v>
      </c>
      <c r="J20" s="3">
        <v>0.05</v>
      </c>
      <c r="K20" s="9">
        <f t="shared" si="7"/>
        <v>42.813960000000016</v>
      </c>
      <c r="L20" s="9">
        <f t="shared" si="8"/>
        <v>70.76400000000001</v>
      </c>
      <c r="M20" s="15">
        <f t="shared" si="9"/>
        <v>66289.733879999985</v>
      </c>
      <c r="N20" s="9">
        <v>0</v>
      </c>
      <c r="O20" s="15"/>
      <c r="P20" s="9"/>
    </row>
    <row r="21" spans="1:16" x14ac:dyDescent="0.2">
      <c r="A21" s="31">
        <v>43252</v>
      </c>
      <c r="C21" s="12">
        <v>379213</v>
      </c>
      <c r="D21" s="13">
        <v>866</v>
      </c>
      <c r="E21" s="13">
        <v>1140.6400000000001</v>
      </c>
      <c r="F21" s="13">
        <v>2281.2800000000002</v>
      </c>
      <c r="G21" s="14">
        <f t="shared" si="5"/>
        <v>274.6400000000001</v>
      </c>
      <c r="H21" s="14">
        <f t="shared" si="6"/>
        <v>1415.2800000000002</v>
      </c>
      <c r="I21" s="3">
        <v>0.21</v>
      </c>
      <c r="J21" s="3">
        <v>0.05</v>
      </c>
      <c r="K21" s="9">
        <f t="shared" si="7"/>
        <v>42.813960000000016</v>
      </c>
      <c r="L21" s="9">
        <f t="shared" si="8"/>
        <v>70.76400000000001</v>
      </c>
      <c r="M21" s="15">
        <f t="shared" si="9"/>
        <v>66403.31183999998</v>
      </c>
      <c r="N21" s="9">
        <v>0</v>
      </c>
      <c r="O21" s="15"/>
      <c r="P21" s="9"/>
    </row>
    <row r="22" spans="1:16" x14ac:dyDescent="0.2">
      <c r="A22" s="31">
        <v>43282</v>
      </c>
      <c r="C22" s="12">
        <v>379213</v>
      </c>
      <c r="D22" s="13">
        <v>866</v>
      </c>
      <c r="E22" s="13">
        <v>1140.6400000000001</v>
      </c>
      <c r="F22" s="13">
        <v>2281.2800000000002</v>
      </c>
      <c r="G22" s="14">
        <f>E22-D22</f>
        <v>274.6400000000001</v>
      </c>
      <c r="H22" s="14">
        <f>F22-D22</f>
        <v>1415.2800000000002</v>
      </c>
      <c r="I22" s="3">
        <v>0.21</v>
      </c>
      <c r="J22" s="3">
        <v>0.05</v>
      </c>
      <c r="K22" s="9">
        <f>G22*I22-L22*I22</f>
        <v>42.813960000000016</v>
      </c>
      <c r="L22" s="9">
        <f>H22*J22</f>
        <v>70.76400000000001</v>
      </c>
      <c r="M22" s="15">
        <f t="shared" si="9"/>
        <v>66516.889799999975</v>
      </c>
      <c r="N22" s="9">
        <v>0</v>
      </c>
      <c r="O22" s="15"/>
      <c r="P22" s="9"/>
    </row>
    <row r="23" spans="1:16" x14ac:dyDescent="0.2">
      <c r="A23" s="16"/>
      <c r="C23" s="12"/>
      <c r="D23" s="13"/>
      <c r="E23" s="13"/>
      <c r="F23" s="13"/>
      <c r="G23" s="14"/>
      <c r="H23" s="14"/>
      <c r="I23" s="14"/>
      <c r="J23" s="12"/>
      <c r="K23" s="12"/>
      <c r="L23" s="3"/>
      <c r="M23" s="3"/>
      <c r="N23" s="9"/>
      <c r="O23" s="15"/>
      <c r="P23" s="9"/>
    </row>
    <row r="24" spans="1:16" x14ac:dyDescent="0.2">
      <c r="A24" s="31">
        <v>43313</v>
      </c>
      <c r="C24" s="12">
        <v>379213</v>
      </c>
      <c r="D24" s="13">
        <v>866</v>
      </c>
      <c r="E24" s="13">
        <v>1140.6400000000001</v>
      </c>
      <c r="F24" s="13">
        <v>2281.2800000000002</v>
      </c>
      <c r="G24" s="14">
        <f>E24-D24</f>
        <v>274.6400000000001</v>
      </c>
      <c r="H24" s="14">
        <f>F24-D24</f>
        <v>1415.2800000000002</v>
      </c>
      <c r="I24" s="3">
        <v>0.21</v>
      </c>
      <c r="J24" s="3">
        <v>0.05</v>
      </c>
      <c r="K24" s="9">
        <f>G24*I24-L24*I24</f>
        <v>42.813960000000016</v>
      </c>
      <c r="L24" s="9">
        <f>H24*J24</f>
        <v>70.76400000000001</v>
      </c>
      <c r="M24" s="15">
        <f>M22+K24+L24</f>
        <v>66630.46775999997</v>
      </c>
      <c r="N24" s="9">
        <v>0</v>
      </c>
      <c r="O24" s="15"/>
      <c r="P24" s="9"/>
    </row>
    <row r="25" spans="1:16" x14ac:dyDescent="0.2">
      <c r="A25" s="31"/>
      <c r="C25" s="12"/>
      <c r="D25" s="13"/>
      <c r="E25" s="13"/>
      <c r="F25" s="13"/>
      <c r="G25" s="14"/>
      <c r="H25" s="14"/>
      <c r="I25" s="3"/>
      <c r="J25" s="3"/>
      <c r="K25" s="9"/>
      <c r="L25" s="9"/>
      <c r="M25" s="15"/>
      <c r="N25" s="9"/>
      <c r="O25" s="15"/>
      <c r="P25" s="9"/>
    </row>
    <row r="26" spans="1:16" x14ac:dyDescent="0.2">
      <c r="C26" s="23" t="s">
        <v>45</v>
      </c>
      <c r="D26" s="24"/>
      <c r="E26" s="24"/>
      <c r="F26" s="24"/>
      <c r="G26" s="25"/>
      <c r="H26" s="25"/>
    </row>
    <row r="27" spans="1:16" x14ac:dyDescent="0.2">
      <c r="C27" s="23" t="s">
        <v>28</v>
      </c>
      <c r="D27" s="24"/>
      <c r="E27" s="24"/>
      <c r="F27" s="24"/>
      <c r="G27" s="25"/>
      <c r="H27" s="25"/>
    </row>
    <row r="28" spans="1:16" x14ac:dyDescent="0.2">
      <c r="C28" s="23" t="s">
        <v>49</v>
      </c>
      <c r="D28" s="24"/>
      <c r="E28" s="24"/>
      <c r="F28" s="24"/>
      <c r="G28" s="25"/>
      <c r="H28" s="25"/>
    </row>
    <row r="29" spans="1:16" x14ac:dyDescent="0.2">
      <c r="C29" s="15" t="s">
        <v>29</v>
      </c>
      <c r="D29" s="24"/>
      <c r="E29" s="24"/>
      <c r="F29" s="24"/>
      <c r="G29" s="25"/>
      <c r="H29" s="25"/>
    </row>
    <row r="30" spans="1:16" x14ac:dyDescent="0.2">
      <c r="C30" s="26"/>
      <c r="D30" s="24"/>
      <c r="E30" s="24"/>
      <c r="F30" s="24"/>
      <c r="G30" s="24"/>
      <c r="H30" s="24"/>
    </row>
    <row r="31" spans="1:16" x14ac:dyDescent="0.2">
      <c r="C31" s="15" t="s">
        <v>30</v>
      </c>
      <c r="D31" s="27" t="s">
        <v>31</v>
      </c>
      <c r="E31" s="25" t="s">
        <v>32</v>
      </c>
      <c r="F31" s="15" t="s">
        <v>33</v>
      </c>
      <c r="G31" s="28" t="s">
        <v>23</v>
      </c>
      <c r="H31" s="15" t="s">
        <v>34</v>
      </c>
    </row>
    <row r="32" spans="1:16" x14ac:dyDescent="0.2">
      <c r="C32" s="35">
        <v>189606.505</v>
      </c>
      <c r="D32" s="35">
        <v>866</v>
      </c>
      <c r="E32" s="35">
        <v>1141</v>
      </c>
      <c r="F32" s="35">
        <f>E32-D32</f>
        <v>275</v>
      </c>
      <c r="G32" s="3">
        <v>0.21</v>
      </c>
      <c r="H32" s="35">
        <f>F32*G32</f>
        <v>57.75</v>
      </c>
    </row>
    <row r="33" spans="3:8" ht="15" x14ac:dyDescent="0.35">
      <c r="C33" s="35"/>
      <c r="D33" s="35"/>
      <c r="E33" s="35"/>
      <c r="F33" s="35"/>
      <c r="G33" s="30" t="s">
        <v>40</v>
      </c>
      <c r="H33" s="29">
        <f>-H37*0.21</f>
        <v>-14.8575</v>
      </c>
    </row>
    <row r="34" spans="3:8" x14ac:dyDescent="0.2">
      <c r="H34" s="35">
        <f>H32+H33</f>
        <v>42.892499999999998</v>
      </c>
    </row>
    <row r="35" spans="3:8" x14ac:dyDescent="0.2">
      <c r="H35" s="35">
        <f>H34-K24</f>
        <v>7.8539999999982513E-2</v>
      </c>
    </row>
    <row r="36" spans="3:8" x14ac:dyDescent="0.2">
      <c r="C36" s="15" t="s">
        <v>36</v>
      </c>
      <c r="D36" s="24" t="s">
        <v>31</v>
      </c>
      <c r="E36" s="25" t="s">
        <v>37</v>
      </c>
      <c r="F36" s="15" t="s">
        <v>38</v>
      </c>
      <c r="G36" s="28" t="s">
        <v>24</v>
      </c>
      <c r="H36" s="15" t="s">
        <v>39</v>
      </c>
    </row>
    <row r="37" spans="3:8" x14ac:dyDescent="0.2">
      <c r="C37" s="35">
        <v>379213.01</v>
      </c>
      <c r="D37" s="35">
        <f>D32</f>
        <v>866</v>
      </c>
      <c r="E37" s="35">
        <v>2281</v>
      </c>
      <c r="F37" s="35">
        <f>E37-D37</f>
        <v>1415</v>
      </c>
      <c r="G37" s="3">
        <v>0.05</v>
      </c>
      <c r="H37" s="35">
        <f>F37*G37</f>
        <v>70.75</v>
      </c>
    </row>
    <row r="38" spans="3:8" x14ac:dyDescent="0.2">
      <c r="C38" s="35"/>
      <c r="D38" s="35"/>
      <c r="E38" s="35"/>
      <c r="F38" s="35"/>
      <c r="H38" s="35">
        <f>H37-L24</f>
        <v>-1.4000000000010004E-2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6" orientation="portrait" r:id="rId1"/>
  <headerFooter alignWithMargins="0">
    <oddHeader>&amp;R&amp;"Times New Roman,Bold"&amp;12Attachment to Response to Question No. 3
Page 8 of 8
Williams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Project 23</vt:lpstr>
      <vt:lpstr>Project 24</vt:lpstr>
      <vt:lpstr>Project 25</vt:lpstr>
      <vt:lpstr>Project 26</vt:lpstr>
      <vt:lpstr>Project 27</vt:lpstr>
      <vt:lpstr>Project 28</vt:lpstr>
      <vt:lpstr>Project 29</vt:lpstr>
      <vt:lpstr>Project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2019-03-04T18:14:46Z</dcterms:created>
  <dcterms:modified xsi:type="dcterms:W3CDTF">2019-03-04T18:14:59Z</dcterms:modified>
</cp:coreProperties>
</file>