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60" windowWidth="15195" windowHeight="8700" tabRatio="828"/>
  </bookViews>
  <sheets>
    <sheet name="Project 28" sheetId="32" r:id="rId1"/>
    <sheet name="Project 29" sheetId="31" r:id="rId2"/>
    <sheet name="Project 29_2011 Plan" sheetId="38" r:id="rId3"/>
    <sheet name="Project 30" sheetId="35" r:id="rId4"/>
    <sheet name="Project 31" sheetId="28" r:id="rId5"/>
    <sheet name="Project 32" sheetId="36" r:id="rId6"/>
    <sheet name="Project 33" sheetId="33" r:id="rId7"/>
    <sheet name="Project 34" sheetId="37" r:id="rId8"/>
    <sheet name="Project 35" sheetId="29" r:id="rId9"/>
    <sheet name="Project 37" sheetId="40" r:id="rId10"/>
    <sheet name="Project 38" sheetId="41" r:id="rId11"/>
    <sheet name="Project 41" sheetId="39" r:id="rId12"/>
  </sheets>
  <definedNames>
    <definedName name="_xlnm.Print_Area" localSheetId="0">'Project 28'!$A$1:$N$66</definedName>
    <definedName name="_xlnm.Print_Area" localSheetId="1">'Project 29'!$A$1:$N$52</definedName>
    <definedName name="_xlnm.Print_Area" localSheetId="2">'Project 29_2011 Plan'!$A$1:$N$61</definedName>
    <definedName name="_xlnm.Print_Area" localSheetId="3">'Project 30'!$A$1:$N$93</definedName>
    <definedName name="_xlnm.Print_Area" localSheetId="4">'Project 31'!$A$1:$N$24</definedName>
    <definedName name="_xlnm.Print_Area" localSheetId="5">'Project 32'!$A$1:$N$38</definedName>
    <definedName name="_xlnm.Print_Area" localSheetId="6">'Project 33'!$A$1:$N$42</definedName>
    <definedName name="_xlnm.Print_Area" localSheetId="7">'Project 34'!$A$1:$N$46</definedName>
    <definedName name="_xlnm.Print_Area" localSheetId="8">'Project 35'!$A$1:$N$82</definedName>
    <definedName name="_xlnm.Print_Area" localSheetId="9">'Project 37'!$A$1:$N$42</definedName>
    <definedName name="_xlnm.Print_Area" localSheetId="10">'Project 38'!$A$1:$N$46</definedName>
    <definedName name="_xlnm.Print_Area" localSheetId="11">'Project 41'!$A$1:$N$39</definedName>
  </definedNames>
  <calcPr calcId="152511"/>
</workbook>
</file>

<file path=xl/calcChain.xml><?xml version="1.0" encoding="utf-8"?>
<calcChain xmlns="http://schemas.openxmlformats.org/spreadsheetml/2006/main">
  <c r="H42" i="31" l="1"/>
  <c r="H49" i="32"/>
  <c r="E49" i="29" l="1"/>
  <c r="E22" i="29"/>
  <c r="E24" i="29"/>
  <c r="E21" i="29"/>
  <c r="E40" i="38" l="1"/>
  <c r="E24" i="38"/>
  <c r="E22" i="38"/>
  <c r="H24" i="38" l="1"/>
  <c r="H22" i="38"/>
  <c r="H39" i="39" l="1"/>
  <c r="H36" i="39"/>
  <c r="M24" i="39"/>
  <c r="H24" i="39"/>
  <c r="L24" i="39" s="1"/>
  <c r="K24" i="39" s="1"/>
  <c r="G24" i="39"/>
  <c r="H46" i="41"/>
  <c r="H40" i="41"/>
  <c r="H24" i="41"/>
  <c r="L24" i="41" s="1"/>
  <c r="G24" i="41"/>
  <c r="H42" i="40"/>
  <c r="H37" i="40"/>
  <c r="L24" i="40"/>
  <c r="H24" i="40"/>
  <c r="G24" i="40"/>
  <c r="K24" i="40" s="1"/>
  <c r="H24" i="29"/>
  <c r="L24" i="29" s="1"/>
  <c r="G24" i="29"/>
  <c r="H46" i="37"/>
  <c r="H39" i="37"/>
  <c r="H24" i="37"/>
  <c r="L24" i="37" s="1"/>
  <c r="K24" i="37" s="1"/>
  <c r="G24" i="37"/>
  <c r="H42" i="33"/>
  <c r="H37" i="33"/>
  <c r="M24" i="33"/>
  <c r="H24" i="33"/>
  <c r="L24" i="33" s="1"/>
  <c r="K24" i="33" s="1"/>
  <c r="G24" i="33"/>
  <c r="H38" i="36"/>
  <c r="H35" i="36"/>
  <c r="M24" i="36"/>
  <c r="L24" i="36"/>
  <c r="H24" i="36"/>
  <c r="G24" i="36"/>
  <c r="K24" i="36" s="1"/>
  <c r="M24" i="28"/>
  <c r="L24" i="28"/>
  <c r="H24" i="28"/>
  <c r="G24" i="28"/>
  <c r="K24" i="28" s="1"/>
  <c r="H93" i="35"/>
  <c r="H63" i="35"/>
  <c r="H24" i="35"/>
  <c r="L24" i="35" s="1"/>
  <c r="K24" i="35" s="1"/>
  <c r="G24" i="35"/>
  <c r="L24" i="38"/>
  <c r="G24" i="38"/>
  <c r="H52" i="31"/>
  <c r="L24" i="31"/>
  <c r="H24" i="31"/>
  <c r="G24" i="31"/>
  <c r="K24" i="31" s="1"/>
  <c r="H24" i="32"/>
  <c r="L24" i="32" s="1"/>
  <c r="G24" i="32"/>
  <c r="K24" i="32" s="1"/>
  <c r="K24" i="38" l="1"/>
  <c r="K24" i="41"/>
  <c r="K24" i="29"/>
  <c r="F38" i="39"/>
  <c r="H38" i="39" s="1"/>
  <c r="D38" i="39"/>
  <c r="F32" i="39"/>
  <c r="H32" i="39" s="1"/>
  <c r="H33" i="39" s="1"/>
  <c r="L22" i="39"/>
  <c r="H22" i="39"/>
  <c r="G22" i="39"/>
  <c r="K22" i="39" s="1"/>
  <c r="H21" i="39"/>
  <c r="L21" i="39" s="1"/>
  <c r="G21" i="39"/>
  <c r="L20" i="39"/>
  <c r="H20" i="39"/>
  <c r="G20" i="39"/>
  <c r="K20" i="39" s="1"/>
  <c r="H19" i="39"/>
  <c r="L19" i="39" s="1"/>
  <c r="G19" i="39"/>
  <c r="L18" i="39"/>
  <c r="K18" i="39"/>
  <c r="M18" i="39" s="1"/>
  <c r="H18" i="39"/>
  <c r="G18" i="39"/>
  <c r="E45" i="41"/>
  <c r="H44" i="41"/>
  <c r="F44" i="41"/>
  <c r="F43" i="41"/>
  <c r="H43" i="41" s="1"/>
  <c r="D42" i="41"/>
  <c r="F42" i="41" s="1"/>
  <c r="E37" i="41"/>
  <c r="F36" i="41"/>
  <c r="H36" i="41" s="1"/>
  <c r="F35" i="41"/>
  <c r="H35" i="41" s="1"/>
  <c r="F34" i="41"/>
  <c r="H34" i="41" s="1"/>
  <c r="F33" i="41"/>
  <c r="H33" i="41" s="1"/>
  <c r="E32" i="41"/>
  <c r="F32" i="41" s="1"/>
  <c r="L22" i="41"/>
  <c r="H22" i="41"/>
  <c r="G22" i="41"/>
  <c r="H21" i="41"/>
  <c r="L21" i="41" s="1"/>
  <c r="G21" i="41"/>
  <c r="H20" i="41"/>
  <c r="L20" i="41" s="1"/>
  <c r="G20" i="41"/>
  <c r="H19" i="41"/>
  <c r="L19" i="41" s="1"/>
  <c r="G19" i="41"/>
  <c r="H18" i="41"/>
  <c r="L18" i="41" s="1"/>
  <c r="G18" i="41"/>
  <c r="E41" i="40"/>
  <c r="F40" i="40"/>
  <c r="H40" i="40" s="1"/>
  <c r="D39" i="40"/>
  <c r="F39" i="40" s="1"/>
  <c r="E34" i="40"/>
  <c r="F33" i="40"/>
  <c r="H33" i="40" s="1"/>
  <c r="F32" i="40"/>
  <c r="H32" i="40" s="1"/>
  <c r="H34" i="40" s="1"/>
  <c r="H22" i="40"/>
  <c r="L22" i="40" s="1"/>
  <c r="G22" i="40"/>
  <c r="K22" i="40" s="1"/>
  <c r="H21" i="40"/>
  <c r="L21" i="40" s="1"/>
  <c r="G21" i="40"/>
  <c r="H20" i="40"/>
  <c r="L20" i="40" s="1"/>
  <c r="G20" i="40"/>
  <c r="K20" i="40" s="1"/>
  <c r="H19" i="40"/>
  <c r="L19" i="40" s="1"/>
  <c r="G19" i="40"/>
  <c r="H18" i="40"/>
  <c r="L18" i="40" s="1"/>
  <c r="G18" i="40"/>
  <c r="E20" i="29"/>
  <c r="G20" i="29" s="1"/>
  <c r="E19" i="29"/>
  <c r="E18" i="29"/>
  <c r="E81" i="29"/>
  <c r="H80" i="29"/>
  <c r="H79" i="29"/>
  <c r="F80" i="29"/>
  <c r="F79" i="29"/>
  <c r="E55" i="29"/>
  <c r="F54" i="29"/>
  <c r="F53" i="29"/>
  <c r="H53" i="29" s="1"/>
  <c r="H54" i="29"/>
  <c r="H52" i="29"/>
  <c r="F52" i="29"/>
  <c r="F78" i="29"/>
  <c r="H78" i="29" s="1"/>
  <c r="H77" i="29"/>
  <c r="F77" i="29"/>
  <c r="F76" i="29"/>
  <c r="H76" i="29" s="1"/>
  <c r="H75" i="29"/>
  <c r="F75" i="29"/>
  <c r="F74" i="29"/>
  <c r="H74" i="29" s="1"/>
  <c r="H73" i="29"/>
  <c r="F73" i="29"/>
  <c r="F72" i="29"/>
  <c r="H72" i="29" s="1"/>
  <c r="H71" i="29"/>
  <c r="F71" i="29"/>
  <c r="F70" i="29"/>
  <c r="H70" i="29" s="1"/>
  <c r="H69" i="29"/>
  <c r="F69" i="29"/>
  <c r="F68" i="29"/>
  <c r="H68" i="29" s="1"/>
  <c r="H67" i="29"/>
  <c r="F67" i="29"/>
  <c r="F66" i="29"/>
  <c r="H66" i="29" s="1"/>
  <c r="H65" i="29"/>
  <c r="F65" i="29"/>
  <c r="F64" i="29"/>
  <c r="H64" i="29" s="1"/>
  <c r="H63" i="29"/>
  <c r="F63" i="29"/>
  <c r="F62" i="29"/>
  <c r="H62" i="29" s="1"/>
  <c r="H61" i="29"/>
  <c r="F61" i="29"/>
  <c r="D60" i="29"/>
  <c r="F60" i="29" s="1"/>
  <c r="F81" i="29" s="1"/>
  <c r="F51" i="29"/>
  <c r="H51" i="29" s="1"/>
  <c r="F50" i="29"/>
  <c r="H50" i="29" s="1"/>
  <c r="F49" i="29"/>
  <c r="H49" i="29" s="1"/>
  <c r="F48" i="29"/>
  <c r="H48" i="29" s="1"/>
  <c r="F47" i="29"/>
  <c r="H47" i="29" s="1"/>
  <c r="F46" i="29"/>
  <c r="H46" i="29" s="1"/>
  <c r="F45" i="29"/>
  <c r="H45" i="29" s="1"/>
  <c r="F44" i="29"/>
  <c r="H44" i="29" s="1"/>
  <c r="F43" i="29"/>
  <c r="H43" i="29" s="1"/>
  <c r="F42" i="29"/>
  <c r="H42" i="29" s="1"/>
  <c r="F41" i="29"/>
  <c r="H41" i="29" s="1"/>
  <c r="F40" i="29"/>
  <c r="H40" i="29" s="1"/>
  <c r="F39" i="29"/>
  <c r="H39" i="29" s="1"/>
  <c r="F38" i="29"/>
  <c r="H38" i="29" s="1"/>
  <c r="F37" i="29"/>
  <c r="H37" i="29" s="1"/>
  <c r="F36" i="29"/>
  <c r="H36" i="29" s="1"/>
  <c r="F35" i="29"/>
  <c r="H35" i="29" s="1"/>
  <c r="F34" i="29"/>
  <c r="H34" i="29" s="1"/>
  <c r="F33" i="29"/>
  <c r="H33" i="29" s="1"/>
  <c r="F32" i="29"/>
  <c r="F55" i="29" s="1"/>
  <c r="G19" i="29"/>
  <c r="H22" i="29"/>
  <c r="L22" i="29" s="1"/>
  <c r="G22" i="29"/>
  <c r="H21" i="29"/>
  <c r="L21" i="29" s="1"/>
  <c r="G21" i="29"/>
  <c r="H20" i="29"/>
  <c r="L20" i="29" s="1"/>
  <c r="L19" i="29"/>
  <c r="H19" i="29"/>
  <c r="H18" i="29"/>
  <c r="L18" i="29" s="1"/>
  <c r="G18" i="29"/>
  <c r="M17" i="37"/>
  <c r="F45" i="37"/>
  <c r="E45" i="37"/>
  <c r="F44" i="37"/>
  <c r="H44" i="37" s="1"/>
  <c r="H43" i="37"/>
  <c r="F43" i="37"/>
  <c r="F42" i="37"/>
  <c r="H42" i="37" s="1"/>
  <c r="H41" i="37"/>
  <c r="H45" i="37" s="1"/>
  <c r="F41" i="37"/>
  <c r="D41" i="37"/>
  <c r="E36" i="37"/>
  <c r="H35" i="37"/>
  <c r="F35" i="37"/>
  <c r="F34" i="37"/>
  <c r="H34" i="37" s="1"/>
  <c r="H33" i="37"/>
  <c r="F33" i="37"/>
  <c r="F32" i="37"/>
  <c r="F36" i="37" s="1"/>
  <c r="H22" i="37"/>
  <c r="L22" i="37" s="1"/>
  <c r="G22" i="37"/>
  <c r="L21" i="37"/>
  <c r="H21" i="37"/>
  <c r="G21" i="37"/>
  <c r="K21" i="37" s="1"/>
  <c r="H20" i="37"/>
  <c r="L20" i="37" s="1"/>
  <c r="G20" i="37"/>
  <c r="L19" i="37"/>
  <c r="H19" i="37"/>
  <c r="G19" i="37"/>
  <c r="K19" i="37" s="1"/>
  <c r="H18" i="37"/>
  <c r="L18" i="37" s="1"/>
  <c r="G18" i="37"/>
  <c r="K18" i="33"/>
  <c r="E41" i="33"/>
  <c r="F40" i="33"/>
  <c r="H40" i="33" s="1"/>
  <c r="F39" i="33"/>
  <c r="F41" i="33" s="1"/>
  <c r="D39" i="33"/>
  <c r="E34" i="33"/>
  <c r="H33" i="33"/>
  <c r="F33" i="33"/>
  <c r="F32" i="33"/>
  <c r="F34" i="33" s="1"/>
  <c r="L22" i="33"/>
  <c r="H22" i="33"/>
  <c r="G22" i="33"/>
  <c r="K22" i="33" s="1"/>
  <c r="H21" i="33"/>
  <c r="L21" i="33" s="1"/>
  <c r="G21" i="33"/>
  <c r="K21" i="33" s="1"/>
  <c r="L20" i="33"/>
  <c r="H20" i="33"/>
  <c r="G20" i="33"/>
  <c r="K20" i="33" s="1"/>
  <c r="H19" i="33"/>
  <c r="L19" i="33" s="1"/>
  <c r="G19" i="33"/>
  <c r="K19" i="33" s="1"/>
  <c r="L18" i="33"/>
  <c r="M18" i="33"/>
  <c r="H18" i="33"/>
  <c r="G18" i="33"/>
  <c r="D37" i="36"/>
  <c r="F37" i="36" s="1"/>
  <c r="H37" i="36" s="1"/>
  <c r="H32" i="36"/>
  <c r="F32" i="36"/>
  <c r="H22" i="36"/>
  <c r="L22" i="36" s="1"/>
  <c r="G22" i="36"/>
  <c r="K22" i="36" s="1"/>
  <c r="L21" i="36"/>
  <c r="H21" i="36"/>
  <c r="G21" i="36"/>
  <c r="K21" i="36" s="1"/>
  <c r="H20" i="36"/>
  <c r="L20" i="36" s="1"/>
  <c r="G20" i="36"/>
  <c r="L19" i="36"/>
  <c r="H19" i="36"/>
  <c r="G19" i="36"/>
  <c r="K19" i="36" s="1"/>
  <c r="H18" i="36"/>
  <c r="L18" i="36" s="1"/>
  <c r="G18" i="36"/>
  <c r="L22" i="28"/>
  <c r="H22" i="28"/>
  <c r="G22" i="28"/>
  <c r="K22" i="28" s="1"/>
  <c r="H21" i="28"/>
  <c r="L21" i="28" s="1"/>
  <c r="G21" i="28"/>
  <c r="L20" i="28"/>
  <c r="H20" i="28"/>
  <c r="G20" i="28"/>
  <c r="K20" i="28" s="1"/>
  <c r="H19" i="28"/>
  <c r="L19" i="28" s="1"/>
  <c r="G19" i="28"/>
  <c r="K19" i="28" s="1"/>
  <c r="L18" i="28"/>
  <c r="H18" i="28"/>
  <c r="G18" i="28"/>
  <c r="E92" i="35"/>
  <c r="F91" i="35"/>
  <c r="H91" i="35" s="1"/>
  <c r="F90" i="35"/>
  <c r="H90" i="35" s="1"/>
  <c r="F89" i="35"/>
  <c r="H89" i="35" s="1"/>
  <c r="F88" i="35"/>
  <c r="H88" i="35" s="1"/>
  <c r="F87" i="35"/>
  <c r="H87" i="35" s="1"/>
  <c r="F86" i="35"/>
  <c r="H86" i="35" s="1"/>
  <c r="F85" i="35"/>
  <c r="H85" i="35" s="1"/>
  <c r="F84" i="35"/>
  <c r="H84" i="35" s="1"/>
  <c r="F83" i="35"/>
  <c r="H83" i="35" s="1"/>
  <c r="F82" i="35"/>
  <c r="H82" i="35" s="1"/>
  <c r="F81" i="35"/>
  <c r="H81" i="35" s="1"/>
  <c r="F80" i="35"/>
  <c r="H80" i="35" s="1"/>
  <c r="F79" i="35"/>
  <c r="H79" i="35" s="1"/>
  <c r="F78" i="35"/>
  <c r="H78" i="35" s="1"/>
  <c r="F77" i="35"/>
  <c r="H77" i="35" s="1"/>
  <c r="F76" i="35"/>
  <c r="H76" i="35" s="1"/>
  <c r="F75" i="35"/>
  <c r="H75" i="35" s="1"/>
  <c r="F74" i="35"/>
  <c r="H74" i="35" s="1"/>
  <c r="F73" i="35"/>
  <c r="H73" i="35" s="1"/>
  <c r="F72" i="35"/>
  <c r="H72" i="35" s="1"/>
  <c r="F71" i="35"/>
  <c r="H71" i="35" s="1"/>
  <c r="F70" i="35"/>
  <c r="H70" i="35" s="1"/>
  <c r="F69" i="35"/>
  <c r="H69" i="35" s="1"/>
  <c r="F68" i="35"/>
  <c r="H68" i="35" s="1"/>
  <c r="F67" i="35"/>
  <c r="H67" i="35" s="1"/>
  <c r="F66" i="35"/>
  <c r="H66" i="35" s="1"/>
  <c r="D65" i="35"/>
  <c r="F65" i="35" s="1"/>
  <c r="F59" i="35"/>
  <c r="H59" i="35" s="1"/>
  <c r="H58" i="35"/>
  <c r="F58" i="35"/>
  <c r="F57" i="35"/>
  <c r="H57" i="35" s="1"/>
  <c r="H56" i="35"/>
  <c r="F56" i="35"/>
  <c r="F55" i="35"/>
  <c r="H55" i="35" s="1"/>
  <c r="H54" i="35"/>
  <c r="F54" i="35"/>
  <c r="F53" i="35"/>
  <c r="H53" i="35" s="1"/>
  <c r="H52" i="35"/>
  <c r="F52" i="35"/>
  <c r="E52" i="35"/>
  <c r="E60" i="35" s="1"/>
  <c r="F51" i="35"/>
  <c r="H51" i="35" s="1"/>
  <c r="H50" i="35"/>
  <c r="F50" i="35"/>
  <c r="F49" i="35"/>
  <c r="H49" i="35" s="1"/>
  <c r="H48" i="35"/>
  <c r="F48" i="35"/>
  <c r="F47" i="35"/>
  <c r="H47" i="35" s="1"/>
  <c r="H46" i="35"/>
  <c r="F46" i="35"/>
  <c r="F45" i="35"/>
  <c r="H45" i="35" s="1"/>
  <c r="H44" i="35"/>
  <c r="F44" i="35"/>
  <c r="F43" i="35"/>
  <c r="H43" i="35" s="1"/>
  <c r="H42" i="35"/>
  <c r="F42" i="35"/>
  <c r="F41" i="35"/>
  <c r="H41" i="35" s="1"/>
  <c r="H40" i="35"/>
  <c r="F40" i="35"/>
  <c r="F39" i="35"/>
  <c r="H39" i="35" s="1"/>
  <c r="H38" i="35"/>
  <c r="F38" i="35"/>
  <c r="F37" i="35"/>
  <c r="H37" i="35" s="1"/>
  <c r="H36" i="35"/>
  <c r="F36" i="35"/>
  <c r="F35" i="35"/>
  <c r="H35" i="35" s="1"/>
  <c r="F34" i="35"/>
  <c r="H34" i="35" s="1"/>
  <c r="F33" i="35"/>
  <c r="H33" i="35" s="1"/>
  <c r="F32" i="35"/>
  <c r="H32" i="35" s="1"/>
  <c r="H22" i="35"/>
  <c r="L22" i="35" s="1"/>
  <c r="G22" i="35"/>
  <c r="L21" i="35"/>
  <c r="H21" i="35"/>
  <c r="G21" i="35"/>
  <c r="H20" i="35"/>
  <c r="L20" i="35" s="1"/>
  <c r="G20" i="35"/>
  <c r="L19" i="35"/>
  <c r="H19" i="35"/>
  <c r="G19" i="35"/>
  <c r="H18" i="35"/>
  <c r="L18" i="35" s="1"/>
  <c r="G18" i="35"/>
  <c r="E60" i="38"/>
  <c r="F59" i="38"/>
  <c r="H59" i="38" s="1"/>
  <c r="E44" i="38"/>
  <c r="F43" i="38"/>
  <c r="H43" i="38" s="1"/>
  <c r="F42" i="38"/>
  <c r="H42" i="38" s="1"/>
  <c r="F58" i="38"/>
  <c r="H58" i="38" s="1"/>
  <c r="H57" i="38"/>
  <c r="F57" i="38"/>
  <c r="F56" i="38"/>
  <c r="H56" i="38" s="1"/>
  <c r="H55" i="38"/>
  <c r="F55" i="38"/>
  <c r="F54" i="38"/>
  <c r="H54" i="38" s="1"/>
  <c r="H53" i="38"/>
  <c r="F53" i="38"/>
  <c r="F52" i="38"/>
  <c r="H52" i="38" s="1"/>
  <c r="F51" i="38"/>
  <c r="H51" i="38" s="1"/>
  <c r="C51" i="38"/>
  <c r="F50" i="38"/>
  <c r="H50" i="38" s="1"/>
  <c r="D49" i="38"/>
  <c r="F49" i="38" s="1"/>
  <c r="F41" i="38"/>
  <c r="H41" i="38" s="1"/>
  <c r="F40" i="38"/>
  <c r="H40" i="38" s="1"/>
  <c r="F39" i="38"/>
  <c r="H39" i="38" s="1"/>
  <c r="H38" i="38"/>
  <c r="F38" i="38"/>
  <c r="F37" i="38"/>
  <c r="H37" i="38" s="1"/>
  <c r="F36" i="38"/>
  <c r="H36" i="38" s="1"/>
  <c r="F35" i="38"/>
  <c r="H35" i="38" s="1"/>
  <c r="F34" i="38"/>
  <c r="H34" i="38" s="1"/>
  <c r="C34" i="38"/>
  <c r="F33" i="38"/>
  <c r="H33" i="38" s="1"/>
  <c r="F32" i="38"/>
  <c r="H32" i="38" s="1"/>
  <c r="L22" i="38"/>
  <c r="G22" i="38"/>
  <c r="H21" i="38"/>
  <c r="L21" i="38" s="1"/>
  <c r="G21" i="38"/>
  <c r="H20" i="38"/>
  <c r="L20" i="38" s="1"/>
  <c r="G20" i="38"/>
  <c r="H19" i="38"/>
  <c r="L19" i="38" s="1"/>
  <c r="G19" i="38"/>
  <c r="H18" i="38"/>
  <c r="L18" i="38" s="1"/>
  <c r="G18" i="38"/>
  <c r="E51" i="31"/>
  <c r="F50" i="31"/>
  <c r="H50" i="31" s="1"/>
  <c r="C50" i="31"/>
  <c r="F49" i="31"/>
  <c r="H49" i="31" s="1"/>
  <c r="C49" i="31"/>
  <c r="H48" i="31"/>
  <c r="F48" i="31"/>
  <c r="F47" i="31"/>
  <c r="H47" i="31" s="1"/>
  <c r="H46" i="31"/>
  <c r="F46" i="31"/>
  <c r="D45" i="31"/>
  <c r="F45" i="31" s="1"/>
  <c r="E39" i="31"/>
  <c r="F38" i="31"/>
  <c r="H38" i="31" s="1"/>
  <c r="F37" i="31"/>
  <c r="H37" i="31" s="1"/>
  <c r="F36" i="31"/>
  <c r="H36" i="31" s="1"/>
  <c r="C36" i="31"/>
  <c r="F35" i="31"/>
  <c r="H35" i="31" s="1"/>
  <c r="C35" i="31"/>
  <c r="F34" i="31"/>
  <c r="H34" i="31" s="1"/>
  <c r="F33" i="31"/>
  <c r="H33" i="31" s="1"/>
  <c r="H22" i="31"/>
  <c r="L22" i="31" s="1"/>
  <c r="G22" i="31"/>
  <c r="H21" i="31"/>
  <c r="L21" i="31" s="1"/>
  <c r="G21" i="31"/>
  <c r="H20" i="31"/>
  <c r="L20" i="31" s="1"/>
  <c r="G20" i="31"/>
  <c r="H19" i="31"/>
  <c r="L19" i="31" s="1"/>
  <c r="G19" i="31"/>
  <c r="H18" i="31"/>
  <c r="L18" i="31" s="1"/>
  <c r="G18" i="31"/>
  <c r="H22" i="32"/>
  <c r="L22" i="32" s="1"/>
  <c r="G22" i="32"/>
  <c r="K22" i="32" s="1"/>
  <c r="H21" i="32"/>
  <c r="L21" i="32" s="1"/>
  <c r="G21" i="32"/>
  <c r="H20" i="32"/>
  <c r="L20" i="32" s="1"/>
  <c r="G20" i="32"/>
  <c r="K20" i="32" s="1"/>
  <c r="H19" i="32"/>
  <c r="L19" i="32" s="1"/>
  <c r="G19" i="32"/>
  <c r="H18" i="32"/>
  <c r="L18" i="32" s="1"/>
  <c r="G18" i="32"/>
  <c r="K18" i="32" s="1"/>
  <c r="E65" i="32"/>
  <c r="H64" i="32"/>
  <c r="F64" i="32"/>
  <c r="F63" i="32"/>
  <c r="H63" i="32" s="1"/>
  <c r="H62" i="32"/>
  <c r="F62" i="32"/>
  <c r="F61" i="32"/>
  <c r="H61" i="32" s="1"/>
  <c r="H60" i="32"/>
  <c r="F60" i="32"/>
  <c r="F59" i="32"/>
  <c r="H59" i="32" s="1"/>
  <c r="H58" i="32"/>
  <c r="F58" i="32"/>
  <c r="F57" i="32"/>
  <c r="H57" i="32" s="1"/>
  <c r="H56" i="32"/>
  <c r="F56" i="32"/>
  <c r="F55" i="32"/>
  <c r="H55" i="32" s="1"/>
  <c r="H54" i="32"/>
  <c r="F54" i="32"/>
  <c r="F53" i="32"/>
  <c r="H53" i="32" s="1"/>
  <c r="D52" i="32"/>
  <c r="F52" i="32" s="1"/>
  <c r="E46" i="32"/>
  <c r="H45" i="32"/>
  <c r="F45" i="32"/>
  <c r="F44" i="32"/>
  <c r="H44" i="32" s="1"/>
  <c r="F43" i="32"/>
  <c r="H43" i="32" s="1"/>
  <c r="F42" i="32"/>
  <c r="H42" i="32" s="1"/>
  <c r="F41" i="32"/>
  <c r="H41" i="32" s="1"/>
  <c r="F40" i="32"/>
  <c r="H40" i="32" s="1"/>
  <c r="F39" i="32"/>
  <c r="H39" i="32" s="1"/>
  <c r="F38" i="32"/>
  <c r="H38" i="32" s="1"/>
  <c r="F37" i="32"/>
  <c r="H37" i="32" s="1"/>
  <c r="F36" i="32"/>
  <c r="H36" i="32" s="1"/>
  <c r="H35" i="32"/>
  <c r="F35" i="32"/>
  <c r="C35" i="32"/>
  <c r="F34" i="32"/>
  <c r="H34" i="32" s="1"/>
  <c r="C34" i="32"/>
  <c r="F33" i="32"/>
  <c r="C33" i="32"/>
  <c r="K22" i="41" l="1"/>
  <c r="K20" i="41"/>
  <c r="K19" i="41"/>
  <c r="K19" i="40"/>
  <c r="K21" i="40"/>
  <c r="K22" i="37"/>
  <c r="K18" i="37"/>
  <c r="M18" i="37" s="1"/>
  <c r="K21" i="35"/>
  <c r="H44" i="38"/>
  <c r="F44" i="38"/>
  <c r="F60" i="38"/>
  <c r="K20" i="31"/>
  <c r="K22" i="31"/>
  <c r="K19" i="31"/>
  <c r="K21" i="31"/>
  <c r="K19" i="32"/>
  <c r="K21" i="32"/>
  <c r="F46" i="32"/>
  <c r="M19" i="37"/>
  <c r="K19" i="35"/>
  <c r="K22" i="35"/>
  <c r="K18" i="31"/>
  <c r="M18" i="31" s="1"/>
  <c r="M19" i="31" s="1"/>
  <c r="M20" i="31" s="1"/>
  <c r="H34" i="39"/>
  <c r="H35" i="39" s="1"/>
  <c r="K19" i="39"/>
  <c r="M19" i="39" s="1"/>
  <c r="M20" i="39" s="1"/>
  <c r="K21" i="39"/>
  <c r="F45" i="41"/>
  <c r="H42" i="41"/>
  <c r="H45" i="41" s="1"/>
  <c r="H32" i="41"/>
  <c r="H37" i="41" s="1"/>
  <c r="F37" i="41"/>
  <c r="K18" i="41"/>
  <c r="M18" i="41" s="1"/>
  <c r="K21" i="41"/>
  <c r="H39" i="40"/>
  <c r="H41" i="40" s="1"/>
  <c r="F41" i="40"/>
  <c r="F34" i="40"/>
  <c r="K18" i="40"/>
  <c r="M18" i="40" s="1"/>
  <c r="M19" i="40" s="1"/>
  <c r="M20" i="40" s="1"/>
  <c r="K22" i="29"/>
  <c r="K21" i="29"/>
  <c r="K19" i="29"/>
  <c r="K18" i="29"/>
  <c r="M18" i="29" s="1"/>
  <c r="M19" i="29" s="1"/>
  <c r="K20" i="29"/>
  <c r="H60" i="29"/>
  <c r="H81" i="29" s="1"/>
  <c r="H82" i="29" s="1"/>
  <c r="H32" i="29"/>
  <c r="H55" i="29" s="1"/>
  <c r="H37" i="37"/>
  <c r="H32" i="37"/>
  <c r="H36" i="37" s="1"/>
  <c r="H38" i="37" s="1"/>
  <c r="K20" i="37"/>
  <c r="H39" i="33"/>
  <c r="H41" i="33" s="1"/>
  <c r="H32" i="33"/>
  <c r="H34" i="33" s="1"/>
  <c r="M19" i="33"/>
  <c r="M20" i="33" s="1"/>
  <c r="M21" i="33" s="1"/>
  <c r="M22" i="33" s="1"/>
  <c r="H33" i="36"/>
  <c r="H34" i="36" s="1"/>
  <c r="K18" i="36"/>
  <c r="M18" i="36" s="1"/>
  <c r="M19" i="36" s="1"/>
  <c r="K20" i="36"/>
  <c r="K18" i="28"/>
  <c r="M18" i="28" s="1"/>
  <c r="M19" i="28" s="1"/>
  <c r="M20" i="28" s="1"/>
  <c r="K21" i="28"/>
  <c r="K18" i="35"/>
  <c r="M18" i="35" s="1"/>
  <c r="H65" i="35"/>
  <c r="H92" i="35" s="1"/>
  <c r="F92" i="35"/>
  <c r="H60" i="35"/>
  <c r="F60" i="35"/>
  <c r="K20" i="35"/>
  <c r="K21" i="38"/>
  <c r="K20" i="38"/>
  <c r="K19" i="38"/>
  <c r="H49" i="38"/>
  <c r="H60" i="38" s="1"/>
  <c r="H61" i="38" s="1"/>
  <c r="K18" i="38"/>
  <c r="M18" i="38" s="1"/>
  <c r="M19" i="38" s="1"/>
  <c r="K22" i="38"/>
  <c r="H45" i="31"/>
  <c r="H51" i="31" s="1"/>
  <c r="F51" i="31"/>
  <c r="H39" i="31"/>
  <c r="F39" i="31"/>
  <c r="M18" i="32"/>
  <c r="H52" i="32"/>
  <c r="H65" i="32" s="1"/>
  <c r="H66" i="32" s="1"/>
  <c r="F65" i="32"/>
  <c r="H33" i="32"/>
  <c r="H46" i="32" s="1"/>
  <c r="E14" i="39"/>
  <c r="E14" i="41"/>
  <c r="E14" i="40"/>
  <c r="E14" i="29"/>
  <c r="E14" i="37"/>
  <c r="E14" i="33"/>
  <c r="E14" i="36"/>
  <c r="E14" i="28"/>
  <c r="E14" i="35"/>
  <c r="E14" i="38"/>
  <c r="M19" i="41" l="1"/>
  <c r="M20" i="41" s="1"/>
  <c r="M21" i="41" s="1"/>
  <c r="M22" i="41" s="1"/>
  <c r="M24" i="41" s="1"/>
  <c r="M21" i="40"/>
  <c r="M22" i="40" s="1"/>
  <c r="M24" i="40" s="1"/>
  <c r="M20" i="37"/>
  <c r="M21" i="37" s="1"/>
  <c r="M22" i="37" s="1"/>
  <c r="M24" i="37" s="1"/>
  <c r="M19" i="35"/>
  <c r="M20" i="38"/>
  <c r="M21" i="38" s="1"/>
  <c r="M21" i="39"/>
  <c r="M22" i="39" s="1"/>
  <c r="H39" i="41"/>
  <c r="H38" i="41"/>
  <c r="H35" i="40"/>
  <c r="H36" i="40" s="1"/>
  <c r="M20" i="29"/>
  <c r="M21" i="29" s="1"/>
  <c r="M22" i="29" s="1"/>
  <c r="M24" i="29" s="1"/>
  <c r="H56" i="29"/>
  <c r="H57" i="29" s="1"/>
  <c r="H58" i="29" s="1"/>
  <c r="H35" i="33"/>
  <c r="H36" i="33" s="1"/>
  <c r="M20" i="36"/>
  <c r="M21" i="36" s="1"/>
  <c r="M22" i="36" s="1"/>
  <c r="M21" i="28"/>
  <c r="M22" i="28" s="1"/>
  <c r="H61" i="35"/>
  <c r="H62" i="35" s="1"/>
  <c r="M20" i="35"/>
  <c r="M21" i="35" s="1"/>
  <c r="M22" i="35" s="1"/>
  <c r="M24" i="35" s="1"/>
  <c r="H45" i="38"/>
  <c r="H46" i="38" s="1"/>
  <c r="H47" i="38" s="1"/>
  <c r="M22" i="38"/>
  <c r="M24" i="38" s="1"/>
  <c r="H40" i="31"/>
  <c r="H41" i="31" s="1"/>
  <c r="M21" i="31"/>
  <c r="M22" i="31" s="1"/>
  <c r="M24" i="31" s="1"/>
  <c r="M19" i="32"/>
  <c r="M20" i="32" s="1"/>
  <c r="M21" i="32" s="1"/>
  <c r="M22" i="32" s="1"/>
  <c r="M24" i="32" s="1"/>
  <c r="H47" i="32"/>
  <c r="H48" i="32" s="1"/>
  <c r="E14" i="31"/>
  <c r="E14" i="32"/>
  <c r="E13" i="39" l="1"/>
  <c r="E13" i="41"/>
  <c r="E13" i="40"/>
  <c r="E13" i="29"/>
  <c r="E13" i="37"/>
  <c r="E13" i="33"/>
  <c r="E13" i="36"/>
  <c r="E13" i="28"/>
  <c r="E13" i="35"/>
  <c r="E13" i="38"/>
  <c r="E13" i="31"/>
  <c r="E13" i="32"/>
  <c r="E12" i="39" l="1"/>
  <c r="E12" i="41"/>
  <c r="E12" i="40"/>
  <c r="E12" i="29"/>
  <c r="E12" i="37"/>
  <c r="E12" i="33"/>
  <c r="E12" i="36"/>
  <c r="E12" i="28"/>
  <c r="E12" i="35"/>
  <c r="E12" i="38"/>
  <c r="E12" i="31"/>
  <c r="E12" i="32"/>
  <c r="E11" i="39" l="1"/>
  <c r="E11" i="41"/>
  <c r="E11" i="40"/>
  <c r="E11" i="29"/>
  <c r="E11" i="37"/>
  <c r="E10" i="37"/>
  <c r="E11" i="33"/>
  <c r="E11" i="36"/>
  <c r="E11" i="28"/>
  <c r="E11" i="35"/>
  <c r="E11" i="38"/>
  <c r="E11" i="31"/>
  <c r="E11" i="32"/>
  <c r="E10" i="41" l="1"/>
  <c r="E10" i="40"/>
  <c r="E10" i="29"/>
  <c r="E10" i="38"/>
  <c r="E10" i="31"/>
  <c r="E10" i="32"/>
  <c r="G14" i="41" l="1"/>
  <c r="H14" i="41"/>
  <c r="L14" i="41" s="1"/>
  <c r="H13" i="41"/>
  <c r="L13" i="41" s="1"/>
  <c r="G13" i="41"/>
  <c r="H12" i="41"/>
  <c r="L12" i="41" s="1"/>
  <c r="G12" i="41"/>
  <c r="H11" i="41"/>
  <c r="L11" i="41" s="1"/>
  <c r="G11" i="41"/>
  <c r="H10" i="41"/>
  <c r="L10" i="41" s="1"/>
  <c r="G10" i="41"/>
  <c r="K13" i="41" l="1"/>
  <c r="K11" i="41"/>
  <c r="K14" i="41"/>
  <c r="K10" i="41"/>
  <c r="M10" i="41" s="1"/>
  <c r="K12" i="41"/>
  <c r="M11" i="41" l="1"/>
  <c r="M12" i="41" l="1"/>
  <c r="M13" i="41" s="1"/>
  <c r="M14" i="41" s="1"/>
  <c r="H13" i="39" l="1"/>
  <c r="L13" i="39" s="1"/>
  <c r="G13" i="39"/>
  <c r="H12" i="39"/>
  <c r="L12" i="39" s="1"/>
  <c r="G12" i="39"/>
  <c r="H11" i="39"/>
  <c r="L11" i="39" s="1"/>
  <c r="G11" i="39"/>
  <c r="H10" i="39"/>
  <c r="L10" i="39" s="1"/>
  <c r="G10" i="39"/>
  <c r="K12" i="39" l="1"/>
  <c r="K10" i="39"/>
  <c r="K11" i="39"/>
  <c r="K13" i="39"/>
  <c r="H14" i="40" l="1"/>
  <c r="L14" i="40" s="1"/>
  <c r="G14" i="40"/>
  <c r="H13" i="40"/>
  <c r="L13" i="40" s="1"/>
  <c r="G13" i="40"/>
  <c r="H12" i="40"/>
  <c r="L12" i="40" s="1"/>
  <c r="G12" i="40"/>
  <c r="H11" i="40"/>
  <c r="L11" i="40" s="1"/>
  <c r="G11" i="40"/>
  <c r="H10" i="40"/>
  <c r="L10" i="40" s="1"/>
  <c r="G10" i="40"/>
  <c r="K13" i="40" l="1"/>
  <c r="K14" i="40"/>
  <c r="K12" i="40"/>
  <c r="K10" i="40"/>
  <c r="M10" i="40" s="1"/>
  <c r="K11" i="40"/>
  <c r="M10" i="39"/>
  <c r="M11" i="39" l="1"/>
  <c r="M11" i="40"/>
  <c r="M12" i="39" l="1"/>
  <c r="M13" i="39" s="1"/>
  <c r="M12" i="40"/>
  <c r="M13" i="40" l="1"/>
  <c r="M14" i="40" l="1"/>
  <c r="H14" i="39" l="1"/>
  <c r="L14" i="39" s="1"/>
  <c r="G14" i="39"/>
  <c r="G13" i="29"/>
  <c r="H12" i="29"/>
  <c r="L12" i="29" s="1"/>
  <c r="H10" i="29"/>
  <c r="L10" i="29" s="1"/>
  <c r="G10" i="29"/>
  <c r="G11" i="29"/>
  <c r="H11" i="29"/>
  <c r="L11" i="29" s="1"/>
  <c r="G12" i="29"/>
  <c r="H13" i="29"/>
  <c r="L13" i="29" s="1"/>
  <c r="G14" i="29"/>
  <c r="H14" i="29"/>
  <c r="L14" i="29" s="1"/>
  <c r="K14" i="29" l="1"/>
  <c r="K12" i="29"/>
  <c r="K14" i="39"/>
  <c r="K13" i="29"/>
  <c r="K11" i="29"/>
  <c r="K10" i="29"/>
  <c r="M10" i="29" s="1"/>
  <c r="M14" i="39" l="1"/>
  <c r="M11" i="29"/>
  <c r="G12" i="37"/>
  <c r="H13" i="37"/>
  <c r="L13" i="37" s="1"/>
  <c r="G11" i="37"/>
  <c r="H11" i="37"/>
  <c r="L11" i="37" s="1"/>
  <c r="H12" i="37"/>
  <c r="L12" i="37" s="1"/>
  <c r="G13" i="37"/>
  <c r="G14" i="37"/>
  <c r="H14" i="37"/>
  <c r="L14" i="37" s="1"/>
  <c r="H10" i="37"/>
  <c r="L10" i="37" s="1"/>
  <c r="G10" i="37"/>
  <c r="G14" i="33"/>
  <c r="G13" i="33"/>
  <c r="G11" i="33"/>
  <c r="H11" i="33"/>
  <c r="L11" i="33" s="1"/>
  <c r="G12" i="33"/>
  <c r="H12" i="33"/>
  <c r="L12" i="33" s="1"/>
  <c r="H13" i="33"/>
  <c r="L13" i="33" s="1"/>
  <c r="H14" i="33"/>
  <c r="L14" i="33" s="1"/>
  <c r="H10" i="33"/>
  <c r="L10" i="33" s="1"/>
  <c r="G10" i="33"/>
  <c r="G11" i="36"/>
  <c r="H11" i="36"/>
  <c r="L11" i="36" s="1"/>
  <c r="G12" i="36"/>
  <c r="H12" i="36"/>
  <c r="L12" i="36" s="1"/>
  <c r="G13" i="36"/>
  <c r="H13" i="36"/>
  <c r="L13" i="36" s="1"/>
  <c r="G14" i="36"/>
  <c r="H14" i="36"/>
  <c r="L14" i="36" s="1"/>
  <c r="H10" i="36"/>
  <c r="L10" i="36" s="1"/>
  <c r="G10" i="36"/>
  <c r="G13" i="28"/>
  <c r="G12" i="28"/>
  <c r="G14" i="28"/>
  <c r="G10" i="28"/>
  <c r="G11" i="28"/>
  <c r="H11" i="28"/>
  <c r="L11" i="28" s="1"/>
  <c r="H12" i="28"/>
  <c r="L12" i="28" s="1"/>
  <c r="H13" i="28"/>
  <c r="L13" i="28" s="1"/>
  <c r="H14" i="28"/>
  <c r="L14" i="28" s="1"/>
  <c r="H10" i="28"/>
  <c r="L10" i="28" s="1"/>
  <c r="G14" i="35"/>
  <c r="H10" i="35"/>
  <c r="L10" i="35" s="1"/>
  <c r="H13" i="35"/>
  <c r="L13" i="35" s="1"/>
  <c r="H12" i="35"/>
  <c r="L12" i="35" s="1"/>
  <c r="G11" i="35"/>
  <c r="H11" i="35"/>
  <c r="L11" i="35" s="1"/>
  <c r="G12" i="35"/>
  <c r="G13" i="35"/>
  <c r="H14" i="35"/>
  <c r="L14" i="35" s="1"/>
  <c r="G10" i="35"/>
  <c r="M12" i="29" l="1"/>
  <c r="M13" i="29" s="1"/>
  <c r="K14" i="37"/>
  <c r="K11" i="37"/>
  <c r="K11" i="28"/>
  <c r="K10" i="37"/>
  <c r="M10" i="37" s="1"/>
  <c r="K13" i="37"/>
  <c r="K10" i="33"/>
  <c r="M10" i="33" s="1"/>
  <c r="K13" i="33"/>
  <c r="K12" i="33"/>
  <c r="K11" i="33"/>
  <c r="K14" i="36"/>
  <c r="K12" i="36"/>
  <c r="K10" i="36"/>
  <c r="M10" i="36" s="1"/>
  <c r="K10" i="28"/>
  <c r="K12" i="37"/>
  <c r="K13" i="36"/>
  <c r="K11" i="36"/>
  <c r="K13" i="35"/>
  <c r="K12" i="35"/>
  <c r="K14" i="33"/>
  <c r="K14" i="28"/>
  <c r="K13" i="28"/>
  <c r="K12" i="28"/>
  <c r="K14" i="35"/>
  <c r="K11" i="35"/>
  <c r="K10" i="35"/>
  <c r="G11" i="38"/>
  <c r="H11" i="38"/>
  <c r="L11" i="38" s="1"/>
  <c r="G12" i="38"/>
  <c r="H12" i="38"/>
  <c r="L12" i="38" s="1"/>
  <c r="G13" i="38"/>
  <c r="H13" i="38"/>
  <c r="L13" i="38" s="1"/>
  <c r="G14" i="38"/>
  <c r="H14" i="38"/>
  <c r="L14" i="38" s="1"/>
  <c r="H10" i="38"/>
  <c r="L10" i="38" s="1"/>
  <c r="G10" i="38"/>
  <c r="G14" i="31"/>
  <c r="H11" i="31"/>
  <c r="L11" i="31" s="1"/>
  <c r="H13" i="31"/>
  <c r="L13" i="31" s="1"/>
  <c r="G11" i="31"/>
  <c r="G12" i="31"/>
  <c r="H12" i="31"/>
  <c r="L12" i="31" s="1"/>
  <c r="G13" i="31"/>
  <c r="H14" i="31"/>
  <c r="L14" i="31" s="1"/>
  <c r="H10" i="31"/>
  <c r="L10" i="31" s="1"/>
  <c r="G10" i="31"/>
  <c r="M14" i="29" l="1"/>
  <c r="K14" i="38"/>
  <c r="M11" i="37"/>
  <c r="M11" i="33"/>
  <c r="M11" i="36"/>
  <c r="M10" i="28"/>
  <c r="M10" i="35"/>
  <c r="K13" i="38"/>
  <c r="K11" i="31"/>
  <c r="K10" i="31"/>
  <c r="K12" i="31"/>
  <c r="K13" i="31"/>
  <c r="K12" i="38"/>
  <c r="K11" i="38"/>
  <c r="K10" i="38"/>
  <c r="M10" i="38" s="1"/>
  <c r="K14" i="31"/>
  <c r="M12" i="37" l="1"/>
  <c r="M13" i="37" s="1"/>
  <c r="M14" i="37" s="1"/>
  <c r="M12" i="33"/>
  <c r="M13" i="33" s="1"/>
  <c r="M14" i="33" s="1"/>
  <c r="M12" i="36"/>
  <c r="M13" i="36" s="1"/>
  <c r="M14" i="36" s="1"/>
  <c r="M11" i="28"/>
  <c r="M11" i="35"/>
  <c r="M11" i="38"/>
  <c r="Q10" i="38"/>
  <c r="Q11" i="38" s="1"/>
  <c r="Q12" i="38" s="1"/>
  <c r="Q13" i="38" s="1"/>
  <c r="Q14" i="38" s="1"/>
  <c r="M10" i="31"/>
  <c r="M12" i="28" l="1"/>
  <c r="M13" i="28" s="1"/>
  <c r="M14" i="28" s="1"/>
  <c r="M12" i="35"/>
  <c r="M12" i="38"/>
  <c r="M11" i="31"/>
  <c r="G11" i="32"/>
  <c r="H11" i="32"/>
  <c r="G12" i="32"/>
  <c r="H12" i="32"/>
  <c r="L12" i="32" s="1"/>
  <c r="G13" i="32"/>
  <c r="H13" i="32"/>
  <c r="L13" i="32" s="1"/>
  <c r="G14" i="32"/>
  <c r="H14" i="32"/>
  <c r="L14" i="32" s="1"/>
  <c r="L11" i="32" l="1"/>
  <c r="K11" i="32" s="1"/>
  <c r="M13" i="38"/>
  <c r="M13" i="35"/>
  <c r="M12" i="31"/>
  <c r="K13" i="32"/>
  <c r="K14" i="32"/>
  <c r="K12" i="32"/>
  <c r="M14" i="35" l="1"/>
  <c r="M14" i="38"/>
  <c r="M13" i="31"/>
  <c r="H10" i="32"/>
  <c r="L10" i="32" s="1"/>
  <c r="G10" i="32"/>
  <c r="M14" i="31" l="1"/>
  <c r="K10" i="32"/>
  <c r="Q10" i="32" l="1"/>
  <c r="Q11" i="32" s="1"/>
  <c r="Q12" i="32" s="1"/>
  <c r="Q13" i="32" s="1"/>
  <c r="Q14" i="32" s="1"/>
  <c r="M10" i="32"/>
  <c r="M11" i="32" l="1"/>
  <c r="O11" i="39"/>
  <c r="O12" i="39" s="1"/>
  <c r="M12" i="32" l="1"/>
  <c r="O13" i="39"/>
  <c r="O14" i="39" s="1"/>
  <c r="M13" i="32" l="1"/>
  <c r="M14" i="32" s="1"/>
  <c r="O15" i="39"/>
  <c r="O11" i="29" l="1"/>
  <c r="O12" i="29" s="1"/>
  <c r="O11" i="37"/>
  <c r="O12" i="37" s="1"/>
  <c r="Q15" i="38" l="1"/>
  <c r="O13" i="29"/>
  <c r="O14" i="29" s="1"/>
  <c r="O15" i="29"/>
  <c r="O13" i="37"/>
  <c r="O14" i="37" s="1"/>
  <c r="O15" i="37"/>
</calcChain>
</file>

<file path=xl/sharedStrings.xml><?xml version="1.0" encoding="utf-8"?>
<sst xmlns="http://schemas.openxmlformats.org/spreadsheetml/2006/main" count="457" uniqueCount="63">
  <si>
    <t>Month</t>
  </si>
  <si>
    <t>Plant Balance</t>
  </si>
  <si>
    <t>Book Depreciation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</si>
  <si>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</si>
  <si>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</si>
  <si>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</si>
  <si>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</si>
  <si>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</si>
  <si>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</si>
  <si>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Project 31 - Trimble County Ash Treatment Basin (BAP/GSP)</t>
  </si>
  <si>
    <t>2009 - Plan</t>
  </si>
  <si>
    <t xml:space="preserve"> </t>
  </si>
  <si>
    <t>2011 - Plan</t>
  </si>
  <si>
    <t>Project 35 - Ghent Station Air Compliance</t>
  </si>
  <si>
    <t>Project 29 - ATB Expansion at E.W. Brown Station (Phase II)</t>
  </si>
  <si>
    <t>Project 28 - Brown 3 SCR</t>
  </si>
  <si>
    <t>Project 33 - Beneficial Reuse</t>
  </si>
  <si>
    <t>Project 30 - Ghent CCP Storage (Landfill-Phase I)</t>
  </si>
  <si>
    <t>Project 32 - Trimble County CCP Storage (Landfill - Phase I)</t>
  </si>
  <si>
    <t>Project 34 - E.W. Brown Station Air Compliance</t>
  </si>
  <si>
    <t>Project 29 - Brown Landfill (Phase I)</t>
  </si>
  <si>
    <t>2016 - Plan</t>
  </si>
  <si>
    <t>Project 41 -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</si>
  <si>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</si>
  <si>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</si>
  <si>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</si>
  <si>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</si>
  <si>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</si>
  <si>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</si>
  <si>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</si>
  <si>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</si>
  <si>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is computed separately for Federal and State purposes.  Specifically, for Federal taxes, certain assets received 50% bonus</t>
  </si>
  <si>
    <t>is shown below:</t>
  </si>
  <si>
    <t xml:space="preserve">Due to Bonus Depreciation for tax purposes taken on certain components of Project 28, the deferred tax calculation for this project </t>
  </si>
  <si>
    <t>Federal Basis</t>
  </si>
  <si>
    <t>Book Depr.</t>
  </si>
  <si>
    <t>Federal Tax Depr</t>
  </si>
  <si>
    <t>Fed. Difference</t>
  </si>
  <si>
    <t>Fed Def Tax</t>
  </si>
  <si>
    <t>State Basis</t>
  </si>
  <si>
    <t>State Tax Depr</t>
  </si>
  <si>
    <t>St. Difference</t>
  </si>
  <si>
    <t>St Def Tax</t>
  </si>
  <si>
    <t>Subtotal</t>
  </si>
  <si>
    <t>State Offset</t>
  </si>
  <si>
    <t xml:space="preserve">Due to Bonus Depreciation for tax purposes taken on certain components of Project 29 of the 2009 Plan, the deferred tax calculation for this project </t>
  </si>
  <si>
    <t xml:space="preserve">Due to Bonus Depreciation for tax purposes taken on certain components of Project 29 of the 2011 Plan, the deferred tax calculation for this project </t>
  </si>
  <si>
    <t xml:space="preserve">Due to Bonus Depreciation for tax purposes taken on certain components of Project 30, the deferred tax calculation for this project 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</si>
  <si>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</si>
  <si>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34,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</si>
  <si>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</si>
  <si>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35, the deferred tax calculation for this project </t>
  </si>
  <si>
    <t xml:space="preserve">Due to Bonus Depreciation for tax purposes taken on certain components of Project 41, the deferred tax calculation for this project </t>
  </si>
  <si>
    <t>Project 37 - Ghent 2 WFGD Improvments</t>
  </si>
  <si>
    <t>Project 38 - Supplemental Mercury Control</t>
  </si>
  <si>
    <t>Revised due to IRS guidance on bonus depreciation issued in August 2018 and a change in the state income rate from 6% to 5%.</t>
  </si>
  <si>
    <t>depreciation, which reduces the Federal tax basis to 50% of the plant balance.  A sample calculation of deferred taxes for Aug 2018</t>
  </si>
  <si>
    <t>The federal deferred tax column includes an amount for amortization of excess deferred tax amounts.</t>
  </si>
  <si>
    <t>Excess deferred tax amortization</t>
  </si>
  <si>
    <t xml:space="preserve">Due to Bonus Depreciation for tax purposes taken on certain components of Project 37, the deferred tax calculation for this project </t>
  </si>
  <si>
    <t xml:space="preserve">Due to Bonus Depreciation for tax purposes taken on certain components of Project 38, the deferred tax calculation for this project </t>
  </si>
  <si>
    <t>is computed separately for Federal and State purposes.  Specifically, for Federal taxes, certain assets received 40% or 50% bonus</t>
  </si>
  <si>
    <t>depreciation, which reduces the Federal tax basis to 40% or 50% of the plant balance.  A sample calculation of deferred taxes for Aug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</si>
</sst>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%"/>
    <numFmt numFmtId="167" formatCode="_(* #,##0.00_);_(* \(#,##0.00\);_(* &quot;-&quot;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165" fontId="2" fillId="0" borderId="0" xfId="0" applyNumberFormat="1" applyFont="1" applyFill="1" applyAlignment="1"/>
    <xf numFmtId="0" fontId="2" fillId="0" borderId="0" xfId="0" applyFont="1" applyFill="1" applyAlignment="1"/>
    <xf numFmtId="165" fontId="0" fillId="0" borderId="0" xfId="0" applyNumberFormat="1"/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1" fontId="0" fillId="0" borderId="0" xfId="0" applyNumberFormat="1"/>
    <xf numFmtId="166" fontId="0" fillId="0" borderId="0" xfId="0" applyNumberFormat="1"/>
    <xf numFmtId="165" fontId="3" fillId="0" borderId="0" xfId="0" quotePrefix="1" applyNumberFormat="1" applyFont="1" applyFill="1" applyBorder="1" applyAlignment="1">
      <alignment horizontal="left"/>
    </xf>
    <xf numFmtId="164" fontId="1" fillId="0" borderId="0" xfId="1" applyNumberFormat="1"/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/>
    <xf numFmtId="164" fontId="4" fillId="0" borderId="0" xfId="1" applyNumberFormat="1" applyFont="1"/>
    <xf numFmtId="165" fontId="4" fillId="0" borderId="0" xfId="0" applyNumberFormat="1" applyFont="1" applyAlignment="1">
      <alignment horizontal="left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4" fillId="0" borderId="0" xfId="0" applyFont="1"/>
    <xf numFmtId="43" fontId="4" fillId="0" borderId="0" xfId="1" applyFont="1"/>
    <xf numFmtId="41" fontId="4" fillId="0" borderId="0" xfId="0" applyNumberFormat="1" applyFont="1"/>
    <xf numFmtId="164" fontId="0" fillId="0" borderId="0" xfId="1" applyNumberFormat="1" applyFont="1"/>
    <xf numFmtId="41" fontId="0" fillId="0" borderId="0" xfId="0" applyNumberFormat="1" applyFill="1"/>
    <xf numFmtId="164" fontId="1" fillId="0" borderId="0" xfId="1" applyNumberFormat="1" applyFont="1"/>
    <xf numFmtId="41" fontId="1" fillId="0" borderId="0" xfId="0" quotePrefix="1" applyNumberFormat="1" applyFont="1" applyFill="1" applyAlignment="1">
      <alignment horizontal="left"/>
    </xf>
    <xf numFmtId="164" fontId="1" fillId="0" borderId="0" xfId="3" applyNumberFormat="1" applyFont="1" applyFill="1"/>
    <xf numFmtId="43" fontId="1" fillId="0" borderId="0" xfId="3" applyFont="1" applyFill="1"/>
    <xf numFmtId="164" fontId="1" fillId="0" borderId="0" xfId="3" quotePrefix="1" applyNumberFormat="1" applyFont="1" applyFill="1" applyAlignment="1">
      <alignment horizontal="left"/>
    </xf>
    <xf numFmtId="166" fontId="0" fillId="0" borderId="0" xfId="0" applyNumberFormat="1" applyFill="1"/>
    <xf numFmtId="41" fontId="8" fillId="0" borderId="0" xfId="0" applyNumberFormat="1" applyFont="1" applyFill="1"/>
    <xf numFmtId="41" fontId="8" fillId="0" borderId="0" xfId="0" applyNumberFormat="1" applyFont="1"/>
    <xf numFmtId="164" fontId="8" fillId="0" borderId="0" xfId="0" applyNumberFormat="1" applyFont="1"/>
    <xf numFmtId="0" fontId="1" fillId="0" borderId="0" xfId="0" applyFont="1"/>
    <xf numFmtId="164" fontId="0" fillId="0" borderId="0" xfId="1" applyNumberFormat="1" applyFont="1" applyBorder="1" applyAlignment="1">
      <alignment horizontal="center"/>
    </xf>
    <xf numFmtId="37" fontId="0" fillId="0" borderId="0" xfId="0" applyNumberFormat="1" applyBorder="1"/>
    <xf numFmtId="37" fontId="0" fillId="0" borderId="0" xfId="0" applyNumberFormat="1" applyFill="1" applyBorder="1"/>
    <xf numFmtId="164" fontId="8" fillId="0" borderId="0" xfId="1" applyNumberFormat="1" applyFont="1" applyBorder="1" applyAlignment="1">
      <alignment horizontal="center"/>
    </xf>
    <xf numFmtId="37" fontId="0" fillId="0" borderId="0" xfId="0" applyNumberFormat="1" applyFill="1"/>
    <xf numFmtId="164" fontId="8" fillId="0" borderId="0" xfId="1" applyNumberFormat="1" applyFont="1"/>
    <xf numFmtId="41" fontId="1" fillId="0" borderId="0" xfId="0" applyNumberFormat="1" applyFont="1"/>
    <xf numFmtId="165" fontId="1" fillId="0" borderId="0" xfId="8" applyNumberFormat="1" applyFont="1" applyAlignment="1">
      <alignment horizontal="left"/>
    </xf>
    <xf numFmtId="167" fontId="4" fillId="0" borderId="0" xfId="0" applyNumberFormat="1" applyFont="1"/>
    <xf numFmtId="167" fontId="0" fillId="0" borderId="0" xfId="0" applyNumberFormat="1"/>
    <xf numFmtId="165" fontId="1" fillId="0" borderId="0" xfId="0" applyNumberFormat="1" applyFont="1" applyAlignment="1">
      <alignment horizontal="left"/>
    </xf>
    <xf numFmtId="41" fontId="1" fillId="0" borderId="0" xfId="0" applyNumberFormat="1" applyFont="1" applyFill="1"/>
    <xf numFmtId="164" fontId="1" fillId="0" borderId="0" xfId="0" applyNumberFormat="1" applyFont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6" fontId="1" fillId="0" borderId="0" xfId="0" applyNumberFormat="1" applyFont="1"/>
    <xf numFmtId="0" fontId="1" fillId="0" borderId="0" xfId="0" applyFont="1" applyFill="1"/>
    <xf numFmtId="164" fontId="4" fillId="0" borderId="0" xfId="1" applyNumberFormat="1" applyFont="1" applyFill="1"/>
    <xf numFmtId="164" fontId="0" fillId="0" borderId="0" xfId="1" applyNumberFormat="1" applyFont="1" applyFill="1"/>
    <xf numFmtId="164" fontId="1" fillId="0" borderId="0" xfId="1" applyNumberFormat="1" applyFont="1" applyFill="1"/>
    <xf numFmtId="165" fontId="1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5" xfId="7"/>
    <cellStyle name="Normal" xfId="0" builtinId="0"/>
    <cellStyle name="Norm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6"/>
  <sheetViews>
    <sheetView tabSelected="1" zoomScaleNormal="100" workbookViewId="0">
      <selection activeCell="O10" sqref="O10:O12"/>
    </sheetView>
  </sheetViews>
  <sheetFormatPr defaultRowHeight="12.75" x14ac:dyDescent="0.2"/>
  <cols>
    <col min="1" max="1" width="13.140625" style="3" customWidth="1"/>
    <col min="2" max="2" width="1.7109375" customWidth="1"/>
    <col min="3" max="3" width="12.7109375" customWidth="1"/>
    <col min="4" max="4" width="14.28515625" bestFit="1" customWidth="1"/>
    <col min="5" max="5" width="15.28515625" customWidth="1"/>
    <col min="6" max="6" width="14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4.7109375" bestFit="1" customWidth="1"/>
    <col min="17" max="17" width="14" hidden="1" customWidth="1"/>
    <col min="18" max="18" width="14.5703125" bestFit="1" customWidth="1"/>
    <col min="19" max="19" width="15.140625" bestFit="1" customWidth="1"/>
  </cols>
  <sheetData>
    <row r="1" spans="1:17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3"/>
      <c r="P1" s="13"/>
    </row>
    <row r="2" spans="1:17" x14ac:dyDescent="0.2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3"/>
      <c r="P2" s="13"/>
    </row>
    <row r="3" spans="1:17" x14ac:dyDescent="0.2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10</v>
      </c>
    </row>
    <row r="6" spans="1:17" x14ac:dyDescent="0.2">
      <c r="A6" s="11" t="s">
        <v>15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27918378.999253999</v>
      </c>
      <c r="P9" s="17"/>
    </row>
    <row r="10" spans="1:17" x14ac:dyDescent="0.2">
      <c r="A10" s="42">
        <v>43160</v>
      </c>
      <c r="C10" s="7">
        <v>100049070</v>
      </c>
      <c r="D10" s="15">
        <v>220942</v>
      </c>
      <c r="E10" s="15">
        <f>105752.46-61694.66</f>
        <v>44057.8</v>
      </c>
      <c r="F10" s="15">
        <v>211504.93</v>
      </c>
      <c r="G10" s="15">
        <f t="shared" ref="G10:G14" si="0">E10-D10</f>
        <v>-176884.2</v>
      </c>
      <c r="H10" s="15">
        <f t="shared" ref="H10:H14" si="1">F10-D10</f>
        <v>-9437.070000000007</v>
      </c>
      <c r="I10" s="8">
        <v>0.21</v>
      </c>
      <c r="J10" s="8">
        <v>0.06</v>
      </c>
      <c r="K10" s="15">
        <f t="shared" ref="K10:K14" si="2">G10*I10-L10*I10</f>
        <v>-37026.774918000003</v>
      </c>
      <c r="L10" s="15">
        <f t="shared" ref="L10:L14" si="3">H10*J10</f>
        <v>-566.22420000000045</v>
      </c>
      <c r="M10" s="7">
        <f t="shared" ref="M10:M14" si="4">M9+K10+L10</f>
        <v>27880786.000135999</v>
      </c>
      <c r="N10" s="7">
        <v>236626.3</v>
      </c>
      <c r="O10" s="21"/>
      <c r="P10" s="17"/>
      <c r="Q10" s="19">
        <f>M9+K10+L10</f>
        <v>27880786.000135999</v>
      </c>
    </row>
    <row r="11" spans="1:17" x14ac:dyDescent="0.2">
      <c r="A11" s="42">
        <v>43191</v>
      </c>
      <c r="C11" s="7">
        <v>100049070</v>
      </c>
      <c r="D11" s="15">
        <v>220942</v>
      </c>
      <c r="E11" s="15">
        <f>105752.46-61573.49</f>
        <v>44178.970000000008</v>
      </c>
      <c r="F11" s="15">
        <v>211504.93</v>
      </c>
      <c r="G11" s="15">
        <f t="shared" si="0"/>
        <v>-176763.03</v>
      </c>
      <c r="H11" s="15">
        <f t="shared" si="1"/>
        <v>-9437.070000000007</v>
      </c>
      <c r="I11" s="8">
        <v>0.21</v>
      </c>
      <c r="J11" s="8">
        <v>0.05</v>
      </c>
      <c r="K11" s="15">
        <f t="shared" si="2"/>
        <v>-37021.147064999997</v>
      </c>
      <c r="L11" s="15">
        <f t="shared" si="3"/>
        <v>-471.85350000000039</v>
      </c>
      <c r="M11" s="7">
        <f t="shared" si="4"/>
        <v>27843292.999570999</v>
      </c>
      <c r="N11" s="7">
        <v>236626.3</v>
      </c>
      <c r="O11" s="21"/>
      <c r="P11" s="17"/>
      <c r="Q11" s="19">
        <f>Q10+K11+L11</f>
        <v>27843292.999570999</v>
      </c>
    </row>
    <row r="12" spans="1:17" x14ac:dyDescent="0.2">
      <c r="A12" s="42">
        <v>43221</v>
      </c>
      <c r="C12" s="7">
        <v>100049070</v>
      </c>
      <c r="D12" s="15">
        <v>220942</v>
      </c>
      <c r="E12" s="15">
        <f>105752.46-61573.49</f>
        <v>44178.970000000008</v>
      </c>
      <c r="F12" s="15">
        <v>211504.93</v>
      </c>
      <c r="G12" s="15">
        <f t="shared" si="0"/>
        <v>-176763.03</v>
      </c>
      <c r="H12" s="15">
        <f t="shared" si="1"/>
        <v>-9437.070000000007</v>
      </c>
      <c r="I12" s="8">
        <v>0.21</v>
      </c>
      <c r="J12" s="8">
        <v>0.05</v>
      </c>
      <c r="K12" s="15">
        <f t="shared" si="2"/>
        <v>-37021.147064999997</v>
      </c>
      <c r="L12" s="15">
        <f t="shared" si="3"/>
        <v>-471.85350000000039</v>
      </c>
      <c r="M12" s="7">
        <f t="shared" si="4"/>
        <v>27805799.999005999</v>
      </c>
      <c r="N12" s="7">
        <v>236626.3</v>
      </c>
      <c r="O12" s="17"/>
      <c r="P12" s="17" t="s">
        <v>11</v>
      </c>
      <c r="Q12" s="19">
        <f>Q11+K12+L12</f>
        <v>27805799.999005999</v>
      </c>
    </row>
    <row r="13" spans="1:17" x14ac:dyDescent="0.2">
      <c r="A13" s="42">
        <v>43252</v>
      </c>
      <c r="C13" s="7">
        <v>100049070</v>
      </c>
      <c r="D13" s="15">
        <v>220942</v>
      </c>
      <c r="E13" s="15">
        <f>105752.46-61573.49</f>
        <v>44178.970000000008</v>
      </c>
      <c r="F13" s="15">
        <v>211504.93</v>
      </c>
      <c r="G13" s="15">
        <f t="shared" si="0"/>
        <v>-176763.03</v>
      </c>
      <c r="H13" s="15">
        <f t="shared" si="1"/>
        <v>-9437.070000000007</v>
      </c>
      <c r="I13" s="8">
        <v>0.21</v>
      </c>
      <c r="J13" s="8">
        <v>0.05</v>
      </c>
      <c r="K13" s="15">
        <f t="shared" si="2"/>
        <v>-37021.147064999997</v>
      </c>
      <c r="L13" s="15">
        <f t="shared" si="3"/>
        <v>-471.85350000000039</v>
      </c>
      <c r="M13" s="7">
        <f t="shared" si="4"/>
        <v>27768306.998441</v>
      </c>
      <c r="N13" s="7">
        <v>236626.3</v>
      </c>
      <c r="O13" s="18" t="s">
        <v>11</v>
      </c>
      <c r="P13" s="17" t="s">
        <v>11</v>
      </c>
      <c r="Q13" s="19">
        <f>Q12+K13+L13</f>
        <v>27768306.998441</v>
      </c>
    </row>
    <row r="14" spans="1:17" x14ac:dyDescent="0.2">
      <c r="A14" s="42">
        <v>43282</v>
      </c>
      <c r="C14" s="7">
        <v>100049070</v>
      </c>
      <c r="D14" s="15">
        <v>220942</v>
      </c>
      <c r="E14" s="15">
        <f>105752.46-61573.49</f>
        <v>44178.970000000008</v>
      </c>
      <c r="F14" s="15">
        <v>211504.93</v>
      </c>
      <c r="G14" s="15">
        <f t="shared" si="0"/>
        <v>-176763.03</v>
      </c>
      <c r="H14" s="15">
        <f t="shared" si="1"/>
        <v>-9437.070000000007</v>
      </c>
      <c r="I14" s="8">
        <v>0.21</v>
      </c>
      <c r="J14" s="8">
        <v>0.05</v>
      </c>
      <c r="K14" s="15">
        <f t="shared" si="2"/>
        <v>-37021.147064999997</v>
      </c>
      <c r="L14" s="15">
        <f t="shared" si="3"/>
        <v>-471.85350000000039</v>
      </c>
      <c r="M14" s="7">
        <f t="shared" si="4"/>
        <v>27730813.997876</v>
      </c>
      <c r="N14" s="7">
        <v>239243.63</v>
      </c>
      <c r="O14" s="7" t="s">
        <v>11</v>
      </c>
      <c r="P14" s="21"/>
      <c r="Q14" s="19">
        <f>Q13+K14+L14</f>
        <v>27730813.997876</v>
      </c>
    </row>
    <row r="15" spans="1:17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x14ac:dyDescent="0.2">
      <c r="A16" s="56" t="s">
        <v>55</v>
      </c>
      <c r="B16" s="57"/>
      <c r="C16" s="57"/>
      <c r="D16" s="57"/>
      <c r="E16" s="57"/>
      <c r="F16" s="57"/>
      <c r="G16" s="57"/>
      <c r="H16" s="57"/>
      <c r="I16" s="57"/>
      <c r="J16" s="7"/>
      <c r="K16" s="7"/>
      <c r="L16" s="7"/>
      <c r="M16" s="7"/>
      <c r="N16" s="7"/>
      <c r="O16" s="7"/>
      <c r="P16" s="7"/>
    </row>
    <row r="17" spans="1:16" x14ac:dyDescent="0.2">
      <c r="A17" s="3" t="s">
        <v>8</v>
      </c>
      <c r="M17" s="10">
        <v>27918528</v>
      </c>
      <c r="O17" s="7"/>
      <c r="P17" s="7"/>
    </row>
    <row r="18" spans="1:16" x14ac:dyDescent="0.2">
      <c r="A18" s="42">
        <v>43160</v>
      </c>
      <c r="C18" s="7">
        <v>100049070</v>
      </c>
      <c r="D18" s="15">
        <v>220942</v>
      </c>
      <c r="E18" s="15">
        <v>105751</v>
      </c>
      <c r="F18" s="15">
        <v>211504.93</v>
      </c>
      <c r="G18" s="15">
        <f t="shared" ref="G18:G22" si="5">E18-D18</f>
        <v>-115191</v>
      </c>
      <c r="H18" s="15">
        <f t="shared" ref="H18:H22" si="6">F18-D18</f>
        <v>-9437.070000000007</v>
      </c>
      <c r="I18" s="8">
        <v>0.21</v>
      </c>
      <c r="J18" s="8">
        <v>0.05</v>
      </c>
      <c r="K18" s="15">
        <f>G18*I18-L18*I18-12955</f>
        <v>-37046.020765000001</v>
      </c>
      <c r="L18" s="15">
        <f t="shared" ref="L18:L22" si="7">H18*J18</f>
        <v>-471.85350000000039</v>
      </c>
      <c r="M18" s="7">
        <f t="shared" ref="M18:M22" si="8">M17+K18+L18</f>
        <v>27881010.125735</v>
      </c>
      <c r="N18" s="7">
        <v>236626.3</v>
      </c>
      <c r="O18" s="7"/>
      <c r="P18" s="7"/>
    </row>
    <row r="19" spans="1:16" x14ac:dyDescent="0.2">
      <c r="A19" s="42">
        <v>43191</v>
      </c>
      <c r="C19" s="7">
        <v>100049070</v>
      </c>
      <c r="D19" s="15">
        <v>220942</v>
      </c>
      <c r="E19" s="15">
        <v>105751</v>
      </c>
      <c r="F19" s="15">
        <v>211504.93</v>
      </c>
      <c r="G19" s="15">
        <f t="shared" si="5"/>
        <v>-115191</v>
      </c>
      <c r="H19" s="15">
        <f t="shared" si="6"/>
        <v>-9437.070000000007</v>
      </c>
      <c r="I19" s="8">
        <v>0.21</v>
      </c>
      <c r="J19" s="8">
        <v>0.05</v>
      </c>
      <c r="K19" s="15">
        <f>G19*I19-L19*I19-12955</f>
        <v>-37046.020765000001</v>
      </c>
      <c r="L19" s="15">
        <f t="shared" si="7"/>
        <v>-471.85350000000039</v>
      </c>
      <c r="M19" s="7">
        <f t="shared" si="8"/>
        <v>27843492.25147</v>
      </c>
      <c r="N19" s="7">
        <v>236626.3</v>
      </c>
      <c r="O19" s="7"/>
      <c r="P19" s="7"/>
    </row>
    <row r="20" spans="1:16" x14ac:dyDescent="0.2">
      <c r="A20" s="42">
        <v>43221</v>
      </c>
      <c r="C20" s="7">
        <v>100049070</v>
      </c>
      <c r="D20" s="15">
        <v>220942</v>
      </c>
      <c r="E20" s="15">
        <v>105751</v>
      </c>
      <c r="F20" s="15">
        <v>211504.93</v>
      </c>
      <c r="G20" s="15">
        <f t="shared" si="5"/>
        <v>-115191</v>
      </c>
      <c r="H20" s="15">
        <f t="shared" si="6"/>
        <v>-9437.070000000007</v>
      </c>
      <c r="I20" s="8">
        <v>0.21</v>
      </c>
      <c r="J20" s="8">
        <v>0.05</v>
      </c>
      <c r="K20" s="15">
        <f>G20*I20-L20*I20-12955</f>
        <v>-37046.020765000001</v>
      </c>
      <c r="L20" s="15">
        <f t="shared" si="7"/>
        <v>-471.85350000000039</v>
      </c>
      <c r="M20" s="7">
        <f t="shared" si="8"/>
        <v>27805974.377204999</v>
      </c>
      <c r="N20" s="7">
        <v>236626.3</v>
      </c>
      <c r="O20" s="7"/>
      <c r="P20" s="7"/>
    </row>
    <row r="21" spans="1:16" x14ac:dyDescent="0.2">
      <c r="A21" s="42">
        <v>43252</v>
      </c>
      <c r="C21" s="7">
        <v>100049070</v>
      </c>
      <c r="D21" s="15">
        <v>220942</v>
      </c>
      <c r="E21" s="15">
        <v>105751</v>
      </c>
      <c r="F21" s="15">
        <v>211504.93</v>
      </c>
      <c r="G21" s="15">
        <f t="shared" si="5"/>
        <v>-115191</v>
      </c>
      <c r="H21" s="15">
        <f t="shared" si="6"/>
        <v>-9437.070000000007</v>
      </c>
      <c r="I21" s="8">
        <v>0.21</v>
      </c>
      <c r="J21" s="8">
        <v>0.05</v>
      </c>
      <c r="K21" s="15">
        <f>G21*I21-L21*I21-12955</f>
        <v>-37046.020765000001</v>
      </c>
      <c r="L21" s="15">
        <f t="shared" si="7"/>
        <v>-471.85350000000039</v>
      </c>
      <c r="M21" s="7">
        <f t="shared" si="8"/>
        <v>27768456.502939999</v>
      </c>
      <c r="N21" s="7">
        <v>236626.3</v>
      </c>
      <c r="O21" s="7"/>
      <c r="P21" s="7"/>
    </row>
    <row r="22" spans="1:16" x14ac:dyDescent="0.2">
      <c r="A22" s="42">
        <v>43282</v>
      </c>
      <c r="C22" s="7">
        <v>100049070</v>
      </c>
      <c r="D22" s="15">
        <v>220942</v>
      </c>
      <c r="E22" s="15">
        <v>105751</v>
      </c>
      <c r="F22" s="15">
        <v>211504.93</v>
      </c>
      <c r="G22" s="15">
        <f t="shared" si="5"/>
        <v>-115191</v>
      </c>
      <c r="H22" s="15">
        <f t="shared" si="6"/>
        <v>-9437.070000000007</v>
      </c>
      <c r="I22" s="8">
        <v>0.21</v>
      </c>
      <c r="J22" s="8">
        <v>0.05</v>
      </c>
      <c r="K22" s="15">
        <f>G22*I22-L22*I22-12955</f>
        <v>-37046.020765000001</v>
      </c>
      <c r="L22" s="15">
        <f t="shared" si="7"/>
        <v>-471.85350000000039</v>
      </c>
      <c r="M22" s="7">
        <f t="shared" si="8"/>
        <v>27730938.628674999</v>
      </c>
      <c r="N22" s="7">
        <v>239243.63</v>
      </c>
      <c r="O22" s="7"/>
      <c r="P22" s="7"/>
    </row>
    <row r="23" spans="1:16" x14ac:dyDescent="0.2">
      <c r="A23" s="42"/>
      <c r="C23" s="7"/>
      <c r="D23" s="15"/>
      <c r="E23" s="15"/>
      <c r="F23" s="15"/>
      <c r="G23" s="15"/>
      <c r="H23" s="15"/>
      <c r="I23" s="8"/>
      <c r="J23" s="8"/>
      <c r="K23" s="15"/>
      <c r="L23" s="15"/>
      <c r="M23" s="7"/>
      <c r="N23" s="7"/>
      <c r="O23" s="7"/>
      <c r="P23" s="7"/>
    </row>
    <row r="24" spans="1:16" x14ac:dyDescent="0.2">
      <c r="A24" s="42">
        <v>43313</v>
      </c>
      <c r="C24" s="7">
        <v>100049070</v>
      </c>
      <c r="D24" s="15">
        <v>220942</v>
      </c>
      <c r="E24" s="15">
        <v>105751</v>
      </c>
      <c r="F24" s="15">
        <v>211504.93</v>
      </c>
      <c r="G24" s="15">
        <f t="shared" ref="G24" si="9">E24-D24</f>
        <v>-115191</v>
      </c>
      <c r="H24" s="15">
        <f t="shared" ref="H24" si="10">F24-D24</f>
        <v>-9437.070000000007</v>
      </c>
      <c r="I24" s="8">
        <v>0.21</v>
      </c>
      <c r="J24" s="8">
        <v>0.05</v>
      </c>
      <c r="K24" s="15">
        <f>G24*I24-L24*I24-12955</f>
        <v>-37046.020765000001</v>
      </c>
      <c r="L24" s="15">
        <f t="shared" ref="L24" si="11">H24*J24</f>
        <v>-471.85350000000039</v>
      </c>
      <c r="M24" s="7">
        <f>M22+K24+L24</f>
        <v>27693420.754409999</v>
      </c>
      <c r="N24" s="7">
        <v>238207.96</v>
      </c>
      <c r="O24" s="7"/>
      <c r="P24" s="7"/>
    </row>
    <row r="25" spans="1:16" x14ac:dyDescent="0.2">
      <c r="A25" s="42"/>
      <c r="C25" s="7" t="s">
        <v>57</v>
      </c>
      <c r="D25" s="15"/>
      <c r="E25" s="15"/>
      <c r="F25" s="15"/>
      <c r="G25" s="15"/>
      <c r="H25" s="15"/>
      <c r="I25" s="8"/>
      <c r="J25" s="8"/>
      <c r="K25" s="15"/>
      <c r="L25" s="15"/>
      <c r="M25" s="7"/>
      <c r="N25" s="7"/>
      <c r="O25" s="7"/>
      <c r="P25" s="7"/>
    </row>
    <row r="26" spans="1:16" x14ac:dyDescent="0.2">
      <c r="A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">
      <c r="B27" s="27"/>
      <c r="C27" s="26" t="s">
        <v>33</v>
      </c>
      <c r="D27" s="27"/>
      <c r="E27" s="28"/>
      <c r="F27" s="28"/>
      <c r="G27" s="28"/>
    </row>
    <row r="28" spans="1:16" x14ac:dyDescent="0.2">
      <c r="B28" s="27"/>
      <c r="C28" s="26" t="s">
        <v>31</v>
      </c>
      <c r="D28" s="27"/>
      <c r="E28" s="28"/>
      <c r="F28" s="28"/>
      <c r="G28" s="28"/>
    </row>
    <row r="29" spans="1:16" x14ac:dyDescent="0.2">
      <c r="B29" s="27"/>
      <c r="C29" s="26" t="s">
        <v>56</v>
      </c>
      <c r="D29" s="27"/>
      <c r="E29" s="28"/>
      <c r="F29" s="28"/>
      <c r="G29" s="28"/>
    </row>
    <row r="30" spans="1:16" x14ac:dyDescent="0.2">
      <c r="B30" s="27"/>
      <c r="C30" s="24" t="s">
        <v>32</v>
      </c>
      <c r="D30" s="27"/>
      <c r="E30" s="28"/>
      <c r="F30" s="28"/>
      <c r="G30" s="28"/>
    </row>
    <row r="32" spans="1:16" x14ac:dyDescent="0.2">
      <c r="C32" s="24" t="s">
        <v>34</v>
      </c>
      <c r="D32" s="29" t="s">
        <v>35</v>
      </c>
      <c r="E32" s="28" t="s">
        <v>36</v>
      </c>
      <c r="F32" s="24" t="s">
        <v>37</v>
      </c>
      <c r="G32" s="30" t="s">
        <v>27</v>
      </c>
      <c r="H32" s="24" t="s">
        <v>38</v>
      </c>
    </row>
    <row r="33" spans="3:8" x14ac:dyDescent="0.2">
      <c r="C33" s="24">
        <f>18534899</f>
        <v>18534899</v>
      </c>
      <c r="D33" s="24">
        <v>220941.7</v>
      </c>
      <c r="E33" s="24">
        <v>75498.820000000007</v>
      </c>
      <c r="F33" s="7">
        <f>E33-D33</f>
        <v>-145442.88</v>
      </c>
      <c r="G33" s="8">
        <v>0.21</v>
      </c>
      <c r="H33" s="19">
        <f>F33*G33</f>
        <v>-30543.004799999999</v>
      </c>
    </row>
    <row r="34" spans="3:8" x14ac:dyDescent="0.2">
      <c r="C34" s="24">
        <f>+-176214</f>
        <v>-176214</v>
      </c>
      <c r="E34" s="24">
        <v>-776.077</v>
      </c>
      <c r="F34" s="7">
        <f t="shared" ref="F34:F45" si="12">E34</f>
        <v>-776.077</v>
      </c>
      <c r="G34" s="8">
        <v>0.21</v>
      </c>
      <c r="H34" s="19">
        <f t="shared" ref="H34:H45" si="13">F34*G34</f>
        <v>-162.97617</v>
      </c>
    </row>
    <row r="35" spans="3:8" x14ac:dyDescent="0.2">
      <c r="C35" s="24">
        <f>526898</f>
        <v>526898</v>
      </c>
      <c r="E35" s="24">
        <v>2508.4749999999999</v>
      </c>
      <c r="F35" s="7">
        <f t="shared" si="12"/>
        <v>2508.4749999999999</v>
      </c>
      <c r="G35" s="8">
        <v>0.21</v>
      </c>
      <c r="H35" s="19">
        <f t="shared" si="13"/>
        <v>526.77974999999992</v>
      </c>
    </row>
    <row r="36" spans="3:8" x14ac:dyDescent="0.2">
      <c r="C36" s="24">
        <v>790348</v>
      </c>
      <c r="E36" s="24">
        <v>13172.46</v>
      </c>
      <c r="F36" s="7">
        <f t="shared" si="12"/>
        <v>13172.46</v>
      </c>
      <c r="G36" s="8">
        <v>0.21</v>
      </c>
      <c r="H36" s="19">
        <f t="shared" si="13"/>
        <v>2766.2165999999997</v>
      </c>
    </row>
    <row r="37" spans="3:8" x14ac:dyDescent="0.2">
      <c r="C37" s="24">
        <v>398743</v>
      </c>
      <c r="E37" s="24">
        <v>2052.5279999999998</v>
      </c>
      <c r="F37" s="7">
        <f t="shared" si="12"/>
        <v>2052.5279999999998</v>
      </c>
      <c r="G37" s="8">
        <v>0.21</v>
      </c>
      <c r="H37" s="19">
        <f t="shared" si="13"/>
        <v>431.03087999999997</v>
      </c>
    </row>
    <row r="38" spans="3:8" x14ac:dyDescent="0.2">
      <c r="C38" s="24">
        <v>1064181</v>
      </c>
      <c r="E38" s="24">
        <v>5477.8710000000001</v>
      </c>
      <c r="F38" s="7">
        <f t="shared" si="12"/>
        <v>5477.8710000000001</v>
      </c>
      <c r="G38" s="8">
        <v>0.21</v>
      </c>
      <c r="H38" s="19">
        <f t="shared" si="13"/>
        <v>1150.3529100000001</v>
      </c>
    </row>
    <row r="39" spans="3:8" x14ac:dyDescent="0.2">
      <c r="C39" s="24">
        <v>81522</v>
      </c>
      <c r="E39" s="24">
        <v>419.63529999999997</v>
      </c>
      <c r="F39" s="7">
        <f t="shared" si="12"/>
        <v>419.63529999999997</v>
      </c>
      <c r="G39" s="8">
        <v>0.21</v>
      </c>
      <c r="H39" s="19">
        <f t="shared" si="13"/>
        <v>88.123412999999985</v>
      </c>
    </row>
    <row r="40" spans="3:8" x14ac:dyDescent="0.2">
      <c r="C40" s="24">
        <v>43567</v>
      </c>
      <c r="E40" s="24">
        <v>224.26</v>
      </c>
      <c r="F40" s="7">
        <f t="shared" si="12"/>
        <v>224.26</v>
      </c>
      <c r="G40" s="8">
        <v>0.21</v>
      </c>
      <c r="H40" s="19">
        <f t="shared" si="13"/>
        <v>47.0946</v>
      </c>
    </row>
    <row r="41" spans="3:8" x14ac:dyDescent="0.2">
      <c r="C41" s="24">
        <v>80051</v>
      </c>
      <c r="E41" s="24">
        <v>412.06079999999997</v>
      </c>
      <c r="F41" s="7">
        <f t="shared" si="12"/>
        <v>412.06079999999997</v>
      </c>
      <c r="G41" s="8">
        <v>0.21</v>
      </c>
      <c r="H41" s="19">
        <f t="shared" si="13"/>
        <v>86.53276799999999</v>
      </c>
    </row>
    <row r="42" spans="3:8" x14ac:dyDescent="0.2">
      <c r="C42" s="24">
        <v>406817</v>
      </c>
      <c r="E42" s="46">
        <v>2263.596</v>
      </c>
      <c r="F42" s="41">
        <f t="shared" si="12"/>
        <v>2263.596</v>
      </c>
      <c r="G42" s="8">
        <v>0.21</v>
      </c>
      <c r="H42" s="47">
        <f t="shared" si="13"/>
        <v>475.35515999999996</v>
      </c>
    </row>
    <row r="43" spans="3:8" x14ac:dyDescent="0.2">
      <c r="C43" s="24">
        <v>9056</v>
      </c>
      <c r="E43" s="46">
        <v>50.387479999999996</v>
      </c>
      <c r="F43" s="41">
        <f t="shared" si="12"/>
        <v>50.387479999999996</v>
      </c>
      <c r="G43" s="8">
        <v>0.21</v>
      </c>
      <c r="H43" s="47">
        <f t="shared" si="13"/>
        <v>10.581370799999998</v>
      </c>
    </row>
    <row r="44" spans="3:8" x14ac:dyDescent="0.2">
      <c r="C44" s="24">
        <v>738067</v>
      </c>
      <c r="E44" s="46">
        <v>4440.09</v>
      </c>
      <c r="F44" s="41">
        <f t="shared" si="12"/>
        <v>4440.09</v>
      </c>
      <c r="G44" s="8">
        <v>0.21</v>
      </c>
      <c r="H44" s="47">
        <f t="shared" si="13"/>
        <v>932.41890000000001</v>
      </c>
    </row>
    <row r="45" spans="3:8" ht="15" x14ac:dyDescent="0.35">
      <c r="C45" s="24">
        <v>1388</v>
      </c>
      <c r="E45" s="31">
        <v>8.3521420000000006</v>
      </c>
      <c r="F45" s="32">
        <f t="shared" si="12"/>
        <v>8.3521420000000006</v>
      </c>
      <c r="G45" s="8">
        <v>0.21</v>
      </c>
      <c r="H45" s="33">
        <f t="shared" si="13"/>
        <v>1.7539498200000001</v>
      </c>
    </row>
    <row r="46" spans="3:8" x14ac:dyDescent="0.2">
      <c r="E46" s="24">
        <f>SUM(E33:E45)</f>
        <v>105752.45872200002</v>
      </c>
      <c r="F46" s="24">
        <f>SUM(F33:F45)</f>
        <v>-115189.24127799999</v>
      </c>
      <c r="G46" s="34" t="s">
        <v>43</v>
      </c>
      <c r="H46" s="19">
        <f>SUM(H33:H45)</f>
        <v>-24189.74066838</v>
      </c>
    </row>
    <row r="47" spans="3:8" ht="15" x14ac:dyDescent="0.35">
      <c r="E47" s="7"/>
      <c r="F47" s="7"/>
      <c r="G47" s="34" t="s">
        <v>44</v>
      </c>
      <c r="H47" s="33">
        <f>-H65*0.21</f>
        <v>99.086085000000111</v>
      </c>
    </row>
    <row r="48" spans="3:8" x14ac:dyDescent="0.2">
      <c r="H48" s="19">
        <f>H46+H47</f>
        <v>-24090.654583380001</v>
      </c>
    </row>
    <row r="49" spans="3:9" x14ac:dyDescent="0.2">
      <c r="H49" s="19">
        <f>-H48+K24</f>
        <v>-12955.36618162</v>
      </c>
      <c r="I49" s="50" t="s">
        <v>58</v>
      </c>
    </row>
    <row r="50" spans="3:9" x14ac:dyDescent="0.2">
      <c r="H50" s="19"/>
      <c r="I50" s="50"/>
    </row>
    <row r="51" spans="3:9" x14ac:dyDescent="0.2">
      <c r="C51" s="24" t="s">
        <v>39</v>
      </c>
      <c r="D51" s="27" t="s">
        <v>35</v>
      </c>
      <c r="E51" s="28" t="s">
        <v>40</v>
      </c>
      <c r="F51" s="24" t="s">
        <v>41</v>
      </c>
      <c r="G51" s="30" t="s">
        <v>28</v>
      </c>
      <c r="H51" s="24" t="s">
        <v>42</v>
      </c>
    </row>
    <row r="52" spans="3:9" x14ac:dyDescent="0.2">
      <c r="C52" s="24">
        <v>37069798</v>
      </c>
      <c r="D52" s="7">
        <f>D33</f>
        <v>220941.7</v>
      </c>
      <c r="E52" s="7">
        <v>150998</v>
      </c>
      <c r="F52" s="7">
        <f>E52-D52</f>
        <v>-69943.700000000012</v>
      </c>
      <c r="G52" s="8">
        <v>0.05</v>
      </c>
      <c r="H52" s="19">
        <f>F52*G52</f>
        <v>-3497.1850000000009</v>
      </c>
    </row>
    <row r="53" spans="3:9" x14ac:dyDescent="0.2">
      <c r="C53" s="24">
        <v>55076054</v>
      </c>
      <c r="E53" s="7">
        <v>0</v>
      </c>
      <c r="F53" s="7">
        <f>E53</f>
        <v>0</v>
      </c>
      <c r="G53" s="8">
        <v>0.05</v>
      </c>
      <c r="H53" s="19">
        <f t="shared" ref="H53:H64" si="14">F53*G53</f>
        <v>0</v>
      </c>
    </row>
    <row r="54" spans="3:9" x14ac:dyDescent="0.2">
      <c r="C54" s="24">
        <v>-352428</v>
      </c>
      <c r="E54" s="7">
        <v>-1552</v>
      </c>
      <c r="F54" s="7">
        <f t="shared" ref="F54:F64" si="15">E54</f>
        <v>-1552</v>
      </c>
      <c r="G54" s="8">
        <v>0.05</v>
      </c>
      <c r="H54" s="19">
        <f t="shared" si="14"/>
        <v>-77.600000000000009</v>
      </c>
    </row>
    <row r="55" spans="3:9" x14ac:dyDescent="0.2">
      <c r="C55" s="24">
        <v>1053797</v>
      </c>
      <c r="E55" s="7">
        <v>5017</v>
      </c>
      <c r="F55" s="7">
        <f t="shared" si="15"/>
        <v>5017</v>
      </c>
      <c r="G55" s="8">
        <v>0.05</v>
      </c>
      <c r="H55" s="19">
        <f t="shared" si="14"/>
        <v>250.85000000000002</v>
      </c>
    </row>
    <row r="56" spans="3:9" x14ac:dyDescent="0.2">
      <c r="C56" s="24">
        <v>1580696</v>
      </c>
      <c r="E56" s="7">
        <v>26344.93</v>
      </c>
      <c r="F56" s="7">
        <f t="shared" si="15"/>
        <v>26344.93</v>
      </c>
      <c r="G56" s="8">
        <v>0.05</v>
      </c>
      <c r="H56" s="19">
        <f t="shared" si="14"/>
        <v>1317.2465000000002</v>
      </c>
    </row>
    <row r="57" spans="3:9" x14ac:dyDescent="0.2">
      <c r="C57" s="24">
        <v>797485</v>
      </c>
      <c r="E57" s="7">
        <v>4105</v>
      </c>
      <c r="F57" s="7">
        <f t="shared" si="15"/>
        <v>4105</v>
      </c>
      <c r="G57" s="8">
        <v>0.05</v>
      </c>
      <c r="H57" s="19">
        <f t="shared" si="14"/>
        <v>205.25</v>
      </c>
    </row>
    <row r="58" spans="3:9" x14ac:dyDescent="0.2">
      <c r="C58" s="24">
        <v>2291406</v>
      </c>
      <c r="E58" s="7">
        <v>11795</v>
      </c>
      <c r="F58" s="7">
        <f t="shared" si="15"/>
        <v>11795</v>
      </c>
      <c r="G58" s="8">
        <v>0.05</v>
      </c>
      <c r="H58" s="19">
        <f t="shared" si="14"/>
        <v>589.75</v>
      </c>
    </row>
    <row r="59" spans="3:9" x14ac:dyDescent="0.2">
      <c r="C59" s="24">
        <v>87134</v>
      </c>
      <c r="E59" s="7">
        <v>448</v>
      </c>
      <c r="F59" s="7">
        <f t="shared" si="15"/>
        <v>448</v>
      </c>
      <c r="G59" s="8">
        <v>0.05</v>
      </c>
      <c r="H59" s="19">
        <f t="shared" si="14"/>
        <v>22.400000000000002</v>
      </c>
    </row>
    <row r="60" spans="3:9" x14ac:dyDescent="0.2">
      <c r="C60" s="24">
        <v>160101</v>
      </c>
      <c r="E60" s="7">
        <v>824</v>
      </c>
      <c r="F60" s="7">
        <f t="shared" si="15"/>
        <v>824</v>
      </c>
      <c r="G60" s="8">
        <v>0.05</v>
      </c>
      <c r="H60" s="19">
        <f t="shared" si="14"/>
        <v>41.2</v>
      </c>
    </row>
    <row r="61" spans="3:9" x14ac:dyDescent="0.2">
      <c r="C61" s="24">
        <v>813634</v>
      </c>
      <c r="E61" s="7">
        <v>4527</v>
      </c>
      <c r="F61" s="7">
        <f t="shared" si="15"/>
        <v>4527</v>
      </c>
      <c r="G61" s="8">
        <v>0.05</v>
      </c>
      <c r="H61" s="19">
        <f t="shared" si="14"/>
        <v>226.35000000000002</v>
      </c>
    </row>
    <row r="62" spans="3:9" x14ac:dyDescent="0.2">
      <c r="C62" s="24">
        <v>18111</v>
      </c>
      <c r="E62" s="41">
        <v>101</v>
      </c>
      <c r="F62" s="41">
        <f t="shared" si="15"/>
        <v>101</v>
      </c>
      <c r="G62" s="8">
        <v>0.05</v>
      </c>
      <c r="H62" s="47">
        <f t="shared" si="14"/>
        <v>5.0500000000000007</v>
      </c>
    </row>
    <row r="63" spans="3:9" x14ac:dyDescent="0.2">
      <c r="C63" s="24">
        <v>1476135</v>
      </c>
      <c r="E63" s="41">
        <v>8880</v>
      </c>
      <c r="F63" s="41">
        <f t="shared" si="15"/>
        <v>8880</v>
      </c>
      <c r="G63" s="8">
        <v>0.05</v>
      </c>
      <c r="H63" s="47">
        <f t="shared" si="14"/>
        <v>444</v>
      </c>
    </row>
    <row r="64" spans="3:9" ht="15" x14ac:dyDescent="0.35">
      <c r="C64" s="24">
        <v>2777</v>
      </c>
      <c r="E64" s="32">
        <v>17</v>
      </c>
      <c r="F64" s="32">
        <f t="shared" si="15"/>
        <v>17</v>
      </c>
      <c r="G64" s="8">
        <v>0.05</v>
      </c>
      <c r="H64" s="33">
        <f t="shared" si="14"/>
        <v>0.85000000000000009</v>
      </c>
    </row>
    <row r="65" spans="5:8" x14ac:dyDescent="0.2">
      <c r="E65" s="7">
        <f>SUM(E52:E64)</f>
        <v>211504.93</v>
      </c>
      <c r="F65" s="7">
        <f>SUM(F52:F64)</f>
        <v>-9436.7700000000114</v>
      </c>
      <c r="H65" s="7">
        <f>SUM(H52:H64)</f>
        <v>-471.83850000000052</v>
      </c>
    </row>
    <row r="66" spans="5:8" x14ac:dyDescent="0.2">
      <c r="E66" s="7"/>
      <c r="F66" s="7"/>
      <c r="H66" s="7">
        <f>H65-L24</f>
        <v>1.4999999999872671E-2</v>
      </c>
    </row>
  </sheetData>
  <mergeCells count="4">
    <mergeCell ref="A16:I16"/>
    <mergeCell ref="A1:N1"/>
    <mergeCell ref="A2:N2"/>
    <mergeCell ref="A3:N3"/>
  </mergeCells>
  <pageMargins left="0.7" right="0.7" top="1.15625" bottom="0.75" header="0.3" footer="0.3"/>
  <pageSetup scale="51" orientation="portrait" r:id="rId1"/>
  <headerFooter>
    <oddHeader>&amp;R&amp;"Times New Roman,Bold"&amp;12Attachment to Response to Question 3
Page 1 of 12
Williams</oddHeader>
  </headerFooter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>
      <selection activeCell="O10" sqref="O10:O12"/>
    </sheetView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9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21</v>
      </c>
    </row>
    <row r="6" spans="1:16" x14ac:dyDescent="0.2">
      <c r="A6" s="11" t="s">
        <v>53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546735.99990400008</v>
      </c>
    </row>
    <row r="10" spans="1:16" x14ac:dyDescent="0.2">
      <c r="A10" s="42">
        <v>43160</v>
      </c>
      <c r="C10" s="7">
        <v>3077193</v>
      </c>
      <c r="D10" s="15">
        <v>6103</v>
      </c>
      <c r="E10" s="15">
        <f>9255.94-239.52</f>
        <v>9016.42</v>
      </c>
      <c r="F10" s="15">
        <v>18511.88</v>
      </c>
      <c r="G10" s="7">
        <f t="shared" ref="G10:G14" si="0">E10-D10</f>
        <v>2913.42</v>
      </c>
      <c r="H10" s="7">
        <f t="shared" ref="H10:H14" si="1">F10-D10</f>
        <v>12408.880000000001</v>
      </c>
      <c r="I10" s="8">
        <v>0.21</v>
      </c>
      <c r="J10" s="8">
        <v>0.06</v>
      </c>
      <c r="K10" s="7">
        <f t="shared" ref="K10:K14" si="2">G10*I10-L10*I10</f>
        <v>455.46631200000002</v>
      </c>
      <c r="L10" s="7">
        <f t="shared" ref="L10:L14" si="3">H10*J10</f>
        <v>744.53280000000007</v>
      </c>
      <c r="M10" s="7">
        <f t="shared" ref="M10:M14" si="4">M9+K10+L10</f>
        <v>547935.99901600007</v>
      </c>
      <c r="N10" s="7">
        <v>0</v>
      </c>
      <c r="O10" s="17"/>
      <c r="P10" s="19"/>
    </row>
    <row r="11" spans="1:16" x14ac:dyDescent="0.2">
      <c r="A11" s="42">
        <v>43191</v>
      </c>
      <c r="C11" s="7">
        <v>3077193</v>
      </c>
      <c r="D11" s="15">
        <v>6103</v>
      </c>
      <c r="E11" s="15">
        <f>9255.94-391.75</f>
        <v>8864.19</v>
      </c>
      <c r="F11" s="15">
        <v>18511.88</v>
      </c>
      <c r="G11" s="7">
        <f t="shared" si="0"/>
        <v>2761.1900000000005</v>
      </c>
      <c r="H11" s="7">
        <f t="shared" si="1"/>
        <v>12408.880000000001</v>
      </c>
      <c r="I11" s="8">
        <v>0.21</v>
      </c>
      <c r="J11" s="8">
        <v>0.05</v>
      </c>
      <c r="K11" s="7">
        <f t="shared" si="2"/>
        <v>449.55666000000008</v>
      </c>
      <c r="L11" s="7">
        <f t="shared" si="3"/>
        <v>620.44400000000007</v>
      </c>
      <c r="M11" s="24">
        <f t="shared" si="4"/>
        <v>549005.99967600009</v>
      </c>
      <c r="N11" s="7">
        <v>0</v>
      </c>
      <c r="O11" s="17"/>
      <c r="P11" s="19"/>
    </row>
    <row r="12" spans="1:16" x14ac:dyDescent="0.2">
      <c r="A12" s="42">
        <v>43221</v>
      </c>
      <c r="C12" s="7">
        <v>3077193</v>
      </c>
      <c r="D12" s="15">
        <v>6103</v>
      </c>
      <c r="E12" s="15">
        <f>9255.94-4334.61</f>
        <v>4921.3300000000008</v>
      </c>
      <c r="F12" s="15">
        <v>18511.88</v>
      </c>
      <c r="G12" s="7">
        <f t="shared" si="0"/>
        <v>-1181.6699999999992</v>
      </c>
      <c r="H12" s="7">
        <f t="shared" si="1"/>
        <v>12408.880000000001</v>
      </c>
      <c r="I12" s="8">
        <v>0.21</v>
      </c>
      <c r="J12" s="8">
        <v>0.05</v>
      </c>
      <c r="K12" s="7">
        <f t="shared" si="2"/>
        <v>-378.44393999999977</v>
      </c>
      <c r="L12" s="7">
        <f t="shared" si="3"/>
        <v>620.44400000000007</v>
      </c>
      <c r="M12" s="7">
        <f t="shared" si="4"/>
        <v>549247.99973600009</v>
      </c>
      <c r="N12" s="7">
        <v>0</v>
      </c>
      <c r="O12" s="23"/>
      <c r="P12" s="19"/>
    </row>
    <row r="13" spans="1:16" x14ac:dyDescent="0.2">
      <c r="A13" s="42">
        <v>43252</v>
      </c>
      <c r="C13" s="7">
        <v>3077193</v>
      </c>
      <c r="D13" s="15">
        <v>6103</v>
      </c>
      <c r="E13" s="15">
        <f>9255.94+170.15</f>
        <v>9426.09</v>
      </c>
      <c r="F13" s="15">
        <v>18511.88</v>
      </c>
      <c r="G13" s="7">
        <f t="shared" si="0"/>
        <v>3323.09</v>
      </c>
      <c r="H13" s="7">
        <f t="shared" si="1"/>
        <v>12408.880000000001</v>
      </c>
      <c r="I13" s="8">
        <v>0.21</v>
      </c>
      <c r="J13" s="8">
        <v>0.05</v>
      </c>
      <c r="K13" s="7">
        <f t="shared" si="2"/>
        <v>567.55565999999999</v>
      </c>
      <c r="L13" s="7">
        <f t="shared" si="3"/>
        <v>620.44400000000007</v>
      </c>
      <c r="M13" s="7">
        <f t="shared" si="4"/>
        <v>550435.99939600006</v>
      </c>
      <c r="N13" s="7">
        <v>0</v>
      </c>
      <c r="O13" s="23"/>
      <c r="P13" s="19"/>
    </row>
    <row r="14" spans="1:16" x14ac:dyDescent="0.2">
      <c r="A14" s="42">
        <v>43282</v>
      </c>
      <c r="C14" s="7">
        <v>3077193</v>
      </c>
      <c r="D14" s="15">
        <v>6103</v>
      </c>
      <c r="E14" s="15">
        <f>9255.94+170.15-4</f>
        <v>9422.09</v>
      </c>
      <c r="F14" s="15">
        <v>18511.88</v>
      </c>
      <c r="G14" s="7">
        <f t="shared" si="0"/>
        <v>3319.09</v>
      </c>
      <c r="H14" s="7">
        <f t="shared" si="1"/>
        <v>12408.880000000001</v>
      </c>
      <c r="I14" s="8">
        <v>0.21</v>
      </c>
      <c r="J14" s="8">
        <v>0.05</v>
      </c>
      <c r="K14" s="7">
        <f t="shared" si="2"/>
        <v>566.71566000000007</v>
      </c>
      <c r="L14" s="7">
        <f t="shared" si="3"/>
        <v>620.44400000000007</v>
      </c>
      <c r="M14" s="7">
        <f t="shared" si="4"/>
        <v>551623.15905600006</v>
      </c>
      <c r="N14" s="7">
        <v>0</v>
      </c>
      <c r="O14" s="7"/>
      <c r="P14" s="19"/>
    </row>
    <row r="15" spans="1:16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v>545215</v>
      </c>
    </row>
    <row r="18" spans="1:14" x14ac:dyDescent="0.2">
      <c r="A18" s="42">
        <v>43160</v>
      </c>
      <c r="C18" s="7">
        <v>3077193</v>
      </c>
      <c r="D18" s="15">
        <v>6103</v>
      </c>
      <c r="E18" s="15">
        <v>9256</v>
      </c>
      <c r="F18" s="15">
        <v>18511.88</v>
      </c>
      <c r="G18" s="7">
        <f t="shared" ref="G18:G22" si="5">E18-D18</f>
        <v>3153</v>
      </c>
      <c r="H18" s="7">
        <f t="shared" ref="H18:H22" si="6">F18-D18</f>
        <v>12408.880000000001</v>
      </c>
      <c r="I18" s="8">
        <v>0.21</v>
      </c>
      <c r="J18" s="8">
        <v>0.05</v>
      </c>
      <c r="K18" s="7">
        <f t="shared" ref="K18:K22" si="7">G18*I18-L18*I18</f>
        <v>531.83676000000003</v>
      </c>
      <c r="L18" s="7">
        <f t="shared" ref="L18:L22" si="8">H18*J18</f>
        <v>620.44400000000007</v>
      </c>
      <c r="M18" s="7">
        <f t="shared" ref="M18:M22" si="9">M17+K18+L18</f>
        <v>546367.28075999999</v>
      </c>
      <c r="N18" s="7">
        <v>0</v>
      </c>
    </row>
    <row r="19" spans="1:14" x14ac:dyDescent="0.2">
      <c r="A19" s="42">
        <v>43191</v>
      </c>
      <c r="C19" s="7">
        <v>3077193</v>
      </c>
      <c r="D19" s="15">
        <v>6103</v>
      </c>
      <c r="E19" s="15">
        <v>9256</v>
      </c>
      <c r="F19" s="15">
        <v>18511.88</v>
      </c>
      <c r="G19" s="7">
        <f t="shared" si="5"/>
        <v>3153</v>
      </c>
      <c r="H19" s="7">
        <f t="shared" si="6"/>
        <v>12408.880000000001</v>
      </c>
      <c r="I19" s="8">
        <v>0.21</v>
      </c>
      <c r="J19" s="8">
        <v>0.05</v>
      </c>
      <c r="K19" s="7">
        <f t="shared" si="7"/>
        <v>531.83676000000003</v>
      </c>
      <c r="L19" s="7">
        <f t="shared" si="8"/>
        <v>620.44400000000007</v>
      </c>
      <c r="M19" s="24">
        <f t="shared" si="9"/>
        <v>547519.56151999999</v>
      </c>
      <c r="N19" s="7">
        <v>0</v>
      </c>
    </row>
    <row r="20" spans="1:14" x14ac:dyDescent="0.2">
      <c r="A20" s="42">
        <v>43221</v>
      </c>
      <c r="C20" s="7">
        <v>3077193</v>
      </c>
      <c r="D20" s="15">
        <v>6103</v>
      </c>
      <c r="E20" s="15">
        <v>9256</v>
      </c>
      <c r="F20" s="15">
        <v>18511.88</v>
      </c>
      <c r="G20" s="7">
        <f t="shared" si="5"/>
        <v>3153</v>
      </c>
      <c r="H20" s="7">
        <f t="shared" si="6"/>
        <v>12408.880000000001</v>
      </c>
      <c r="I20" s="8">
        <v>0.21</v>
      </c>
      <c r="J20" s="8">
        <v>0.05</v>
      </c>
      <c r="K20" s="7">
        <f t="shared" si="7"/>
        <v>531.83676000000003</v>
      </c>
      <c r="L20" s="7">
        <f t="shared" si="8"/>
        <v>620.44400000000007</v>
      </c>
      <c r="M20" s="7">
        <f t="shared" si="9"/>
        <v>548671.84227999998</v>
      </c>
      <c r="N20" s="7">
        <v>0</v>
      </c>
    </row>
    <row r="21" spans="1:14" x14ac:dyDescent="0.2">
      <c r="A21" s="42">
        <v>43252</v>
      </c>
      <c r="C21" s="7">
        <v>3077193</v>
      </c>
      <c r="D21" s="15">
        <v>6103</v>
      </c>
      <c r="E21" s="15">
        <v>9256</v>
      </c>
      <c r="F21" s="15">
        <v>18511.88</v>
      </c>
      <c r="G21" s="7">
        <f t="shared" si="5"/>
        <v>3153</v>
      </c>
      <c r="H21" s="7">
        <f t="shared" si="6"/>
        <v>12408.880000000001</v>
      </c>
      <c r="I21" s="8">
        <v>0.21</v>
      </c>
      <c r="J21" s="8">
        <v>0.05</v>
      </c>
      <c r="K21" s="7">
        <f t="shared" si="7"/>
        <v>531.83676000000003</v>
      </c>
      <c r="L21" s="7">
        <f t="shared" si="8"/>
        <v>620.44400000000007</v>
      </c>
      <c r="M21" s="7">
        <f t="shared" si="9"/>
        <v>549824.12303999998</v>
      </c>
      <c r="N21" s="7">
        <v>0</v>
      </c>
    </row>
    <row r="22" spans="1:14" x14ac:dyDescent="0.2">
      <c r="A22" s="42">
        <v>43282</v>
      </c>
      <c r="C22" s="7">
        <v>3077193</v>
      </c>
      <c r="D22" s="15">
        <v>6103</v>
      </c>
      <c r="E22" s="15">
        <v>9256</v>
      </c>
      <c r="F22" s="15">
        <v>18511.88</v>
      </c>
      <c r="G22" s="7">
        <f t="shared" si="5"/>
        <v>3153</v>
      </c>
      <c r="H22" s="7">
        <f t="shared" si="6"/>
        <v>12408.880000000001</v>
      </c>
      <c r="I22" s="8">
        <v>0.21</v>
      </c>
      <c r="J22" s="8">
        <v>0.05</v>
      </c>
      <c r="K22" s="7">
        <f t="shared" si="7"/>
        <v>531.83676000000003</v>
      </c>
      <c r="L22" s="7">
        <f t="shared" si="8"/>
        <v>620.44400000000007</v>
      </c>
      <c r="M22" s="7">
        <f t="shared" si="9"/>
        <v>550976.40379999997</v>
      </c>
      <c r="N22" s="7">
        <v>0</v>
      </c>
    </row>
    <row r="23" spans="1:14" x14ac:dyDescent="0.2">
      <c r="A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42">
        <v>43313</v>
      </c>
      <c r="C24" s="7">
        <v>3077193</v>
      </c>
      <c r="D24" s="15">
        <v>6103</v>
      </c>
      <c r="E24" s="15">
        <v>9256</v>
      </c>
      <c r="F24" s="15">
        <v>18511.88</v>
      </c>
      <c r="G24" s="7">
        <f t="shared" ref="G24" si="10">E24-D24</f>
        <v>3153</v>
      </c>
      <c r="H24" s="7">
        <f t="shared" ref="H24" si="11">F24-D24</f>
        <v>12408.880000000001</v>
      </c>
      <c r="I24" s="8">
        <v>0.21</v>
      </c>
      <c r="J24" s="8">
        <v>0.05</v>
      </c>
      <c r="K24" s="7">
        <f t="shared" ref="K24" si="12">G24*I24-L24*I24</f>
        <v>531.83676000000003</v>
      </c>
      <c r="L24" s="7">
        <f t="shared" ref="L24" si="13">H24*J24</f>
        <v>620.44400000000007</v>
      </c>
      <c r="M24" s="7">
        <f>M22+K24+L24</f>
        <v>552128.68455999997</v>
      </c>
      <c r="N24" s="7">
        <v>0</v>
      </c>
    </row>
    <row r="25" spans="1:14" x14ac:dyDescent="0.2">
      <c r="A25" s="42"/>
      <c r="C25" s="7"/>
      <c r="D25" s="15"/>
      <c r="E25" s="15"/>
      <c r="F25" s="15"/>
      <c r="G25" s="7"/>
      <c r="H25" s="7"/>
      <c r="I25" s="8"/>
      <c r="J25" s="8"/>
      <c r="K25" s="7"/>
      <c r="L25" s="7"/>
      <c r="M25" s="7"/>
      <c r="N25" s="7"/>
    </row>
    <row r="26" spans="1:14" x14ac:dyDescent="0.2">
      <c r="C26" s="26" t="s">
        <v>59</v>
      </c>
    </row>
    <row r="27" spans="1:14" x14ac:dyDescent="0.2">
      <c r="C27" s="26" t="s">
        <v>31</v>
      </c>
    </row>
    <row r="28" spans="1:14" x14ac:dyDescent="0.2">
      <c r="C28" s="26" t="s">
        <v>56</v>
      </c>
    </row>
    <row r="29" spans="1:14" x14ac:dyDescent="0.2">
      <c r="C29" s="24" t="s">
        <v>32</v>
      </c>
    </row>
    <row r="31" spans="1:14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4" x14ac:dyDescent="0.2">
      <c r="C32" s="7">
        <v>1386019</v>
      </c>
      <c r="D32" s="7">
        <v>6103</v>
      </c>
      <c r="E32" s="24">
        <v>8338</v>
      </c>
      <c r="F32" s="7">
        <f>E32-D32</f>
        <v>2235</v>
      </c>
      <c r="G32" s="8">
        <v>0.21</v>
      </c>
      <c r="H32" s="7">
        <f>F32*G32</f>
        <v>469.34999999999997</v>
      </c>
    </row>
    <row r="33" spans="3:8" ht="15" x14ac:dyDescent="0.35">
      <c r="C33" s="7">
        <v>152578</v>
      </c>
      <c r="D33" s="7"/>
      <c r="E33" s="32">
        <v>918</v>
      </c>
      <c r="F33" s="32">
        <f>E33</f>
        <v>918</v>
      </c>
      <c r="G33" s="8">
        <v>0.21</v>
      </c>
      <c r="H33" s="32">
        <f>F33*G33</f>
        <v>192.78</v>
      </c>
    </row>
    <row r="34" spans="3:8" x14ac:dyDescent="0.2">
      <c r="E34" s="19">
        <f>SUM(E32:E33)</f>
        <v>9256</v>
      </c>
      <c r="F34" s="19">
        <f>SUM(F32:F33)</f>
        <v>3153</v>
      </c>
      <c r="G34" s="34" t="s">
        <v>43</v>
      </c>
      <c r="H34" s="19">
        <f>SUM(H32:H33)</f>
        <v>662.13</v>
      </c>
    </row>
    <row r="35" spans="3:8" ht="15" x14ac:dyDescent="0.35">
      <c r="G35" s="34" t="s">
        <v>44</v>
      </c>
      <c r="H35" s="32">
        <f>-H41*0.21</f>
        <v>-130.2945</v>
      </c>
    </row>
    <row r="36" spans="3:8" x14ac:dyDescent="0.2">
      <c r="H36" s="7">
        <f>H34+H35</f>
        <v>531.83550000000002</v>
      </c>
    </row>
    <row r="37" spans="3:8" x14ac:dyDescent="0.2">
      <c r="H37" s="24">
        <f>H36-K24</f>
        <v>-1.2600000000020373E-3</v>
      </c>
    </row>
    <row r="38" spans="3:8" x14ac:dyDescent="0.2">
      <c r="C38" s="24" t="s">
        <v>39</v>
      </c>
      <c r="D38" s="27" t="s">
        <v>35</v>
      </c>
      <c r="E38" s="28" t="s">
        <v>40</v>
      </c>
      <c r="F38" s="24" t="s">
        <v>41</v>
      </c>
      <c r="G38" s="30" t="s">
        <v>28</v>
      </c>
      <c r="H38" s="24" t="s">
        <v>42</v>
      </c>
    </row>
    <row r="39" spans="3:8" x14ac:dyDescent="0.2">
      <c r="C39" s="7">
        <v>2772037</v>
      </c>
      <c r="D39" s="7">
        <f>D32</f>
        <v>6103</v>
      </c>
      <c r="E39" s="7">
        <v>16676</v>
      </c>
      <c r="F39" s="7">
        <f>E39-D39</f>
        <v>10573</v>
      </c>
      <c r="G39" s="8">
        <v>0.05</v>
      </c>
      <c r="H39" s="7">
        <f>F39*G39</f>
        <v>528.65</v>
      </c>
    </row>
    <row r="40" spans="3:8" ht="15" x14ac:dyDescent="0.35">
      <c r="C40" s="7">
        <v>305156</v>
      </c>
      <c r="D40" s="7"/>
      <c r="E40" s="32">
        <v>1836</v>
      </c>
      <c r="F40" s="32">
        <f t="shared" ref="F40" si="14">E40</f>
        <v>1836</v>
      </c>
      <c r="G40" s="8">
        <v>0.05</v>
      </c>
      <c r="H40" s="32">
        <f t="shared" ref="H40" si="15">F40*G40</f>
        <v>91.800000000000011</v>
      </c>
    </row>
    <row r="41" spans="3:8" x14ac:dyDescent="0.2">
      <c r="E41" s="7">
        <f>E39+E40</f>
        <v>18512</v>
      </c>
      <c r="F41" s="7">
        <f>F39+F40</f>
        <v>12409</v>
      </c>
      <c r="H41" s="7">
        <f>H39+H40</f>
        <v>620.45000000000005</v>
      </c>
    </row>
    <row r="42" spans="3:8" x14ac:dyDescent="0.2">
      <c r="H42" s="7">
        <f>H41-L24</f>
        <v>5.9999999999718057E-3</v>
      </c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10 of 12
Williams</oddHeader>
  </headerFooter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selection activeCell="O10" sqref="O10:O12"/>
    </sheetView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2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21</v>
      </c>
    </row>
    <row r="6" spans="1:16" x14ac:dyDescent="0.2">
      <c r="A6" s="11" t="s">
        <v>54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13334.999039999999</v>
      </c>
    </row>
    <row r="10" spans="1:16" x14ac:dyDescent="0.2">
      <c r="A10" s="42">
        <v>43160</v>
      </c>
      <c r="C10" s="7">
        <v>3191413</v>
      </c>
      <c r="D10" s="15">
        <v>6305</v>
      </c>
      <c r="E10" s="15">
        <f>27628.05+5611.66</f>
        <v>33239.71</v>
      </c>
      <c r="F10" s="15">
        <v>27628.05</v>
      </c>
      <c r="G10" s="7">
        <f t="shared" ref="G10:G14" si="0">E10-D10</f>
        <v>26934.71</v>
      </c>
      <c r="H10" s="7">
        <f t="shared" ref="H10:H14" si="1">F10-D10</f>
        <v>21323.05</v>
      </c>
      <c r="I10" s="8">
        <v>0.21</v>
      </c>
      <c r="J10" s="8">
        <v>0.06</v>
      </c>
      <c r="K10" s="7">
        <f t="shared" ref="K10:K14" si="2">G10*I10-L10*I10</f>
        <v>5387.6186699999998</v>
      </c>
      <c r="L10" s="7">
        <f t="shared" ref="L10:L14" si="3">H10*J10</f>
        <v>1279.3829999999998</v>
      </c>
      <c r="M10" s="7">
        <f t="shared" ref="M10:M14" si="4">M9+K10+L10</f>
        <v>20002.00071</v>
      </c>
      <c r="N10" s="7">
        <v>0</v>
      </c>
      <c r="O10" s="17"/>
      <c r="P10" s="19"/>
    </row>
    <row r="11" spans="1:16" x14ac:dyDescent="0.2">
      <c r="A11" s="42">
        <v>43191</v>
      </c>
      <c r="C11" s="7">
        <v>3191413</v>
      </c>
      <c r="D11" s="15">
        <v>6305</v>
      </c>
      <c r="E11" s="15">
        <f>27628.05-1724.29</f>
        <v>25903.759999999998</v>
      </c>
      <c r="F11" s="15">
        <v>27628.05</v>
      </c>
      <c r="G11" s="7">
        <f t="shared" si="0"/>
        <v>19598.759999999998</v>
      </c>
      <c r="H11" s="7">
        <f t="shared" si="1"/>
        <v>21323.05</v>
      </c>
      <c r="I11" s="8">
        <v>0.21</v>
      </c>
      <c r="J11" s="8">
        <v>0.05</v>
      </c>
      <c r="K11" s="7">
        <f t="shared" si="2"/>
        <v>3891.8475749999998</v>
      </c>
      <c r="L11" s="7">
        <f t="shared" si="3"/>
        <v>1066.1524999999999</v>
      </c>
      <c r="M11" s="24">
        <f t="shared" si="4"/>
        <v>24960.000785</v>
      </c>
      <c r="N11" s="7">
        <v>0</v>
      </c>
      <c r="O11" s="17"/>
      <c r="P11" s="19"/>
    </row>
    <row r="12" spans="1:16" x14ac:dyDescent="0.2">
      <c r="A12" s="42">
        <v>43221</v>
      </c>
      <c r="C12" s="7">
        <v>3191413</v>
      </c>
      <c r="D12" s="15">
        <v>6305</v>
      </c>
      <c r="E12" s="15">
        <f>27628.05-1721.29</f>
        <v>25906.76</v>
      </c>
      <c r="F12" s="15">
        <v>27628.05</v>
      </c>
      <c r="G12" s="7">
        <f t="shared" si="0"/>
        <v>19601.759999999998</v>
      </c>
      <c r="H12" s="7">
        <f t="shared" si="1"/>
        <v>21323.05</v>
      </c>
      <c r="I12" s="8">
        <v>0.21</v>
      </c>
      <c r="J12" s="8">
        <v>0.05</v>
      </c>
      <c r="K12" s="7">
        <f t="shared" si="2"/>
        <v>3892.477574999999</v>
      </c>
      <c r="L12" s="7">
        <f t="shared" si="3"/>
        <v>1066.1524999999999</v>
      </c>
      <c r="M12" s="7">
        <f t="shared" si="4"/>
        <v>29918.630860000001</v>
      </c>
      <c r="N12" s="7">
        <v>0</v>
      </c>
      <c r="O12" s="23"/>
      <c r="P12" s="19"/>
    </row>
    <row r="13" spans="1:16" x14ac:dyDescent="0.2">
      <c r="A13" s="42">
        <v>43252</v>
      </c>
      <c r="C13" s="7">
        <v>3191413</v>
      </c>
      <c r="D13" s="15">
        <v>6305</v>
      </c>
      <c r="E13" s="15">
        <f>27628.05-1721.29</f>
        <v>25906.76</v>
      </c>
      <c r="F13" s="15">
        <v>27628.05</v>
      </c>
      <c r="G13" s="7">
        <f t="shared" si="0"/>
        <v>19601.759999999998</v>
      </c>
      <c r="H13" s="7">
        <f t="shared" si="1"/>
        <v>21323.05</v>
      </c>
      <c r="I13" s="8">
        <v>0.21</v>
      </c>
      <c r="J13" s="8">
        <v>0.05</v>
      </c>
      <c r="K13" s="7">
        <f t="shared" si="2"/>
        <v>3892.477574999999</v>
      </c>
      <c r="L13" s="7">
        <f t="shared" si="3"/>
        <v>1066.1524999999999</v>
      </c>
      <c r="M13" s="7">
        <f t="shared" si="4"/>
        <v>34877.260934999998</v>
      </c>
      <c r="N13" s="7">
        <v>0</v>
      </c>
      <c r="O13" s="23"/>
      <c r="P13" s="19"/>
    </row>
    <row r="14" spans="1:16" x14ac:dyDescent="0.2">
      <c r="A14" s="42">
        <v>43282</v>
      </c>
      <c r="C14" s="7">
        <v>3191413</v>
      </c>
      <c r="D14" s="15">
        <v>6305</v>
      </c>
      <c r="E14" s="15">
        <f>27628.05-1721.29-2</f>
        <v>25904.76</v>
      </c>
      <c r="F14" s="15">
        <v>27628.05</v>
      </c>
      <c r="G14" s="7">
        <f t="shared" si="0"/>
        <v>19599.759999999998</v>
      </c>
      <c r="H14" s="7">
        <f t="shared" si="1"/>
        <v>21323.05</v>
      </c>
      <c r="I14" s="8">
        <v>0.21</v>
      </c>
      <c r="J14" s="8">
        <v>0.05</v>
      </c>
      <c r="K14" s="7">
        <f t="shared" si="2"/>
        <v>3892.0575749999998</v>
      </c>
      <c r="L14" s="7">
        <f t="shared" si="3"/>
        <v>1066.1524999999999</v>
      </c>
      <c r="M14" s="7">
        <f t="shared" si="4"/>
        <v>39835.471009999994</v>
      </c>
      <c r="N14" s="7">
        <v>0</v>
      </c>
      <c r="O14" s="7"/>
      <c r="P14" s="19"/>
    </row>
    <row r="15" spans="1:16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v>54016</v>
      </c>
    </row>
    <row r="18" spans="1:14" x14ac:dyDescent="0.2">
      <c r="A18" s="42">
        <v>43160</v>
      </c>
      <c r="C18" s="7">
        <v>3191413</v>
      </c>
      <c r="D18" s="15">
        <v>6305</v>
      </c>
      <c r="E18" s="15">
        <v>130903</v>
      </c>
      <c r="F18" s="15">
        <v>27628.05</v>
      </c>
      <c r="G18" s="7">
        <f t="shared" ref="G18:G22" si="5">E18-D18</f>
        <v>124598</v>
      </c>
      <c r="H18" s="7">
        <f t="shared" ref="H18:H22" si="6">F18-D18</f>
        <v>21323.05</v>
      </c>
      <c r="I18" s="8">
        <v>0.21</v>
      </c>
      <c r="J18" s="8">
        <v>0.05</v>
      </c>
      <c r="K18" s="7">
        <f t="shared" ref="K18:K22" si="7">G18*I18-L18*I18</f>
        <v>25941.687974999997</v>
      </c>
      <c r="L18" s="7">
        <f t="shared" ref="L18:L22" si="8">H18*J18</f>
        <v>1066.1524999999999</v>
      </c>
      <c r="M18" s="7">
        <f t="shared" ref="M18:M22" si="9">M17+K18+L18</f>
        <v>81023.84047499999</v>
      </c>
      <c r="N18" s="7">
        <v>0</v>
      </c>
    </row>
    <row r="19" spans="1:14" x14ac:dyDescent="0.2">
      <c r="A19" s="42">
        <v>43191</v>
      </c>
      <c r="C19" s="7">
        <v>3191413</v>
      </c>
      <c r="D19" s="15">
        <v>6305</v>
      </c>
      <c r="E19" s="15">
        <v>130903</v>
      </c>
      <c r="F19" s="15">
        <v>27628.05</v>
      </c>
      <c r="G19" s="7">
        <f t="shared" si="5"/>
        <v>124598</v>
      </c>
      <c r="H19" s="7">
        <f t="shared" si="6"/>
        <v>21323.05</v>
      </c>
      <c r="I19" s="8">
        <v>0.21</v>
      </c>
      <c r="J19" s="8">
        <v>0.05</v>
      </c>
      <c r="K19" s="7">
        <f t="shared" si="7"/>
        <v>25941.687974999997</v>
      </c>
      <c r="L19" s="7">
        <f t="shared" si="8"/>
        <v>1066.1524999999999</v>
      </c>
      <c r="M19" s="24">
        <f t="shared" si="9"/>
        <v>108031.68094999998</v>
      </c>
      <c r="N19" s="7">
        <v>0</v>
      </c>
    </row>
    <row r="20" spans="1:14" x14ac:dyDescent="0.2">
      <c r="A20" s="42">
        <v>43221</v>
      </c>
      <c r="C20" s="7">
        <v>3191413</v>
      </c>
      <c r="D20" s="15">
        <v>6305</v>
      </c>
      <c r="E20" s="15">
        <v>130903</v>
      </c>
      <c r="F20" s="15">
        <v>27628.05</v>
      </c>
      <c r="G20" s="7">
        <f t="shared" si="5"/>
        <v>124598</v>
      </c>
      <c r="H20" s="7">
        <f t="shared" si="6"/>
        <v>21323.05</v>
      </c>
      <c r="I20" s="8">
        <v>0.21</v>
      </c>
      <c r="J20" s="8">
        <v>0.05</v>
      </c>
      <c r="K20" s="7">
        <f t="shared" si="7"/>
        <v>25941.687974999997</v>
      </c>
      <c r="L20" s="7">
        <f t="shared" si="8"/>
        <v>1066.1524999999999</v>
      </c>
      <c r="M20" s="7">
        <f t="shared" si="9"/>
        <v>135039.52142499998</v>
      </c>
      <c r="N20" s="7">
        <v>0</v>
      </c>
    </row>
    <row r="21" spans="1:14" x14ac:dyDescent="0.2">
      <c r="A21" s="42">
        <v>43252</v>
      </c>
      <c r="C21" s="7">
        <v>3191413</v>
      </c>
      <c r="D21" s="15">
        <v>6305</v>
      </c>
      <c r="E21" s="15">
        <v>130903</v>
      </c>
      <c r="F21" s="15">
        <v>27628.05</v>
      </c>
      <c r="G21" s="7">
        <f t="shared" si="5"/>
        <v>124598</v>
      </c>
      <c r="H21" s="7">
        <f t="shared" si="6"/>
        <v>21323.05</v>
      </c>
      <c r="I21" s="8">
        <v>0.21</v>
      </c>
      <c r="J21" s="8">
        <v>0.05</v>
      </c>
      <c r="K21" s="7">
        <f t="shared" si="7"/>
        <v>25941.687974999997</v>
      </c>
      <c r="L21" s="7">
        <f t="shared" si="8"/>
        <v>1066.1524999999999</v>
      </c>
      <c r="M21" s="7">
        <f t="shared" si="9"/>
        <v>162047.36189999999</v>
      </c>
      <c r="N21" s="7">
        <v>0</v>
      </c>
    </row>
    <row r="22" spans="1:14" x14ac:dyDescent="0.2">
      <c r="A22" s="42">
        <v>43282</v>
      </c>
      <c r="C22" s="7">
        <v>3191413</v>
      </c>
      <c r="D22" s="15">
        <v>6305</v>
      </c>
      <c r="E22" s="15">
        <v>130903</v>
      </c>
      <c r="F22" s="15">
        <v>27628.05</v>
      </c>
      <c r="G22" s="7">
        <f t="shared" si="5"/>
        <v>124598</v>
      </c>
      <c r="H22" s="7">
        <f t="shared" si="6"/>
        <v>21323.05</v>
      </c>
      <c r="I22" s="8">
        <v>0.21</v>
      </c>
      <c r="J22" s="8">
        <v>0.05</v>
      </c>
      <c r="K22" s="7">
        <f t="shared" si="7"/>
        <v>25941.687974999997</v>
      </c>
      <c r="L22" s="7">
        <f t="shared" si="8"/>
        <v>1066.1524999999999</v>
      </c>
      <c r="M22" s="7">
        <f t="shared" si="9"/>
        <v>189055.20237499999</v>
      </c>
      <c r="N22" s="7">
        <v>0</v>
      </c>
    </row>
    <row r="23" spans="1:14" x14ac:dyDescent="0.2">
      <c r="A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42">
        <v>43313</v>
      </c>
      <c r="C24" s="7">
        <v>3191413</v>
      </c>
      <c r="D24" s="15">
        <v>6305</v>
      </c>
      <c r="E24" s="15">
        <v>130903</v>
      </c>
      <c r="F24" s="15">
        <v>27628.05</v>
      </c>
      <c r="G24" s="7">
        <f t="shared" ref="G24" si="10">E24-D24</f>
        <v>124598</v>
      </c>
      <c r="H24" s="7">
        <f t="shared" ref="H24" si="11">F24-D24</f>
        <v>21323.05</v>
      </c>
      <c r="I24" s="8">
        <v>0.21</v>
      </c>
      <c r="J24" s="8">
        <v>0.05</v>
      </c>
      <c r="K24" s="7">
        <f t="shared" ref="K24" si="12">G24*I24-L24*I24</f>
        <v>25941.687974999997</v>
      </c>
      <c r="L24" s="7">
        <f t="shared" ref="L24" si="13">H24*J24</f>
        <v>1066.1524999999999</v>
      </c>
      <c r="M24" s="7">
        <f>M22+K24+L24</f>
        <v>216063.04285</v>
      </c>
      <c r="N24" s="7">
        <v>0</v>
      </c>
    </row>
    <row r="25" spans="1:14" x14ac:dyDescent="0.2">
      <c r="A25" s="42"/>
      <c r="C25" s="7"/>
      <c r="D25" s="15"/>
      <c r="E25" s="15"/>
      <c r="F25" s="15"/>
      <c r="G25" s="7"/>
      <c r="H25" s="7"/>
      <c r="I25" s="8"/>
      <c r="J25" s="8"/>
      <c r="K25" s="7"/>
      <c r="L25" s="7"/>
      <c r="M25" s="7"/>
      <c r="N25" s="7"/>
    </row>
    <row r="26" spans="1:14" x14ac:dyDescent="0.2">
      <c r="C26" s="26" t="s">
        <v>60</v>
      </c>
    </row>
    <row r="27" spans="1:14" x14ac:dyDescent="0.2">
      <c r="C27" s="26" t="s">
        <v>61</v>
      </c>
    </row>
    <row r="28" spans="1:14" x14ac:dyDescent="0.2">
      <c r="C28" s="26" t="s">
        <v>62</v>
      </c>
    </row>
    <row r="29" spans="1:14" x14ac:dyDescent="0.2">
      <c r="C29" s="24" t="s">
        <v>32</v>
      </c>
    </row>
    <row r="31" spans="1:14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4" x14ac:dyDescent="0.2">
      <c r="C32" s="7">
        <v>724052</v>
      </c>
      <c r="D32" s="7">
        <v>6305</v>
      </c>
      <c r="E32" s="24">
        <f>2263+309</f>
        <v>2572</v>
      </c>
      <c r="F32" s="24">
        <f>E32-D32</f>
        <v>-3733</v>
      </c>
      <c r="G32" s="30">
        <v>0.21</v>
      </c>
      <c r="H32" s="24">
        <f>F32*G32</f>
        <v>-783.93</v>
      </c>
    </row>
    <row r="33" spans="3:8" x14ac:dyDescent="0.2">
      <c r="C33" s="7">
        <v>314156</v>
      </c>
      <c r="D33" s="7"/>
      <c r="E33" s="24">
        <v>4800</v>
      </c>
      <c r="F33" s="24">
        <f>E33</f>
        <v>4800</v>
      </c>
      <c r="G33" s="30">
        <v>0.21</v>
      </c>
      <c r="H33" s="24">
        <f t="shared" ref="H33:H35" si="14">F33*G33</f>
        <v>1008</v>
      </c>
    </row>
    <row r="34" spans="3:8" x14ac:dyDescent="0.2">
      <c r="C34" s="7">
        <v>771922</v>
      </c>
      <c r="D34" s="7"/>
      <c r="E34" s="24">
        <v>8424</v>
      </c>
      <c r="F34" s="24">
        <f>E34</f>
        <v>8424</v>
      </c>
      <c r="G34" s="30">
        <v>0.21</v>
      </c>
      <c r="H34" s="24">
        <f t="shared" si="14"/>
        <v>1769.04</v>
      </c>
    </row>
    <row r="35" spans="3:8" x14ac:dyDescent="0.2">
      <c r="C35" s="7">
        <v>857691</v>
      </c>
      <c r="D35" s="7"/>
      <c r="E35" s="24">
        <v>71474</v>
      </c>
      <c r="F35" s="24">
        <f>E35</f>
        <v>71474</v>
      </c>
      <c r="G35" s="30">
        <v>0.21</v>
      </c>
      <c r="H35" s="24">
        <f t="shared" si="14"/>
        <v>15009.539999999999</v>
      </c>
    </row>
    <row r="36" spans="3:8" ht="15" x14ac:dyDescent="0.35">
      <c r="C36" s="7">
        <v>523593</v>
      </c>
      <c r="D36" s="7"/>
      <c r="E36" s="31">
        <v>43633</v>
      </c>
      <c r="F36" s="31">
        <f>E36</f>
        <v>43633</v>
      </c>
      <c r="G36" s="30">
        <v>0.21</v>
      </c>
      <c r="H36" s="31">
        <f>F36*G36</f>
        <v>9162.93</v>
      </c>
    </row>
    <row r="37" spans="3:8" x14ac:dyDescent="0.2">
      <c r="E37" s="49">
        <f>SUM(E32:E36)</f>
        <v>130903</v>
      </c>
      <c r="F37" s="49">
        <f>SUM(F32:F36)</f>
        <v>124598</v>
      </c>
      <c r="G37" s="52" t="s">
        <v>43</v>
      </c>
      <c r="H37" s="49">
        <f>SUM(H32:H36)</f>
        <v>26165.579999999998</v>
      </c>
    </row>
    <row r="38" spans="3:8" ht="15" x14ac:dyDescent="0.35">
      <c r="E38" s="50"/>
      <c r="F38" s="50"/>
      <c r="G38" s="52" t="s">
        <v>44</v>
      </c>
      <c r="H38" s="31">
        <f>-H45*0.21</f>
        <v>-223.89150000000001</v>
      </c>
    </row>
    <row r="39" spans="3:8" x14ac:dyDescent="0.2">
      <c r="E39" s="50"/>
      <c r="F39" s="50"/>
      <c r="G39" s="50"/>
      <c r="H39" s="24">
        <f>H37+H38</f>
        <v>25941.688499999997</v>
      </c>
    </row>
    <row r="40" spans="3:8" x14ac:dyDescent="0.2">
      <c r="E40" s="50"/>
      <c r="F40" s="50"/>
      <c r="G40" s="50"/>
      <c r="H40" s="24">
        <f>H39-K24</f>
        <v>5.2499999947031029E-4</v>
      </c>
    </row>
    <row r="41" spans="3:8" x14ac:dyDescent="0.2">
      <c r="C41" s="24" t="s">
        <v>39</v>
      </c>
      <c r="D41" s="27" t="s">
        <v>35</v>
      </c>
      <c r="E41" s="28" t="s">
        <v>40</v>
      </c>
      <c r="F41" s="24" t="s">
        <v>41</v>
      </c>
      <c r="G41" s="30" t="s">
        <v>28</v>
      </c>
      <c r="H41" s="24" t="s">
        <v>42</v>
      </c>
    </row>
    <row r="42" spans="3:8" x14ac:dyDescent="0.2">
      <c r="C42" s="7">
        <v>1276565</v>
      </c>
      <c r="D42" s="7">
        <f>D32</f>
        <v>6305</v>
      </c>
      <c r="E42" s="7">
        <v>3989</v>
      </c>
      <c r="F42" s="7">
        <f>E42-D42</f>
        <v>-2316</v>
      </c>
      <c r="G42" s="8">
        <v>0.05</v>
      </c>
      <c r="H42" s="7">
        <f>F42*G42</f>
        <v>-115.80000000000001</v>
      </c>
    </row>
    <row r="43" spans="3:8" x14ac:dyDescent="0.2">
      <c r="C43" s="7">
        <v>628311</v>
      </c>
      <c r="D43" s="7"/>
      <c r="E43" s="7">
        <v>9599</v>
      </c>
      <c r="F43" s="7">
        <f>E43</f>
        <v>9599</v>
      </c>
      <c r="G43" s="8">
        <v>0.05</v>
      </c>
      <c r="H43" s="7">
        <f>F43*G43</f>
        <v>479.95000000000005</v>
      </c>
    </row>
    <row r="44" spans="3:8" ht="15" x14ac:dyDescent="0.35">
      <c r="C44" s="7">
        <v>1286537</v>
      </c>
      <c r="D44" s="7"/>
      <c r="E44" s="32">
        <v>14040</v>
      </c>
      <c r="F44" s="32">
        <f t="shared" ref="F44" si="15">E44</f>
        <v>14040</v>
      </c>
      <c r="G44" s="8">
        <v>0.05</v>
      </c>
      <c r="H44" s="32">
        <f>F44*G44</f>
        <v>702</v>
      </c>
    </row>
    <row r="45" spans="3:8" x14ac:dyDescent="0.2">
      <c r="E45" s="7">
        <f>E42+E44+E43</f>
        <v>27628</v>
      </c>
      <c r="F45" s="7">
        <f>F42+F44+F43</f>
        <v>21323</v>
      </c>
      <c r="H45" s="7">
        <f>H42+H44+H43</f>
        <v>1066.1500000000001</v>
      </c>
    </row>
    <row r="46" spans="3:8" x14ac:dyDescent="0.2">
      <c r="H46" s="7">
        <f>H45-L24</f>
        <v>-2.499999999827196E-3</v>
      </c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11 of 12
Williams</oddHead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>
      <selection activeCell="H29" sqref="H29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21</v>
      </c>
    </row>
    <row r="6" spans="1:17" x14ac:dyDescent="0.2">
      <c r="A6" s="11" t="s">
        <v>22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61433.999432000019</v>
      </c>
    </row>
    <row r="10" spans="1:17" x14ac:dyDescent="0.2">
      <c r="A10" s="42">
        <v>43160</v>
      </c>
      <c r="C10" s="7">
        <v>350074</v>
      </c>
      <c r="D10" s="15">
        <v>691</v>
      </c>
      <c r="E10" s="25">
        <v>1052.99</v>
      </c>
      <c r="F10" s="15">
        <v>2105.9899999999998</v>
      </c>
      <c r="G10" s="7">
        <f>E10-D10</f>
        <v>361.99</v>
      </c>
      <c r="H10" s="7">
        <f>F10-D10</f>
        <v>1414.9899999999998</v>
      </c>
      <c r="I10" s="8">
        <v>0.21</v>
      </c>
      <c r="J10" s="8">
        <v>0.06</v>
      </c>
      <c r="K10" s="7">
        <f>G10*I10-L10*I10</f>
        <v>58.189025999999998</v>
      </c>
      <c r="L10" s="7">
        <f>H10*J10</f>
        <v>84.899399999999986</v>
      </c>
      <c r="M10" s="7">
        <f t="shared" ref="M10:M14" si="0">M9+K10+L10</f>
        <v>61577.087858000021</v>
      </c>
      <c r="N10" s="7">
        <v>0</v>
      </c>
      <c r="P10" s="17"/>
    </row>
    <row r="11" spans="1:17" x14ac:dyDescent="0.2">
      <c r="A11" s="42">
        <v>43191</v>
      </c>
      <c r="C11" s="7">
        <v>350074</v>
      </c>
      <c r="D11" s="15">
        <v>691</v>
      </c>
      <c r="E11" s="25">
        <f>1052.99-19.04</f>
        <v>1033.95</v>
      </c>
      <c r="F11" s="15">
        <v>2105.9899999999998</v>
      </c>
      <c r="G11" s="7">
        <f t="shared" ref="G11:G13" si="1">E11-D11</f>
        <v>342.95000000000005</v>
      </c>
      <c r="H11" s="7">
        <f t="shared" ref="H11:H13" si="2">F11-D11</f>
        <v>1414.9899999999998</v>
      </c>
      <c r="I11" s="8">
        <v>0.21</v>
      </c>
      <c r="J11" s="8">
        <v>0.05</v>
      </c>
      <c r="K11" s="7">
        <f t="shared" ref="K11:K13" si="3">G11*I11-L11*I11</f>
        <v>57.162105000000011</v>
      </c>
      <c r="L11" s="7">
        <f t="shared" ref="L11:L13" si="4">H11*J11</f>
        <v>70.749499999999998</v>
      </c>
      <c r="M11" s="7">
        <f t="shared" si="0"/>
        <v>61704.999463000022</v>
      </c>
      <c r="N11" s="7">
        <v>0</v>
      </c>
      <c r="O11" s="7">
        <f>1598189-M12</f>
        <v>1536356.0889319999</v>
      </c>
      <c r="P11" s="17"/>
    </row>
    <row r="12" spans="1:17" x14ac:dyDescent="0.2">
      <c r="A12" s="42">
        <v>43221</v>
      </c>
      <c r="C12" s="7">
        <v>350074</v>
      </c>
      <c r="D12" s="15">
        <v>691</v>
      </c>
      <c r="E12" s="25">
        <f>1052.99-19.04</f>
        <v>1033.95</v>
      </c>
      <c r="F12" s="15">
        <v>2105.9899999999998</v>
      </c>
      <c r="G12" s="7">
        <f t="shared" si="1"/>
        <v>342.95000000000005</v>
      </c>
      <c r="H12" s="7">
        <f t="shared" si="2"/>
        <v>1414.9899999999998</v>
      </c>
      <c r="I12" s="8">
        <v>0.21</v>
      </c>
      <c r="J12" s="8">
        <v>0.05</v>
      </c>
      <c r="K12" s="7">
        <f t="shared" si="3"/>
        <v>57.162105000000011</v>
      </c>
      <c r="L12" s="7">
        <f t="shared" si="4"/>
        <v>70.749499999999998</v>
      </c>
      <c r="M12" s="7">
        <f t="shared" si="0"/>
        <v>61832.911068000023</v>
      </c>
      <c r="N12" s="7">
        <v>0</v>
      </c>
      <c r="O12" s="17">
        <f>+O11/0.389</f>
        <v>3949501.5139640099</v>
      </c>
    </row>
    <row r="13" spans="1:17" x14ac:dyDescent="0.2">
      <c r="A13" s="42">
        <v>43252</v>
      </c>
      <c r="C13" s="7">
        <v>350074</v>
      </c>
      <c r="D13" s="15">
        <v>691</v>
      </c>
      <c r="E13" s="25">
        <f>1052.99-19.04</f>
        <v>1033.95</v>
      </c>
      <c r="F13" s="15">
        <v>2105.9899999999998</v>
      </c>
      <c r="G13" s="7">
        <f t="shared" si="1"/>
        <v>342.95000000000005</v>
      </c>
      <c r="H13" s="7">
        <f t="shared" si="2"/>
        <v>1414.9899999999998</v>
      </c>
      <c r="I13" s="8">
        <v>0.21</v>
      </c>
      <c r="J13" s="8">
        <v>0.05</v>
      </c>
      <c r="K13" s="7">
        <f t="shared" si="3"/>
        <v>57.162105000000011</v>
      </c>
      <c r="L13" s="7">
        <f t="shared" si="4"/>
        <v>70.749499999999998</v>
      </c>
      <c r="M13" s="7">
        <f t="shared" si="0"/>
        <v>61960.822673000024</v>
      </c>
      <c r="N13" s="7">
        <v>0</v>
      </c>
      <c r="O13" s="7">
        <f>1923738-M14</f>
        <v>1861649.265722</v>
      </c>
    </row>
    <row r="14" spans="1:17" x14ac:dyDescent="0.2">
      <c r="A14" s="42">
        <v>43282</v>
      </c>
      <c r="C14" s="7">
        <v>350074</v>
      </c>
      <c r="D14" s="15">
        <v>691</v>
      </c>
      <c r="E14" s="25">
        <f>1052.99-19.04</f>
        <v>1033.95</v>
      </c>
      <c r="F14" s="15">
        <v>2105.9899999999998</v>
      </c>
      <c r="G14" s="7">
        <f>E14-D14</f>
        <v>342.95000000000005</v>
      </c>
      <c r="H14" s="7">
        <f>F14-D14</f>
        <v>1414.9899999999998</v>
      </c>
      <c r="I14" s="8">
        <v>0.21</v>
      </c>
      <c r="J14" s="8">
        <v>0.05</v>
      </c>
      <c r="K14" s="7">
        <f>G14*I14-L14*I14</f>
        <v>57.162105000000011</v>
      </c>
      <c r="L14" s="7">
        <f>H14*J14</f>
        <v>70.749499999999998</v>
      </c>
      <c r="M14" s="7">
        <f t="shared" si="0"/>
        <v>62088.734278000025</v>
      </c>
      <c r="N14" s="7">
        <v>0</v>
      </c>
      <c r="O14" s="17">
        <f>+O13/0.389</f>
        <v>4785730.7602107972</v>
      </c>
      <c r="Q14" s="7"/>
    </row>
    <row r="15" spans="1:17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9" t="e">
        <f>+#REF!/0.389</f>
        <v>#REF!</v>
      </c>
    </row>
    <row r="16" spans="1:17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v>61411</v>
      </c>
    </row>
    <row r="18" spans="1:14" x14ac:dyDescent="0.2">
      <c r="A18" s="42">
        <v>43160</v>
      </c>
      <c r="C18" s="7">
        <v>350074</v>
      </c>
      <c r="D18" s="15">
        <v>691</v>
      </c>
      <c r="E18" s="25">
        <v>1052.99</v>
      </c>
      <c r="F18" s="15">
        <v>2105.9899999999998</v>
      </c>
      <c r="G18" s="7">
        <f>E18-D18</f>
        <v>361.99</v>
      </c>
      <c r="H18" s="7">
        <f>F18-D18</f>
        <v>1414.9899999999998</v>
      </c>
      <c r="I18" s="8">
        <v>0.21</v>
      </c>
      <c r="J18" s="8">
        <v>0.05</v>
      </c>
      <c r="K18" s="7">
        <f>G18*I18-L18*I18</f>
        <v>61.160505000000001</v>
      </c>
      <c r="L18" s="7">
        <f>H18*J18</f>
        <v>70.749499999999998</v>
      </c>
      <c r="M18" s="7">
        <f t="shared" ref="M18:M22" si="5">M17+K18+L18</f>
        <v>61542.910004999998</v>
      </c>
      <c r="N18" s="7">
        <v>0</v>
      </c>
    </row>
    <row r="19" spans="1:14" x14ac:dyDescent="0.2">
      <c r="A19" s="42">
        <v>43191</v>
      </c>
      <c r="C19" s="7">
        <v>350074</v>
      </c>
      <c r="D19" s="15">
        <v>691</v>
      </c>
      <c r="E19" s="25">
        <v>1052.99</v>
      </c>
      <c r="F19" s="15">
        <v>2105.9899999999998</v>
      </c>
      <c r="G19" s="7">
        <f t="shared" ref="G19:G21" si="6">E19-D19</f>
        <v>361.99</v>
      </c>
      <c r="H19" s="7">
        <f t="shared" ref="H19:H21" si="7">F19-D19</f>
        <v>1414.9899999999998</v>
      </c>
      <c r="I19" s="8">
        <v>0.21</v>
      </c>
      <c r="J19" s="8">
        <v>0.05</v>
      </c>
      <c r="K19" s="7">
        <f t="shared" ref="K19:K21" si="8">G19*I19-L19*I19</f>
        <v>61.160505000000001</v>
      </c>
      <c r="L19" s="7">
        <f t="shared" ref="L19:L21" si="9">H19*J19</f>
        <v>70.749499999999998</v>
      </c>
      <c r="M19" s="7">
        <f t="shared" si="5"/>
        <v>61674.820009999996</v>
      </c>
      <c r="N19" s="7">
        <v>0</v>
      </c>
    </row>
    <row r="20" spans="1:14" x14ac:dyDescent="0.2">
      <c r="A20" s="42">
        <v>43221</v>
      </c>
      <c r="C20" s="7">
        <v>350074</v>
      </c>
      <c r="D20" s="15">
        <v>691</v>
      </c>
      <c r="E20" s="25">
        <v>1052.99</v>
      </c>
      <c r="F20" s="15">
        <v>2105.9899999999998</v>
      </c>
      <c r="G20" s="7">
        <f t="shared" si="6"/>
        <v>361.99</v>
      </c>
      <c r="H20" s="7">
        <f t="shared" si="7"/>
        <v>1414.9899999999998</v>
      </c>
      <c r="I20" s="8">
        <v>0.21</v>
      </c>
      <c r="J20" s="8">
        <v>0.05</v>
      </c>
      <c r="K20" s="7">
        <f t="shared" si="8"/>
        <v>61.160505000000001</v>
      </c>
      <c r="L20" s="7">
        <f t="shared" si="9"/>
        <v>70.749499999999998</v>
      </c>
      <c r="M20" s="7">
        <f t="shared" si="5"/>
        <v>61806.730014999994</v>
      </c>
      <c r="N20" s="7">
        <v>0</v>
      </c>
    </row>
    <row r="21" spans="1:14" x14ac:dyDescent="0.2">
      <c r="A21" s="42">
        <v>43252</v>
      </c>
      <c r="C21" s="7">
        <v>350074</v>
      </c>
      <c r="D21" s="15">
        <v>691</v>
      </c>
      <c r="E21" s="25">
        <v>1052.99</v>
      </c>
      <c r="F21" s="15">
        <v>2105.9899999999998</v>
      </c>
      <c r="G21" s="7">
        <f t="shared" si="6"/>
        <v>361.99</v>
      </c>
      <c r="H21" s="7">
        <f t="shared" si="7"/>
        <v>1414.9899999999998</v>
      </c>
      <c r="I21" s="8">
        <v>0.21</v>
      </c>
      <c r="J21" s="8">
        <v>0.05</v>
      </c>
      <c r="K21" s="7">
        <f t="shared" si="8"/>
        <v>61.160505000000001</v>
      </c>
      <c r="L21" s="7">
        <f t="shared" si="9"/>
        <v>70.749499999999998</v>
      </c>
      <c r="M21" s="7">
        <f t="shared" si="5"/>
        <v>61938.640019999992</v>
      </c>
      <c r="N21" s="7">
        <v>0</v>
      </c>
    </row>
    <row r="22" spans="1:14" x14ac:dyDescent="0.2">
      <c r="A22" s="42">
        <v>43282</v>
      </c>
      <c r="C22" s="7">
        <v>350074</v>
      </c>
      <c r="D22" s="15">
        <v>691</v>
      </c>
      <c r="E22" s="25">
        <v>1052.99</v>
      </c>
      <c r="F22" s="15">
        <v>2105.9899999999998</v>
      </c>
      <c r="G22" s="7">
        <f>E22-D22</f>
        <v>361.99</v>
      </c>
      <c r="H22" s="7">
        <f>F22-D22</f>
        <v>1414.9899999999998</v>
      </c>
      <c r="I22" s="8">
        <v>0.21</v>
      </c>
      <c r="J22" s="8">
        <v>0.05</v>
      </c>
      <c r="K22" s="7">
        <f>G22*I22-L22*I22</f>
        <v>61.160505000000001</v>
      </c>
      <c r="L22" s="7">
        <f>H22*J22</f>
        <v>70.749499999999998</v>
      </c>
      <c r="M22" s="7">
        <f t="shared" si="5"/>
        <v>62070.55002499999</v>
      </c>
      <c r="N22" s="7">
        <v>0</v>
      </c>
    </row>
    <row r="23" spans="1:14" x14ac:dyDescent="0.2">
      <c r="A23" s="42"/>
      <c r="C23" s="7"/>
      <c r="D23" s="15"/>
      <c r="E23" s="25"/>
      <c r="F23" s="15"/>
      <c r="G23" s="7"/>
      <c r="H23" s="7"/>
      <c r="I23" s="8"/>
      <c r="J23" s="8"/>
      <c r="K23" s="7"/>
      <c r="L23" s="7"/>
      <c r="M23" s="7"/>
      <c r="N23" s="7"/>
    </row>
    <row r="24" spans="1:14" x14ac:dyDescent="0.2">
      <c r="A24" s="42">
        <v>43313</v>
      </c>
      <c r="C24" s="7">
        <v>350074</v>
      </c>
      <c r="D24" s="15">
        <v>691</v>
      </c>
      <c r="E24" s="25">
        <v>1052.99</v>
      </c>
      <c r="F24" s="15">
        <v>2105.9899999999998</v>
      </c>
      <c r="G24" s="7">
        <f>E24-D24</f>
        <v>361.99</v>
      </c>
      <c r="H24" s="7">
        <f>F24-D24</f>
        <v>1414.9899999999998</v>
      </c>
      <c r="I24" s="8">
        <v>0.21</v>
      </c>
      <c r="J24" s="8">
        <v>0.05</v>
      </c>
      <c r="K24" s="7">
        <f>G24*I24-L24*I24</f>
        <v>61.160505000000001</v>
      </c>
      <c r="L24" s="7">
        <f>H24*J24</f>
        <v>70.749499999999998</v>
      </c>
      <c r="M24" s="7">
        <f>M22+K24+L24</f>
        <v>62202.460029999987</v>
      </c>
      <c r="N24" s="7">
        <v>0</v>
      </c>
    </row>
    <row r="25" spans="1:14" x14ac:dyDescent="0.2">
      <c r="A25" s="42"/>
      <c r="C25" s="7"/>
      <c r="D25" s="15"/>
      <c r="E25" s="25"/>
      <c r="F25" s="15"/>
      <c r="G25" s="7"/>
      <c r="H25" s="7"/>
      <c r="I25" s="8"/>
      <c r="J25" s="8"/>
      <c r="K25" s="7"/>
      <c r="L25" s="7"/>
      <c r="M25" s="7"/>
      <c r="N25" s="7"/>
    </row>
    <row r="26" spans="1:14" x14ac:dyDescent="0.2">
      <c r="C26" s="26" t="s">
        <v>52</v>
      </c>
    </row>
    <row r="27" spans="1:14" x14ac:dyDescent="0.2">
      <c r="C27" s="26" t="s">
        <v>31</v>
      </c>
    </row>
    <row r="28" spans="1:14" x14ac:dyDescent="0.2">
      <c r="C28" s="26" t="s">
        <v>56</v>
      </c>
    </row>
    <row r="29" spans="1:14" x14ac:dyDescent="0.2">
      <c r="C29" s="24" t="s">
        <v>32</v>
      </c>
    </row>
    <row r="31" spans="1:14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4" x14ac:dyDescent="0.2">
      <c r="C32" s="7">
        <v>175037.2</v>
      </c>
      <c r="D32" s="7">
        <v>691</v>
      </c>
      <c r="E32" s="7">
        <v>1053</v>
      </c>
      <c r="F32" s="7">
        <f>E32-D32</f>
        <v>362</v>
      </c>
      <c r="G32" s="8">
        <v>0.21</v>
      </c>
      <c r="H32" s="7">
        <f>F32*G32</f>
        <v>76.02</v>
      </c>
    </row>
    <row r="33" spans="3:8" x14ac:dyDescent="0.2">
      <c r="E33" s="7"/>
      <c r="F33" s="7"/>
      <c r="G33" s="34" t="s">
        <v>43</v>
      </c>
      <c r="H33" s="7">
        <f>H32</f>
        <v>76.02</v>
      </c>
    </row>
    <row r="34" spans="3:8" ht="15" x14ac:dyDescent="0.35">
      <c r="G34" s="34" t="s">
        <v>44</v>
      </c>
      <c r="H34" s="32">
        <f>-H38*0.21</f>
        <v>-14.8575</v>
      </c>
    </row>
    <row r="35" spans="3:8" x14ac:dyDescent="0.2">
      <c r="H35" s="7">
        <f>H33+H34</f>
        <v>61.162499999999994</v>
      </c>
    </row>
    <row r="36" spans="3:8" x14ac:dyDescent="0.2">
      <c r="H36" s="7">
        <f>H35-K24</f>
        <v>1.9949999999937518E-3</v>
      </c>
    </row>
    <row r="37" spans="3:8" x14ac:dyDescent="0.2">
      <c r="C37" s="24" t="s">
        <v>39</v>
      </c>
      <c r="D37" s="27" t="s">
        <v>35</v>
      </c>
      <c r="E37" s="28" t="s">
        <v>40</v>
      </c>
      <c r="F37" s="24" t="s">
        <v>41</v>
      </c>
      <c r="G37" s="30" t="s">
        <v>28</v>
      </c>
      <c r="H37" s="24" t="s">
        <v>42</v>
      </c>
    </row>
    <row r="38" spans="3:8" x14ac:dyDescent="0.2">
      <c r="C38" s="7">
        <v>350074.4</v>
      </c>
      <c r="D38" s="7">
        <f>D32</f>
        <v>691</v>
      </c>
      <c r="E38" s="7">
        <v>2106</v>
      </c>
      <c r="F38" s="7">
        <f>E38-D38</f>
        <v>1415</v>
      </c>
      <c r="G38" s="8">
        <v>0.05</v>
      </c>
      <c r="H38" s="7">
        <f>F38*G38</f>
        <v>70.75</v>
      </c>
    </row>
    <row r="39" spans="3:8" x14ac:dyDescent="0.2">
      <c r="H39" s="7">
        <f>H38-L24</f>
        <v>5.0000000000238742E-4</v>
      </c>
    </row>
    <row r="40" spans="3:8" x14ac:dyDescent="0.2">
      <c r="H40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12 of 12
Williams</oddHead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2"/>
  <sheetViews>
    <sheetView zoomScaleNormal="100" workbookViewId="0">
      <selection activeCell="O10" sqref="O10:O12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42578125" customWidth="1"/>
    <col min="4" max="4" width="14.28515625" bestFit="1" customWidth="1"/>
    <col min="5" max="5" width="16.28515625" customWidth="1"/>
    <col min="6" max="6" width="15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0.85546875" bestFit="1" customWidth="1"/>
    <col min="18" max="18" width="10.42578125" bestFit="1" customWidth="1"/>
  </cols>
  <sheetData>
    <row r="1" spans="1:17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3"/>
      <c r="P1" s="13"/>
    </row>
    <row r="2" spans="1:17" x14ac:dyDescent="0.2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3"/>
      <c r="P2" s="13"/>
    </row>
    <row r="3" spans="1:17" x14ac:dyDescent="0.2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10</v>
      </c>
    </row>
    <row r="6" spans="1:17" x14ac:dyDescent="0.2">
      <c r="A6" s="11" t="s">
        <v>14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5551210.9994280003</v>
      </c>
    </row>
    <row r="10" spans="1:17" x14ac:dyDescent="0.2">
      <c r="A10" s="42">
        <v>43160</v>
      </c>
      <c r="C10" s="7">
        <v>19347703</v>
      </c>
      <c r="D10" s="15">
        <v>42693</v>
      </c>
      <c r="E10" s="15">
        <f>30014.2+2570.71</f>
        <v>32584.91</v>
      </c>
      <c r="F10" s="15">
        <v>60028.41</v>
      </c>
      <c r="G10" s="15">
        <f t="shared" ref="G10:G14" si="0">E10-D10</f>
        <v>-10108.09</v>
      </c>
      <c r="H10" s="15">
        <f t="shared" ref="H10:H14" si="1">F10-D10</f>
        <v>17335.410000000003</v>
      </c>
      <c r="I10" s="8">
        <v>0.21</v>
      </c>
      <c r="J10" s="8">
        <v>0.06</v>
      </c>
      <c r="K10" s="7">
        <f t="shared" ref="K10:K14" si="2">G10*I10-L10*I10</f>
        <v>-2341.1250660000001</v>
      </c>
      <c r="L10" s="7">
        <f t="shared" ref="L10:L14" si="3">H10*J10</f>
        <v>1040.1246000000001</v>
      </c>
      <c r="M10" s="7">
        <f t="shared" ref="M10:M14" si="4">M9+K10+L10</f>
        <v>5549909.998962</v>
      </c>
      <c r="N10" s="7">
        <v>0</v>
      </c>
      <c r="O10" s="22"/>
      <c r="P10" s="19"/>
    </row>
    <row r="11" spans="1:17" x14ac:dyDescent="0.2">
      <c r="A11" s="42">
        <v>43191</v>
      </c>
      <c r="C11" s="7">
        <v>19347703</v>
      </c>
      <c r="D11" s="15">
        <v>42693</v>
      </c>
      <c r="E11" s="15">
        <f>30014.2+2351.43</f>
        <v>32365.63</v>
      </c>
      <c r="F11" s="15">
        <v>60028.41</v>
      </c>
      <c r="G11" s="15">
        <f t="shared" si="0"/>
        <v>-10327.369999999999</v>
      </c>
      <c r="H11" s="15">
        <f t="shared" si="1"/>
        <v>17335.410000000003</v>
      </c>
      <c r="I11" s="8">
        <v>0.21</v>
      </c>
      <c r="J11" s="8">
        <v>0.05</v>
      </c>
      <c r="K11" s="7">
        <f t="shared" si="2"/>
        <v>-2350.7695049999998</v>
      </c>
      <c r="L11" s="7">
        <f t="shared" si="3"/>
        <v>866.7705000000002</v>
      </c>
      <c r="M11" s="24">
        <f t="shared" si="4"/>
        <v>5548425.9999569999</v>
      </c>
      <c r="N11" s="7">
        <v>0</v>
      </c>
      <c r="O11" s="43"/>
      <c r="P11" s="19"/>
    </row>
    <row r="12" spans="1:17" x14ac:dyDescent="0.2">
      <c r="A12" s="42">
        <v>43221</v>
      </c>
      <c r="C12" s="7">
        <v>19347703</v>
      </c>
      <c r="D12" s="15">
        <v>42693</v>
      </c>
      <c r="E12" s="15">
        <f>30014.2-130324.77</f>
        <v>-100310.57</v>
      </c>
      <c r="F12" s="15">
        <v>60028.41</v>
      </c>
      <c r="G12" s="15">
        <f t="shared" si="0"/>
        <v>-143003.57</v>
      </c>
      <c r="H12" s="15">
        <f t="shared" si="1"/>
        <v>17335.410000000003</v>
      </c>
      <c r="I12" s="8">
        <v>0.21</v>
      </c>
      <c r="J12" s="8">
        <v>0.05</v>
      </c>
      <c r="K12" s="7">
        <f t="shared" si="2"/>
        <v>-30212.771505000001</v>
      </c>
      <c r="L12" s="7">
        <f t="shared" si="3"/>
        <v>866.7705000000002</v>
      </c>
      <c r="M12" s="7">
        <f t="shared" si="4"/>
        <v>5519079.9989519995</v>
      </c>
      <c r="N12" s="7">
        <v>0</v>
      </c>
      <c r="P12" s="19"/>
    </row>
    <row r="13" spans="1:17" x14ac:dyDescent="0.2">
      <c r="A13" s="42">
        <v>43252</v>
      </c>
      <c r="C13" s="7">
        <v>19347703</v>
      </c>
      <c r="D13" s="15">
        <v>42693</v>
      </c>
      <c r="E13" s="15">
        <f>30014.2+11946.67</f>
        <v>41960.87</v>
      </c>
      <c r="F13" s="15">
        <v>60028.41</v>
      </c>
      <c r="G13" s="15">
        <f t="shared" si="0"/>
        <v>-732.12999999999738</v>
      </c>
      <c r="H13" s="15">
        <f t="shared" si="1"/>
        <v>17335.410000000003</v>
      </c>
      <c r="I13" s="8">
        <v>0.21</v>
      </c>
      <c r="J13" s="8">
        <v>0.05</v>
      </c>
      <c r="K13" s="7">
        <f t="shared" si="2"/>
        <v>-335.76910499999951</v>
      </c>
      <c r="L13" s="7">
        <f t="shared" si="3"/>
        <v>866.7705000000002</v>
      </c>
      <c r="M13" s="7">
        <f t="shared" si="4"/>
        <v>5519611.0003469987</v>
      </c>
      <c r="N13" s="7">
        <v>0</v>
      </c>
      <c r="O13" s="7"/>
      <c r="P13" s="19"/>
    </row>
    <row r="14" spans="1:17" x14ac:dyDescent="0.2">
      <c r="A14" s="42">
        <v>43282</v>
      </c>
      <c r="C14" s="7">
        <v>19347703</v>
      </c>
      <c r="D14" s="15">
        <v>42693</v>
      </c>
      <c r="E14" s="15">
        <f>30014.2-8805.72</f>
        <v>21208.480000000003</v>
      </c>
      <c r="F14" s="15">
        <v>60028.41</v>
      </c>
      <c r="G14" s="15">
        <f t="shared" si="0"/>
        <v>-21484.519999999997</v>
      </c>
      <c r="H14" s="15">
        <f t="shared" si="1"/>
        <v>17335.410000000003</v>
      </c>
      <c r="I14" s="8">
        <v>0.21</v>
      </c>
      <c r="J14" s="8">
        <v>0.05</v>
      </c>
      <c r="K14" s="7">
        <f t="shared" si="2"/>
        <v>-4693.7710049999996</v>
      </c>
      <c r="L14" s="7">
        <f t="shared" si="3"/>
        <v>866.7705000000002</v>
      </c>
      <c r="M14" s="7">
        <f t="shared" si="4"/>
        <v>5515783.9998419983</v>
      </c>
      <c r="N14" s="7">
        <v>0</v>
      </c>
      <c r="O14" s="22"/>
      <c r="P14" s="19"/>
    </row>
    <row r="15" spans="1:17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3" t="s">
        <v>8</v>
      </c>
      <c r="M17" s="10">
        <v>5538992</v>
      </c>
      <c r="O17" s="7"/>
      <c r="P17" s="7"/>
    </row>
    <row r="18" spans="1:16" x14ac:dyDescent="0.2">
      <c r="A18" s="42">
        <v>43160</v>
      </c>
      <c r="C18" s="7">
        <v>19347703</v>
      </c>
      <c r="D18" s="15">
        <v>42693</v>
      </c>
      <c r="E18" s="15">
        <v>30014</v>
      </c>
      <c r="F18" s="15">
        <v>60028.41</v>
      </c>
      <c r="G18" s="15">
        <f t="shared" ref="G18:G22" si="5">E18-D18</f>
        <v>-12679</v>
      </c>
      <c r="H18" s="15">
        <f t="shared" ref="H18:H22" si="6">F18-D18</f>
        <v>17335.410000000003</v>
      </c>
      <c r="I18" s="8">
        <v>0.21</v>
      </c>
      <c r="J18" s="8">
        <v>0.05</v>
      </c>
      <c r="K18" s="7">
        <f>G18*I18-L18*I18-880</f>
        <v>-3724.6118049999995</v>
      </c>
      <c r="L18" s="7">
        <f t="shared" ref="L18:L22" si="7">H18*J18</f>
        <v>866.7705000000002</v>
      </c>
      <c r="M18" s="7">
        <f t="shared" ref="M18:M22" si="8">M17+K18+L18</f>
        <v>5536134.1586949993</v>
      </c>
      <c r="N18" s="7">
        <v>0</v>
      </c>
      <c r="O18" s="7"/>
      <c r="P18" s="7"/>
    </row>
    <row r="19" spans="1:16" x14ac:dyDescent="0.2">
      <c r="A19" s="42">
        <v>43191</v>
      </c>
      <c r="C19" s="7">
        <v>19347703</v>
      </c>
      <c r="D19" s="15">
        <v>42693</v>
      </c>
      <c r="E19" s="15">
        <v>30014</v>
      </c>
      <c r="F19" s="15">
        <v>60028.41</v>
      </c>
      <c r="G19" s="15">
        <f t="shared" si="5"/>
        <v>-12679</v>
      </c>
      <c r="H19" s="15">
        <f t="shared" si="6"/>
        <v>17335.410000000003</v>
      </c>
      <c r="I19" s="8">
        <v>0.21</v>
      </c>
      <c r="J19" s="8">
        <v>0.05</v>
      </c>
      <c r="K19" s="7">
        <f>G19*I19-L19*I19-880</f>
        <v>-3724.6118049999995</v>
      </c>
      <c r="L19" s="7">
        <f t="shared" si="7"/>
        <v>866.7705000000002</v>
      </c>
      <c r="M19" s="24">
        <f t="shared" si="8"/>
        <v>5533276.3173899986</v>
      </c>
      <c r="N19" s="7">
        <v>0</v>
      </c>
      <c r="O19" s="7"/>
      <c r="P19" s="7"/>
    </row>
    <row r="20" spans="1:16" x14ac:dyDescent="0.2">
      <c r="A20" s="42">
        <v>43221</v>
      </c>
      <c r="C20" s="7">
        <v>19347703</v>
      </c>
      <c r="D20" s="15">
        <v>42693</v>
      </c>
      <c r="E20" s="15">
        <v>30014</v>
      </c>
      <c r="F20" s="15">
        <v>60028.41</v>
      </c>
      <c r="G20" s="15">
        <f t="shared" si="5"/>
        <v>-12679</v>
      </c>
      <c r="H20" s="15">
        <f t="shared" si="6"/>
        <v>17335.410000000003</v>
      </c>
      <c r="I20" s="8">
        <v>0.21</v>
      </c>
      <c r="J20" s="8">
        <v>0.05</v>
      </c>
      <c r="K20" s="7">
        <f>G20*I20-L20*I20-880</f>
        <v>-3724.6118049999995</v>
      </c>
      <c r="L20" s="7">
        <f t="shared" si="7"/>
        <v>866.7705000000002</v>
      </c>
      <c r="M20" s="7">
        <f t="shared" si="8"/>
        <v>5530418.4760849979</v>
      </c>
      <c r="N20" s="7">
        <v>0</v>
      </c>
      <c r="O20" s="7"/>
      <c r="P20" s="7"/>
    </row>
    <row r="21" spans="1:16" x14ac:dyDescent="0.2">
      <c r="A21" s="42">
        <v>43252</v>
      </c>
      <c r="C21" s="7">
        <v>19347703</v>
      </c>
      <c r="D21" s="15">
        <v>42693</v>
      </c>
      <c r="E21" s="15">
        <v>30014</v>
      </c>
      <c r="F21" s="15">
        <v>60028.41</v>
      </c>
      <c r="G21" s="15">
        <f t="shared" si="5"/>
        <v>-12679</v>
      </c>
      <c r="H21" s="15">
        <f t="shared" si="6"/>
        <v>17335.410000000003</v>
      </c>
      <c r="I21" s="8">
        <v>0.21</v>
      </c>
      <c r="J21" s="8">
        <v>0.05</v>
      </c>
      <c r="K21" s="7">
        <f>G21*I21-L21*I21-880</f>
        <v>-3724.6118049999995</v>
      </c>
      <c r="L21" s="7">
        <f t="shared" si="7"/>
        <v>866.7705000000002</v>
      </c>
      <c r="M21" s="7">
        <f t="shared" si="8"/>
        <v>5527560.6347799972</v>
      </c>
      <c r="N21" s="7">
        <v>0</v>
      </c>
      <c r="O21" s="7"/>
      <c r="P21" s="7"/>
    </row>
    <row r="22" spans="1:16" x14ac:dyDescent="0.2">
      <c r="A22" s="42">
        <v>43282</v>
      </c>
      <c r="C22" s="7">
        <v>19347703</v>
      </c>
      <c r="D22" s="15">
        <v>42693</v>
      </c>
      <c r="E22" s="15">
        <v>30014</v>
      </c>
      <c r="F22" s="15">
        <v>60028.41</v>
      </c>
      <c r="G22" s="15">
        <f t="shared" si="5"/>
        <v>-12679</v>
      </c>
      <c r="H22" s="15">
        <f t="shared" si="6"/>
        <v>17335.410000000003</v>
      </c>
      <c r="I22" s="8">
        <v>0.21</v>
      </c>
      <c r="J22" s="8">
        <v>0.05</v>
      </c>
      <c r="K22" s="7">
        <f>G22*I22-L22*I22-880</f>
        <v>-3724.6118049999995</v>
      </c>
      <c r="L22" s="7">
        <f t="shared" si="7"/>
        <v>866.7705000000002</v>
      </c>
      <c r="M22" s="7">
        <f t="shared" si="8"/>
        <v>5524702.7934749965</v>
      </c>
      <c r="N22" s="7">
        <v>0</v>
      </c>
      <c r="O22" s="7"/>
      <c r="P22" s="7"/>
    </row>
    <row r="23" spans="1:16" x14ac:dyDescent="0.2">
      <c r="A23" s="42"/>
      <c r="C23" s="7"/>
      <c r="D23" s="15"/>
      <c r="E23" s="15"/>
      <c r="F23" s="15"/>
      <c r="G23" s="15"/>
      <c r="H23" s="15"/>
      <c r="I23" s="8"/>
      <c r="J23" s="8"/>
      <c r="K23" s="7"/>
      <c r="L23" s="7"/>
      <c r="M23" s="7"/>
      <c r="N23" s="7"/>
      <c r="O23" s="7"/>
      <c r="P23" s="7"/>
    </row>
    <row r="24" spans="1:16" x14ac:dyDescent="0.2">
      <c r="A24" s="42">
        <v>43313</v>
      </c>
      <c r="C24" s="7">
        <v>19347703</v>
      </c>
      <c r="D24" s="15">
        <v>42693</v>
      </c>
      <c r="E24" s="15">
        <v>30014</v>
      </c>
      <c r="F24" s="15">
        <v>60028.41</v>
      </c>
      <c r="G24" s="15">
        <f t="shared" ref="G24" si="9">E24-D24</f>
        <v>-12679</v>
      </c>
      <c r="H24" s="15">
        <f t="shared" ref="H24" si="10">F24-D24</f>
        <v>17335.410000000003</v>
      </c>
      <c r="I24" s="8">
        <v>0.21</v>
      </c>
      <c r="J24" s="8">
        <v>0.05</v>
      </c>
      <c r="K24" s="7">
        <f>G24*I24-L24*I24-880</f>
        <v>-3724.6118049999995</v>
      </c>
      <c r="L24" s="7">
        <f t="shared" ref="L24" si="11">H24*J24</f>
        <v>866.7705000000002</v>
      </c>
      <c r="M24" s="7">
        <f>M22+K24+L24</f>
        <v>5521844.9521699958</v>
      </c>
      <c r="N24" s="7">
        <v>0</v>
      </c>
      <c r="O24" s="7"/>
      <c r="P24" s="7"/>
    </row>
    <row r="25" spans="1:16" x14ac:dyDescent="0.2">
      <c r="A25" s="42"/>
      <c r="C25" s="7" t="s">
        <v>57</v>
      </c>
      <c r="D25" s="15"/>
      <c r="E25" s="15"/>
      <c r="F25" s="15"/>
      <c r="G25" s="15"/>
      <c r="H25" s="15"/>
      <c r="I25" s="8"/>
      <c r="J25" s="8"/>
      <c r="K25" s="7"/>
      <c r="L25" s="7"/>
      <c r="M25" s="7"/>
      <c r="N25" s="7"/>
      <c r="O25" s="7"/>
      <c r="P25" s="7"/>
    </row>
    <row r="26" spans="1:16" x14ac:dyDescent="0.2">
      <c r="A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">
      <c r="C27" s="26" t="s">
        <v>45</v>
      </c>
    </row>
    <row r="28" spans="1:16" x14ac:dyDescent="0.2">
      <c r="C28" s="26" t="s">
        <v>31</v>
      </c>
    </row>
    <row r="29" spans="1:16" x14ac:dyDescent="0.2">
      <c r="C29" s="26" t="s">
        <v>56</v>
      </c>
    </row>
    <row r="30" spans="1:16" x14ac:dyDescent="0.2">
      <c r="C30" s="24" t="s">
        <v>32</v>
      </c>
    </row>
    <row r="32" spans="1:16" x14ac:dyDescent="0.2">
      <c r="C32" s="24" t="s">
        <v>34</v>
      </c>
      <c r="D32" s="29" t="s">
        <v>35</v>
      </c>
      <c r="E32" s="28" t="s">
        <v>36</v>
      </c>
      <c r="F32" s="24" t="s">
        <v>37</v>
      </c>
      <c r="G32" s="30" t="s">
        <v>27</v>
      </c>
      <c r="H32" s="24" t="s">
        <v>38</v>
      </c>
    </row>
    <row r="33" spans="3:10" x14ac:dyDescent="0.2">
      <c r="C33" s="35">
        <v>3199833</v>
      </c>
      <c r="D33" s="48">
        <v>42693</v>
      </c>
      <c r="E33" s="35">
        <v>13034</v>
      </c>
      <c r="F33" s="19">
        <f>E33-D33</f>
        <v>-29659</v>
      </c>
      <c r="G33" s="8">
        <v>0.21</v>
      </c>
      <c r="H33" s="19">
        <f>F33*G33</f>
        <v>-6228.3899999999994</v>
      </c>
    </row>
    <row r="34" spans="3:10" x14ac:dyDescent="0.2">
      <c r="C34" s="35">
        <v>4799749</v>
      </c>
      <c r="E34" s="35">
        <v>0</v>
      </c>
      <c r="F34" s="19">
        <f>E34</f>
        <v>0</v>
      </c>
      <c r="G34" s="8">
        <v>0.21</v>
      </c>
      <c r="H34" s="19">
        <f t="shared" ref="H34:H38" si="12">F34*G34</f>
        <v>0</v>
      </c>
    </row>
    <row r="35" spans="3:10" x14ac:dyDescent="0.2">
      <c r="C35" s="36">
        <f>623422/2*0.4</f>
        <v>124684.40000000001</v>
      </c>
      <c r="E35" s="35">
        <v>549</v>
      </c>
      <c r="F35" s="19">
        <f t="shared" ref="F35:F38" si="13">E35</f>
        <v>549</v>
      </c>
      <c r="G35" s="8">
        <v>0.21</v>
      </c>
      <c r="H35" s="19">
        <f t="shared" si="12"/>
        <v>115.28999999999999</v>
      </c>
    </row>
    <row r="36" spans="3:10" x14ac:dyDescent="0.2">
      <c r="C36" s="36">
        <f>623422/2*0.6</f>
        <v>187026.6</v>
      </c>
      <c r="E36" s="35">
        <v>0</v>
      </c>
      <c r="F36" s="19">
        <f t="shared" si="13"/>
        <v>0</v>
      </c>
      <c r="G36" s="8">
        <v>0.21</v>
      </c>
      <c r="H36" s="19">
        <f t="shared" si="12"/>
        <v>0</v>
      </c>
    </row>
    <row r="37" spans="3:10" x14ac:dyDescent="0.2">
      <c r="C37" s="37">
        <v>545023.20400000003</v>
      </c>
      <c r="E37" s="35">
        <v>2805</v>
      </c>
      <c r="F37" s="19">
        <f t="shared" si="13"/>
        <v>2805</v>
      </c>
      <c r="G37" s="8">
        <v>0.21</v>
      </c>
      <c r="H37" s="19">
        <f t="shared" si="12"/>
        <v>589.04999999999995</v>
      </c>
    </row>
    <row r="38" spans="3:10" ht="15" x14ac:dyDescent="0.35">
      <c r="C38" s="37">
        <v>817534.80599999998</v>
      </c>
      <c r="E38" s="38">
        <v>13625</v>
      </c>
      <c r="F38" s="33">
        <f t="shared" si="13"/>
        <v>13625</v>
      </c>
      <c r="G38" s="8">
        <v>0.21</v>
      </c>
      <c r="H38" s="33">
        <f t="shared" si="12"/>
        <v>2861.25</v>
      </c>
    </row>
    <row r="39" spans="3:10" x14ac:dyDescent="0.2">
      <c r="E39" s="35">
        <f>SUM(E33:E38)</f>
        <v>30013</v>
      </c>
      <c r="F39" s="35">
        <f>SUM(F33:F38)</f>
        <v>-12680</v>
      </c>
      <c r="G39" s="34" t="s">
        <v>43</v>
      </c>
      <c r="H39" s="19">
        <f>SUM(H33:H38)</f>
        <v>-2662.7999999999993</v>
      </c>
    </row>
    <row r="40" spans="3:10" ht="15" x14ac:dyDescent="0.35">
      <c r="E40" s="19"/>
      <c r="F40" s="19"/>
      <c r="G40" s="34" t="s">
        <v>44</v>
      </c>
      <c r="H40" s="33">
        <f>-H51*0.21</f>
        <v>-182.01918000000001</v>
      </c>
    </row>
    <row r="41" spans="3:10" x14ac:dyDescent="0.2">
      <c r="H41" s="19">
        <f>H39+H40</f>
        <v>-2844.8191799999995</v>
      </c>
    </row>
    <row r="42" spans="3:10" x14ac:dyDescent="0.2">
      <c r="H42" s="49">
        <f>-H41+K24</f>
        <v>-879.79262500000004</v>
      </c>
      <c r="I42" s="50" t="s">
        <v>58</v>
      </c>
      <c r="J42" s="50"/>
    </row>
    <row r="43" spans="3:10" x14ac:dyDescent="0.2">
      <c r="H43" s="49"/>
      <c r="I43" s="50"/>
      <c r="J43" s="50"/>
    </row>
    <row r="44" spans="3:10" x14ac:dyDescent="0.2">
      <c r="C44" s="24" t="s">
        <v>39</v>
      </c>
      <c r="D44" s="27" t="s">
        <v>35</v>
      </c>
      <c r="E44" s="28" t="s">
        <v>40</v>
      </c>
      <c r="F44" s="24" t="s">
        <v>41</v>
      </c>
      <c r="G44" s="30" t="s">
        <v>28</v>
      </c>
      <c r="H44" s="24" t="s">
        <v>42</v>
      </c>
    </row>
    <row r="45" spans="3:10" x14ac:dyDescent="0.2">
      <c r="C45" s="39">
        <v>6399666</v>
      </c>
      <c r="D45" s="19">
        <f>D33</f>
        <v>42693</v>
      </c>
      <c r="E45" s="19">
        <v>26068</v>
      </c>
      <c r="F45" s="19">
        <f>E45-D45</f>
        <v>-16625</v>
      </c>
      <c r="G45" s="8">
        <v>0.05</v>
      </c>
      <c r="H45" s="19">
        <f>F45*G45</f>
        <v>-831.25</v>
      </c>
    </row>
    <row r="46" spans="3:10" x14ac:dyDescent="0.2">
      <c r="C46" s="37">
        <v>9599498</v>
      </c>
      <c r="E46" s="19">
        <v>0</v>
      </c>
      <c r="F46" s="19">
        <f>E46</f>
        <v>0</v>
      </c>
      <c r="G46" s="8">
        <v>0.05</v>
      </c>
      <c r="H46" s="19">
        <f t="shared" ref="H46:H50" si="14">F46*G46</f>
        <v>0</v>
      </c>
    </row>
    <row r="47" spans="3:10" x14ac:dyDescent="0.2">
      <c r="C47" s="37">
        <v>249369</v>
      </c>
      <c r="E47" s="19">
        <v>1098</v>
      </c>
      <c r="F47" s="19">
        <f t="shared" ref="F47:F50" si="15">E47</f>
        <v>1098</v>
      </c>
      <c r="G47" s="8">
        <v>0.05</v>
      </c>
      <c r="H47" s="19">
        <f t="shared" si="14"/>
        <v>54.900000000000006</v>
      </c>
    </row>
    <row r="48" spans="3:10" x14ac:dyDescent="0.2">
      <c r="C48" s="37">
        <v>374053</v>
      </c>
      <c r="E48" s="19">
        <v>0</v>
      </c>
      <c r="F48" s="19">
        <f t="shared" si="15"/>
        <v>0</v>
      </c>
      <c r="G48" s="8">
        <v>0.05</v>
      </c>
      <c r="H48" s="19">
        <f t="shared" si="14"/>
        <v>0</v>
      </c>
    </row>
    <row r="49" spans="3:8" x14ac:dyDescent="0.2">
      <c r="C49" s="37">
        <f>(2725460.82-344.8)*0.4</f>
        <v>1090046.4080000001</v>
      </c>
      <c r="E49" s="19">
        <v>5611</v>
      </c>
      <c r="F49" s="19">
        <f t="shared" si="15"/>
        <v>5611</v>
      </c>
      <c r="G49" s="8">
        <v>0.05</v>
      </c>
      <c r="H49" s="19">
        <f t="shared" si="14"/>
        <v>280.55</v>
      </c>
    </row>
    <row r="50" spans="3:8" ht="15" x14ac:dyDescent="0.35">
      <c r="C50" s="37">
        <f>(2725460.82-344.8)*0.6</f>
        <v>1635069.612</v>
      </c>
      <c r="E50" s="33">
        <v>27251.16</v>
      </c>
      <c r="F50" s="33">
        <f t="shared" si="15"/>
        <v>27251.16</v>
      </c>
      <c r="G50" s="8">
        <v>0.05</v>
      </c>
      <c r="H50" s="33">
        <f t="shared" si="14"/>
        <v>1362.558</v>
      </c>
    </row>
    <row r="51" spans="3:8" x14ac:dyDescent="0.2">
      <c r="E51" s="19">
        <f>SUM(E45:E50)</f>
        <v>60028.160000000003</v>
      </c>
      <c r="F51" s="19">
        <f>SUM(F45:F50)</f>
        <v>17335.16</v>
      </c>
      <c r="H51" s="19">
        <f>SUM(H45:H50)</f>
        <v>866.75800000000004</v>
      </c>
    </row>
    <row r="52" spans="3:8" x14ac:dyDescent="0.2">
      <c r="E52" s="19"/>
      <c r="F52" s="19"/>
      <c r="H52" s="19">
        <f>H51-L24</f>
        <v>-1.2500000000159162E-2</v>
      </c>
    </row>
  </sheetData>
  <mergeCells count="3">
    <mergeCell ref="A1:N1"/>
    <mergeCell ref="A2:N2"/>
    <mergeCell ref="A3:N3"/>
  </mergeCells>
  <pageMargins left="0.7" right="0.7" top="1.15625" bottom="0.75" header="0.3" footer="0.3"/>
  <pageSetup scale="51" orientation="portrait" r:id="rId1"/>
  <headerFooter>
    <oddHeader>&amp;R&amp;"Times New Roman,Bold"&amp;12Attachment to Response to Question 3
Page 2 of 12
Williams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O10" sqref="O10:O11"/>
    </sheetView>
  </sheetViews>
  <sheetFormatPr defaultRowHeight="12.75" x14ac:dyDescent="0.2"/>
  <cols>
    <col min="1" max="1" width="11.28515625" style="3" customWidth="1"/>
    <col min="2" max="2" width="1.7109375" customWidth="1"/>
    <col min="3" max="3" width="13.85546875" customWidth="1"/>
    <col min="4" max="4" width="14.28515625" bestFit="1" customWidth="1"/>
    <col min="5" max="5" width="16.5703125" customWidth="1"/>
    <col min="6" max="6" width="15.425781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1.28515625" hidden="1" customWidth="1"/>
    <col min="18" max="18" width="14.5703125" bestFit="1" customWidth="1"/>
    <col min="19" max="19" width="11.42578125" bestFit="1" customWidth="1"/>
  </cols>
  <sheetData>
    <row r="1" spans="1:17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3"/>
      <c r="P1" s="13"/>
    </row>
    <row r="2" spans="1:17" x14ac:dyDescent="0.2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3"/>
      <c r="P2" s="13"/>
    </row>
    <row r="3" spans="1:17" x14ac:dyDescent="0.2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12</v>
      </c>
    </row>
    <row r="6" spans="1:17" x14ac:dyDescent="0.2">
      <c r="A6" s="11" t="s">
        <v>20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23660850.998959996</v>
      </c>
    </row>
    <row r="10" spans="1:17" x14ac:dyDescent="0.2">
      <c r="A10" s="42">
        <v>43160</v>
      </c>
      <c r="C10" s="7">
        <v>120283541</v>
      </c>
      <c r="D10" s="15">
        <v>251790</v>
      </c>
      <c r="E10" s="15">
        <f>758559.7-194101.41</f>
        <v>564458.28999999992</v>
      </c>
      <c r="F10" s="15">
        <v>1452078.2</v>
      </c>
      <c r="G10" s="15">
        <f t="shared" ref="G10:G14" si="0">E10-D10</f>
        <v>312668.28999999992</v>
      </c>
      <c r="H10" s="15">
        <f t="shared" ref="H10:H14" si="1">F10-D10</f>
        <v>1200288.2</v>
      </c>
      <c r="I10" s="8">
        <v>0.21</v>
      </c>
      <c r="J10" s="8">
        <v>0.06</v>
      </c>
      <c r="K10" s="7">
        <f t="shared" ref="K10:K14" si="2">G10*I10-L10*I10</f>
        <v>50536.709579999981</v>
      </c>
      <c r="L10" s="7">
        <f t="shared" ref="L10:L14" si="3">H10*J10</f>
        <v>72017.292000000001</v>
      </c>
      <c r="M10" s="7">
        <f t="shared" ref="M10:M14" si="4">M9+K10+L10</f>
        <v>23783405.000539996</v>
      </c>
      <c r="N10" s="7">
        <v>0</v>
      </c>
      <c r="O10" s="44"/>
      <c r="P10" s="7"/>
      <c r="Q10" s="7">
        <f>K10+L10</f>
        <v>122554.00157999998</v>
      </c>
    </row>
    <row r="11" spans="1:17" x14ac:dyDescent="0.2">
      <c r="A11" s="42">
        <v>43191</v>
      </c>
      <c r="C11" s="7">
        <v>120283541</v>
      </c>
      <c r="D11" s="15">
        <v>251790</v>
      </c>
      <c r="E11" s="15">
        <f>758559.7-209152.48</f>
        <v>549407.22</v>
      </c>
      <c r="F11" s="15">
        <v>1452078.2</v>
      </c>
      <c r="G11" s="15">
        <f t="shared" si="0"/>
        <v>297617.21999999997</v>
      </c>
      <c r="H11" s="15">
        <f t="shared" si="1"/>
        <v>1200288.2</v>
      </c>
      <c r="I11" s="8">
        <v>0.21</v>
      </c>
      <c r="J11" s="8">
        <v>0.05</v>
      </c>
      <c r="K11" s="7">
        <f t="shared" si="2"/>
        <v>49896.590099999987</v>
      </c>
      <c r="L11" s="7">
        <f t="shared" si="3"/>
        <v>60014.41</v>
      </c>
      <c r="M11" s="7">
        <f t="shared" si="4"/>
        <v>23893316.000639997</v>
      </c>
      <c r="N11" s="7">
        <v>0</v>
      </c>
      <c r="O11" s="44"/>
      <c r="P11" s="17"/>
      <c r="Q11" s="7">
        <f>Q10+K11+L11</f>
        <v>232465.00167999996</v>
      </c>
    </row>
    <row r="12" spans="1:17" x14ac:dyDescent="0.2">
      <c r="A12" s="42">
        <v>43221</v>
      </c>
      <c r="C12" s="7">
        <v>120283541</v>
      </c>
      <c r="D12" s="15">
        <v>251790</v>
      </c>
      <c r="E12" s="15">
        <f>758559.7+1796123.71</f>
        <v>2554683.41</v>
      </c>
      <c r="F12" s="15">
        <v>1452078.2</v>
      </c>
      <c r="G12" s="15">
        <f t="shared" si="0"/>
        <v>2302893.41</v>
      </c>
      <c r="H12" s="15">
        <f t="shared" si="1"/>
        <v>1200288.2</v>
      </c>
      <c r="I12" s="8">
        <v>0.21</v>
      </c>
      <c r="J12" s="8">
        <v>0.05</v>
      </c>
      <c r="K12" s="7">
        <f t="shared" si="2"/>
        <v>471004.58999999997</v>
      </c>
      <c r="L12" s="7">
        <f t="shared" si="3"/>
        <v>60014.41</v>
      </c>
      <c r="M12" s="7">
        <f t="shared" si="4"/>
        <v>24424335.000639997</v>
      </c>
      <c r="N12" s="7">
        <v>0</v>
      </c>
      <c r="O12" s="17"/>
      <c r="Q12" s="7">
        <f>Q11+K12+L12</f>
        <v>763484.00167999999</v>
      </c>
    </row>
    <row r="13" spans="1:17" x14ac:dyDescent="0.2">
      <c r="A13" s="42">
        <v>43252</v>
      </c>
      <c r="C13" s="7">
        <v>120283541</v>
      </c>
      <c r="D13" s="15">
        <v>251790</v>
      </c>
      <c r="E13" s="15">
        <f>758559.7-486262.01</f>
        <v>272297.68999999994</v>
      </c>
      <c r="F13" s="15">
        <v>1452078.2</v>
      </c>
      <c r="G13" s="15">
        <f t="shared" si="0"/>
        <v>20507.689999999944</v>
      </c>
      <c r="H13" s="15">
        <f t="shared" si="1"/>
        <v>1200288.2</v>
      </c>
      <c r="I13" s="8">
        <v>0.21</v>
      </c>
      <c r="J13" s="8">
        <v>0.05</v>
      </c>
      <c r="K13" s="7">
        <f t="shared" si="2"/>
        <v>-8296.4112000000132</v>
      </c>
      <c r="L13" s="7">
        <f t="shared" si="3"/>
        <v>60014.41</v>
      </c>
      <c r="M13" s="7">
        <f t="shared" si="4"/>
        <v>24476052.999439996</v>
      </c>
      <c r="N13" s="7">
        <v>0</v>
      </c>
      <c r="O13" s="7"/>
      <c r="Q13" s="7">
        <f>Q12+K13+L13</f>
        <v>815202.00048000005</v>
      </c>
    </row>
    <row r="14" spans="1:17" x14ac:dyDescent="0.2">
      <c r="A14" s="42">
        <v>43282</v>
      </c>
      <c r="C14" s="7">
        <v>120292433</v>
      </c>
      <c r="D14" s="15">
        <v>251800</v>
      </c>
      <c r="E14" s="15">
        <f>758615.27-153424.8</f>
        <v>605190.47</v>
      </c>
      <c r="F14" s="15">
        <v>1452129.14</v>
      </c>
      <c r="G14" s="15">
        <f t="shared" si="0"/>
        <v>353390.47</v>
      </c>
      <c r="H14" s="15">
        <f t="shared" si="1"/>
        <v>1200329.1399999999</v>
      </c>
      <c r="I14" s="8">
        <v>0.21</v>
      </c>
      <c r="J14" s="8">
        <v>0.05</v>
      </c>
      <c r="K14" s="7">
        <f t="shared" si="2"/>
        <v>61608.542730000001</v>
      </c>
      <c r="L14" s="7">
        <f t="shared" si="3"/>
        <v>60016.456999999995</v>
      </c>
      <c r="M14" s="7">
        <f t="shared" si="4"/>
        <v>24597677.999169994</v>
      </c>
      <c r="N14" s="7">
        <v>0</v>
      </c>
      <c r="O14" s="17"/>
      <c r="Q14" s="7">
        <f>Q13+K14+L14</f>
        <v>936827.00020999997</v>
      </c>
    </row>
    <row r="15" spans="1:17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9" t="e">
        <f>+#REF!/0.389</f>
        <v>#REF!</v>
      </c>
    </row>
    <row r="16" spans="1:17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3" t="s">
        <v>8</v>
      </c>
      <c r="M17" s="10">
        <v>23653661</v>
      </c>
      <c r="O17" s="7"/>
      <c r="P17" s="7"/>
    </row>
    <row r="18" spans="1:16" x14ac:dyDescent="0.2">
      <c r="A18" s="42">
        <v>43160</v>
      </c>
      <c r="C18" s="7">
        <v>120283541</v>
      </c>
      <c r="D18" s="15">
        <v>251790</v>
      </c>
      <c r="E18" s="15">
        <v>758559</v>
      </c>
      <c r="F18" s="15">
        <v>1452078.2</v>
      </c>
      <c r="G18" s="15">
        <f t="shared" ref="G18:G22" si="5">E18-D18</f>
        <v>506769</v>
      </c>
      <c r="H18" s="15">
        <f t="shared" ref="H18:H22" si="6">F18-D18</f>
        <v>1200288.2</v>
      </c>
      <c r="I18" s="8">
        <v>0.21</v>
      </c>
      <c r="J18" s="8">
        <v>0.05</v>
      </c>
      <c r="K18" s="7">
        <f t="shared" ref="K18:K22" si="7">G18*I18-L18*I18</f>
        <v>93818.463899999988</v>
      </c>
      <c r="L18" s="7">
        <f t="shared" ref="L18:L22" si="8">H18*J18</f>
        <v>60014.41</v>
      </c>
      <c r="M18" s="7">
        <f t="shared" ref="M18:M22" si="9">M17+K18+L18</f>
        <v>23807493.8739</v>
      </c>
      <c r="N18" s="7">
        <v>0</v>
      </c>
      <c r="O18" s="7"/>
      <c r="P18" s="7"/>
    </row>
    <row r="19" spans="1:16" x14ac:dyDescent="0.2">
      <c r="A19" s="42">
        <v>43191</v>
      </c>
      <c r="C19" s="7">
        <v>120283541</v>
      </c>
      <c r="D19" s="15">
        <v>251790</v>
      </c>
      <c r="E19" s="15">
        <v>758559</v>
      </c>
      <c r="F19" s="15">
        <v>1452078.2</v>
      </c>
      <c r="G19" s="15">
        <f t="shared" si="5"/>
        <v>506769</v>
      </c>
      <c r="H19" s="15">
        <f t="shared" si="6"/>
        <v>1200288.2</v>
      </c>
      <c r="I19" s="8">
        <v>0.21</v>
      </c>
      <c r="J19" s="8">
        <v>0.05</v>
      </c>
      <c r="K19" s="7">
        <f t="shared" si="7"/>
        <v>93818.463899999988</v>
      </c>
      <c r="L19" s="7">
        <f t="shared" si="8"/>
        <v>60014.41</v>
      </c>
      <c r="M19" s="7">
        <f t="shared" si="9"/>
        <v>23961326.7478</v>
      </c>
      <c r="N19" s="7">
        <v>0</v>
      </c>
      <c r="O19" s="7"/>
      <c r="P19" s="7"/>
    </row>
    <row r="20" spans="1:16" x14ac:dyDescent="0.2">
      <c r="A20" s="42">
        <v>43221</v>
      </c>
      <c r="C20" s="7">
        <v>120283541</v>
      </c>
      <c r="D20" s="15">
        <v>251790</v>
      </c>
      <c r="E20" s="15">
        <v>758559</v>
      </c>
      <c r="F20" s="15">
        <v>1452078.2</v>
      </c>
      <c r="G20" s="15">
        <f t="shared" si="5"/>
        <v>506769</v>
      </c>
      <c r="H20" s="15">
        <f t="shared" si="6"/>
        <v>1200288.2</v>
      </c>
      <c r="I20" s="8">
        <v>0.21</v>
      </c>
      <c r="J20" s="8">
        <v>0.05</v>
      </c>
      <c r="K20" s="7">
        <f t="shared" si="7"/>
        <v>93818.463899999988</v>
      </c>
      <c r="L20" s="7">
        <f t="shared" si="8"/>
        <v>60014.41</v>
      </c>
      <c r="M20" s="7">
        <f t="shared" si="9"/>
        <v>24115159.6217</v>
      </c>
      <c r="N20" s="7">
        <v>0</v>
      </c>
      <c r="O20" s="7"/>
      <c r="P20" s="7"/>
    </row>
    <row r="21" spans="1:16" x14ac:dyDescent="0.2">
      <c r="A21" s="42">
        <v>43252</v>
      </c>
      <c r="C21" s="7">
        <v>120283541</v>
      </c>
      <c r="D21" s="15">
        <v>251790</v>
      </c>
      <c r="E21" s="15">
        <v>758559</v>
      </c>
      <c r="F21" s="15">
        <v>1452078.2</v>
      </c>
      <c r="G21" s="15">
        <f t="shared" si="5"/>
        <v>506769</v>
      </c>
      <c r="H21" s="15">
        <f t="shared" si="6"/>
        <v>1200288.2</v>
      </c>
      <c r="I21" s="8">
        <v>0.21</v>
      </c>
      <c r="J21" s="8">
        <v>0.05</v>
      </c>
      <c r="K21" s="7">
        <f t="shared" si="7"/>
        <v>93818.463899999988</v>
      </c>
      <c r="L21" s="7">
        <f t="shared" si="8"/>
        <v>60014.41</v>
      </c>
      <c r="M21" s="7">
        <f t="shared" si="9"/>
        <v>24268992.4956</v>
      </c>
      <c r="N21" s="7">
        <v>0</v>
      </c>
      <c r="O21" s="7"/>
      <c r="P21" s="7"/>
    </row>
    <row r="22" spans="1:16" x14ac:dyDescent="0.2">
      <c r="A22" s="42">
        <v>43282</v>
      </c>
      <c r="C22" s="7">
        <v>120292433</v>
      </c>
      <c r="D22" s="15">
        <v>251799.67</v>
      </c>
      <c r="E22" s="53">
        <f>758873+309</f>
        <v>759182</v>
      </c>
      <c r="F22" s="15">
        <v>1452105.99</v>
      </c>
      <c r="G22" s="15">
        <f t="shared" si="5"/>
        <v>507382.32999999996</v>
      </c>
      <c r="H22" s="15">
        <f t="shared" si="6"/>
        <v>1200306.32</v>
      </c>
      <c r="I22" s="8">
        <v>0.21</v>
      </c>
      <c r="J22" s="8">
        <v>0.05</v>
      </c>
      <c r="K22" s="7">
        <f t="shared" si="7"/>
        <v>93947.072939999984</v>
      </c>
      <c r="L22" s="7">
        <f t="shared" si="8"/>
        <v>60015.316000000006</v>
      </c>
      <c r="M22" s="24">
        <f t="shared" si="9"/>
        <v>24422954.884539999</v>
      </c>
      <c r="N22" s="7">
        <v>0</v>
      </c>
      <c r="O22" s="7"/>
      <c r="P22" s="7"/>
    </row>
    <row r="23" spans="1:16" x14ac:dyDescent="0.2">
      <c r="A23" s="42"/>
      <c r="C23" s="7"/>
      <c r="D23" s="15"/>
      <c r="E23" s="53"/>
      <c r="F23" s="15"/>
      <c r="G23" s="15"/>
      <c r="H23" s="15"/>
      <c r="I23" s="8"/>
      <c r="J23" s="8"/>
      <c r="K23" s="7"/>
      <c r="L23" s="7"/>
      <c r="M23" s="7"/>
      <c r="N23" s="7"/>
      <c r="O23" s="7"/>
      <c r="P23" s="7"/>
    </row>
    <row r="24" spans="1:16" x14ac:dyDescent="0.2">
      <c r="A24" s="42">
        <v>43313</v>
      </c>
      <c r="C24" s="7">
        <v>120292433</v>
      </c>
      <c r="D24" s="53">
        <v>251808.67</v>
      </c>
      <c r="E24" s="53">
        <f>758873+317</f>
        <v>759190</v>
      </c>
      <c r="F24" s="15">
        <v>1452105.99</v>
      </c>
      <c r="G24" s="15">
        <f t="shared" ref="G24" si="10">E24-D24</f>
        <v>507381.32999999996</v>
      </c>
      <c r="H24" s="15">
        <f>F24-D24</f>
        <v>1200297.32</v>
      </c>
      <c r="I24" s="8">
        <v>0.21</v>
      </c>
      <c r="J24" s="8">
        <v>0.05</v>
      </c>
      <c r="K24" s="7">
        <f t="shared" ref="K24" si="11">G24*I24-L24*I24</f>
        <v>93946.957439999984</v>
      </c>
      <c r="L24" s="7">
        <f t="shared" ref="L24" si="12">H24*J24</f>
        <v>60014.866000000009</v>
      </c>
      <c r="M24" s="24">
        <f>M22+K24+L24</f>
        <v>24576916.707979999</v>
      </c>
      <c r="N24" s="7"/>
      <c r="O24" s="7"/>
      <c r="P24" s="7"/>
    </row>
    <row r="25" spans="1:16" x14ac:dyDescent="0.2">
      <c r="A25" s="42"/>
      <c r="C25" s="7"/>
      <c r="D25" s="53"/>
      <c r="E25" s="53"/>
      <c r="F25" s="15"/>
      <c r="G25" s="15"/>
      <c r="H25" s="15"/>
      <c r="I25" s="8"/>
      <c r="J25" s="8"/>
      <c r="K25" s="7"/>
      <c r="L25" s="7"/>
      <c r="M25" s="7"/>
      <c r="N25" s="7"/>
      <c r="O25" s="7"/>
      <c r="P25" s="7"/>
    </row>
    <row r="26" spans="1:16" x14ac:dyDescent="0.2">
      <c r="C26" s="26" t="s">
        <v>46</v>
      </c>
      <c r="E26" s="50"/>
    </row>
    <row r="27" spans="1:16" x14ac:dyDescent="0.2">
      <c r="C27" s="26" t="s">
        <v>31</v>
      </c>
      <c r="E27" s="50"/>
    </row>
    <row r="28" spans="1:16" x14ac:dyDescent="0.2">
      <c r="C28" s="26" t="s">
        <v>56</v>
      </c>
      <c r="E28" s="50"/>
    </row>
    <row r="29" spans="1:16" x14ac:dyDescent="0.2">
      <c r="C29" s="24" t="s">
        <v>32</v>
      </c>
      <c r="E29" s="50"/>
    </row>
    <row r="30" spans="1:16" x14ac:dyDescent="0.2">
      <c r="E30" s="50"/>
    </row>
    <row r="31" spans="1:16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6" x14ac:dyDescent="0.2">
      <c r="C32" s="23">
        <v>846667</v>
      </c>
      <c r="D32" s="23">
        <v>251808.67</v>
      </c>
      <c r="E32" s="54">
        <v>0</v>
      </c>
      <c r="F32" s="19">
        <f>E32-D32</f>
        <v>-251808.67</v>
      </c>
      <c r="G32" s="8">
        <v>0.21</v>
      </c>
      <c r="H32" s="19">
        <f>F32*G32</f>
        <v>-52879.820700000004</v>
      </c>
    </row>
    <row r="33" spans="3:8" x14ac:dyDescent="0.2">
      <c r="C33" s="36">
        <v>826019.67</v>
      </c>
      <c r="E33" s="54">
        <v>0</v>
      </c>
      <c r="F33" s="19">
        <f>E33</f>
        <v>0</v>
      </c>
      <c r="G33" s="8">
        <v>0.21</v>
      </c>
      <c r="H33" s="19">
        <f t="shared" ref="H33:H41" si="13">F33*G33</f>
        <v>0</v>
      </c>
    </row>
    <row r="34" spans="3:8" x14ac:dyDescent="0.2">
      <c r="C34" s="36">
        <f>21052017.182-(265688.84/2)</f>
        <v>20919172.761999998</v>
      </c>
      <c r="E34" s="54">
        <v>117136.93</v>
      </c>
      <c r="F34" s="19">
        <f t="shared" ref="F34:F43" si="14">E34</f>
        <v>117136.93</v>
      </c>
      <c r="G34" s="8">
        <v>0.21</v>
      </c>
      <c r="H34" s="19">
        <f t="shared" si="13"/>
        <v>24598.755299999997</v>
      </c>
    </row>
    <row r="35" spans="3:8" x14ac:dyDescent="0.2">
      <c r="C35" s="36">
        <v>31578025.772999998</v>
      </c>
      <c r="E35" s="54">
        <v>526300.43000000005</v>
      </c>
      <c r="F35" s="19">
        <f t="shared" si="14"/>
        <v>526300.43000000005</v>
      </c>
      <c r="G35" s="8">
        <v>0.21</v>
      </c>
      <c r="H35" s="19">
        <f t="shared" si="13"/>
        <v>110523.09030000001</v>
      </c>
    </row>
    <row r="36" spans="3:8" x14ac:dyDescent="0.2">
      <c r="C36" s="36">
        <v>94801.065000000002</v>
      </c>
      <c r="E36" s="55">
        <v>570.30999999999995</v>
      </c>
      <c r="F36" s="47">
        <f t="shared" si="14"/>
        <v>570.30999999999995</v>
      </c>
      <c r="G36" s="51">
        <v>0.21</v>
      </c>
      <c r="H36" s="47">
        <f t="shared" si="13"/>
        <v>119.76509999999999</v>
      </c>
    </row>
    <row r="37" spans="3:8" x14ac:dyDescent="0.2">
      <c r="C37" s="36">
        <v>582728</v>
      </c>
      <c r="E37" s="55">
        <v>3506</v>
      </c>
      <c r="F37" s="47">
        <f t="shared" si="14"/>
        <v>3506</v>
      </c>
      <c r="G37" s="51">
        <v>0.21</v>
      </c>
      <c r="H37" s="47">
        <f t="shared" si="13"/>
        <v>736.26</v>
      </c>
    </row>
    <row r="38" spans="3:8" x14ac:dyDescent="0.2">
      <c r="C38" s="36">
        <v>874094</v>
      </c>
      <c r="E38" s="55">
        <v>14567.82</v>
      </c>
      <c r="F38" s="47">
        <f t="shared" si="14"/>
        <v>14567.82</v>
      </c>
      <c r="G38" s="51">
        <v>0.21</v>
      </c>
      <c r="H38" s="47">
        <f t="shared" si="13"/>
        <v>3059.2421999999997</v>
      </c>
    </row>
    <row r="39" spans="3:8" x14ac:dyDescent="0.2">
      <c r="C39" s="36">
        <v>3072442</v>
      </c>
      <c r="E39" s="55">
        <v>18483.3</v>
      </c>
      <c r="F39" s="47">
        <f t="shared" si="14"/>
        <v>18483.3</v>
      </c>
      <c r="G39" s="51">
        <v>0.21</v>
      </c>
      <c r="H39" s="47">
        <f t="shared" si="13"/>
        <v>3881.4929999999995</v>
      </c>
    </row>
    <row r="40" spans="3:8" x14ac:dyDescent="0.2">
      <c r="C40" s="36">
        <v>4608663</v>
      </c>
      <c r="E40" s="55">
        <f>76811.05+317</f>
        <v>77128.05</v>
      </c>
      <c r="F40" s="47">
        <f t="shared" si="14"/>
        <v>77128.05</v>
      </c>
      <c r="G40" s="51">
        <v>0.21</v>
      </c>
      <c r="H40" s="47">
        <f t="shared" si="13"/>
        <v>16196.8905</v>
      </c>
    </row>
    <row r="41" spans="3:8" x14ac:dyDescent="0.2">
      <c r="C41" s="36">
        <v>196791</v>
      </c>
      <c r="E41" s="25">
        <v>1183.8599999999999</v>
      </c>
      <c r="F41" s="47">
        <f t="shared" si="14"/>
        <v>1183.8599999999999</v>
      </c>
      <c r="G41" s="51">
        <v>0.21</v>
      </c>
      <c r="H41" s="47">
        <f t="shared" si="13"/>
        <v>248.61059999999998</v>
      </c>
    </row>
    <row r="42" spans="3:8" x14ac:dyDescent="0.2">
      <c r="C42" s="36">
        <v>3557</v>
      </c>
      <c r="E42" s="25">
        <v>296.39</v>
      </c>
      <c r="F42" s="47">
        <f t="shared" si="14"/>
        <v>296.39</v>
      </c>
      <c r="G42" s="51">
        <v>0.21</v>
      </c>
      <c r="H42" s="47">
        <f t="shared" ref="H42:H43" si="15">F42*G42</f>
        <v>62.241899999999994</v>
      </c>
    </row>
    <row r="43" spans="3:8" ht="15" x14ac:dyDescent="0.35">
      <c r="C43" s="36">
        <v>5335</v>
      </c>
      <c r="E43" s="40">
        <v>16.670000000000002</v>
      </c>
      <c r="F43" s="33">
        <f t="shared" si="14"/>
        <v>16.670000000000002</v>
      </c>
      <c r="G43" s="51">
        <v>0.21</v>
      </c>
      <c r="H43" s="33">
        <f t="shared" si="15"/>
        <v>3.5007000000000001</v>
      </c>
    </row>
    <row r="44" spans="3:8" x14ac:dyDescent="0.2">
      <c r="E44" s="19">
        <f>SUM(E32:E43)</f>
        <v>759189.76000000024</v>
      </c>
      <c r="F44" s="19">
        <f>SUM(F32:F43)</f>
        <v>507381.09</v>
      </c>
      <c r="G44" s="34" t="s">
        <v>43</v>
      </c>
      <c r="H44" s="19">
        <f>SUM(H32:H43)</f>
        <v>106550.02889999999</v>
      </c>
    </row>
    <row r="45" spans="3:8" ht="15" x14ac:dyDescent="0.35">
      <c r="G45" s="34" t="s">
        <v>44</v>
      </c>
      <c r="H45" s="33">
        <f>-H60*0.21</f>
        <v>-12603.121849499999</v>
      </c>
    </row>
    <row r="46" spans="3:8" x14ac:dyDescent="0.2">
      <c r="H46" s="19">
        <f>H44+H45</f>
        <v>93946.907050499984</v>
      </c>
    </row>
    <row r="47" spans="3:8" x14ac:dyDescent="0.2">
      <c r="H47" s="49">
        <f>H46-K24</f>
        <v>-5.0389500000164844E-2</v>
      </c>
    </row>
    <row r="48" spans="3:8" x14ac:dyDescent="0.2">
      <c r="C48" s="24" t="s">
        <v>39</v>
      </c>
      <c r="D48" s="27" t="s">
        <v>35</v>
      </c>
      <c r="E48" s="28" t="s">
        <v>40</v>
      </c>
      <c r="F48" s="24" t="s">
        <v>41</v>
      </c>
      <c r="G48" s="30" t="s">
        <v>28</v>
      </c>
      <c r="H48" s="24" t="s">
        <v>42</v>
      </c>
    </row>
    <row r="49" spans="3:8" x14ac:dyDescent="0.2">
      <c r="C49" s="23">
        <v>846667</v>
      </c>
      <c r="D49" s="19">
        <f>D32</f>
        <v>251808.67</v>
      </c>
      <c r="E49" s="28">
        <v>0</v>
      </c>
      <c r="F49" s="24">
        <f>E49-D49</f>
        <v>-251808.67</v>
      </c>
      <c r="G49" s="8">
        <v>0.05</v>
      </c>
      <c r="H49" s="24">
        <f>F49*G49</f>
        <v>-12590.433500000001</v>
      </c>
    </row>
    <row r="50" spans="3:8" x14ac:dyDescent="0.2">
      <c r="C50" s="36">
        <v>826019.67</v>
      </c>
      <c r="D50" s="27"/>
      <c r="E50" s="28">
        <v>0</v>
      </c>
      <c r="F50" s="24">
        <f>E50</f>
        <v>0</v>
      </c>
      <c r="G50" s="8">
        <v>0.05</v>
      </c>
      <c r="H50" s="24">
        <f>F50*G50</f>
        <v>0</v>
      </c>
    </row>
    <row r="51" spans="3:8" x14ac:dyDescent="0.2">
      <c r="C51" s="36">
        <f>42104034.364-265688.84</f>
        <v>41838345.523999996</v>
      </c>
      <c r="E51" s="19">
        <v>234273.86</v>
      </c>
      <c r="F51" s="19">
        <f>E51</f>
        <v>234273.86</v>
      </c>
      <c r="G51" s="8">
        <v>0.05</v>
      </c>
      <c r="H51" s="24">
        <f t="shared" ref="H51:H58" si="16">F51*G51</f>
        <v>11713.692999999999</v>
      </c>
    </row>
    <row r="52" spans="3:8" x14ac:dyDescent="0.2">
      <c r="C52" s="36">
        <v>63156051.545999996</v>
      </c>
      <c r="E52" s="19">
        <v>1052600.8589999999</v>
      </c>
      <c r="F52" s="19">
        <f>E52</f>
        <v>1052600.8589999999</v>
      </c>
      <c r="G52" s="8">
        <v>0.05</v>
      </c>
      <c r="H52" s="24">
        <f t="shared" si="16"/>
        <v>52630.042950000003</v>
      </c>
    </row>
    <row r="53" spans="3:8" x14ac:dyDescent="0.2">
      <c r="C53" s="36">
        <v>189602.13</v>
      </c>
      <c r="E53" s="47">
        <v>1140.6099999999999</v>
      </c>
      <c r="F53" s="47">
        <f>E53</f>
        <v>1140.6099999999999</v>
      </c>
      <c r="G53" s="8">
        <v>0.05</v>
      </c>
      <c r="H53" s="46">
        <f t="shared" si="16"/>
        <v>57.030499999999996</v>
      </c>
    </row>
    <row r="54" spans="3:8" x14ac:dyDescent="0.2">
      <c r="C54" s="36">
        <v>58767</v>
      </c>
      <c r="E54" s="47">
        <v>354</v>
      </c>
      <c r="F54" s="47">
        <f t="shared" ref="F54:F59" si="17">E54</f>
        <v>354</v>
      </c>
      <c r="G54" s="8">
        <v>0.05</v>
      </c>
      <c r="H54" s="46">
        <f t="shared" si="16"/>
        <v>17.7</v>
      </c>
    </row>
    <row r="55" spans="3:8" x14ac:dyDescent="0.2">
      <c r="C55" s="36">
        <v>88151</v>
      </c>
      <c r="E55" s="47">
        <v>1468.72</v>
      </c>
      <c r="F55" s="47">
        <f t="shared" si="17"/>
        <v>1468.72</v>
      </c>
      <c r="G55" s="8">
        <v>0.05</v>
      </c>
      <c r="H55" s="46">
        <f t="shared" si="16"/>
        <v>73.436000000000007</v>
      </c>
    </row>
    <row r="56" spans="3:8" x14ac:dyDescent="0.2">
      <c r="C56" s="36">
        <v>5154542</v>
      </c>
      <c r="E56" s="47">
        <v>31008.87</v>
      </c>
      <c r="F56" s="47">
        <f t="shared" si="17"/>
        <v>31008.87</v>
      </c>
      <c r="G56" s="8">
        <v>0.05</v>
      </c>
      <c r="H56" s="46">
        <f t="shared" si="16"/>
        <v>1550.4435000000001</v>
      </c>
    </row>
    <row r="57" spans="3:8" x14ac:dyDescent="0.2">
      <c r="C57" s="36">
        <v>7731813</v>
      </c>
      <c r="E57" s="47">
        <v>128863.56</v>
      </c>
      <c r="F57" s="47">
        <f t="shared" si="17"/>
        <v>128863.56</v>
      </c>
      <c r="G57" s="8">
        <v>0.05</v>
      </c>
      <c r="H57" s="46">
        <f t="shared" si="16"/>
        <v>6443.1779999999999</v>
      </c>
    </row>
    <row r="58" spans="3:8" x14ac:dyDescent="0.2">
      <c r="C58" s="36">
        <v>393581</v>
      </c>
      <c r="E58" s="47">
        <v>2367.7199999999998</v>
      </c>
      <c r="F58" s="47">
        <f t="shared" si="17"/>
        <v>2367.7199999999998</v>
      </c>
      <c r="G58" s="8">
        <v>0.05</v>
      </c>
      <c r="H58" s="46">
        <f t="shared" si="16"/>
        <v>118.386</v>
      </c>
    </row>
    <row r="59" spans="3:8" ht="15" x14ac:dyDescent="0.35">
      <c r="C59" s="36">
        <v>8892</v>
      </c>
      <c r="E59" s="33">
        <v>27.79</v>
      </c>
      <c r="F59" s="33">
        <f t="shared" si="17"/>
        <v>27.79</v>
      </c>
      <c r="G59" s="8">
        <v>0.05</v>
      </c>
      <c r="H59" s="31">
        <f t="shared" ref="H59" si="18">F59*G59</f>
        <v>1.3895</v>
      </c>
    </row>
    <row r="60" spans="3:8" x14ac:dyDescent="0.2">
      <c r="E60" s="19">
        <f>SUM(E49:E59)</f>
        <v>1452105.9890000003</v>
      </c>
      <c r="F60" s="19">
        <f>SUM(F49:F59)</f>
        <v>1200297.3189999999</v>
      </c>
      <c r="H60" s="7">
        <f>SUM(H49:H59)</f>
        <v>60014.865949999999</v>
      </c>
    </row>
    <row r="61" spans="3:8" x14ac:dyDescent="0.2">
      <c r="H61" s="7">
        <f>H60-L24</f>
        <v>-5.0000009650830179E-5</v>
      </c>
    </row>
  </sheetData>
  <mergeCells count="3">
    <mergeCell ref="A1:N1"/>
    <mergeCell ref="A2:N2"/>
    <mergeCell ref="A3:N3"/>
  </mergeCells>
  <pageMargins left="0.7" right="0.7" top="1.15625" bottom="0.75" header="0.3" footer="0.3"/>
  <pageSetup scale="51" orientation="portrait" r:id="rId1"/>
  <headerFooter>
    <oddHeader>&amp;R&amp;"Times New Roman,Bold"&amp;12Attachment to Response to Question 3
Page 3 of 12
Williams</oddHead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3"/>
  <sheetViews>
    <sheetView zoomScaleNormal="100" workbookViewId="0">
      <selection activeCell="O10" sqref="O10:O12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140625" customWidth="1"/>
    <col min="4" max="4" width="14.28515625" bestFit="1" customWidth="1"/>
    <col min="5" max="5" width="16.425781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85546875" bestFit="1" customWidth="1"/>
    <col min="16" max="16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17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68917365.999495968</v>
      </c>
      <c r="O9" s="7"/>
    </row>
    <row r="10" spans="1:16" x14ac:dyDescent="0.2">
      <c r="A10" s="42">
        <v>43160</v>
      </c>
      <c r="C10" s="7">
        <v>349137977</v>
      </c>
      <c r="D10" s="15">
        <v>717230</v>
      </c>
      <c r="E10" s="15">
        <v>1157544.21</v>
      </c>
      <c r="F10" s="15">
        <v>2245240.52</v>
      </c>
      <c r="G10" s="7">
        <f>E10-D10</f>
        <v>440314.20999999996</v>
      </c>
      <c r="H10" s="7">
        <f>F10-D10</f>
        <v>1528010.52</v>
      </c>
      <c r="I10" s="8">
        <v>0.21</v>
      </c>
      <c r="J10" s="8">
        <v>0.06</v>
      </c>
      <c r="K10" s="7">
        <f t="shared" ref="K10:K14" si="0">G10*I10-L10*I10</f>
        <v>73213.051547999989</v>
      </c>
      <c r="L10" s="7">
        <f t="shared" ref="L10:L14" si="1">H10*J10</f>
        <v>91680.631200000003</v>
      </c>
      <c r="M10" s="7">
        <f t="shared" ref="M10:M14" si="2">M9+K10+L10</f>
        <v>69082259.682243973</v>
      </c>
      <c r="N10" s="7">
        <v>67308.81</v>
      </c>
      <c r="O10" s="43"/>
      <c r="P10" s="19"/>
    </row>
    <row r="11" spans="1:16" x14ac:dyDescent="0.2">
      <c r="A11" s="42">
        <v>43191</v>
      </c>
      <c r="C11" s="7">
        <v>349137977</v>
      </c>
      <c r="D11" s="15">
        <v>717230</v>
      </c>
      <c r="E11" s="15">
        <f>1157544.21-19162.29</f>
        <v>1138381.92</v>
      </c>
      <c r="F11" s="15">
        <v>2245240.52</v>
      </c>
      <c r="G11" s="7">
        <f t="shared" ref="G11:G14" si="3">E11-D11</f>
        <v>421151.91999999993</v>
      </c>
      <c r="H11" s="7">
        <f t="shared" ref="H11:H14" si="4">F11-D11</f>
        <v>1528010.52</v>
      </c>
      <c r="I11" s="8">
        <v>0.21</v>
      </c>
      <c r="J11" s="8">
        <v>0.05</v>
      </c>
      <c r="K11" s="7">
        <f t="shared" si="0"/>
        <v>72397.79273999999</v>
      </c>
      <c r="L11" s="7">
        <f t="shared" si="1"/>
        <v>76400.525999999998</v>
      </c>
      <c r="M11" s="7">
        <f t="shared" si="2"/>
        <v>69231058.000983968</v>
      </c>
      <c r="N11" s="7">
        <v>67308.81</v>
      </c>
      <c r="O11" s="43"/>
      <c r="P11" s="19"/>
    </row>
    <row r="12" spans="1:16" x14ac:dyDescent="0.2">
      <c r="A12" s="42">
        <v>43221</v>
      </c>
      <c r="C12" s="7">
        <v>349137977</v>
      </c>
      <c r="D12" s="15">
        <v>717230</v>
      </c>
      <c r="E12" s="15">
        <f>1157544.21-151516.19</f>
        <v>1006028.02</v>
      </c>
      <c r="F12" s="15">
        <v>2245240.52</v>
      </c>
      <c r="G12" s="7">
        <f t="shared" si="3"/>
        <v>288798.02</v>
      </c>
      <c r="H12" s="7">
        <f t="shared" si="4"/>
        <v>1528010.52</v>
      </c>
      <c r="I12" s="8">
        <v>0.21</v>
      </c>
      <c r="J12" s="8">
        <v>0.05</v>
      </c>
      <c r="K12" s="7">
        <f t="shared" si="0"/>
        <v>44603.473740000001</v>
      </c>
      <c r="L12" s="7">
        <f t="shared" si="1"/>
        <v>76400.525999999998</v>
      </c>
      <c r="M12" s="7">
        <f t="shared" si="2"/>
        <v>69352062.000723958</v>
      </c>
      <c r="N12" s="7">
        <v>67308.81</v>
      </c>
      <c r="O12" s="44"/>
      <c r="P12" s="19"/>
    </row>
    <row r="13" spans="1:16" x14ac:dyDescent="0.2">
      <c r="A13" s="42">
        <v>43252</v>
      </c>
      <c r="C13" s="7">
        <v>349137977</v>
      </c>
      <c r="D13" s="15">
        <v>717230</v>
      </c>
      <c r="E13" s="15">
        <f>1157544.21-254.29</f>
        <v>1157289.92</v>
      </c>
      <c r="F13" s="15">
        <v>2245240.52</v>
      </c>
      <c r="G13" s="7">
        <f t="shared" si="3"/>
        <v>440059.91999999993</v>
      </c>
      <c r="H13" s="7">
        <f t="shared" si="4"/>
        <v>1528010.52</v>
      </c>
      <c r="I13" s="8">
        <v>0.21</v>
      </c>
      <c r="J13" s="8">
        <v>0.05</v>
      </c>
      <c r="K13" s="7">
        <f t="shared" si="0"/>
        <v>76368.472739999983</v>
      </c>
      <c r="L13" s="7">
        <f t="shared" si="1"/>
        <v>76400.525999999998</v>
      </c>
      <c r="M13" s="7">
        <f t="shared" si="2"/>
        <v>69504830.999463946</v>
      </c>
      <c r="N13" s="7">
        <v>67308.81</v>
      </c>
      <c r="O13" s="22"/>
      <c r="P13" s="19"/>
    </row>
    <row r="14" spans="1:16" x14ac:dyDescent="0.2">
      <c r="A14" s="42">
        <v>43282</v>
      </c>
      <c r="C14" s="7">
        <v>349137977</v>
      </c>
      <c r="D14" s="15">
        <v>717230</v>
      </c>
      <c r="E14" s="15">
        <f>1157544.21-22311.42</f>
        <v>1135232.79</v>
      </c>
      <c r="F14" s="15">
        <v>2245240.52</v>
      </c>
      <c r="G14" s="7">
        <f t="shared" si="3"/>
        <v>418002.79000000004</v>
      </c>
      <c r="H14" s="7">
        <f t="shared" si="4"/>
        <v>1528010.52</v>
      </c>
      <c r="I14" s="8">
        <v>0.21</v>
      </c>
      <c r="J14" s="8">
        <v>0.05</v>
      </c>
      <c r="K14" s="7">
        <f t="shared" si="0"/>
        <v>71736.475440000009</v>
      </c>
      <c r="L14" s="7">
        <f t="shared" si="1"/>
        <v>76400.525999999998</v>
      </c>
      <c r="M14" s="7">
        <f t="shared" si="2"/>
        <v>69652968.000903934</v>
      </c>
      <c r="N14" s="7">
        <v>68053.31</v>
      </c>
      <c r="O14" s="22"/>
      <c r="P14" s="19"/>
    </row>
    <row r="15" spans="1:16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v>68865433</v>
      </c>
    </row>
    <row r="18" spans="1:14" x14ac:dyDescent="0.2">
      <c r="A18" s="42">
        <v>43160</v>
      </c>
      <c r="C18" s="7">
        <v>349137977</v>
      </c>
      <c r="D18" s="15">
        <v>717230</v>
      </c>
      <c r="E18" s="15">
        <v>1157544.21</v>
      </c>
      <c r="F18" s="15">
        <v>2245240.52</v>
      </c>
      <c r="G18" s="7">
        <f>E18-D18</f>
        <v>440314.20999999996</v>
      </c>
      <c r="H18" s="7">
        <f>F18-D18</f>
        <v>1528010.52</v>
      </c>
      <c r="I18" s="8">
        <v>0.21</v>
      </c>
      <c r="J18" s="8">
        <v>0.05</v>
      </c>
      <c r="K18" s="7">
        <f t="shared" ref="K18:K22" si="5">G18*I18-L18*I18</f>
        <v>76421.873639999991</v>
      </c>
      <c r="L18" s="7">
        <f t="shared" ref="L18:L22" si="6">H18*J18</f>
        <v>76400.525999999998</v>
      </c>
      <c r="M18" s="7">
        <f t="shared" ref="M18:M22" si="7">M17+K18+L18</f>
        <v>69018255.399639994</v>
      </c>
      <c r="N18" s="7">
        <v>67308.81</v>
      </c>
    </row>
    <row r="19" spans="1:14" x14ac:dyDescent="0.2">
      <c r="A19" s="42">
        <v>43191</v>
      </c>
      <c r="C19" s="7">
        <v>349137977</v>
      </c>
      <c r="D19" s="15">
        <v>717230</v>
      </c>
      <c r="E19" s="15">
        <v>1157544.21</v>
      </c>
      <c r="F19" s="15">
        <v>2245240.52</v>
      </c>
      <c r="G19" s="7">
        <f t="shared" ref="G19:G22" si="8">E19-D19</f>
        <v>440314.20999999996</v>
      </c>
      <c r="H19" s="7">
        <f t="shared" ref="H19:H22" si="9">F19-D19</f>
        <v>1528010.52</v>
      </c>
      <c r="I19" s="8">
        <v>0.21</v>
      </c>
      <c r="J19" s="8">
        <v>0.05</v>
      </c>
      <c r="K19" s="7">
        <f t="shared" si="5"/>
        <v>76421.873639999991</v>
      </c>
      <c r="L19" s="7">
        <f t="shared" si="6"/>
        <v>76400.525999999998</v>
      </c>
      <c r="M19" s="7">
        <f t="shared" si="7"/>
        <v>69171077.799279988</v>
      </c>
      <c r="N19" s="7">
        <v>67308.81</v>
      </c>
    </row>
    <row r="20" spans="1:14" x14ac:dyDescent="0.2">
      <c r="A20" s="42">
        <v>43221</v>
      </c>
      <c r="C20" s="7">
        <v>349137977</v>
      </c>
      <c r="D20" s="15">
        <v>717230</v>
      </c>
      <c r="E20" s="15">
        <v>1157544.21</v>
      </c>
      <c r="F20" s="15">
        <v>2245240.52</v>
      </c>
      <c r="G20" s="7">
        <f t="shared" si="8"/>
        <v>440314.20999999996</v>
      </c>
      <c r="H20" s="7">
        <f t="shared" si="9"/>
        <v>1528010.52</v>
      </c>
      <c r="I20" s="8">
        <v>0.21</v>
      </c>
      <c r="J20" s="8">
        <v>0.05</v>
      </c>
      <c r="K20" s="7">
        <f t="shared" si="5"/>
        <v>76421.873639999991</v>
      </c>
      <c r="L20" s="7">
        <f t="shared" si="6"/>
        <v>76400.525999999998</v>
      </c>
      <c r="M20" s="7">
        <f t="shared" si="7"/>
        <v>69323900.198919982</v>
      </c>
      <c r="N20" s="7">
        <v>67308.81</v>
      </c>
    </row>
    <row r="21" spans="1:14" x14ac:dyDescent="0.2">
      <c r="A21" s="42">
        <v>43252</v>
      </c>
      <c r="C21" s="7">
        <v>349137977</v>
      </c>
      <c r="D21" s="15">
        <v>717230</v>
      </c>
      <c r="E21" s="15">
        <v>1157544.21</v>
      </c>
      <c r="F21" s="15">
        <v>2245240.52</v>
      </c>
      <c r="G21" s="7">
        <f t="shared" si="8"/>
        <v>440314.20999999996</v>
      </c>
      <c r="H21" s="7">
        <f t="shared" si="9"/>
        <v>1528010.52</v>
      </c>
      <c r="I21" s="8">
        <v>0.21</v>
      </c>
      <c r="J21" s="8">
        <v>0.05</v>
      </c>
      <c r="K21" s="7">
        <f t="shared" si="5"/>
        <v>76421.873639999991</v>
      </c>
      <c r="L21" s="7">
        <f t="shared" si="6"/>
        <v>76400.525999999998</v>
      </c>
      <c r="M21" s="7">
        <f t="shared" si="7"/>
        <v>69476722.598559976</v>
      </c>
      <c r="N21" s="7">
        <v>67308.81</v>
      </c>
    </row>
    <row r="22" spans="1:14" x14ac:dyDescent="0.2">
      <c r="A22" s="42">
        <v>43282</v>
      </c>
      <c r="C22" s="7">
        <v>349137977</v>
      </c>
      <c r="D22" s="15">
        <v>717230</v>
      </c>
      <c r="E22" s="15">
        <v>1157544.21</v>
      </c>
      <c r="F22" s="15">
        <v>2245240.52</v>
      </c>
      <c r="G22" s="7">
        <f t="shared" si="8"/>
        <v>440314.20999999996</v>
      </c>
      <c r="H22" s="7">
        <f t="shared" si="9"/>
        <v>1528010.52</v>
      </c>
      <c r="I22" s="8">
        <v>0.21</v>
      </c>
      <c r="J22" s="8">
        <v>0.05</v>
      </c>
      <c r="K22" s="7">
        <f t="shared" si="5"/>
        <v>76421.873639999991</v>
      </c>
      <c r="L22" s="7">
        <f t="shared" si="6"/>
        <v>76400.525999999998</v>
      </c>
      <c r="M22" s="7">
        <f t="shared" si="7"/>
        <v>69629544.99819997</v>
      </c>
      <c r="N22" s="7">
        <v>68053.31</v>
      </c>
    </row>
    <row r="23" spans="1:14" x14ac:dyDescent="0.2">
      <c r="A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42">
        <v>43313</v>
      </c>
      <c r="C24" s="7">
        <v>349137977</v>
      </c>
      <c r="D24" s="15">
        <v>717230</v>
      </c>
      <c r="E24" s="15">
        <v>1157544.21</v>
      </c>
      <c r="F24" s="15">
        <v>2245240.52</v>
      </c>
      <c r="G24" s="7">
        <f t="shared" ref="G24" si="10">E24-D24</f>
        <v>440314.20999999996</v>
      </c>
      <c r="H24" s="7">
        <f t="shared" ref="H24" si="11">F24-D24</f>
        <v>1528010.52</v>
      </c>
      <c r="I24" s="8">
        <v>0.21</v>
      </c>
      <c r="J24" s="8">
        <v>0.05</v>
      </c>
      <c r="K24" s="7">
        <f t="shared" ref="K24" si="12">G24*I24-L24*I24</f>
        <v>76421.873639999991</v>
      </c>
      <c r="L24" s="7">
        <f t="shared" ref="L24" si="13">H24*J24</f>
        <v>76400.525999999998</v>
      </c>
      <c r="M24" s="7">
        <f>M22+K24+L24</f>
        <v>69782367.397839963</v>
      </c>
      <c r="N24" s="7">
        <v>67758.710000000006</v>
      </c>
    </row>
    <row r="25" spans="1:14" x14ac:dyDescent="0.2">
      <c r="A25" s="42"/>
      <c r="C25" s="7"/>
      <c r="D25" s="15"/>
      <c r="E25" s="15"/>
      <c r="F25" s="15"/>
      <c r="G25" s="7"/>
      <c r="H25" s="7"/>
      <c r="I25" s="8"/>
      <c r="J25" s="8"/>
      <c r="K25" s="7"/>
      <c r="L25" s="7"/>
      <c r="M25" s="7"/>
      <c r="N25" s="7"/>
    </row>
    <row r="26" spans="1:14" x14ac:dyDescent="0.2">
      <c r="C26" s="26" t="s">
        <v>47</v>
      </c>
    </row>
    <row r="27" spans="1:14" x14ac:dyDescent="0.2">
      <c r="C27" s="26" t="s">
        <v>31</v>
      </c>
    </row>
    <row r="28" spans="1:14" x14ac:dyDescent="0.2">
      <c r="C28" s="26" t="s">
        <v>56</v>
      </c>
    </row>
    <row r="29" spans="1:14" x14ac:dyDescent="0.2">
      <c r="C29" s="24" t="s">
        <v>32</v>
      </c>
    </row>
    <row r="31" spans="1:14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4" x14ac:dyDescent="0.2">
      <c r="C32" s="25">
        <v>17068.5</v>
      </c>
      <c r="D32" s="25">
        <v>717230</v>
      </c>
      <c r="E32" s="25">
        <v>82</v>
      </c>
      <c r="F32" s="19">
        <f>E32-D32</f>
        <v>-717148</v>
      </c>
      <c r="G32" s="8">
        <v>0.21</v>
      </c>
      <c r="H32" s="19">
        <f>F32*G32</f>
        <v>-150601.07999999999</v>
      </c>
    </row>
    <row r="33" spans="3:8" x14ac:dyDescent="0.2">
      <c r="C33" s="25">
        <v>863123.25</v>
      </c>
      <c r="E33" s="25">
        <v>3801</v>
      </c>
      <c r="F33" s="19">
        <f>E33</f>
        <v>3801</v>
      </c>
      <c r="G33" s="8">
        <v>0.21</v>
      </c>
      <c r="H33" s="19">
        <f t="shared" ref="H33:H59" si="14">F33*G33</f>
        <v>798.20999999999992</v>
      </c>
    </row>
    <row r="34" spans="3:8" x14ac:dyDescent="0.2">
      <c r="C34" s="25">
        <v>172624.8</v>
      </c>
      <c r="E34" s="25">
        <v>2877.08</v>
      </c>
      <c r="F34" s="19">
        <f t="shared" ref="F34:F59" si="15">E34</f>
        <v>2877.08</v>
      </c>
      <c r="G34" s="8">
        <v>0.21</v>
      </c>
      <c r="H34" s="19">
        <f t="shared" si="14"/>
        <v>604.18679999999995</v>
      </c>
    </row>
    <row r="35" spans="3:8" x14ac:dyDescent="0.2">
      <c r="C35" s="25">
        <v>115083.20000000001</v>
      </c>
      <c r="E35" s="25">
        <v>507</v>
      </c>
      <c r="F35" s="19">
        <f t="shared" si="15"/>
        <v>507</v>
      </c>
      <c r="G35" s="8">
        <v>0.21</v>
      </c>
      <c r="H35" s="19">
        <f t="shared" si="14"/>
        <v>106.47</v>
      </c>
    </row>
    <row r="36" spans="3:8" x14ac:dyDescent="0.2">
      <c r="C36" s="25">
        <v>16958769.375</v>
      </c>
      <c r="E36" s="25">
        <v>80738</v>
      </c>
      <c r="F36" s="19">
        <f t="shared" si="15"/>
        <v>80738</v>
      </c>
      <c r="G36" s="8">
        <v>0.21</v>
      </c>
      <c r="H36" s="19">
        <f t="shared" si="14"/>
        <v>16954.98</v>
      </c>
    </row>
    <row r="37" spans="3:8" x14ac:dyDescent="0.2">
      <c r="C37" s="25">
        <v>3391753.8750000005</v>
      </c>
      <c r="E37" s="25">
        <v>56529.231250000012</v>
      </c>
      <c r="F37" s="19">
        <f t="shared" si="15"/>
        <v>56529.231250000012</v>
      </c>
      <c r="G37" s="8">
        <v>0.21</v>
      </c>
      <c r="H37" s="19">
        <f t="shared" si="14"/>
        <v>11871.138562500002</v>
      </c>
    </row>
    <row r="38" spans="3:8" x14ac:dyDescent="0.2">
      <c r="C38" s="25">
        <v>2261169.2500000005</v>
      </c>
      <c r="E38" s="25">
        <v>10765</v>
      </c>
      <c r="F38" s="19">
        <f t="shared" si="15"/>
        <v>10765</v>
      </c>
      <c r="G38" s="8">
        <v>0.21</v>
      </c>
      <c r="H38" s="19">
        <f t="shared" si="14"/>
        <v>2260.65</v>
      </c>
    </row>
    <row r="39" spans="3:8" x14ac:dyDescent="0.2">
      <c r="C39" s="25">
        <v>96326943.479999989</v>
      </c>
      <c r="E39" s="25">
        <v>458596</v>
      </c>
      <c r="F39" s="19">
        <f t="shared" si="15"/>
        <v>458596</v>
      </c>
      <c r="G39" s="8">
        <v>0.21</v>
      </c>
      <c r="H39" s="19">
        <f t="shared" si="14"/>
        <v>96305.16</v>
      </c>
    </row>
    <row r="40" spans="3:8" x14ac:dyDescent="0.2">
      <c r="C40" s="25">
        <v>18955938.995999999</v>
      </c>
      <c r="E40" s="25">
        <v>315932.31659999996</v>
      </c>
      <c r="F40" s="19">
        <f t="shared" si="15"/>
        <v>315932.31659999996</v>
      </c>
      <c r="G40" s="8">
        <v>0.21</v>
      </c>
      <c r="H40" s="19">
        <f t="shared" si="14"/>
        <v>66345.786485999983</v>
      </c>
    </row>
    <row r="41" spans="3:8" x14ac:dyDescent="0.2">
      <c r="C41" s="25">
        <v>12637292.664000001</v>
      </c>
      <c r="E41" s="25">
        <v>60164</v>
      </c>
      <c r="F41" s="19">
        <f t="shared" si="15"/>
        <v>60164</v>
      </c>
      <c r="G41" s="8">
        <v>0.21</v>
      </c>
      <c r="H41" s="19">
        <f t="shared" si="14"/>
        <v>12634.439999999999</v>
      </c>
    </row>
    <row r="42" spans="3:8" x14ac:dyDescent="0.2">
      <c r="C42" s="25">
        <v>2579539.44</v>
      </c>
      <c r="E42" s="25">
        <v>13278</v>
      </c>
      <c r="F42" s="19">
        <f t="shared" si="15"/>
        <v>13278</v>
      </c>
      <c r="G42" s="8">
        <v>0.21</v>
      </c>
      <c r="H42" s="19">
        <f t="shared" si="14"/>
        <v>2788.38</v>
      </c>
    </row>
    <row r="43" spans="3:8" x14ac:dyDescent="0.2">
      <c r="C43" s="25">
        <v>515907.88799999998</v>
      </c>
      <c r="E43" s="25">
        <v>8598.4647999999997</v>
      </c>
      <c r="F43" s="19">
        <f t="shared" si="15"/>
        <v>8598.4647999999997</v>
      </c>
      <c r="G43" s="8">
        <v>0.21</v>
      </c>
      <c r="H43" s="19">
        <f t="shared" si="14"/>
        <v>1805.677608</v>
      </c>
    </row>
    <row r="44" spans="3:8" x14ac:dyDescent="0.2">
      <c r="C44" s="25">
        <v>343938.592</v>
      </c>
      <c r="E44" s="25">
        <v>1770</v>
      </c>
      <c r="F44" s="19">
        <f t="shared" si="15"/>
        <v>1770</v>
      </c>
      <c r="G44" s="8">
        <v>0.21</v>
      </c>
      <c r="H44" s="19">
        <f t="shared" si="14"/>
        <v>371.7</v>
      </c>
    </row>
    <row r="45" spans="3:8" x14ac:dyDescent="0.2">
      <c r="C45" s="25">
        <v>3753722.94</v>
      </c>
      <c r="E45" s="25">
        <v>20886</v>
      </c>
      <c r="F45" s="19">
        <f t="shared" si="15"/>
        <v>20886</v>
      </c>
      <c r="G45" s="8">
        <v>0.21</v>
      </c>
      <c r="H45" s="19">
        <f t="shared" si="14"/>
        <v>4386.0599999999995</v>
      </c>
    </row>
    <row r="46" spans="3:8" x14ac:dyDescent="0.2">
      <c r="C46" s="25">
        <v>750744.58799999999</v>
      </c>
      <c r="E46" s="25">
        <v>12512.409799999999</v>
      </c>
      <c r="F46" s="19">
        <f t="shared" si="15"/>
        <v>12512.409799999999</v>
      </c>
      <c r="G46" s="8">
        <v>0.21</v>
      </c>
      <c r="H46" s="19">
        <f t="shared" si="14"/>
        <v>2627.6060579999998</v>
      </c>
    </row>
    <row r="47" spans="3:8" x14ac:dyDescent="0.2">
      <c r="C47" s="25">
        <v>500496.39199999999</v>
      </c>
      <c r="E47" s="25">
        <v>2785</v>
      </c>
      <c r="F47" s="19">
        <f t="shared" si="15"/>
        <v>2785</v>
      </c>
      <c r="G47" s="8">
        <v>0.21</v>
      </c>
      <c r="H47" s="19">
        <f t="shared" si="14"/>
        <v>584.85</v>
      </c>
    </row>
    <row r="48" spans="3:8" x14ac:dyDescent="0.2">
      <c r="C48" s="25">
        <v>-21906.708749999998</v>
      </c>
      <c r="E48" s="25">
        <v>-122</v>
      </c>
      <c r="F48" s="19">
        <f t="shared" si="15"/>
        <v>-122</v>
      </c>
      <c r="G48" s="8">
        <v>0.21</v>
      </c>
      <c r="H48" s="19">
        <f t="shared" si="14"/>
        <v>-25.619999999999997</v>
      </c>
    </row>
    <row r="49" spans="3:8" x14ac:dyDescent="0.2">
      <c r="C49" s="25">
        <v>-4381.3417499999996</v>
      </c>
      <c r="E49" s="25">
        <v>-73.0223625</v>
      </c>
      <c r="F49" s="19">
        <f t="shared" si="15"/>
        <v>-73.0223625</v>
      </c>
      <c r="G49" s="8">
        <v>0.21</v>
      </c>
      <c r="H49" s="19">
        <f t="shared" si="14"/>
        <v>-15.334696124999999</v>
      </c>
    </row>
    <row r="50" spans="3:8" x14ac:dyDescent="0.2">
      <c r="C50" s="25">
        <v>-2920.8945000000003</v>
      </c>
      <c r="E50" s="25">
        <v>-16</v>
      </c>
      <c r="F50" s="19">
        <f t="shared" si="15"/>
        <v>-16</v>
      </c>
      <c r="G50" s="8">
        <v>0.21</v>
      </c>
      <c r="H50" s="19">
        <f t="shared" si="14"/>
        <v>-3.36</v>
      </c>
    </row>
    <row r="51" spans="3:8" x14ac:dyDescent="0.2">
      <c r="C51" s="25">
        <v>29295.040000000001</v>
      </c>
      <c r="E51" s="25">
        <v>163</v>
      </c>
      <c r="F51" s="19">
        <f t="shared" si="15"/>
        <v>163</v>
      </c>
      <c r="G51" s="8">
        <v>0.21</v>
      </c>
      <c r="H51" s="19">
        <f t="shared" si="14"/>
        <v>34.229999999999997</v>
      </c>
    </row>
    <row r="52" spans="3:8" x14ac:dyDescent="0.2">
      <c r="C52" s="25">
        <v>21.04</v>
      </c>
      <c r="E52" s="25">
        <f>1.91272727272727+0.75</f>
        <v>2.6627272727272699</v>
      </c>
      <c r="F52" s="19">
        <f t="shared" si="15"/>
        <v>2.6627272727272699</v>
      </c>
      <c r="G52" s="8">
        <v>0.21</v>
      </c>
      <c r="H52" s="19">
        <f t="shared" si="14"/>
        <v>0.55917272727272671</v>
      </c>
    </row>
    <row r="53" spans="3:8" x14ac:dyDescent="0.2">
      <c r="C53" s="25">
        <v>15.78</v>
      </c>
      <c r="E53" s="25">
        <v>5.3795454545454542E-2</v>
      </c>
      <c r="F53" s="19">
        <f t="shared" si="15"/>
        <v>5.3795454545454542E-2</v>
      </c>
      <c r="G53" s="8">
        <v>0.21</v>
      </c>
      <c r="H53" s="19">
        <f t="shared" si="14"/>
        <v>1.1297045454545454E-2</v>
      </c>
    </row>
    <row r="54" spans="3:8" x14ac:dyDescent="0.2">
      <c r="C54" s="25">
        <v>3.1559999999999997</v>
      </c>
      <c r="E54" s="25">
        <v>5.2600000000000001E-2</v>
      </c>
      <c r="F54" s="19">
        <f t="shared" si="15"/>
        <v>5.2600000000000001E-2</v>
      </c>
      <c r="G54" s="8">
        <v>0.21</v>
      </c>
      <c r="H54" s="19">
        <f t="shared" si="14"/>
        <v>1.1046E-2</v>
      </c>
    </row>
    <row r="55" spans="3:8" x14ac:dyDescent="0.2">
      <c r="C55" s="25">
        <v>2.1040000000000001</v>
      </c>
      <c r="E55" s="25">
        <v>7.1727272727272725E-3</v>
      </c>
      <c r="F55" s="47">
        <f t="shared" si="15"/>
        <v>7.1727272727272725E-3</v>
      </c>
      <c r="G55" s="8">
        <v>0.21</v>
      </c>
      <c r="H55" s="47">
        <f t="shared" si="14"/>
        <v>1.5062727272727272E-3</v>
      </c>
    </row>
    <row r="56" spans="3:8" x14ac:dyDescent="0.2">
      <c r="C56" s="25">
        <v>19484</v>
      </c>
      <c r="E56" s="25">
        <v>117</v>
      </c>
      <c r="F56" s="47">
        <f t="shared" si="15"/>
        <v>117</v>
      </c>
      <c r="G56" s="8">
        <v>0.21</v>
      </c>
      <c r="H56" s="47">
        <f t="shared" si="14"/>
        <v>24.57</v>
      </c>
    </row>
    <row r="57" spans="3:8" x14ac:dyDescent="0.2">
      <c r="C57" s="25">
        <v>10604784</v>
      </c>
      <c r="E57" s="25">
        <v>63797</v>
      </c>
      <c r="F57" s="47">
        <f t="shared" si="15"/>
        <v>63797</v>
      </c>
      <c r="G57" s="8">
        <v>0.21</v>
      </c>
      <c r="H57" s="47">
        <f t="shared" si="14"/>
        <v>13397.369999999999</v>
      </c>
    </row>
    <row r="58" spans="3:8" x14ac:dyDescent="0.2">
      <c r="C58" s="25">
        <v>2120957</v>
      </c>
      <c r="E58" s="25">
        <v>35349</v>
      </c>
      <c r="F58" s="47">
        <f t="shared" si="15"/>
        <v>35349</v>
      </c>
      <c r="G58" s="8">
        <v>0.21</v>
      </c>
      <c r="H58" s="47">
        <f t="shared" si="14"/>
        <v>7423.29</v>
      </c>
    </row>
    <row r="59" spans="3:8" ht="15" x14ac:dyDescent="0.35">
      <c r="C59" s="25">
        <v>1413971</v>
      </c>
      <c r="E59" s="40">
        <v>8506</v>
      </c>
      <c r="F59" s="33">
        <f t="shared" si="15"/>
        <v>8506</v>
      </c>
      <c r="G59" s="8">
        <v>0.21</v>
      </c>
      <c r="H59" s="33">
        <f t="shared" si="14"/>
        <v>1786.26</v>
      </c>
    </row>
    <row r="60" spans="3:8" x14ac:dyDescent="0.2">
      <c r="E60" s="19">
        <f>SUM(E32:E59)</f>
        <v>1157545.2563829548</v>
      </c>
      <c r="F60" s="19">
        <f>SUM(F32:F59)</f>
        <v>440315.25638295454</v>
      </c>
      <c r="G60" s="34" t="s">
        <v>43</v>
      </c>
      <c r="H60" s="19">
        <f>SUM(H32:H59)</f>
        <v>92466.203840420436</v>
      </c>
    </row>
    <row r="61" spans="3:8" ht="15" x14ac:dyDescent="0.35">
      <c r="G61" s="34" t="s">
        <v>44</v>
      </c>
      <c r="H61" s="33">
        <f>-H92*0.21</f>
        <v>-16044.122342937499</v>
      </c>
    </row>
    <row r="62" spans="3:8" x14ac:dyDescent="0.2">
      <c r="H62" s="19">
        <f>H60+H61</f>
        <v>76422.081497482941</v>
      </c>
    </row>
    <row r="63" spans="3:8" x14ac:dyDescent="0.2">
      <c r="H63" s="19">
        <f>H62-K24</f>
        <v>0.20785748295020312</v>
      </c>
    </row>
    <row r="64" spans="3:8" x14ac:dyDescent="0.2">
      <c r="C64" s="24" t="s">
        <v>39</v>
      </c>
      <c r="D64" s="27" t="s">
        <v>35</v>
      </c>
      <c r="E64" s="28" t="s">
        <v>40</v>
      </c>
      <c r="F64" s="24" t="s">
        <v>41</v>
      </c>
      <c r="G64" s="30" t="s">
        <v>28</v>
      </c>
      <c r="H64" s="24" t="s">
        <v>42</v>
      </c>
    </row>
    <row r="65" spans="3:8" x14ac:dyDescent="0.2">
      <c r="C65" s="19">
        <v>34138</v>
      </c>
      <c r="D65" s="19">
        <f>D32</f>
        <v>717230</v>
      </c>
      <c r="E65" s="19">
        <v>164</v>
      </c>
      <c r="F65" s="19">
        <f>E65-D65</f>
        <v>-717066</v>
      </c>
      <c r="G65" s="8">
        <v>0.05</v>
      </c>
      <c r="H65" s="19">
        <f>F65*G65</f>
        <v>-35853.300000000003</v>
      </c>
    </row>
    <row r="66" spans="3:8" x14ac:dyDescent="0.2">
      <c r="C66" s="19">
        <v>1726246.5</v>
      </c>
      <c r="E66" s="19">
        <v>7603</v>
      </c>
      <c r="F66" s="19">
        <f>E66</f>
        <v>7603</v>
      </c>
      <c r="G66" s="8">
        <v>0.05</v>
      </c>
      <c r="H66" s="19">
        <f t="shared" ref="H66:H91" si="16">F66*G66</f>
        <v>380.15000000000003</v>
      </c>
    </row>
    <row r="67" spans="3:8" x14ac:dyDescent="0.2">
      <c r="C67" s="19">
        <v>345249.3</v>
      </c>
      <c r="E67" s="19">
        <v>5754.1549999999997</v>
      </c>
      <c r="F67" s="19">
        <f t="shared" ref="F67:F91" si="17">E67</f>
        <v>5754.1549999999997</v>
      </c>
      <c r="G67" s="8">
        <v>0.05</v>
      </c>
      <c r="H67" s="19">
        <f t="shared" si="16"/>
        <v>287.70774999999998</v>
      </c>
    </row>
    <row r="68" spans="3:8" x14ac:dyDescent="0.2">
      <c r="C68" s="19">
        <v>230166.2</v>
      </c>
      <c r="E68" s="19">
        <v>1014</v>
      </c>
      <c r="F68" s="19">
        <f t="shared" si="17"/>
        <v>1014</v>
      </c>
      <c r="G68" s="8">
        <v>0.05</v>
      </c>
      <c r="H68" s="19">
        <f t="shared" si="16"/>
        <v>50.7</v>
      </c>
    </row>
    <row r="69" spans="3:8" x14ac:dyDescent="0.2">
      <c r="C69" s="19">
        <v>32248976.25</v>
      </c>
      <c r="E69" s="19">
        <v>153532</v>
      </c>
      <c r="F69" s="19">
        <f t="shared" si="17"/>
        <v>153532</v>
      </c>
      <c r="G69" s="8">
        <v>0.05</v>
      </c>
      <c r="H69" s="19">
        <f t="shared" si="16"/>
        <v>7676.6</v>
      </c>
    </row>
    <row r="70" spans="3:8" x14ac:dyDescent="0.2">
      <c r="C70" s="19">
        <v>6449795.25</v>
      </c>
      <c r="E70" s="19">
        <v>107496.58750000001</v>
      </c>
      <c r="F70" s="19">
        <f t="shared" si="17"/>
        <v>107496.58750000001</v>
      </c>
      <c r="G70" s="8">
        <v>0.05</v>
      </c>
      <c r="H70" s="19">
        <f t="shared" si="16"/>
        <v>5374.8293750000012</v>
      </c>
    </row>
    <row r="71" spans="3:8" x14ac:dyDescent="0.2">
      <c r="C71" s="19">
        <v>4299863.5</v>
      </c>
      <c r="E71" s="19">
        <v>20471</v>
      </c>
      <c r="F71" s="19">
        <f t="shared" si="17"/>
        <v>20471</v>
      </c>
      <c r="G71" s="8">
        <v>0.05</v>
      </c>
      <c r="H71" s="19">
        <f t="shared" si="16"/>
        <v>1023.5500000000001</v>
      </c>
    </row>
    <row r="72" spans="3:8" x14ac:dyDescent="0.2">
      <c r="C72" s="19">
        <v>192267074.83500001</v>
      </c>
      <c r="E72" s="19">
        <v>915351</v>
      </c>
      <c r="F72" s="19">
        <f t="shared" si="17"/>
        <v>915351</v>
      </c>
      <c r="G72" s="8">
        <v>0.05</v>
      </c>
      <c r="H72" s="19">
        <f t="shared" si="16"/>
        <v>45767.55</v>
      </c>
    </row>
    <row r="73" spans="3:8" x14ac:dyDescent="0.2">
      <c r="C73" s="19">
        <v>38143965.266999997</v>
      </c>
      <c r="E73" s="19">
        <v>635732.75445000001</v>
      </c>
      <c r="F73" s="19">
        <f t="shared" si="17"/>
        <v>635732.75445000001</v>
      </c>
      <c r="G73" s="8">
        <v>0.05</v>
      </c>
      <c r="H73" s="19">
        <f t="shared" si="16"/>
        <v>31786.637722500003</v>
      </c>
    </row>
    <row r="74" spans="3:8" x14ac:dyDescent="0.2">
      <c r="C74" s="19">
        <v>25429310.178000003</v>
      </c>
      <c r="E74" s="19">
        <v>121065</v>
      </c>
      <c r="F74" s="19">
        <f t="shared" si="17"/>
        <v>121065</v>
      </c>
      <c r="G74" s="8">
        <v>0.05</v>
      </c>
      <c r="H74" s="19">
        <f t="shared" si="16"/>
        <v>6053.25</v>
      </c>
    </row>
    <row r="75" spans="3:8" x14ac:dyDescent="0.2">
      <c r="C75" s="19">
        <v>5070051.5025000004</v>
      </c>
      <c r="E75" s="19">
        <v>26098</v>
      </c>
      <c r="F75" s="19">
        <f t="shared" si="17"/>
        <v>26098</v>
      </c>
      <c r="G75" s="8">
        <v>0.05</v>
      </c>
      <c r="H75" s="19">
        <f t="shared" si="16"/>
        <v>1304.9000000000001</v>
      </c>
    </row>
    <row r="76" spans="3:8" x14ac:dyDescent="0.2">
      <c r="C76" s="19">
        <v>1014010.3005</v>
      </c>
      <c r="E76" s="19">
        <v>16900.171675000001</v>
      </c>
      <c r="F76" s="19">
        <f t="shared" si="17"/>
        <v>16900.171675000001</v>
      </c>
      <c r="G76" s="8">
        <v>0.05</v>
      </c>
      <c r="H76" s="19">
        <f t="shared" si="16"/>
        <v>845.00858375000007</v>
      </c>
    </row>
    <row r="77" spans="3:8" x14ac:dyDescent="0.2">
      <c r="C77" s="19">
        <v>676006.86699999997</v>
      </c>
      <c r="E77" s="19">
        <v>3480</v>
      </c>
      <c r="F77" s="19">
        <f t="shared" si="17"/>
        <v>3480</v>
      </c>
      <c r="G77" s="8">
        <v>0.05</v>
      </c>
      <c r="H77" s="19">
        <f t="shared" si="16"/>
        <v>174</v>
      </c>
    </row>
    <row r="78" spans="3:8" x14ac:dyDescent="0.2">
      <c r="C78" s="19">
        <v>7507445.8799999999</v>
      </c>
      <c r="E78" s="19">
        <v>41773</v>
      </c>
      <c r="F78" s="19">
        <f t="shared" si="17"/>
        <v>41773</v>
      </c>
      <c r="G78" s="8">
        <v>0.05</v>
      </c>
      <c r="H78" s="19">
        <f t="shared" si="16"/>
        <v>2088.65</v>
      </c>
    </row>
    <row r="79" spans="3:8" x14ac:dyDescent="0.2">
      <c r="C79" s="19">
        <v>1501489.176</v>
      </c>
      <c r="E79" s="19">
        <v>25024.819599999999</v>
      </c>
      <c r="F79" s="19">
        <f t="shared" si="17"/>
        <v>25024.819599999999</v>
      </c>
      <c r="G79" s="8">
        <v>0.05</v>
      </c>
      <c r="H79" s="19">
        <f t="shared" si="16"/>
        <v>1251.24098</v>
      </c>
    </row>
    <row r="80" spans="3:8" x14ac:dyDescent="0.2">
      <c r="C80" s="19">
        <v>1000992.784</v>
      </c>
      <c r="E80" s="19">
        <v>5570</v>
      </c>
      <c r="F80" s="19">
        <f t="shared" si="17"/>
        <v>5570</v>
      </c>
      <c r="G80" s="8">
        <v>0.05</v>
      </c>
      <c r="H80" s="19">
        <f t="shared" si="16"/>
        <v>278.5</v>
      </c>
    </row>
    <row r="81" spans="3:8" x14ac:dyDescent="0.2">
      <c r="C81" s="19">
        <v>-43813.417499999996</v>
      </c>
      <c r="E81" s="19">
        <v>-244</v>
      </c>
      <c r="F81" s="19">
        <f t="shared" si="17"/>
        <v>-244</v>
      </c>
      <c r="G81" s="8">
        <v>0.05</v>
      </c>
      <c r="H81" s="19">
        <f t="shared" si="16"/>
        <v>-12.200000000000001</v>
      </c>
    </row>
    <row r="82" spans="3:8" x14ac:dyDescent="0.2">
      <c r="C82" s="19">
        <v>-8762.6834999999992</v>
      </c>
      <c r="E82" s="19">
        <v>-146.044725</v>
      </c>
      <c r="F82" s="19">
        <f t="shared" si="17"/>
        <v>-146.044725</v>
      </c>
      <c r="G82" s="8">
        <v>0.05</v>
      </c>
      <c r="H82" s="19">
        <f t="shared" si="16"/>
        <v>-7.30223625</v>
      </c>
    </row>
    <row r="83" spans="3:8" x14ac:dyDescent="0.2">
      <c r="C83" s="19">
        <v>-5841.7890000000007</v>
      </c>
      <c r="E83" s="19">
        <v>-32</v>
      </c>
      <c r="F83" s="19">
        <f t="shared" si="17"/>
        <v>-32</v>
      </c>
      <c r="G83" s="8">
        <v>0.05</v>
      </c>
      <c r="H83" s="19">
        <f t="shared" si="16"/>
        <v>-1.6</v>
      </c>
    </row>
    <row r="84" spans="3:8" x14ac:dyDescent="0.2">
      <c r="C84" s="19">
        <v>58590.080000000002</v>
      </c>
      <c r="E84" s="19">
        <v>326</v>
      </c>
      <c r="F84" s="19">
        <f t="shared" si="17"/>
        <v>326</v>
      </c>
      <c r="G84" s="8">
        <v>0.05</v>
      </c>
      <c r="H84" s="19">
        <f t="shared" si="16"/>
        <v>16.3</v>
      </c>
    </row>
    <row r="85" spans="3:8" x14ac:dyDescent="0.2">
      <c r="C85" s="19">
        <v>31.56</v>
      </c>
      <c r="E85" s="19">
        <v>9.8625000000000004E-2</v>
      </c>
      <c r="F85" s="19">
        <f t="shared" si="17"/>
        <v>9.8625000000000004E-2</v>
      </c>
      <c r="G85" s="8">
        <v>0.05</v>
      </c>
      <c r="H85" s="19">
        <f t="shared" si="16"/>
        <v>4.9312500000000007E-3</v>
      </c>
    </row>
    <row r="86" spans="3:8" x14ac:dyDescent="0.2">
      <c r="C86" s="19">
        <v>6.3119999999999994</v>
      </c>
      <c r="E86" s="19">
        <v>9.6433333333333329E-2</v>
      </c>
      <c r="F86" s="19">
        <f t="shared" si="17"/>
        <v>9.6433333333333329E-2</v>
      </c>
      <c r="G86" s="8">
        <v>0.05</v>
      </c>
      <c r="H86" s="19">
        <f t="shared" si="16"/>
        <v>4.8216666666666668E-3</v>
      </c>
    </row>
    <row r="87" spans="3:8" x14ac:dyDescent="0.2">
      <c r="C87" s="19">
        <v>4.2080000000000002</v>
      </c>
      <c r="E87" s="47">
        <v>1.315E-2</v>
      </c>
      <c r="F87" s="47">
        <f t="shared" si="17"/>
        <v>1.315E-2</v>
      </c>
      <c r="G87" s="8">
        <v>0.05</v>
      </c>
      <c r="H87" s="47">
        <f t="shared" si="16"/>
        <v>6.575000000000001E-4</v>
      </c>
    </row>
    <row r="88" spans="3:8" x14ac:dyDescent="0.2">
      <c r="C88" s="19">
        <v>38967</v>
      </c>
      <c r="E88" s="47">
        <v>234</v>
      </c>
      <c r="F88" s="47">
        <f t="shared" si="17"/>
        <v>234</v>
      </c>
      <c r="G88" s="8">
        <v>0.05</v>
      </c>
      <c r="H88" s="47">
        <f t="shared" si="16"/>
        <v>11.700000000000001</v>
      </c>
    </row>
    <row r="89" spans="3:8" x14ac:dyDescent="0.2">
      <c r="C89" s="19">
        <v>15571837</v>
      </c>
      <c r="E89" s="47">
        <v>93678</v>
      </c>
      <c r="F89" s="47">
        <f t="shared" si="17"/>
        <v>93678</v>
      </c>
      <c r="G89" s="8">
        <v>0.05</v>
      </c>
      <c r="H89" s="47">
        <f t="shared" si="16"/>
        <v>4683.9000000000005</v>
      </c>
    </row>
    <row r="90" spans="3:8" x14ac:dyDescent="0.2">
      <c r="C90" s="19">
        <v>3114367</v>
      </c>
      <c r="E90" s="47">
        <v>51906</v>
      </c>
      <c r="F90" s="47">
        <f t="shared" si="17"/>
        <v>51906</v>
      </c>
      <c r="G90" s="8">
        <v>0.05</v>
      </c>
      <c r="H90" s="47">
        <f t="shared" si="16"/>
        <v>2595.3000000000002</v>
      </c>
    </row>
    <row r="91" spans="3:8" ht="15" x14ac:dyDescent="0.35">
      <c r="C91" s="19">
        <v>2076245</v>
      </c>
      <c r="E91" s="33">
        <v>12490</v>
      </c>
      <c r="F91" s="33">
        <f t="shared" si="17"/>
        <v>12490</v>
      </c>
      <c r="G91" s="8">
        <v>0.05</v>
      </c>
      <c r="H91" s="33">
        <f t="shared" si="16"/>
        <v>624.5</v>
      </c>
    </row>
    <row r="92" spans="3:8" x14ac:dyDescent="0.2">
      <c r="E92" s="19">
        <f>SUM(E65:E91)</f>
        <v>2245241.6517083338</v>
      </c>
      <c r="F92" s="19">
        <f>SUM(F65:F91)</f>
        <v>1528011.6517083338</v>
      </c>
      <c r="H92" s="19">
        <f>SUM(H65:H91)</f>
        <v>76400.582585416661</v>
      </c>
    </row>
    <row r="93" spans="3:8" x14ac:dyDescent="0.2">
      <c r="H93" s="19">
        <f>H92-L24</f>
        <v>5.6585416663438082E-2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4 of 12
Williams</oddHead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4"/>
  <sheetViews>
    <sheetView topLeftCell="B1" zoomScaleNormal="100" workbookViewId="0">
      <selection activeCell="O10" sqref="O10:O12"/>
    </sheetView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9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971415.00084399991</v>
      </c>
    </row>
    <row r="10" spans="1:16" x14ac:dyDescent="0.2">
      <c r="A10" s="42">
        <v>43160</v>
      </c>
      <c r="C10" s="7">
        <v>9031671</v>
      </c>
      <c r="D10" s="15">
        <v>8705</v>
      </c>
      <c r="E10" s="15">
        <v>33964.080000000002</v>
      </c>
      <c r="F10" s="15">
        <v>33964.080000000002</v>
      </c>
      <c r="G10" s="7">
        <f t="shared" ref="G10:G14" si="0">E10-D10</f>
        <v>25259.08</v>
      </c>
      <c r="H10" s="7">
        <f t="shared" ref="H10:H14" si="1">F10-D10</f>
        <v>25259.08</v>
      </c>
      <c r="I10" s="8">
        <v>0.21</v>
      </c>
      <c r="J10" s="8">
        <v>0.06</v>
      </c>
      <c r="K10" s="7">
        <f t="shared" ref="K10:K14" si="2">G10*I10-L10*I10</f>
        <v>4986.1423919999997</v>
      </c>
      <c r="L10" s="7">
        <f t="shared" ref="L10:L14" si="3">H10*J10</f>
        <v>1515.5448000000001</v>
      </c>
      <c r="M10" s="7">
        <f t="shared" ref="M10:M14" si="4">M9+K10+L10</f>
        <v>977916.68803599989</v>
      </c>
      <c r="N10" s="7">
        <v>0</v>
      </c>
      <c r="O10" s="17"/>
      <c r="P10" s="19"/>
    </row>
    <row r="11" spans="1:16" x14ac:dyDescent="0.2">
      <c r="A11" s="42">
        <v>43191</v>
      </c>
      <c r="C11" s="7">
        <v>9031671</v>
      </c>
      <c r="D11" s="15">
        <v>8705</v>
      </c>
      <c r="E11" s="15">
        <f>33964.08-313.47</f>
        <v>33650.61</v>
      </c>
      <c r="F11" s="15">
        <v>33964.080000000002</v>
      </c>
      <c r="G11" s="7">
        <f t="shared" si="0"/>
        <v>24945.61</v>
      </c>
      <c r="H11" s="7">
        <f t="shared" si="1"/>
        <v>25259.08</v>
      </c>
      <c r="I11" s="8">
        <v>0.21</v>
      </c>
      <c r="J11" s="8">
        <v>0.05</v>
      </c>
      <c r="K11" s="7">
        <f t="shared" si="2"/>
        <v>4973.3577599999999</v>
      </c>
      <c r="L11" s="7">
        <f t="shared" si="3"/>
        <v>1262.9540000000002</v>
      </c>
      <c r="M11" s="24">
        <f t="shared" si="4"/>
        <v>984152.99979599996</v>
      </c>
      <c r="N11" s="7">
        <v>0</v>
      </c>
      <c r="O11" s="17"/>
      <c r="P11" s="19"/>
    </row>
    <row r="12" spans="1:16" x14ac:dyDescent="0.2">
      <c r="A12" s="42">
        <v>43221</v>
      </c>
      <c r="C12" s="7">
        <v>9031671</v>
      </c>
      <c r="D12" s="15">
        <v>8705</v>
      </c>
      <c r="E12" s="15">
        <f>33964.08-317.47</f>
        <v>33646.61</v>
      </c>
      <c r="F12" s="15">
        <v>33964.080000000002</v>
      </c>
      <c r="G12" s="7">
        <f t="shared" si="0"/>
        <v>24941.61</v>
      </c>
      <c r="H12" s="7">
        <f t="shared" si="1"/>
        <v>25259.08</v>
      </c>
      <c r="I12" s="8">
        <v>0.21</v>
      </c>
      <c r="J12" s="8">
        <v>0.05</v>
      </c>
      <c r="K12" s="7">
        <f t="shared" si="2"/>
        <v>4972.5177599999997</v>
      </c>
      <c r="L12" s="7">
        <f t="shared" si="3"/>
        <v>1262.9540000000002</v>
      </c>
      <c r="M12" s="7">
        <f t="shared" si="4"/>
        <v>990388.47155599995</v>
      </c>
      <c r="N12" s="7">
        <v>0</v>
      </c>
      <c r="O12" s="23"/>
      <c r="P12" s="19"/>
    </row>
    <row r="13" spans="1:16" x14ac:dyDescent="0.2">
      <c r="A13" s="42">
        <v>43252</v>
      </c>
      <c r="C13" s="7">
        <v>9031671</v>
      </c>
      <c r="D13" s="15">
        <v>8705</v>
      </c>
      <c r="E13" s="15">
        <f>33964.08-317.47</f>
        <v>33646.61</v>
      </c>
      <c r="F13" s="15">
        <v>33964.080000000002</v>
      </c>
      <c r="G13" s="7">
        <f t="shared" si="0"/>
        <v>24941.61</v>
      </c>
      <c r="H13" s="7">
        <f t="shared" si="1"/>
        <v>25259.08</v>
      </c>
      <c r="I13" s="8">
        <v>0.21</v>
      </c>
      <c r="J13" s="8">
        <v>0.05</v>
      </c>
      <c r="K13" s="7">
        <f t="shared" si="2"/>
        <v>4972.5177599999997</v>
      </c>
      <c r="L13" s="7">
        <f t="shared" si="3"/>
        <v>1262.9540000000002</v>
      </c>
      <c r="M13" s="7">
        <f t="shared" si="4"/>
        <v>996623.94331599993</v>
      </c>
      <c r="N13" s="7">
        <v>0</v>
      </c>
      <c r="O13" s="23"/>
      <c r="P13" s="19"/>
    </row>
    <row r="14" spans="1:16" x14ac:dyDescent="0.2">
      <c r="A14" s="42">
        <v>43282</v>
      </c>
      <c r="C14" s="7">
        <v>9031671</v>
      </c>
      <c r="D14" s="15">
        <v>8705</v>
      </c>
      <c r="E14" s="15">
        <f>33964.08-317.47+2</f>
        <v>33648.61</v>
      </c>
      <c r="F14" s="15">
        <v>33964.080000000002</v>
      </c>
      <c r="G14" s="7">
        <f t="shared" si="0"/>
        <v>24943.61</v>
      </c>
      <c r="H14" s="7">
        <f t="shared" si="1"/>
        <v>25259.08</v>
      </c>
      <c r="I14" s="8">
        <v>0.21</v>
      </c>
      <c r="J14" s="8">
        <v>0.05</v>
      </c>
      <c r="K14" s="7">
        <f t="shared" si="2"/>
        <v>4972.9377599999998</v>
      </c>
      <c r="L14" s="7">
        <f t="shared" si="3"/>
        <v>1262.9540000000002</v>
      </c>
      <c r="M14" s="7">
        <f t="shared" si="4"/>
        <v>1002859.835076</v>
      </c>
      <c r="N14" s="7">
        <v>0</v>
      </c>
      <c r="O14" s="7"/>
      <c r="P14" s="19"/>
    </row>
    <row r="15" spans="1:16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v>971019</v>
      </c>
    </row>
    <row r="18" spans="1:14" x14ac:dyDescent="0.2">
      <c r="A18" s="42">
        <v>43160</v>
      </c>
      <c r="C18" s="7">
        <v>9031671</v>
      </c>
      <c r="D18" s="15">
        <v>8705</v>
      </c>
      <c r="E18" s="15">
        <v>33964.080000000002</v>
      </c>
      <c r="F18" s="15">
        <v>33964.080000000002</v>
      </c>
      <c r="G18" s="7">
        <f t="shared" ref="G18:G22" si="5">E18-D18</f>
        <v>25259.08</v>
      </c>
      <c r="H18" s="7">
        <f t="shared" ref="H18:H22" si="6">F18-D18</f>
        <v>25259.08</v>
      </c>
      <c r="I18" s="8">
        <v>0.21</v>
      </c>
      <c r="J18" s="8">
        <v>0.05</v>
      </c>
      <c r="K18" s="7">
        <f t="shared" ref="K18:K22" si="7">G18*I18-L18*I18</f>
        <v>5039.1864599999999</v>
      </c>
      <c r="L18" s="7">
        <f t="shared" ref="L18:L22" si="8">H18*J18</f>
        <v>1262.9540000000002</v>
      </c>
      <c r="M18" s="7">
        <f t="shared" ref="M18:M22" si="9">M17+K18+L18</f>
        <v>977321.14046000002</v>
      </c>
      <c r="N18" s="7">
        <v>0</v>
      </c>
    </row>
    <row r="19" spans="1:14" x14ac:dyDescent="0.2">
      <c r="A19" s="42">
        <v>43191</v>
      </c>
      <c r="C19" s="7">
        <v>9031671</v>
      </c>
      <c r="D19" s="15">
        <v>8705</v>
      </c>
      <c r="E19" s="15">
        <v>33964.080000000002</v>
      </c>
      <c r="F19" s="15">
        <v>33964.080000000002</v>
      </c>
      <c r="G19" s="7">
        <f t="shared" si="5"/>
        <v>25259.08</v>
      </c>
      <c r="H19" s="7">
        <f t="shared" si="6"/>
        <v>25259.08</v>
      </c>
      <c r="I19" s="8">
        <v>0.21</v>
      </c>
      <c r="J19" s="8">
        <v>0.05</v>
      </c>
      <c r="K19" s="7">
        <f t="shared" si="7"/>
        <v>5039.1864599999999</v>
      </c>
      <c r="L19" s="7">
        <f t="shared" si="8"/>
        <v>1262.9540000000002</v>
      </c>
      <c r="M19" s="24">
        <f t="shared" si="9"/>
        <v>983623.28092000005</v>
      </c>
      <c r="N19" s="7">
        <v>0</v>
      </c>
    </row>
    <row r="20" spans="1:14" x14ac:dyDescent="0.2">
      <c r="A20" s="42">
        <v>43221</v>
      </c>
      <c r="C20" s="7">
        <v>9031671</v>
      </c>
      <c r="D20" s="15">
        <v>8705</v>
      </c>
      <c r="E20" s="15">
        <v>33964.080000000002</v>
      </c>
      <c r="F20" s="15">
        <v>33964.080000000002</v>
      </c>
      <c r="G20" s="7">
        <f t="shared" si="5"/>
        <v>25259.08</v>
      </c>
      <c r="H20" s="7">
        <f t="shared" si="6"/>
        <v>25259.08</v>
      </c>
      <c r="I20" s="8">
        <v>0.21</v>
      </c>
      <c r="J20" s="8">
        <v>0.05</v>
      </c>
      <c r="K20" s="7">
        <f t="shared" si="7"/>
        <v>5039.1864599999999</v>
      </c>
      <c r="L20" s="7">
        <f t="shared" si="8"/>
        <v>1262.9540000000002</v>
      </c>
      <c r="M20" s="7">
        <f t="shared" si="9"/>
        <v>989925.42138000007</v>
      </c>
      <c r="N20" s="7">
        <v>0</v>
      </c>
    </row>
    <row r="21" spans="1:14" x14ac:dyDescent="0.2">
      <c r="A21" s="42">
        <v>43252</v>
      </c>
      <c r="C21" s="7">
        <v>9031671</v>
      </c>
      <c r="D21" s="15">
        <v>8705</v>
      </c>
      <c r="E21" s="15">
        <v>33964.080000000002</v>
      </c>
      <c r="F21" s="15">
        <v>33964.080000000002</v>
      </c>
      <c r="G21" s="7">
        <f t="shared" si="5"/>
        <v>25259.08</v>
      </c>
      <c r="H21" s="7">
        <f t="shared" si="6"/>
        <v>25259.08</v>
      </c>
      <c r="I21" s="8">
        <v>0.21</v>
      </c>
      <c r="J21" s="8">
        <v>0.05</v>
      </c>
      <c r="K21" s="7">
        <f t="shared" si="7"/>
        <v>5039.1864599999999</v>
      </c>
      <c r="L21" s="7">
        <f t="shared" si="8"/>
        <v>1262.9540000000002</v>
      </c>
      <c r="M21" s="7">
        <f t="shared" si="9"/>
        <v>996227.5618400001</v>
      </c>
      <c r="N21" s="7">
        <v>0</v>
      </c>
    </row>
    <row r="22" spans="1:14" x14ac:dyDescent="0.2">
      <c r="A22" s="42">
        <v>43282</v>
      </c>
      <c r="C22" s="7">
        <v>9031671</v>
      </c>
      <c r="D22" s="15">
        <v>8705</v>
      </c>
      <c r="E22" s="15">
        <v>33964.080000000002</v>
      </c>
      <c r="F22" s="15">
        <v>33964.080000000002</v>
      </c>
      <c r="G22" s="7">
        <f t="shared" si="5"/>
        <v>25259.08</v>
      </c>
      <c r="H22" s="7">
        <f t="shared" si="6"/>
        <v>25259.08</v>
      </c>
      <c r="I22" s="8">
        <v>0.21</v>
      </c>
      <c r="J22" s="8">
        <v>0.05</v>
      </c>
      <c r="K22" s="7">
        <f t="shared" si="7"/>
        <v>5039.1864599999999</v>
      </c>
      <c r="L22" s="7">
        <f t="shared" si="8"/>
        <v>1262.9540000000002</v>
      </c>
      <c r="M22" s="7">
        <f t="shared" si="9"/>
        <v>1002529.7023000001</v>
      </c>
      <c r="N22" s="7">
        <v>0</v>
      </c>
    </row>
    <row r="24" spans="1:14" x14ac:dyDescent="0.2">
      <c r="A24" s="42">
        <v>43313</v>
      </c>
      <c r="C24" s="7">
        <v>9031671</v>
      </c>
      <c r="D24" s="15">
        <v>8705</v>
      </c>
      <c r="E24" s="15">
        <v>33964.080000000002</v>
      </c>
      <c r="F24" s="15">
        <v>33964.080000000002</v>
      </c>
      <c r="G24" s="7">
        <f t="shared" ref="G24" si="10">E24-D24</f>
        <v>25259.08</v>
      </c>
      <c r="H24" s="7">
        <f t="shared" ref="H24" si="11">F24-D24</f>
        <v>25259.08</v>
      </c>
      <c r="I24" s="8">
        <v>0.21</v>
      </c>
      <c r="J24" s="8">
        <v>0.05</v>
      </c>
      <c r="K24" s="7">
        <f t="shared" ref="K24" si="12">G24*I24-L24*I24</f>
        <v>5039.1864599999999</v>
      </c>
      <c r="L24" s="7">
        <f t="shared" ref="L24" si="13">H24*J24</f>
        <v>1262.9540000000002</v>
      </c>
      <c r="M24" s="7">
        <f>M22+K24+L24</f>
        <v>1008831.8427600001</v>
      </c>
      <c r="N24" s="7">
        <v>0</v>
      </c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5 of 12
Williams</oddHead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4" zoomScaleNormal="100" workbookViewId="0">
      <selection activeCell="O10" sqref="O10:O11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" customWidth="1"/>
    <col min="4" max="4" width="14.28515625" bestFit="1" customWidth="1"/>
    <col min="5" max="5" width="17.1406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18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714816.1950200001</v>
      </c>
    </row>
    <row r="10" spans="1:16" x14ac:dyDescent="0.2">
      <c r="A10" s="42">
        <v>43160</v>
      </c>
      <c r="C10" s="7">
        <v>4907957</v>
      </c>
      <c r="D10" s="15">
        <v>7390</v>
      </c>
      <c r="E10" s="15">
        <v>9677.65</v>
      </c>
      <c r="F10" s="15">
        <v>19355.3</v>
      </c>
      <c r="G10" s="7">
        <f t="shared" ref="G10:G14" si="0">E10-D10</f>
        <v>2287.6499999999996</v>
      </c>
      <c r="H10" s="7">
        <f t="shared" ref="H10:H14" si="1">F10-D10</f>
        <v>11965.3</v>
      </c>
      <c r="I10" s="8">
        <v>0.21</v>
      </c>
      <c r="J10" s="8">
        <v>0.06</v>
      </c>
      <c r="K10" s="7">
        <f t="shared" ref="K10:K14" si="2">G10*I10-L10*I10</f>
        <v>329.64371999999992</v>
      </c>
      <c r="L10" s="7">
        <f t="shared" ref="L10:L14" si="3">H10*J10</f>
        <v>717.91799999999989</v>
      </c>
      <c r="M10" s="7">
        <f t="shared" ref="M10:M14" si="4">M9+K10+L10</f>
        <v>715863.7567400001</v>
      </c>
      <c r="N10" s="7">
        <v>0</v>
      </c>
      <c r="O10" s="17"/>
      <c r="P10" s="19"/>
    </row>
    <row r="11" spans="1:16" x14ac:dyDescent="0.2">
      <c r="A11" s="42">
        <v>43191</v>
      </c>
      <c r="C11" s="7">
        <v>4907957</v>
      </c>
      <c r="D11" s="15">
        <v>7390</v>
      </c>
      <c r="E11" s="15">
        <f>9677.65-149.97</f>
        <v>9527.68</v>
      </c>
      <c r="F11" s="15">
        <v>19355.3</v>
      </c>
      <c r="G11" s="7">
        <f t="shared" si="0"/>
        <v>2137.6800000000003</v>
      </c>
      <c r="H11" s="7">
        <f t="shared" si="1"/>
        <v>11965.3</v>
      </c>
      <c r="I11" s="8">
        <v>0.21</v>
      </c>
      <c r="J11" s="8">
        <v>0.05</v>
      </c>
      <c r="K11" s="7">
        <f t="shared" si="2"/>
        <v>323.27715000000006</v>
      </c>
      <c r="L11" s="7">
        <f t="shared" si="3"/>
        <v>598.26499999999999</v>
      </c>
      <c r="M11" s="24">
        <f t="shared" si="4"/>
        <v>716785.29889000009</v>
      </c>
      <c r="N11" s="7">
        <v>0</v>
      </c>
      <c r="O11" s="17"/>
      <c r="P11" s="19"/>
    </row>
    <row r="12" spans="1:16" x14ac:dyDescent="0.2">
      <c r="A12" s="42">
        <v>43221</v>
      </c>
      <c r="C12" s="7">
        <v>4907957</v>
      </c>
      <c r="D12" s="15">
        <v>7390</v>
      </c>
      <c r="E12" s="15">
        <f>9677.65-149.97</f>
        <v>9527.68</v>
      </c>
      <c r="F12" s="15">
        <v>19355.3</v>
      </c>
      <c r="G12" s="7">
        <f t="shared" si="0"/>
        <v>2137.6800000000003</v>
      </c>
      <c r="H12" s="7">
        <f t="shared" si="1"/>
        <v>11965.3</v>
      </c>
      <c r="I12" s="8">
        <v>0.21</v>
      </c>
      <c r="J12" s="8">
        <v>0.05</v>
      </c>
      <c r="K12" s="7">
        <f t="shared" si="2"/>
        <v>323.27715000000006</v>
      </c>
      <c r="L12" s="7">
        <f t="shared" si="3"/>
        <v>598.26499999999999</v>
      </c>
      <c r="M12" s="7">
        <f t="shared" si="4"/>
        <v>717706.84104000009</v>
      </c>
      <c r="N12" s="7">
        <v>0</v>
      </c>
      <c r="O12" s="23"/>
      <c r="P12" s="19"/>
    </row>
    <row r="13" spans="1:16" x14ac:dyDescent="0.2">
      <c r="A13" s="42">
        <v>43252</v>
      </c>
      <c r="C13" s="7">
        <v>4907957</v>
      </c>
      <c r="D13" s="15">
        <v>7390</v>
      </c>
      <c r="E13" s="15">
        <f>9677.65-149.97+1.41</f>
        <v>9529.09</v>
      </c>
      <c r="F13" s="15">
        <v>19355.3</v>
      </c>
      <c r="G13" s="7">
        <f t="shared" si="0"/>
        <v>2139.09</v>
      </c>
      <c r="H13" s="7">
        <f t="shared" si="1"/>
        <v>11965.3</v>
      </c>
      <c r="I13" s="8">
        <v>0.21</v>
      </c>
      <c r="J13" s="8">
        <v>0.05</v>
      </c>
      <c r="K13" s="7">
        <f t="shared" si="2"/>
        <v>323.57325000000003</v>
      </c>
      <c r="L13" s="7">
        <f t="shared" si="3"/>
        <v>598.26499999999999</v>
      </c>
      <c r="M13" s="7">
        <f t="shared" si="4"/>
        <v>718628.67929000012</v>
      </c>
      <c r="N13" s="7">
        <v>0</v>
      </c>
      <c r="O13" s="23"/>
      <c r="P13" s="19"/>
    </row>
    <row r="14" spans="1:16" x14ac:dyDescent="0.2">
      <c r="A14" s="42">
        <v>43282</v>
      </c>
      <c r="C14" s="7">
        <v>4907957</v>
      </c>
      <c r="D14" s="15">
        <v>7390</v>
      </c>
      <c r="E14" s="15">
        <f>9677.65-149.97</f>
        <v>9527.68</v>
      </c>
      <c r="F14" s="15">
        <v>19355.3</v>
      </c>
      <c r="G14" s="7">
        <f t="shared" si="0"/>
        <v>2137.6800000000003</v>
      </c>
      <c r="H14" s="7">
        <f t="shared" si="1"/>
        <v>11965.3</v>
      </c>
      <c r="I14" s="8">
        <v>0.21</v>
      </c>
      <c r="J14" s="8">
        <v>0.05</v>
      </c>
      <c r="K14" s="7">
        <f t="shared" si="2"/>
        <v>323.27715000000006</v>
      </c>
      <c r="L14" s="7">
        <f t="shared" si="3"/>
        <v>598.26499999999999</v>
      </c>
      <c r="M14" s="7">
        <f t="shared" si="4"/>
        <v>719550.22144000011</v>
      </c>
      <c r="N14" s="7">
        <v>0</v>
      </c>
      <c r="O14" s="7"/>
      <c r="P14" s="19"/>
    </row>
    <row r="15" spans="1:16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v>714628</v>
      </c>
    </row>
    <row r="18" spans="1:14" x14ac:dyDescent="0.2">
      <c r="A18" s="42">
        <v>43160</v>
      </c>
      <c r="C18" s="7">
        <v>4907957</v>
      </c>
      <c r="D18" s="15">
        <v>7390</v>
      </c>
      <c r="E18" s="15">
        <v>9677.65</v>
      </c>
      <c r="F18" s="15">
        <v>19355.3</v>
      </c>
      <c r="G18" s="7">
        <f t="shared" ref="G18:G22" si="5">E18-D18</f>
        <v>2287.6499999999996</v>
      </c>
      <c r="H18" s="7">
        <f t="shared" ref="H18:H22" si="6">F18-D18</f>
        <v>11965.3</v>
      </c>
      <c r="I18" s="8">
        <v>0.21</v>
      </c>
      <c r="J18" s="8">
        <v>0.05</v>
      </c>
      <c r="K18" s="7">
        <f t="shared" ref="K18:K22" si="7">G18*I18-L18*I18</f>
        <v>354.77084999999988</v>
      </c>
      <c r="L18" s="7">
        <f t="shared" ref="L18:L22" si="8">H18*J18</f>
        <v>598.26499999999999</v>
      </c>
      <c r="M18" s="7">
        <f t="shared" ref="M18:M22" si="9">M17+K18+L18</f>
        <v>715581.03584999999</v>
      </c>
      <c r="N18" s="7">
        <v>0</v>
      </c>
    </row>
    <row r="19" spans="1:14" x14ac:dyDescent="0.2">
      <c r="A19" s="42">
        <v>43191</v>
      </c>
      <c r="C19" s="7">
        <v>4907957</v>
      </c>
      <c r="D19" s="15">
        <v>7390</v>
      </c>
      <c r="E19" s="15">
        <v>9677.65</v>
      </c>
      <c r="F19" s="15">
        <v>19355.3</v>
      </c>
      <c r="G19" s="7">
        <f t="shared" si="5"/>
        <v>2287.6499999999996</v>
      </c>
      <c r="H19" s="7">
        <f t="shared" si="6"/>
        <v>11965.3</v>
      </c>
      <c r="I19" s="8">
        <v>0.21</v>
      </c>
      <c r="J19" s="8">
        <v>0.05</v>
      </c>
      <c r="K19" s="7">
        <f t="shared" si="7"/>
        <v>354.77084999999988</v>
      </c>
      <c r="L19" s="7">
        <f t="shared" si="8"/>
        <v>598.26499999999999</v>
      </c>
      <c r="M19" s="24">
        <f t="shared" si="9"/>
        <v>716534.07169999997</v>
      </c>
      <c r="N19" s="7">
        <v>0</v>
      </c>
    </row>
    <row r="20" spans="1:14" x14ac:dyDescent="0.2">
      <c r="A20" s="42">
        <v>43221</v>
      </c>
      <c r="C20" s="7">
        <v>4907957</v>
      </c>
      <c r="D20" s="15">
        <v>7390</v>
      </c>
      <c r="E20" s="15">
        <v>9677.65</v>
      </c>
      <c r="F20" s="15">
        <v>19355.3</v>
      </c>
      <c r="G20" s="7">
        <f t="shared" si="5"/>
        <v>2287.6499999999996</v>
      </c>
      <c r="H20" s="7">
        <f t="shared" si="6"/>
        <v>11965.3</v>
      </c>
      <c r="I20" s="8">
        <v>0.21</v>
      </c>
      <c r="J20" s="8">
        <v>0.05</v>
      </c>
      <c r="K20" s="7">
        <f t="shared" si="7"/>
        <v>354.77084999999988</v>
      </c>
      <c r="L20" s="7">
        <f t="shared" si="8"/>
        <v>598.26499999999999</v>
      </c>
      <c r="M20" s="7">
        <f t="shared" si="9"/>
        <v>717487.10754999996</v>
      </c>
      <c r="N20" s="7">
        <v>0</v>
      </c>
    </row>
    <row r="21" spans="1:14" x14ac:dyDescent="0.2">
      <c r="A21" s="42">
        <v>43252</v>
      </c>
      <c r="C21" s="7">
        <v>4907957</v>
      </c>
      <c r="D21" s="15">
        <v>7390</v>
      </c>
      <c r="E21" s="15">
        <v>9677.65</v>
      </c>
      <c r="F21" s="15">
        <v>19355.3</v>
      </c>
      <c r="G21" s="7">
        <f t="shared" si="5"/>
        <v>2287.6499999999996</v>
      </c>
      <c r="H21" s="7">
        <f t="shared" si="6"/>
        <v>11965.3</v>
      </c>
      <c r="I21" s="8">
        <v>0.21</v>
      </c>
      <c r="J21" s="8">
        <v>0.05</v>
      </c>
      <c r="K21" s="7">
        <f t="shared" si="7"/>
        <v>354.77084999999988</v>
      </c>
      <c r="L21" s="7">
        <f t="shared" si="8"/>
        <v>598.26499999999999</v>
      </c>
      <c r="M21" s="7">
        <f t="shared" si="9"/>
        <v>718440.14339999994</v>
      </c>
      <c r="N21" s="7">
        <v>0</v>
      </c>
    </row>
    <row r="22" spans="1:14" x14ac:dyDescent="0.2">
      <c r="A22" s="42">
        <v>43282</v>
      </c>
      <c r="C22" s="7">
        <v>4907957</v>
      </c>
      <c r="D22" s="15">
        <v>7390</v>
      </c>
      <c r="E22" s="15">
        <v>9677.65</v>
      </c>
      <c r="F22" s="15">
        <v>19355.3</v>
      </c>
      <c r="G22" s="7">
        <f t="shared" si="5"/>
        <v>2287.6499999999996</v>
      </c>
      <c r="H22" s="7">
        <f t="shared" si="6"/>
        <v>11965.3</v>
      </c>
      <c r="I22" s="8">
        <v>0.21</v>
      </c>
      <c r="J22" s="8">
        <v>0.05</v>
      </c>
      <c r="K22" s="7">
        <f t="shared" si="7"/>
        <v>354.77084999999988</v>
      </c>
      <c r="L22" s="7">
        <f t="shared" si="8"/>
        <v>598.26499999999999</v>
      </c>
      <c r="M22" s="7">
        <f t="shared" si="9"/>
        <v>719393.17924999993</v>
      </c>
      <c r="N22" s="7">
        <v>0</v>
      </c>
    </row>
    <row r="23" spans="1:14" x14ac:dyDescent="0.2">
      <c r="A23" s="42"/>
      <c r="C23" s="7"/>
      <c r="D23" s="15"/>
      <c r="E23" s="15"/>
      <c r="F23" s="15"/>
      <c r="G23" s="7"/>
      <c r="H23" s="7"/>
      <c r="I23" s="8"/>
      <c r="J23" s="8"/>
      <c r="K23" s="7"/>
      <c r="L23" s="7"/>
      <c r="M23" s="7"/>
      <c r="N23" s="7"/>
    </row>
    <row r="24" spans="1:14" x14ac:dyDescent="0.2">
      <c r="A24" s="42">
        <v>43313</v>
      </c>
      <c r="C24" s="7">
        <v>4911253</v>
      </c>
      <c r="D24" s="15">
        <v>7390</v>
      </c>
      <c r="E24" s="15">
        <v>9677.65</v>
      </c>
      <c r="F24" s="15">
        <v>19355.3</v>
      </c>
      <c r="G24" s="7">
        <f t="shared" ref="G24" si="10">E24-D24</f>
        <v>2287.6499999999996</v>
      </c>
      <c r="H24" s="7">
        <f t="shared" ref="H24" si="11">F24-D24</f>
        <v>11965.3</v>
      </c>
      <c r="I24" s="8">
        <v>0.21</v>
      </c>
      <c r="J24" s="8">
        <v>0.05</v>
      </c>
      <c r="K24" s="7">
        <f t="shared" ref="K24" si="12">G24*I24-L24*I24</f>
        <v>354.77084999999988</v>
      </c>
      <c r="L24" s="7">
        <f t="shared" ref="L24" si="13">H24*J24</f>
        <v>598.26499999999999</v>
      </c>
      <c r="M24" s="7">
        <f>M22+K24+L24</f>
        <v>720346.21509999991</v>
      </c>
      <c r="N24" s="7">
        <v>0</v>
      </c>
    </row>
    <row r="25" spans="1:14" x14ac:dyDescent="0.2">
      <c r="A25" s="42"/>
      <c r="C25" s="7"/>
      <c r="D25" s="15"/>
      <c r="E25" s="15"/>
      <c r="F25" s="15"/>
      <c r="G25" s="7"/>
      <c r="H25" s="7"/>
      <c r="I25" s="8"/>
      <c r="J25" s="8"/>
      <c r="K25" s="7"/>
      <c r="L25" s="7"/>
      <c r="M25" s="7"/>
      <c r="N25" s="7"/>
    </row>
    <row r="26" spans="1:14" x14ac:dyDescent="0.2">
      <c r="C26" s="26" t="s">
        <v>48</v>
      </c>
    </row>
    <row r="27" spans="1:14" x14ac:dyDescent="0.2">
      <c r="C27" s="26" t="s">
        <v>31</v>
      </c>
    </row>
    <row r="28" spans="1:14" x14ac:dyDescent="0.2">
      <c r="C28" s="26" t="s">
        <v>56</v>
      </c>
    </row>
    <row r="29" spans="1:14" x14ac:dyDescent="0.2">
      <c r="C29" s="24" t="s">
        <v>32</v>
      </c>
    </row>
    <row r="31" spans="1:14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4" x14ac:dyDescent="0.2">
      <c r="C32" s="7">
        <v>1880068.145</v>
      </c>
      <c r="D32" s="7">
        <v>7390</v>
      </c>
      <c r="E32" s="7">
        <v>9678</v>
      </c>
      <c r="F32" s="7">
        <f>E32-D32</f>
        <v>2288</v>
      </c>
      <c r="G32" s="8">
        <v>0.21</v>
      </c>
      <c r="H32" s="7">
        <f>F32*G32</f>
        <v>480.47999999999996</v>
      </c>
    </row>
    <row r="33" spans="3:8" ht="15" x14ac:dyDescent="0.35">
      <c r="G33" s="34" t="s">
        <v>44</v>
      </c>
      <c r="H33" s="32">
        <f>-H37*0.21</f>
        <v>-125.63249999999999</v>
      </c>
    </row>
    <row r="34" spans="3:8" x14ac:dyDescent="0.2">
      <c r="H34" s="7">
        <f>H32+H33</f>
        <v>354.84749999999997</v>
      </c>
    </row>
    <row r="35" spans="3:8" x14ac:dyDescent="0.2">
      <c r="H35" s="7">
        <f>H34-K24</f>
        <v>7.6650000000086038E-2</v>
      </c>
    </row>
    <row r="36" spans="3:8" x14ac:dyDescent="0.2">
      <c r="C36" s="24" t="s">
        <v>39</v>
      </c>
      <c r="D36" s="27" t="s">
        <v>35</v>
      </c>
      <c r="E36" s="28" t="s">
        <v>40</v>
      </c>
      <c r="F36" s="24" t="s">
        <v>41</v>
      </c>
      <c r="G36" s="30" t="s">
        <v>28</v>
      </c>
      <c r="H36" s="24" t="s">
        <v>42</v>
      </c>
    </row>
    <row r="37" spans="3:8" x14ac:dyDescent="0.2">
      <c r="C37" s="7">
        <v>3760136.29</v>
      </c>
      <c r="D37" s="7">
        <f>D32</f>
        <v>7390</v>
      </c>
      <c r="E37" s="7">
        <v>19355</v>
      </c>
      <c r="F37" s="7">
        <f>E37-D37</f>
        <v>11965</v>
      </c>
      <c r="G37" s="8">
        <v>0.05</v>
      </c>
      <c r="H37" s="7">
        <f>F37*G37</f>
        <v>598.25</v>
      </c>
    </row>
    <row r="38" spans="3:8" x14ac:dyDescent="0.2">
      <c r="H38" s="7">
        <f>H37-L24</f>
        <v>-1.4999999999986358E-2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6 of 12
Williams</oddHead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42"/>
  <sheetViews>
    <sheetView zoomScaleNormal="100" workbookViewId="0">
      <selection activeCell="O11" sqref="O11:O13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7109375" customWidth="1"/>
    <col min="4" max="4" width="14.28515625" bestFit="1" customWidth="1"/>
    <col min="5" max="5" width="16.7109375" customWidth="1"/>
    <col min="6" max="6" width="1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16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875557.00057200016</v>
      </c>
    </row>
    <row r="10" spans="1:16" x14ac:dyDescent="0.2">
      <c r="A10" s="42">
        <v>43160</v>
      </c>
      <c r="C10" s="7">
        <v>4193823</v>
      </c>
      <c r="D10" s="15">
        <v>8033</v>
      </c>
      <c r="E10" s="15">
        <v>8495.4500000000007</v>
      </c>
      <c r="F10" s="15">
        <v>16990.89</v>
      </c>
      <c r="G10" s="7">
        <f t="shared" ref="G10:G14" si="0">E10-D10</f>
        <v>462.45000000000073</v>
      </c>
      <c r="H10" s="7">
        <f t="shared" ref="H10:H14" si="1">F10-D10</f>
        <v>8957.89</v>
      </c>
      <c r="I10" s="8">
        <v>0.21</v>
      </c>
      <c r="J10" s="8">
        <v>0.06</v>
      </c>
      <c r="K10" s="7">
        <f t="shared" ref="K10:K14" si="2">G10*I10-L10*I10</f>
        <v>-15.754913999999843</v>
      </c>
      <c r="L10" s="7">
        <f t="shared" ref="L10:L14" si="3">H10*J10</f>
        <v>537.47339999999997</v>
      </c>
      <c r="M10" s="7">
        <f t="shared" ref="M10:M14" si="4">M9+K10+L10</f>
        <v>876078.71905800013</v>
      </c>
      <c r="N10" s="7">
        <v>0</v>
      </c>
      <c r="O10" s="20"/>
      <c r="P10" s="19"/>
    </row>
    <row r="11" spans="1:16" x14ac:dyDescent="0.2">
      <c r="A11" s="42">
        <v>43191</v>
      </c>
      <c r="C11" s="7">
        <v>4193823</v>
      </c>
      <c r="D11" s="15">
        <v>8033</v>
      </c>
      <c r="E11" s="15">
        <f>8495.45-112.72</f>
        <v>8382.7300000000014</v>
      </c>
      <c r="F11" s="15">
        <v>16990.89</v>
      </c>
      <c r="G11" s="7">
        <f t="shared" si="0"/>
        <v>349.73000000000138</v>
      </c>
      <c r="H11" s="7">
        <f t="shared" si="1"/>
        <v>8957.89</v>
      </c>
      <c r="I11" s="8">
        <v>0.21</v>
      </c>
      <c r="J11" s="8">
        <v>0.05</v>
      </c>
      <c r="K11" s="7">
        <f t="shared" si="2"/>
        <v>-20.614544999999708</v>
      </c>
      <c r="L11" s="7">
        <f t="shared" si="3"/>
        <v>447.89449999999999</v>
      </c>
      <c r="M11" s="7">
        <f t="shared" si="4"/>
        <v>876505.99901300017</v>
      </c>
      <c r="N11" s="7">
        <v>0</v>
      </c>
      <c r="O11" s="21"/>
      <c r="P11" s="19"/>
    </row>
    <row r="12" spans="1:16" x14ac:dyDescent="0.2">
      <c r="A12" s="42">
        <v>43221</v>
      </c>
      <c r="C12" s="7">
        <v>4193823</v>
      </c>
      <c r="D12" s="15">
        <v>8033</v>
      </c>
      <c r="E12" s="15">
        <f>8495.45-112.72</f>
        <v>8382.7300000000014</v>
      </c>
      <c r="F12" s="15">
        <v>16990.89</v>
      </c>
      <c r="G12" s="7">
        <f t="shared" si="0"/>
        <v>349.73000000000138</v>
      </c>
      <c r="H12" s="7">
        <f t="shared" si="1"/>
        <v>8957.89</v>
      </c>
      <c r="I12" s="8">
        <v>0.21</v>
      </c>
      <c r="J12" s="8">
        <v>0.05</v>
      </c>
      <c r="K12" s="7">
        <f t="shared" si="2"/>
        <v>-20.614544999999708</v>
      </c>
      <c r="L12" s="7">
        <f t="shared" si="3"/>
        <v>447.89449999999999</v>
      </c>
      <c r="M12" s="7">
        <f t="shared" si="4"/>
        <v>876933.2789680002</v>
      </c>
      <c r="N12" s="7">
        <v>0</v>
      </c>
      <c r="O12" s="17"/>
      <c r="P12" s="19"/>
    </row>
    <row r="13" spans="1:16" x14ac:dyDescent="0.2">
      <c r="A13" s="42">
        <v>43252</v>
      </c>
      <c r="C13" s="7">
        <v>4193823</v>
      </c>
      <c r="D13" s="15">
        <v>8033</v>
      </c>
      <c r="E13" s="15">
        <f>8495.45-112.72</f>
        <v>8382.7300000000014</v>
      </c>
      <c r="F13" s="15">
        <v>16990.89</v>
      </c>
      <c r="G13" s="7">
        <f t="shared" si="0"/>
        <v>349.73000000000138</v>
      </c>
      <c r="H13" s="7">
        <f t="shared" si="1"/>
        <v>8957.89</v>
      </c>
      <c r="I13" s="8">
        <v>0.21</v>
      </c>
      <c r="J13" s="8">
        <v>0.05</v>
      </c>
      <c r="K13" s="7">
        <f t="shared" si="2"/>
        <v>-20.614544999999708</v>
      </c>
      <c r="L13" s="7">
        <f t="shared" si="3"/>
        <v>447.89449999999999</v>
      </c>
      <c r="M13" s="7">
        <f t="shared" si="4"/>
        <v>877360.55892300024</v>
      </c>
      <c r="N13" s="7">
        <v>0</v>
      </c>
      <c r="O13" s="22"/>
      <c r="P13" s="19"/>
    </row>
    <row r="14" spans="1:16" x14ac:dyDescent="0.2">
      <c r="A14" s="42">
        <v>43282</v>
      </c>
      <c r="C14" s="7">
        <v>4193823</v>
      </c>
      <c r="D14" s="15">
        <v>8033</v>
      </c>
      <c r="E14" s="15">
        <f>8495.45-112.72</f>
        <v>8382.7300000000014</v>
      </c>
      <c r="F14" s="15">
        <v>16990.89</v>
      </c>
      <c r="G14" s="7">
        <f t="shared" si="0"/>
        <v>349.73000000000138</v>
      </c>
      <c r="H14" s="7">
        <f t="shared" si="1"/>
        <v>8957.89</v>
      </c>
      <c r="I14" s="8">
        <v>0.21</v>
      </c>
      <c r="J14" s="8">
        <v>0.05</v>
      </c>
      <c r="K14" s="7">
        <f t="shared" si="2"/>
        <v>-20.614544999999708</v>
      </c>
      <c r="L14" s="7">
        <f t="shared" si="3"/>
        <v>447.89449999999999</v>
      </c>
      <c r="M14" s="7">
        <f t="shared" si="4"/>
        <v>877787.83887800027</v>
      </c>
      <c r="N14" s="7">
        <v>0</v>
      </c>
      <c r="O14" s="22"/>
      <c r="P14" s="19"/>
    </row>
    <row r="15" spans="1:16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v>875416</v>
      </c>
    </row>
    <row r="18" spans="1:14" x14ac:dyDescent="0.2">
      <c r="A18" s="42">
        <v>43160</v>
      </c>
      <c r="C18" s="7">
        <v>4193823</v>
      </c>
      <c r="D18" s="15">
        <v>8033</v>
      </c>
      <c r="E18" s="15">
        <v>8495.4500000000007</v>
      </c>
      <c r="F18" s="15">
        <v>16990.89</v>
      </c>
      <c r="G18" s="7">
        <f t="shared" ref="G18:G22" si="5">E18-D18</f>
        <v>462.45000000000073</v>
      </c>
      <c r="H18" s="7">
        <f t="shared" ref="H18:H22" si="6">F18-D18</f>
        <v>8957.89</v>
      </c>
      <c r="I18" s="8">
        <v>0.21</v>
      </c>
      <c r="J18" s="8">
        <v>0.05</v>
      </c>
      <c r="K18" s="7">
        <f>G18*I18-L18*I18</f>
        <v>3.0566550000001484</v>
      </c>
      <c r="L18" s="7">
        <f t="shared" ref="L18:L22" si="7">H18*J18</f>
        <v>447.89449999999999</v>
      </c>
      <c r="M18" s="7">
        <f t="shared" ref="M18:M22" si="8">M17+K18+L18</f>
        <v>875866.95115500002</v>
      </c>
      <c r="N18" s="7">
        <v>0</v>
      </c>
    </row>
    <row r="19" spans="1:14" x14ac:dyDescent="0.2">
      <c r="A19" s="42">
        <v>43191</v>
      </c>
      <c r="C19" s="7">
        <v>4193823</v>
      </c>
      <c r="D19" s="15">
        <v>8033</v>
      </c>
      <c r="E19" s="15">
        <v>8495.4500000000007</v>
      </c>
      <c r="F19" s="15">
        <v>16990.89</v>
      </c>
      <c r="G19" s="7">
        <f t="shared" si="5"/>
        <v>462.45000000000073</v>
      </c>
      <c r="H19" s="7">
        <f t="shared" si="6"/>
        <v>8957.89</v>
      </c>
      <c r="I19" s="8">
        <v>0.21</v>
      </c>
      <c r="J19" s="8">
        <v>0.05</v>
      </c>
      <c r="K19" s="7">
        <f t="shared" ref="K19:K22" si="9">G19*I19-L19*I19</f>
        <v>3.0566550000001484</v>
      </c>
      <c r="L19" s="7">
        <f t="shared" si="7"/>
        <v>447.89449999999999</v>
      </c>
      <c r="M19" s="7">
        <f t="shared" si="8"/>
        <v>876317.90231000003</v>
      </c>
      <c r="N19" s="7">
        <v>0</v>
      </c>
    </row>
    <row r="20" spans="1:14" x14ac:dyDescent="0.2">
      <c r="A20" s="42">
        <v>43221</v>
      </c>
      <c r="C20" s="7">
        <v>4193823</v>
      </c>
      <c r="D20" s="15">
        <v>8033</v>
      </c>
      <c r="E20" s="15">
        <v>8495.4500000000007</v>
      </c>
      <c r="F20" s="15">
        <v>16990.89</v>
      </c>
      <c r="G20" s="7">
        <f t="shared" si="5"/>
        <v>462.45000000000073</v>
      </c>
      <c r="H20" s="7">
        <f t="shared" si="6"/>
        <v>8957.89</v>
      </c>
      <c r="I20" s="8">
        <v>0.21</v>
      </c>
      <c r="J20" s="8">
        <v>0.05</v>
      </c>
      <c r="K20" s="7">
        <f t="shared" si="9"/>
        <v>3.0566550000001484</v>
      </c>
      <c r="L20" s="7">
        <f t="shared" si="7"/>
        <v>447.89449999999999</v>
      </c>
      <c r="M20" s="7">
        <f t="shared" si="8"/>
        <v>876768.85346500005</v>
      </c>
      <c r="N20" s="7">
        <v>0</v>
      </c>
    </row>
    <row r="21" spans="1:14" x14ac:dyDescent="0.2">
      <c r="A21" s="42">
        <v>43252</v>
      </c>
      <c r="C21" s="7">
        <v>4193823</v>
      </c>
      <c r="D21" s="15">
        <v>8033</v>
      </c>
      <c r="E21" s="15">
        <v>8495.4500000000007</v>
      </c>
      <c r="F21" s="15">
        <v>16990.89</v>
      </c>
      <c r="G21" s="7">
        <f t="shared" si="5"/>
        <v>462.45000000000073</v>
      </c>
      <c r="H21" s="7">
        <f t="shared" si="6"/>
        <v>8957.89</v>
      </c>
      <c r="I21" s="8">
        <v>0.21</v>
      </c>
      <c r="J21" s="8">
        <v>0.05</v>
      </c>
      <c r="K21" s="7">
        <f t="shared" si="9"/>
        <v>3.0566550000001484</v>
      </c>
      <c r="L21" s="7">
        <f t="shared" si="7"/>
        <v>447.89449999999999</v>
      </c>
      <c r="M21" s="7">
        <f t="shared" si="8"/>
        <v>877219.80462000007</v>
      </c>
      <c r="N21" s="7">
        <v>0</v>
      </c>
    </row>
    <row r="22" spans="1:14" x14ac:dyDescent="0.2">
      <c r="A22" s="42">
        <v>43282</v>
      </c>
      <c r="C22" s="7">
        <v>4193823</v>
      </c>
      <c r="D22" s="15">
        <v>8033</v>
      </c>
      <c r="E22" s="15">
        <v>8495.4500000000007</v>
      </c>
      <c r="F22" s="15">
        <v>16990.89</v>
      </c>
      <c r="G22" s="7">
        <f t="shared" si="5"/>
        <v>462.45000000000073</v>
      </c>
      <c r="H22" s="7">
        <f t="shared" si="6"/>
        <v>8957.89</v>
      </c>
      <c r="I22" s="8">
        <v>0.21</v>
      </c>
      <c r="J22" s="8">
        <v>0.05</v>
      </c>
      <c r="K22" s="7">
        <f t="shared" si="9"/>
        <v>3.0566550000001484</v>
      </c>
      <c r="L22" s="7">
        <f t="shared" si="7"/>
        <v>447.89449999999999</v>
      </c>
      <c r="M22" s="7">
        <f t="shared" si="8"/>
        <v>877670.75577500009</v>
      </c>
      <c r="N22" s="7">
        <v>0</v>
      </c>
    </row>
    <row r="23" spans="1:14" x14ac:dyDescent="0.2">
      <c r="A23" s="42"/>
      <c r="C23" s="7"/>
      <c r="D23" s="15"/>
      <c r="E23" s="15"/>
      <c r="F23" s="15"/>
      <c r="G23" s="7"/>
      <c r="H23" s="7"/>
      <c r="I23" s="8"/>
      <c r="J23" s="8"/>
      <c r="K23" s="7"/>
      <c r="L23" s="7"/>
      <c r="M23" s="7"/>
      <c r="N23" s="7"/>
    </row>
    <row r="24" spans="1:14" x14ac:dyDescent="0.2">
      <c r="A24" s="42">
        <v>43313</v>
      </c>
      <c r="C24" s="7">
        <v>4193823</v>
      </c>
      <c r="D24" s="15">
        <v>8033</v>
      </c>
      <c r="E24" s="15">
        <v>8495.4500000000007</v>
      </c>
      <c r="F24" s="15">
        <v>16990.89</v>
      </c>
      <c r="G24" s="7">
        <f t="shared" ref="G24" si="10">E24-D24</f>
        <v>462.45000000000073</v>
      </c>
      <c r="H24" s="7">
        <f t="shared" ref="H24" si="11">F24-D24</f>
        <v>8957.89</v>
      </c>
      <c r="I24" s="8">
        <v>0.21</v>
      </c>
      <c r="J24" s="8">
        <v>0.05</v>
      </c>
      <c r="K24" s="7">
        <f t="shared" ref="K24" si="12">G24*I24-L24*I24</f>
        <v>3.0566550000001484</v>
      </c>
      <c r="L24" s="7">
        <f t="shared" ref="L24" si="13">H24*J24</f>
        <v>447.89449999999999</v>
      </c>
      <c r="M24" s="7">
        <f>M22+K24+L24</f>
        <v>878121.7069300001</v>
      </c>
      <c r="N24" s="7">
        <v>0</v>
      </c>
    </row>
    <row r="25" spans="1:14" x14ac:dyDescent="0.2">
      <c r="A25" s="42"/>
      <c r="C25" s="7"/>
      <c r="D25" s="15"/>
      <c r="E25" s="15"/>
      <c r="F25" s="15"/>
      <c r="G25" s="7"/>
      <c r="H25" s="7"/>
      <c r="I25" s="8"/>
      <c r="J25" s="8"/>
      <c r="K25" s="7"/>
      <c r="L25" s="7"/>
      <c r="M25" s="7"/>
      <c r="N25" s="7"/>
    </row>
    <row r="26" spans="1:14" x14ac:dyDescent="0.2">
      <c r="C26" s="26" t="s">
        <v>50</v>
      </c>
    </row>
    <row r="27" spans="1:14" x14ac:dyDescent="0.2">
      <c r="C27" s="26" t="s">
        <v>31</v>
      </c>
    </row>
    <row r="28" spans="1:14" x14ac:dyDescent="0.2">
      <c r="C28" s="26" t="s">
        <v>56</v>
      </c>
    </row>
    <row r="29" spans="1:14" x14ac:dyDescent="0.2">
      <c r="C29" s="24" t="s">
        <v>32</v>
      </c>
    </row>
    <row r="31" spans="1:14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4" x14ac:dyDescent="0.2">
      <c r="C32" s="7">
        <v>2139710</v>
      </c>
      <c r="D32" s="7">
        <v>8033</v>
      </c>
      <c r="E32" s="7">
        <v>8716</v>
      </c>
      <c r="F32" s="7">
        <f>E32-D32</f>
        <v>683</v>
      </c>
      <c r="G32" s="8">
        <v>0.21</v>
      </c>
      <c r="H32" s="7">
        <f>F32*G32</f>
        <v>143.43</v>
      </c>
    </row>
    <row r="33" spans="3:8" ht="15" x14ac:dyDescent="0.35">
      <c r="C33" s="7">
        <v>-42798.530000000028</v>
      </c>
      <c r="D33" s="7"/>
      <c r="E33" s="32">
        <v>-220</v>
      </c>
      <c r="F33" s="32">
        <f>E33</f>
        <v>-220</v>
      </c>
      <c r="G33" s="8">
        <v>0.21</v>
      </c>
      <c r="H33" s="32">
        <f>F33*G33</f>
        <v>-46.199999999999996</v>
      </c>
    </row>
    <row r="34" spans="3:8" x14ac:dyDescent="0.2">
      <c r="E34" s="7">
        <f>E32+E33</f>
        <v>8496</v>
      </c>
      <c r="F34" s="7">
        <f>F32+F33</f>
        <v>463</v>
      </c>
      <c r="G34" s="34" t="s">
        <v>43</v>
      </c>
      <c r="H34" s="7">
        <f>H32+H33</f>
        <v>97.230000000000018</v>
      </c>
    </row>
    <row r="35" spans="3:8" ht="15" x14ac:dyDescent="0.35">
      <c r="G35" s="34" t="s">
        <v>44</v>
      </c>
      <c r="H35" s="32">
        <f>-H41*0.21</f>
        <v>-94.058999999999997</v>
      </c>
    </row>
    <row r="36" spans="3:8" x14ac:dyDescent="0.2">
      <c r="H36" s="7">
        <f>H34+H35</f>
        <v>3.1710000000000207</v>
      </c>
    </row>
    <row r="37" spans="3:8" x14ac:dyDescent="0.2">
      <c r="H37" s="7">
        <f>H36-K24</f>
        <v>0.11434499999987224</v>
      </c>
    </row>
    <row r="38" spans="3:8" x14ac:dyDescent="0.2">
      <c r="C38" s="24" t="s">
        <v>39</v>
      </c>
      <c r="D38" s="27" t="s">
        <v>35</v>
      </c>
      <c r="E38" s="28" t="s">
        <v>40</v>
      </c>
      <c r="F38" s="24" t="s">
        <v>41</v>
      </c>
      <c r="G38" s="30" t="s">
        <v>28</v>
      </c>
      <c r="H38" s="24" t="s">
        <v>42</v>
      </c>
    </row>
    <row r="39" spans="3:8" x14ac:dyDescent="0.2">
      <c r="C39" s="7">
        <v>4279420</v>
      </c>
      <c r="D39" s="7">
        <f>D32</f>
        <v>8033</v>
      </c>
      <c r="E39" s="7">
        <v>17432</v>
      </c>
      <c r="F39" s="7">
        <f>E39-D39</f>
        <v>9399</v>
      </c>
      <c r="G39" s="8">
        <v>0.05</v>
      </c>
      <c r="H39" s="7">
        <f>F39*G39</f>
        <v>469.95000000000005</v>
      </c>
    </row>
    <row r="40" spans="3:8" ht="15" x14ac:dyDescent="0.35">
      <c r="C40" s="7">
        <v>-85597.060000000056</v>
      </c>
      <c r="D40" s="7"/>
      <c r="E40" s="32">
        <v>-441</v>
      </c>
      <c r="F40" s="32">
        <f>E40</f>
        <v>-441</v>
      </c>
      <c r="G40" s="8">
        <v>0.05</v>
      </c>
      <c r="H40" s="32">
        <f>F40*G40</f>
        <v>-22.05</v>
      </c>
    </row>
    <row r="41" spans="3:8" x14ac:dyDescent="0.2">
      <c r="E41" s="7">
        <f>E39+E40</f>
        <v>16991</v>
      </c>
      <c r="F41" s="7">
        <f>F39+F40</f>
        <v>8958</v>
      </c>
      <c r="H41" s="7">
        <f>H39+H40</f>
        <v>447.90000000000003</v>
      </c>
    </row>
    <row r="42" spans="3:8" x14ac:dyDescent="0.2">
      <c r="H42" s="7">
        <f>H41-L24</f>
        <v>5.5000000000404725E-3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7 of 12
Williams</oddHeader>
  </headerFooter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>
      <selection activeCell="P10" sqref="P10:P13"/>
    </sheetView>
  </sheetViews>
  <sheetFormatPr defaultRowHeight="12.75" x14ac:dyDescent="0.2"/>
  <cols>
    <col min="1" max="1" width="11.28515625" style="3" customWidth="1"/>
    <col min="2" max="2" width="1.7109375" customWidth="1"/>
    <col min="3" max="3" width="14.42578125" customWidth="1"/>
    <col min="4" max="4" width="14.28515625" bestFit="1" customWidth="1"/>
    <col min="5" max="5" width="17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  <col min="17" max="17" width="11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12</v>
      </c>
    </row>
    <row r="6" spans="1:17" x14ac:dyDescent="0.2">
      <c r="A6" s="11" t="s">
        <v>19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19299493.000928</v>
      </c>
    </row>
    <row r="10" spans="1:17" x14ac:dyDescent="0.2">
      <c r="A10" s="42">
        <v>43160</v>
      </c>
      <c r="C10" s="7">
        <v>84655448</v>
      </c>
      <c r="D10" s="15">
        <v>186947</v>
      </c>
      <c r="E10" s="15">
        <f>509983.28+2891.68</f>
        <v>512874.96</v>
      </c>
      <c r="F10" s="15">
        <v>1019966.56</v>
      </c>
      <c r="G10" s="7">
        <f>E10-D10</f>
        <v>325927.96000000002</v>
      </c>
      <c r="H10" s="7">
        <f>F10-D10</f>
        <v>833019.56</v>
      </c>
      <c r="I10" s="8">
        <v>0.21</v>
      </c>
      <c r="J10" s="8">
        <v>0.06</v>
      </c>
      <c r="K10" s="7">
        <f t="shared" ref="K10:K14" si="0">G10*I10-L10*I10</f>
        <v>57948.825144000002</v>
      </c>
      <c r="L10" s="7">
        <f t="shared" ref="L10:L14" si="1">H10*J10</f>
        <v>49981.173600000002</v>
      </c>
      <c r="M10" s="7">
        <f t="shared" ref="M10:M14" si="2">M9+K10+L10</f>
        <v>19407422.999671999</v>
      </c>
      <c r="N10" s="7">
        <v>0</v>
      </c>
      <c r="P10" s="17"/>
      <c r="Q10" s="19"/>
    </row>
    <row r="11" spans="1:17" x14ac:dyDescent="0.2">
      <c r="A11" s="42">
        <v>43191</v>
      </c>
      <c r="C11" s="7">
        <v>84655448</v>
      </c>
      <c r="D11" s="15">
        <v>186947</v>
      </c>
      <c r="E11" s="15">
        <f>509983.28-7556.62</f>
        <v>502426.66000000003</v>
      </c>
      <c r="F11" s="15">
        <v>1019966.56</v>
      </c>
      <c r="G11" s="7">
        <f t="shared" ref="G11:G14" si="3">E11-D11</f>
        <v>315479.66000000003</v>
      </c>
      <c r="H11" s="7">
        <f t="shared" ref="H11:H14" si="4">F11-D11</f>
        <v>833019.56</v>
      </c>
      <c r="I11" s="8">
        <v>0.21</v>
      </c>
      <c r="J11" s="8">
        <v>0.05</v>
      </c>
      <c r="K11" s="7">
        <f t="shared" si="0"/>
        <v>57504.023220000003</v>
      </c>
      <c r="L11" s="7">
        <f t="shared" si="1"/>
        <v>41650.978000000003</v>
      </c>
      <c r="M11" s="7">
        <f t="shared" si="2"/>
        <v>19506578.000891998</v>
      </c>
      <c r="N11" s="7">
        <v>0</v>
      </c>
      <c r="O11" s="7">
        <f>1598189-M12</f>
        <v>-18007544.002111997</v>
      </c>
      <c r="P11" s="17"/>
      <c r="Q11" s="19"/>
    </row>
    <row r="12" spans="1:17" x14ac:dyDescent="0.2">
      <c r="A12" s="42">
        <v>43221</v>
      </c>
      <c r="C12" s="7">
        <v>84655448</v>
      </c>
      <c r="D12" s="15">
        <v>186947</v>
      </c>
      <c r="E12" s="15">
        <f>509983.28-7556.62</f>
        <v>502426.66000000003</v>
      </c>
      <c r="F12" s="15">
        <v>1019966.56</v>
      </c>
      <c r="G12" s="7">
        <f t="shared" si="3"/>
        <v>315479.66000000003</v>
      </c>
      <c r="H12" s="7">
        <f t="shared" si="4"/>
        <v>833019.56</v>
      </c>
      <c r="I12" s="8">
        <v>0.21</v>
      </c>
      <c r="J12" s="8">
        <v>0.05</v>
      </c>
      <c r="K12" s="7">
        <f t="shared" si="0"/>
        <v>57504.023220000003</v>
      </c>
      <c r="L12" s="7">
        <f t="shared" si="1"/>
        <v>41650.978000000003</v>
      </c>
      <c r="M12" s="7">
        <f t="shared" si="2"/>
        <v>19605733.002111997</v>
      </c>
      <c r="N12" s="7">
        <v>0</v>
      </c>
      <c r="O12" s="17">
        <f>+O11/0.389</f>
        <v>-46291886.894889452</v>
      </c>
      <c r="Q12" s="19"/>
    </row>
    <row r="13" spans="1:17" x14ac:dyDescent="0.2">
      <c r="A13" s="42">
        <v>43252</v>
      </c>
      <c r="C13" s="7">
        <v>84655448</v>
      </c>
      <c r="D13" s="15">
        <v>186947</v>
      </c>
      <c r="E13" s="15">
        <f>509983.28-7556.62</f>
        <v>502426.66000000003</v>
      </c>
      <c r="F13" s="15">
        <v>1019966.56</v>
      </c>
      <c r="G13" s="7">
        <f t="shared" si="3"/>
        <v>315479.66000000003</v>
      </c>
      <c r="H13" s="7">
        <f t="shared" si="4"/>
        <v>833019.56</v>
      </c>
      <c r="I13" s="8">
        <v>0.21</v>
      </c>
      <c r="J13" s="8">
        <v>0.05</v>
      </c>
      <c r="K13" s="7">
        <f t="shared" si="0"/>
        <v>57504.023220000003</v>
      </c>
      <c r="L13" s="7">
        <f t="shared" si="1"/>
        <v>41650.978000000003</v>
      </c>
      <c r="M13" s="7">
        <f t="shared" si="2"/>
        <v>19704888.003331997</v>
      </c>
      <c r="N13" s="7">
        <v>0</v>
      </c>
      <c r="O13" s="7">
        <f>1923738-M14</f>
        <v>-17880305.844551995</v>
      </c>
      <c r="Q13" s="19"/>
    </row>
    <row r="14" spans="1:17" x14ac:dyDescent="0.2">
      <c r="A14" s="42">
        <v>43282</v>
      </c>
      <c r="C14" s="7">
        <v>84655448</v>
      </c>
      <c r="D14" s="15">
        <v>186947</v>
      </c>
      <c r="E14" s="15">
        <f>509983.28-7556.62+4</f>
        <v>502430.66000000003</v>
      </c>
      <c r="F14" s="15">
        <v>1019966.56</v>
      </c>
      <c r="G14" s="7">
        <f t="shared" si="3"/>
        <v>315483.66000000003</v>
      </c>
      <c r="H14" s="7">
        <f t="shared" si="4"/>
        <v>833019.56</v>
      </c>
      <c r="I14" s="8">
        <v>0.21</v>
      </c>
      <c r="J14" s="8">
        <v>0.05</v>
      </c>
      <c r="K14" s="7">
        <f t="shared" si="0"/>
        <v>57504.863219999999</v>
      </c>
      <c r="L14" s="7">
        <f t="shared" si="1"/>
        <v>41650.978000000003</v>
      </c>
      <c r="M14" s="7">
        <f t="shared" si="2"/>
        <v>19804043.844551995</v>
      </c>
      <c r="N14" s="7">
        <v>56612.15</v>
      </c>
      <c r="O14" s="17">
        <f>+O13/0.389</f>
        <v>-45964796.515557826</v>
      </c>
      <c r="Q14" s="19"/>
    </row>
    <row r="15" spans="1:17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9" t="e">
        <f>+#REF!/0.389</f>
        <v>#REF!</v>
      </c>
    </row>
    <row r="16" spans="1:17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f>19292408-6</f>
        <v>19292402</v>
      </c>
    </row>
    <row r="18" spans="1:14" x14ac:dyDescent="0.2">
      <c r="A18" s="42">
        <v>43160</v>
      </c>
      <c r="C18" s="7">
        <v>84655448</v>
      </c>
      <c r="D18" s="15">
        <v>186947</v>
      </c>
      <c r="E18" s="15">
        <v>509983</v>
      </c>
      <c r="F18" s="15">
        <v>1019966.56</v>
      </c>
      <c r="G18" s="7">
        <f>E18-D18</f>
        <v>323036</v>
      </c>
      <c r="H18" s="7">
        <f>F18-D18</f>
        <v>833019.56</v>
      </c>
      <c r="I18" s="8">
        <v>0.21</v>
      </c>
      <c r="J18" s="8">
        <v>0.05</v>
      </c>
      <c r="K18" s="7">
        <f t="shared" ref="K18:K22" si="5">G18*I18-L18*I18</f>
        <v>59090.854619999998</v>
      </c>
      <c r="L18" s="7">
        <f t="shared" ref="L18:L22" si="6">H18*J18</f>
        <v>41650.978000000003</v>
      </c>
      <c r="M18" s="7">
        <f t="shared" ref="M18:M22" si="7">M17+K18+L18</f>
        <v>19393143.832619999</v>
      </c>
      <c r="N18" s="7">
        <v>0</v>
      </c>
    </row>
    <row r="19" spans="1:14" x14ac:dyDescent="0.2">
      <c r="A19" s="42">
        <v>43191</v>
      </c>
      <c r="C19" s="7">
        <v>84655448</v>
      </c>
      <c r="D19" s="15">
        <v>186947</v>
      </c>
      <c r="E19" s="15">
        <v>509983</v>
      </c>
      <c r="F19" s="15">
        <v>1019966.56</v>
      </c>
      <c r="G19" s="7">
        <f t="shared" ref="G19:G22" si="8">E19-D19</f>
        <v>323036</v>
      </c>
      <c r="H19" s="7">
        <f t="shared" ref="H19:H22" si="9">F19-D19</f>
        <v>833019.56</v>
      </c>
      <c r="I19" s="8">
        <v>0.21</v>
      </c>
      <c r="J19" s="8">
        <v>0.05</v>
      </c>
      <c r="K19" s="7">
        <f t="shared" si="5"/>
        <v>59090.854619999998</v>
      </c>
      <c r="L19" s="7">
        <f t="shared" si="6"/>
        <v>41650.978000000003</v>
      </c>
      <c r="M19" s="7">
        <f t="shared" si="7"/>
        <v>19493885.665239997</v>
      </c>
      <c r="N19" s="7">
        <v>0</v>
      </c>
    </row>
    <row r="20" spans="1:14" x14ac:dyDescent="0.2">
      <c r="A20" s="42">
        <v>43221</v>
      </c>
      <c r="C20" s="7">
        <v>84655448</v>
      </c>
      <c r="D20" s="15">
        <v>186947</v>
      </c>
      <c r="E20" s="15">
        <v>509983</v>
      </c>
      <c r="F20" s="15">
        <v>1019966.56</v>
      </c>
      <c r="G20" s="7">
        <f t="shared" si="8"/>
        <v>323036</v>
      </c>
      <c r="H20" s="7">
        <f t="shared" si="9"/>
        <v>833019.56</v>
      </c>
      <c r="I20" s="8">
        <v>0.21</v>
      </c>
      <c r="J20" s="8">
        <v>0.05</v>
      </c>
      <c r="K20" s="7">
        <f t="shared" si="5"/>
        <v>59090.854619999998</v>
      </c>
      <c r="L20" s="7">
        <f t="shared" si="6"/>
        <v>41650.978000000003</v>
      </c>
      <c r="M20" s="7">
        <f t="shared" si="7"/>
        <v>19594627.497859996</v>
      </c>
      <c r="N20" s="7">
        <v>0</v>
      </c>
    </row>
    <row r="21" spans="1:14" x14ac:dyDescent="0.2">
      <c r="A21" s="42">
        <v>43252</v>
      </c>
      <c r="C21" s="7">
        <v>84655448</v>
      </c>
      <c r="D21" s="15">
        <v>186947</v>
      </c>
      <c r="E21" s="15">
        <v>509983</v>
      </c>
      <c r="F21" s="15">
        <v>1019966.56</v>
      </c>
      <c r="G21" s="7">
        <f t="shared" si="8"/>
        <v>323036</v>
      </c>
      <c r="H21" s="7">
        <f t="shared" si="9"/>
        <v>833019.56</v>
      </c>
      <c r="I21" s="8">
        <v>0.21</v>
      </c>
      <c r="J21" s="8">
        <v>0.05</v>
      </c>
      <c r="K21" s="7">
        <f t="shared" si="5"/>
        <v>59090.854619999998</v>
      </c>
      <c r="L21" s="7">
        <f t="shared" si="6"/>
        <v>41650.978000000003</v>
      </c>
      <c r="M21" s="7">
        <f t="shared" si="7"/>
        <v>19695369.330479994</v>
      </c>
      <c r="N21" s="7">
        <v>0</v>
      </c>
    </row>
    <row r="22" spans="1:14" x14ac:dyDescent="0.2">
      <c r="A22" s="42">
        <v>43282</v>
      </c>
      <c r="C22" s="7">
        <v>84655448</v>
      </c>
      <c r="D22" s="15">
        <v>186947</v>
      </c>
      <c r="E22" s="15">
        <v>509983</v>
      </c>
      <c r="F22" s="15">
        <v>1019966.56</v>
      </c>
      <c r="G22" s="7">
        <f t="shared" si="8"/>
        <v>323036</v>
      </c>
      <c r="H22" s="7">
        <f t="shared" si="9"/>
        <v>833019.56</v>
      </c>
      <c r="I22" s="8">
        <v>0.21</v>
      </c>
      <c r="J22" s="8">
        <v>0.05</v>
      </c>
      <c r="K22" s="7">
        <f t="shared" si="5"/>
        <v>59090.854619999998</v>
      </c>
      <c r="L22" s="7">
        <f t="shared" si="6"/>
        <v>41650.978000000003</v>
      </c>
      <c r="M22" s="7">
        <f t="shared" si="7"/>
        <v>19796111.163099993</v>
      </c>
      <c r="N22" s="7">
        <v>56612.15</v>
      </c>
    </row>
    <row r="23" spans="1:14" x14ac:dyDescent="0.2">
      <c r="A23" s="42"/>
      <c r="C23" s="7"/>
      <c r="D23" s="15"/>
      <c r="E23" s="15"/>
      <c r="F23" s="15"/>
      <c r="G23" s="7"/>
      <c r="H23" s="7"/>
      <c r="I23" s="8"/>
      <c r="J23" s="8"/>
      <c r="K23" s="7"/>
      <c r="L23" s="7"/>
      <c r="M23" s="7"/>
      <c r="N23" s="7"/>
    </row>
    <row r="24" spans="1:14" x14ac:dyDescent="0.2">
      <c r="A24" s="42">
        <v>43313</v>
      </c>
      <c r="C24" s="7">
        <v>84655448</v>
      </c>
      <c r="D24" s="15">
        <v>186947</v>
      </c>
      <c r="E24" s="15">
        <v>509983</v>
      </c>
      <c r="F24" s="15">
        <v>1019966.56</v>
      </c>
      <c r="G24" s="7">
        <f t="shared" ref="G24" si="10">E24-D24</f>
        <v>323036</v>
      </c>
      <c r="H24" s="7">
        <f t="shared" ref="H24" si="11">F24-D24</f>
        <v>833019.56</v>
      </c>
      <c r="I24" s="8">
        <v>0.21</v>
      </c>
      <c r="J24" s="8">
        <v>0.05</v>
      </c>
      <c r="K24" s="7">
        <f t="shared" ref="K24" si="12">G24*I24-L24*I24</f>
        <v>59090.854619999998</v>
      </c>
      <c r="L24" s="7">
        <f t="shared" ref="L24" si="13">H24*J24</f>
        <v>41650.978000000003</v>
      </c>
      <c r="M24" s="7">
        <f>M22+K24+L24</f>
        <v>19896852.995719992</v>
      </c>
      <c r="N24" s="7">
        <v>56354.43</v>
      </c>
    </row>
    <row r="25" spans="1:14" x14ac:dyDescent="0.2">
      <c r="A25" s="42"/>
      <c r="C25" s="7"/>
      <c r="D25" s="15"/>
      <c r="E25" s="15"/>
      <c r="F25" s="15"/>
      <c r="G25" s="7"/>
      <c r="H25" s="7"/>
      <c r="I25" s="8"/>
      <c r="J25" s="8"/>
      <c r="K25" s="7"/>
      <c r="L25" s="7"/>
      <c r="M25" s="7"/>
      <c r="N25" s="7"/>
    </row>
    <row r="26" spans="1:14" x14ac:dyDescent="0.2">
      <c r="C26" s="26" t="s">
        <v>49</v>
      </c>
    </row>
    <row r="27" spans="1:14" x14ac:dyDescent="0.2">
      <c r="C27" s="26" t="s">
        <v>31</v>
      </c>
    </row>
    <row r="28" spans="1:14" x14ac:dyDescent="0.2">
      <c r="C28" s="26" t="s">
        <v>56</v>
      </c>
    </row>
    <row r="29" spans="1:14" x14ac:dyDescent="0.2">
      <c r="C29" s="24" t="s">
        <v>32</v>
      </c>
    </row>
    <row r="31" spans="1:14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4" x14ac:dyDescent="0.2">
      <c r="C32" s="7">
        <v>17445568.128000002</v>
      </c>
      <c r="D32" s="7">
        <v>186947</v>
      </c>
      <c r="E32" s="7">
        <v>89801</v>
      </c>
      <c r="F32" s="7">
        <f>E32-D32</f>
        <v>-97146</v>
      </c>
      <c r="G32" s="8">
        <v>0.21</v>
      </c>
      <c r="H32" s="7">
        <f>F32*G32</f>
        <v>-20400.66</v>
      </c>
    </row>
    <row r="33" spans="3:8" x14ac:dyDescent="0.2">
      <c r="C33" s="7">
        <v>26168352.191999998</v>
      </c>
      <c r="D33" s="7"/>
      <c r="E33" s="24">
        <v>436139</v>
      </c>
      <c r="F33" s="7">
        <f>E33</f>
        <v>436139</v>
      </c>
      <c r="G33" s="8">
        <v>0.21</v>
      </c>
      <c r="H33" s="41">
        <f>F33*G33</f>
        <v>91589.19</v>
      </c>
    </row>
    <row r="34" spans="3:8" x14ac:dyDescent="0.2">
      <c r="C34" s="7">
        <v>-514479</v>
      </c>
      <c r="D34" s="7"/>
      <c r="E34" s="7">
        <v>-3095</v>
      </c>
      <c r="F34" s="7">
        <f t="shared" ref="F34:F35" si="14">E34</f>
        <v>-3095</v>
      </c>
      <c r="G34" s="8">
        <v>0.21</v>
      </c>
      <c r="H34" s="41">
        <f t="shared" ref="H34:H35" si="15">F34*G34</f>
        <v>-649.94999999999993</v>
      </c>
    </row>
    <row r="35" spans="3:8" ht="15" x14ac:dyDescent="0.35">
      <c r="C35" s="7">
        <v>-771718</v>
      </c>
      <c r="D35" s="7"/>
      <c r="E35" s="32">
        <v>-12862</v>
      </c>
      <c r="F35" s="32">
        <f t="shared" si="14"/>
        <v>-12862</v>
      </c>
      <c r="G35" s="8">
        <v>0.21</v>
      </c>
      <c r="H35" s="32">
        <f t="shared" si="15"/>
        <v>-2701.02</v>
      </c>
    </row>
    <row r="36" spans="3:8" x14ac:dyDescent="0.2">
      <c r="E36" s="19">
        <f>SUM(E32:E35)</f>
        <v>509983</v>
      </c>
      <c r="F36" s="19">
        <f>SUM(F32:F35)</f>
        <v>323036</v>
      </c>
      <c r="G36" s="34" t="s">
        <v>43</v>
      </c>
      <c r="H36" s="19">
        <f>SUM(H32:H35)</f>
        <v>67837.56</v>
      </c>
    </row>
    <row r="37" spans="3:8" ht="15" x14ac:dyDescent="0.35">
      <c r="G37" s="34" t="s">
        <v>44</v>
      </c>
      <c r="H37" s="32">
        <f>-H45*0.21</f>
        <v>-8746.7037672000006</v>
      </c>
    </row>
    <row r="38" spans="3:8" x14ac:dyDescent="0.2">
      <c r="H38" s="7">
        <f>H36+H37</f>
        <v>59090.856232799997</v>
      </c>
    </row>
    <row r="39" spans="3:8" x14ac:dyDescent="0.2">
      <c r="H39" s="24">
        <f>H38-K24</f>
        <v>1.6127999988384545E-3</v>
      </c>
    </row>
    <row r="40" spans="3:8" x14ac:dyDescent="0.2">
      <c r="C40" s="24" t="s">
        <v>39</v>
      </c>
      <c r="D40" s="27" t="s">
        <v>35</v>
      </c>
      <c r="E40" s="28" t="s">
        <v>40</v>
      </c>
      <c r="F40" s="24" t="s">
        <v>41</v>
      </c>
      <c r="G40" s="30" t="s">
        <v>28</v>
      </c>
      <c r="H40" s="24" t="s">
        <v>42</v>
      </c>
    </row>
    <row r="41" spans="3:8" x14ac:dyDescent="0.2">
      <c r="C41" s="7">
        <v>34891136.256000005</v>
      </c>
      <c r="D41" s="7">
        <f>D32</f>
        <v>186947</v>
      </c>
      <c r="E41" s="7">
        <v>179602</v>
      </c>
      <c r="F41" s="7">
        <f>E41-D41</f>
        <v>-7345</v>
      </c>
      <c r="G41" s="8">
        <v>0.05</v>
      </c>
      <c r="H41" s="7">
        <f>F41*G41</f>
        <v>-367.25</v>
      </c>
    </row>
    <row r="42" spans="3:8" x14ac:dyDescent="0.2">
      <c r="C42" s="7">
        <v>52336704.383999996</v>
      </c>
      <c r="D42" s="7"/>
      <c r="E42" s="41">
        <v>872278.40639999986</v>
      </c>
      <c r="F42" s="41">
        <f>E42</f>
        <v>872278.40639999986</v>
      </c>
      <c r="G42" s="51">
        <v>0.05</v>
      </c>
      <c r="H42" s="41">
        <f>F42*G42</f>
        <v>43613.920319999997</v>
      </c>
    </row>
    <row r="43" spans="3:8" x14ac:dyDescent="0.2">
      <c r="C43" s="7">
        <v>-1028957</v>
      </c>
      <c r="D43" s="7"/>
      <c r="E43" s="41">
        <v>-6190</v>
      </c>
      <c r="F43" s="41">
        <f t="shared" ref="F43:F44" si="16">E43</f>
        <v>-6190</v>
      </c>
      <c r="G43" s="51">
        <v>0.05</v>
      </c>
      <c r="H43" s="41">
        <f t="shared" ref="H43:H44" si="17">F43*G43</f>
        <v>-309.5</v>
      </c>
    </row>
    <row r="44" spans="3:8" ht="15" x14ac:dyDescent="0.35">
      <c r="C44" s="7">
        <v>-1543436</v>
      </c>
      <c r="D44" s="7"/>
      <c r="E44" s="32">
        <v>-25724</v>
      </c>
      <c r="F44" s="32">
        <f t="shared" si="16"/>
        <v>-25724</v>
      </c>
      <c r="G44" s="8">
        <v>0.05</v>
      </c>
      <c r="H44" s="32">
        <f t="shared" si="17"/>
        <v>-1286.2</v>
      </c>
    </row>
    <row r="45" spans="3:8" x14ac:dyDescent="0.2">
      <c r="E45" s="7">
        <f>E41+E42+E43+E44</f>
        <v>1019966.4063999997</v>
      </c>
      <c r="F45" s="7">
        <f>F41+F42+F43+F44</f>
        <v>833019.40639999986</v>
      </c>
      <c r="H45" s="7">
        <f>H41+H42+H43+H44</f>
        <v>41650.97032</v>
      </c>
    </row>
    <row r="46" spans="3:8" x14ac:dyDescent="0.2">
      <c r="H46" s="7">
        <f>H45-L24</f>
        <v>-7.6800000024377368E-3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8 of 12
Williams</oddHead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82"/>
  <sheetViews>
    <sheetView zoomScaleNormal="100" workbookViewId="0">
      <selection activeCell="P10" sqref="P10:P13"/>
    </sheetView>
  </sheetViews>
  <sheetFormatPr defaultRowHeight="12.75" x14ac:dyDescent="0.2"/>
  <cols>
    <col min="1" max="1" width="11.28515625" style="3" customWidth="1"/>
    <col min="2" max="2" width="1.7109375" customWidth="1"/>
    <col min="3" max="3" width="13.42578125" customWidth="1"/>
    <col min="4" max="4" width="14.28515625" bestFit="1" customWidth="1"/>
    <col min="5" max="5" width="17.140625" customWidth="1"/>
    <col min="6" max="6" width="16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  <col min="17" max="17" width="12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12</v>
      </c>
    </row>
    <row r="6" spans="1:17" x14ac:dyDescent="0.2">
      <c r="A6" s="11" t="s">
        <v>13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144998515.99963203</v>
      </c>
    </row>
    <row r="10" spans="1:17" x14ac:dyDescent="0.2">
      <c r="A10" s="42">
        <v>43160</v>
      </c>
      <c r="C10" s="7">
        <v>641481666</v>
      </c>
      <c r="D10" s="15">
        <v>1252973</v>
      </c>
      <c r="E10" s="15">
        <f>3139294.88-2.89</f>
        <v>3139291.9899999998</v>
      </c>
      <c r="F10" s="15">
        <v>6242867.79</v>
      </c>
      <c r="G10" s="7">
        <f>E10-D10</f>
        <v>1886318.9899999998</v>
      </c>
      <c r="H10" s="7">
        <f>F10-D10</f>
        <v>4989894.79</v>
      </c>
      <c r="I10" s="8">
        <v>0.21</v>
      </c>
      <c r="J10" s="8">
        <v>0.06</v>
      </c>
      <c r="K10" s="7">
        <f t="shared" ref="K10:K14" si="0">G10*I10-L10*I10</f>
        <v>333254.31354599993</v>
      </c>
      <c r="L10" s="7">
        <f t="shared" ref="L10:L14" si="1">H10*J10</f>
        <v>299393.6874</v>
      </c>
      <c r="M10" s="7">
        <f t="shared" ref="M10:M14" si="2">M9+K10+L10</f>
        <v>145631164.00057805</v>
      </c>
      <c r="N10" s="7">
        <v>0</v>
      </c>
      <c r="P10" s="17"/>
      <c r="Q10" s="19"/>
    </row>
    <row r="11" spans="1:17" x14ac:dyDescent="0.2">
      <c r="A11" s="42">
        <v>43191</v>
      </c>
      <c r="C11" s="7">
        <v>641481666</v>
      </c>
      <c r="D11" s="15">
        <v>1252973</v>
      </c>
      <c r="E11" s="15">
        <f>3139294.88-62573.52</f>
        <v>3076721.36</v>
      </c>
      <c r="F11" s="15">
        <v>6242867.79</v>
      </c>
      <c r="G11" s="7">
        <f t="shared" ref="G11:G14" si="3">E11-D11</f>
        <v>1823748.3599999999</v>
      </c>
      <c r="H11" s="7">
        <f t="shared" ref="H11:H14" si="4">F11-D11</f>
        <v>4989894.79</v>
      </c>
      <c r="I11" s="8">
        <v>0.21</v>
      </c>
      <c r="J11" s="8">
        <v>0.05</v>
      </c>
      <c r="K11" s="7">
        <f t="shared" si="0"/>
        <v>330593.26030499995</v>
      </c>
      <c r="L11" s="7">
        <f t="shared" si="1"/>
        <v>249494.73950000003</v>
      </c>
      <c r="M11" s="7">
        <f t="shared" si="2"/>
        <v>146211252.00038302</v>
      </c>
      <c r="N11" s="7">
        <v>0</v>
      </c>
      <c r="O11" s="7">
        <f>1598189-M12</f>
        <v>-145193151.63018802</v>
      </c>
      <c r="P11" s="17"/>
      <c r="Q11" s="19"/>
    </row>
    <row r="12" spans="1:17" x14ac:dyDescent="0.2">
      <c r="A12" s="42">
        <v>43221</v>
      </c>
      <c r="C12" s="7">
        <v>641481666</v>
      </c>
      <c r="D12" s="15">
        <v>1252973</v>
      </c>
      <c r="E12" s="15">
        <f>3139294.88-62570.52</f>
        <v>3076724.36</v>
      </c>
      <c r="F12" s="15">
        <v>6242867.79</v>
      </c>
      <c r="G12" s="7">
        <f t="shared" si="3"/>
        <v>1823751.3599999999</v>
      </c>
      <c r="H12" s="7">
        <f t="shared" si="4"/>
        <v>4989894.79</v>
      </c>
      <c r="I12" s="8">
        <v>0.21</v>
      </c>
      <c r="J12" s="8">
        <v>0.05</v>
      </c>
      <c r="K12" s="7">
        <f t="shared" si="0"/>
        <v>330593.89030499995</v>
      </c>
      <c r="L12" s="7">
        <f t="shared" si="1"/>
        <v>249494.73950000003</v>
      </c>
      <c r="M12" s="7">
        <f t="shared" si="2"/>
        <v>146791340.63018802</v>
      </c>
      <c r="N12" s="7">
        <v>0</v>
      </c>
      <c r="O12" s="17">
        <f>+O11/0.389</f>
        <v>-373247176.42721856</v>
      </c>
      <c r="Q12" s="19"/>
    </row>
    <row r="13" spans="1:17" x14ac:dyDescent="0.2">
      <c r="A13" s="42">
        <v>43252</v>
      </c>
      <c r="C13" s="7">
        <v>646245978</v>
      </c>
      <c r="D13" s="15">
        <v>1258715</v>
      </c>
      <c r="E13" s="15">
        <f>3190341.08-68416.51</f>
        <v>3121924.5700000003</v>
      </c>
      <c r="F13" s="15">
        <v>6293913.9900000002</v>
      </c>
      <c r="G13" s="7">
        <f t="shared" si="3"/>
        <v>1863209.5700000003</v>
      </c>
      <c r="H13" s="7">
        <f t="shared" si="4"/>
        <v>5035198.99</v>
      </c>
      <c r="I13" s="8">
        <v>0.21</v>
      </c>
      <c r="J13" s="8">
        <v>0.05</v>
      </c>
      <c r="K13" s="7">
        <f t="shared" si="0"/>
        <v>338404.42030500004</v>
      </c>
      <c r="L13" s="7">
        <f t="shared" si="1"/>
        <v>251759.94950000002</v>
      </c>
      <c r="M13" s="7">
        <f t="shared" si="2"/>
        <v>147381504.99999303</v>
      </c>
      <c r="N13" s="7">
        <v>0</v>
      </c>
      <c r="O13" s="7">
        <f>1923738-M14</f>
        <v>-146047929.99999803</v>
      </c>
      <c r="Q13" s="19"/>
    </row>
    <row r="14" spans="1:17" x14ac:dyDescent="0.2">
      <c r="A14" s="42">
        <v>43282</v>
      </c>
      <c r="C14" s="7">
        <v>646245978</v>
      </c>
      <c r="D14" s="15">
        <v>1264457</v>
      </c>
      <c r="E14" s="15">
        <f>3190341.08-61600.99</f>
        <v>3128740.09</v>
      </c>
      <c r="F14" s="15">
        <v>6293913.9900000002</v>
      </c>
      <c r="G14" s="7">
        <f t="shared" si="3"/>
        <v>1864283.0899999999</v>
      </c>
      <c r="H14" s="7">
        <f t="shared" si="4"/>
        <v>5029456.99</v>
      </c>
      <c r="I14" s="8">
        <v>0.21</v>
      </c>
      <c r="J14" s="8">
        <v>0.05</v>
      </c>
      <c r="K14" s="7">
        <f t="shared" si="0"/>
        <v>338690.15050499997</v>
      </c>
      <c r="L14" s="7">
        <f t="shared" si="1"/>
        <v>251472.84950000001</v>
      </c>
      <c r="M14" s="7">
        <f t="shared" si="2"/>
        <v>147971667.99999803</v>
      </c>
      <c r="N14" s="7">
        <v>0</v>
      </c>
      <c r="O14" s="17">
        <f>+O13/0.389</f>
        <v>-375444550.12852961</v>
      </c>
      <c r="Q14" s="19"/>
    </row>
    <row r="15" spans="1:17" x14ac:dyDescent="0.2">
      <c r="A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9" t="e">
        <f>+#REF!/0.389</f>
        <v>#REF!</v>
      </c>
    </row>
    <row r="16" spans="1:17" x14ac:dyDescent="0.2">
      <c r="A16" s="45" t="s">
        <v>55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3" t="s">
        <v>8</v>
      </c>
      <c r="M17" s="10">
        <v>144919676</v>
      </c>
    </row>
    <row r="18" spans="1:14" x14ac:dyDescent="0.2">
      <c r="A18" s="42">
        <v>43160</v>
      </c>
      <c r="C18" s="7">
        <v>641481666</v>
      </c>
      <c r="D18" s="15">
        <v>1252973</v>
      </c>
      <c r="E18" s="15">
        <f>3139295</f>
        <v>3139295</v>
      </c>
      <c r="F18" s="15">
        <v>6242867.79</v>
      </c>
      <c r="G18" s="7">
        <f>E18-D18</f>
        <v>1886322</v>
      </c>
      <c r="H18" s="7">
        <f>F18-D18</f>
        <v>4989894.79</v>
      </c>
      <c r="I18" s="8">
        <v>0.21</v>
      </c>
      <c r="J18" s="8">
        <v>0.05</v>
      </c>
      <c r="K18" s="7">
        <f t="shared" ref="K18:K22" si="5">G18*I18-L18*I18</f>
        <v>343733.724705</v>
      </c>
      <c r="L18" s="7">
        <f t="shared" ref="L18:L22" si="6">H18*J18</f>
        <v>249494.73950000003</v>
      </c>
      <c r="M18" s="7">
        <f t="shared" ref="M18:M22" si="7">M17+K18+L18</f>
        <v>145512904.464205</v>
      </c>
      <c r="N18" s="7">
        <v>0</v>
      </c>
    </row>
    <row r="19" spans="1:14" x14ac:dyDescent="0.2">
      <c r="A19" s="42">
        <v>43191</v>
      </c>
      <c r="C19" s="7">
        <v>641481666</v>
      </c>
      <c r="D19" s="15">
        <v>1252973</v>
      </c>
      <c r="E19" s="15">
        <f t="shared" ref="E19:E20" si="8">3139295</f>
        <v>3139295</v>
      </c>
      <c r="F19" s="15">
        <v>6242867.79</v>
      </c>
      <c r="G19" s="7">
        <f t="shared" ref="G19:G22" si="9">E19-D19</f>
        <v>1886322</v>
      </c>
      <c r="H19" s="7">
        <f t="shared" ref="H19:H22" si="10">F19-D19</f>
        <v>4989894.79</v>
      </c>
      <c r="I19" s="8">
        <v>0.21</v>
      </c>
      <c r="J19" s="8">
        <v>0.05</v>
      </c>
      <c r="K19" s="7">
        <f t="shared" si="5"/>
        <v>343733.724705</v>
      </c>
      <c r="L19" s="7">
        <f t="shared" si="6"/>
        <v>249494.73950000003</v>
      </c>
      <c r="M19" s="7">
        <f t="shared" si="7"/>
        <v>146106132.92840999</v>
      </c>
      <c r="N19" s="7">
        <v>0</v>
      </c>
    </row>
    <row r="20" spans="1:14" x14ac:dyDescent="0.2">
      <c r="A20" s="42">
        <v>43221</v>
      </c>
      <c r="C20" s="7">
        <v>641481666</v>
      </c>
      <c r="D20" s="15">
        <v>1252973</v>
      </c>
      <c r="E20" s="15">
        <f t="shared" si="8"/>
        <v>3139295</v>
      </c>
      <c r="F20" s="15">
        <v>6242867.79</v>
      </c>
      <c r="G20" s="7">
        <f t="shared" si="9"/>
        <v>1886322</v>
      </c>
      <c r="H20" s="7">
        <f t="shared" si="10"/>
        <v>4989894.79</v>
      </c>
      <c r="I20" s="8">
        <v>0.21</v>
      </c>
      <c r="J20" s="8">
        <v>0.05</v>
      </c>
      <c r="K20" s="7">
        <f t="shared" si="5"/>
        <v>343733.724705</v>
      </c>
      <c r="L20" s="7">
        <f t="shared" si="6"/>
        <v>249494.73950000003</v>
      </c>
      <c r="M20" s="7">
        <f t="shared" si="7"/>
        <v>146699361.39261499</v>
      </c>
      <c r="N20" s="7">
        <v>0</v>
      </c>
    </row>
    <row r="21" spans="1:14" x14ac:dyDescent="0.2">
      <c r="A21" s="42">
        <v>43252</v>
      </c>
      <c r="C21" s="7">
        <v>646245978</v>
      </c>
      <c r="D21" s="53">
        <v>1258715.25</v>
      </c>
      <c r="E21" s="53">
        <f>3505125-5852</f>
        <v>3499273</v>
      </c>
      <c r="F21" s="15">
        <v>6293913.9900000002</v>
      </c>
      <c r="G21" s="7">
        <f t="shared" si="9"/>
        <v>2240557.75</v>
      </c>
      <c r="H21" s="7">
        <f t="shared" si="10"/>
        <v>5035198.74</v>
      </c>
      <c r="I21" s="8">
        <v>0.21</v>
      </c>
      <c r="J21" s="8">
        <v>0.05</v>
      </c>
      <c r="K21" s="7">
        <f t="shared" si="5"/>
        <v>417647.54073000001</v>
      </c>
      <c r="L21" s="7">
        <f t="shared" si="6"/>
        <v>251759.93700000003</v>
      </c>
      <c r="M21" s="24">
        <f t="shared" si="7"/>
        <v>147368768.870345</v>
      </c>
      <c r="N21" s="7">
        <v>0</v>
      </c>
    </row>
    <row r="22" spans="1:14" x14ac:dyDescent="0.2">
      <c r="A22" s="42">
        <v>43282</v>
      </c>
      <c r="C22" s="7">
        <v>646245978</v>
      </c>
      <c r="D22" s="53">
        <v>1264457.0900000001</v>
      </c>
      <c r="E22" s="53">
        <f>3505125+975</f>
        <v>3506100</v>
      </c>
      <c r="F22" s="15">
        <v>6293913.9900000002</v>
      </c>
      <c r="G22" s="7">
        <f t="shared" si="9"/>
        <v>2241642.91</v>
      </c>
      <c r="H22" s="7">
        <f t="shared" si="10"/>
        <v>5029456.9000000004</v>
      </c>
      <c r="I22" s="8">
        <v>0.21</v>
      </c>
      <c r="J22" s="8">
        <v>0.05</v>
      </c>
      <c r="K22" s="7">
        <f t="shared" si="5"/>
        <v>417935.71364999999</v>
      </c>
      <c r="L22" s="7">
        <f t="shared" si="6"/>
        <v>251472.84500000003</v>
      </c>
      <c r="M22" s="24">
        <f t="shared" si="7"/>
        <v>148038177.42899498</v>
      </c>
      <c r="N22" s="7">
        <v>0</v>
      </c>
    </row>
    <row r="23" spans="1:14" x14ac:dyDescent="0.2">
      <c r="A23" s="42"/>
      <c r="C23" s="7"/>
      <c r="D23" s="53"/>
      <c r="E23" s="53"/>
      <c r="F23" s="15"/>
      <c r="G23" s="7"/>
      <c r="H23" s="7"/>
      <c r="I23" s="8"/>
      <c r="J23" s="8"/>
      <c r="K23" s="7"/>
      <c r="L23" s="7"/>
      <c r="M23" s="24"/>
      <c r="N23" s="7"/>
    </row>
    <row r="24" spans="1:14" x14ac:dyDescent="0.2">
      <c r="A24" s="42">
        <v>43313</v>
      </c>
      <c r="C24" s="7">
        <v>646245978</v>
      </c>
      <c r="D24" s="53">
        <v>1264457.0900000001</v>
      </c>
      <c r="E24" s="53">
        <f>3505125+975</f>
        <v>3506100</v>
      </c>
      <c r="F24" s="15">
        <v>6293913.9900000002</v>
      </c>
      <c r="G24" s="7">
        <f t="shared" ref="G24" si="11">E24-D24</f>
        <v>2241642.91</v>
      </c>
      <c r="H24" s="7">
        <f t="shared" ref="H24" si="12">F24-D24</f>
        <v>5029456.9000000004</v>
      </c>
      <c r="I24" s="8">
        <v>0.21</v>
      </c>
      <c r="J24" s="8">
        <v>0.05</v>
      </c>
      <c r="K24" s="7">
        <f t="shared" ref="K24" si="13">G24*I24-L24*I24</f>
        <v>417935.71364999999</v>
      </c>
      <c r="L24" s="7">
        <f t="shared" ref="L24" si="14">H24*J24</f>
        <v>251472.84500000003</v>
      </c>
      <c r="M24" s="24">
        <f>M22+K24+L24</f>
        <v>148707585.98764497</v>
      </c>
      <c r="N24" s="7">
        <v>0</v>
      </c>
    </row>
    <row r="25" spans="1:14" x14ac:dyDescent="0.2">
      <c r="A25" s="42"/>
      <c r="C25" s="7"/>
      <c r="D25" s="53"/>
      <c r="E25" s="53"/>
      <c r="F25" s="15"/>
      <c r="G25" s="7"/>
      <c r="H25" s="7"/>
      <c r="I25" s="8"/>
      <c r="J25" s="8"/>
      <c r="K25" s="7"/>
      <c r="L25" s="7"/>
      <c r="M25" s="24"/>
      <c r="N25" s="7"/>
    </row>
    <row r="26" spans="1:14" x14ac:dyDescent="0.2">
      <c r="C26" s="26" t="s">
        <v>51</v>
      </c>
    </row>
    <row r="27" spans="1:14" x14ac:dyDescent="0.2">
      <c r="C27" s="26" t="s">
        <v>31</v>
      </c>
    </row>
    <row r="28" spans="1:14" x14ac:dyDescent="0.2">
      <c r="C28" s="26" t="s">
        <v>56</v>
      </c>
    </row>
    <row r="29" spans="1:14" x14ac:dyDescent="0.2">
      <c r="C29" s="24" t="s">
        <v>32</v>
      </c>
    </row>
    <row r="31" spans="1:14" x14ac:dyDescent="0.2">
      <c r="C31" s="24" t="s">
        <v>34</v>
      </c>
      <c r="D31" s="29" t="s">
        <v>35</v>
      </c>
      <c r="E31" s="28" t="s">
        <v>36</v>
      </c>
      <c r="F31" s="24" t="s">
        <v>37</v>
      </c>
      <c r="G31" s="30" t="s">
        <v>27</v>
      </c>
      <c r="H31" s="24" t="s">
        <v>38</v>
      </c>
    </row>
    <row r="32" spans="1:14" x14ac:dyDescent="0.2">
      <c r="C32" s="7">
        <v>1707678.0000000002</v>
      </c>
      <c r="D32" s="7">
        <v>1264457.0900000001</v>
      </c>
      <c r="E32" s="7">
        <v>7521</v>
      </c>
      <c r="F32" s="7">
        <f>E32-D32</f>
        <v>-1256936.0900000001</v>
      </c>
      <c r="G32" s="8">
        <v>0.21</v>
      </c>
      <c r="H32" s="7">
        <f>F32*G32</f>
        <v>-263956.57890000002</v>
      </c>
    </row>
    <row r="33" spans="3:8" x14ac:dyDescent="0.2">
      <c r="C33" s="7">
        <v>2561517</v>
      </c>
      <c r="E33" s="7">
        <v>30494.25</v>
      </c>
      <c r="F33" s="7">
        <f>E33</f>
        <v>30494.25</v>
      </c>
      <c r="G33" s="8">
        <v>0.21</v>
      </c>
      <c r="H33" s="7">
        <f t="shared" ref="H33:H51" si="15">F33*G33</f>
        <v>6403.7924999999996</v>
      </c>
    </row>
    <row r="34" spans="3:8" x14ac:dyDescent="0.2">
      <c r="C34" s="7">
        <v>30650265</v>
      </c>
      <c r="E34" s="7">
        <v>145921</v>
      </c>
      <c r="F34" s="7">
        <f t="shared" ref="F34:F54" si="16">E34</f>
        <v>145921</v>
      </c>
      <c r="G34" s="8">
        <v>0.21</v>
      </c>
      <c r="H34" s="7">
        <f t="shared" si="15"/>
        <v>30643.41</v>
      </c>
    </row>
    <row r="35" spans="3:8" x14ac:dyDescent="0.2">
      <c r="C35" s="7">
        <v>45975398</v>
      </c>
      <c r="E35" s="7">
        <v>547326.16666666663</v>
      </c>
      <c r="F35" s="7">
        <f t="shared" si="16"/>
        <v>547326.16666666663</v>
      </c>
      <c r="G35" s="8">
        <v>0.21</v>
      </c>
      <c r="H35" s="7">
        <f t="shared" si="15"/>
        <v>114938.49499999998</v>
      </c>
    </row>
    <row r="36" spans="3:8" x14ac:dyDescent="0.2">
      <c r="C36" s="7">
        <v>27464567.032000002</v>
      </c>
      <c r="E36" s="7">
        <v>130754</v>
      </c>
      <c r="F36" s="7">
        <f t="shared" si="16"/>
        <v>130754</v>
      </c>
      <c r="G36" s="8">
        <v>0.21</v>
      </c>
      <c r="H36" s="7">
        <f t="shared" si="15"/>
        <v>27458.34</v>
      </c>
    </row>
    <row r="37" spans="3:8" x14ac:dyDescent="0.2">
      <c r="C37" s="7">
        <v>41196850.548</v>
      </c>
      <c r="E37" s="7">
        <v>490438.69699999999</v>
      </c>
      <c r="F37" s="7">
        <f t="shared" si="16"/>
        <v>490438.69699999999</v>
      </c>
      <c r="G37" s="8">
        <v>0.21</v>
      </c>
      <c r="H37" s="7">
        <f t="shared" si="15"/>
        <v>102992.12637</v>
      </c>
    </row>
    <row r="38" spans="3:8" x14ac:dyDescent="0.2">
      <c r="C38" s="7">
        <v>8604879.8300000001</v>
      </c>
      <c r="E38" s="7">
        <v>44294</v>
      </c>
      <c r="F38" s="7">
        <f t="shared" si="16"/>
        <v>44294</v>
      </c>
      <c r="G38" s="8">
        <v>0.21</v>
      </c>
      <c r="H38" s="7">
        <f t="shared" si="15"/>
        <v>9301.74</v>
      </c>
    </row>
    <row r="39" spans="3:8" x14ac:dyDescent="0.2">
      <c r="C39" s="7">
        <v>3423604.6119999997</v>
      </c>
      <c r="E39" s="7">
        <v>17623</v>
      </c>
      <c r="F39" s="7">
        <f t="shared" si="16"/>
        <v>17623</v>
      </c>
      <c r="G39" s="8">
        <v>0.21</v>
      </c>
      <c r="H39" s="7">
        <f t="shared" si="15"/>
        <v>3700.83</v>
      </c>
    </row>
    <row r="40" spans="3:8" x14ac:dyDescent="0.2">
      <c r="C40" s="7">
        <v>5135406.9179999996</v>
      </c>
      <c r="E40" s="7">
        <v>61135.796642857138</v>
      </c>
      <c r="F40" s="7">
        <f t="shared" si="16"/>
        <v>61135.796642857138</v>
      </c>
      <c r="G40" s="8">
        <v>0.21</v>
      </c>
      <c r="H40" s="7">
        <f t="shared" si="15"/>
        <v>12838.517294999998</v>
      </c>
    </row>
    <row r="41" spans="3:8" x14ac:dyDescent="0.2">
      <c r="C41" s="7">
        <v>16610.338</v>
      </c>
      <c r="E41" s="7">
        <v>85</v>
      </c>
      <c r="F41" s="7">
        <f t="shared" si="16"/>
        <v>85</v>
      </c>
      <c r="G41" s="8">
        <v>0.21</v>
      </c>
      <c r="H41" s="7">
        <f t="shared" si="15"/>
        <v>17.849999999999998</v>
      </c>
    </row>
    <row r="42" spans="3:8" x14ac:dyDescent="0.2">
      <c r="C42" s="7">
        <v>24915.507000000001</v>
      </c>
      <c r="E42" s="7">
        <v>296.61317857142859</v>
      </c>
      <c r="F42" s="7">
        <f t="shared" si="16"/>
        <v>296.61317857142859</v>
      </c>
      <c r="G42" s="8">
        <v>0.21</v>
      </c>
      <c r="H42" s="7">
        <f t="shared" si="15"/>
        <v>62.288767499999999</v>
      </c>
    </row>
    <row r="43" spans="3:8" x14ac:dyDescent="0.2">
      <c r="C43" s="7">
        <v>31061870.714000002</v>
      </c>
      <c r="E43" s="7">
        <v>159891</v>
      </c>
      <c r="F43" s="7">
        <f t="shared" si="16"/>
        <v>159891</v>
      </c>
      <c r="G43" s="8">
        <v>0.21</v>
      </c>
      <c r="H43" s="7">
        <f t="shared" si="15"/>
        <v>33577.11</v>
      </c>
    </row>
    <row r="44" spans="3:8" x14ac:dyDescent="0.2">
      <c r="C44" s="7">
        <v>46592806.070999995</v>
      </c>
      <c r="E44" s="7">
        <v>776546.76784999995</v>
      </c>
      <c r="F44" s="7">
        <f t="shared" si="16"/>
        <v>776546.76784999995</v>
      </c>
      <c r="G44" s="8">
        <v>0.21</v>
      </c>
      <c r="H44" s="7">
        <f t="shared" si="15"/>
        <v>163074.8212485</v>
      </c>
    </row>
    <row r="45" spans="3:8" x14ac:dyDescent="0.2">
      <c r="C45" s="7">
        <v>1219848.1800000002</v>
      </c>
      <c r="E45" s="7">
        <v>6279</v>
      </c>
      <c r="F45" s="7">
        <f t="shared" si="16"/>
        <v>6279</v>
      </c>
      <c r="G45" s="8">
        <v>0.21</v>
      </c>
      <c r="H45" s="7">
        <f t="shared" si="15"/>
        <v>1318.59</v>
      </c>
    </row>
    <row r="46" spans="3:8" x14ac:dyDescent="0.2">
      <c r="C46" s="7">
        <v>2523999.9120000005</v>
      </c>
      <c r="E46" s="7">
        <v>12992</v>
      </c>
      <c r="F46" s="7">
        <f t="shared" si="16"/>
        <v>12992</v>
      </c>
      <c r="G46" s="8">
        <v>0.21</v>
      </c>
      <c r="H46" s="7">
        <f t="shared" si="15"/>
        <v>2728.3199999999997</v>
      </c>
    </row>
    <row r="47" spans="3:8" x14ac:dyDescent="0.2">
      <c r="C47" s="7">
        <v>3785999.8679999998</v>
      </c>
      <c r="E47" s="7">
        <v>45071.426999999996</v>
      </c>
      <c r="F47" s="7">
        <f t="shared" si="16"/>
        <v>45071.426999999996</v>
      </c>
      <c r="G47" s="8">
        <v>0.21</v>
      </c>
      <c r="H47" s="7">
        <f t="shared" si="15"/>
        <v>9464.9996699999992</v>
      </c>
    </row>
    <row r="48" spans="3:8" x14ac:dyDescent="0.2">
      <c r="C48" s="7">
        <v>25974568.388</v>
      </c>
      <c r="E48" s="7">
        <v>133704</v>
      </c>
      <c r="F48" s="7">
        <f t="shared" si="16"/>
        <v>133704</v>
      </c>
      <c r="G48" s="8">
        <v>0.21</v>
      </c>
      <c r="H48" s="7">
        <f t="shared" si="15"/>
        <v>28077.84</v>
      </c>
    </row>
    <row r="49" spans="3:8" x14ac:dyDescent="0.2">
      <c r="C49" s="7">
        <v>38961852.581999995</v>
      </c>
      <c r="E49" s="24">
        <f>463831.578357143+975</f>
        <v>464806.57835714298</v>
      </c>
      <c r="F49" s="7">
        <f t="shared" si="16"/>
        <v>464806.57835714298</v>
      </c>
      <c r="G49" s="8">
        <v>0.21</v>
      </c>
      <c r="H49" s="7">
        <f t="shared" si="15"/>
        <v>97609.381455000024</v>
      </c>
    </row>
    <row r="50" spans="3:8" x14ac:dyDescent="0.2">
      <c r="C50" s="7">
        <v>2779050.4420000003</v>
      </c>
      <c r="E50" s="7">
        <v>15463</v>
      </c>
      <c r="F50" s="7">
        <f t="shared" si="16"/>
        <v>15463</v>
      </c>
      <c r="G50" s="8">
        <v>0.21</v>
      </c>
      <c r="H50" s="7">
        <f t="shared" si="15"/>
        <v>3247.23</v>
      </c>
    </row>
    <row r="51" spans="3:8" x14ac:dyDescent="0.2">
      <c r="C51" s="7">
        <v>4168575.6630000002</v>
      </c>
      <c r="E51" s="41">
        <v>49625.900750000001</v>
      </c>
      <c r="F51" s="41">
        <f t="shared" si="16"/>
        <v>49625.900750000001</v>
      </c>
      <c r="G51" s="51">
        <v>0.21</v>
      </c>
      <c r="H51" s="41">
        <f t="shared" si="15"/>
        <v>10421.439157499999</v>
      </c>
    </row>
    <row r="52" spans="3:8" x14ac:dyDescent="0.2">
      <c r="C52" s="7">
        <v>2382156</v>
      </c>
      <c r="E52" s="41">
        <v>340308</v>
      </c>
      <c r="F52" s="41">
        <f t="shared" si="16"/>
        <v>340308</v>
      </c>
      <c r="G52" s="51">
        <v>0.21</v>
      </c>
      <c r="H52" s="41">
        <f t="shared" ref="H52:H54" si="17">F52*G52</f>
        <v>71464.679999999993</v>
      </c>
    </row>
    <row r="53" spans="3:8" x14ac:dyDescent="0.2">
      <c r="C53" s="7">
        <v>952862</v>
      </c>
      <c r="E53" s="41">
        <v>5105</v>
      </c>
      <c r="F53" s="41">
        <f t="shared" si="16"/>
        <v>5105</v>
      </c>
      <c r="G53" s="51">
        <v>0.21</v>
      </c>
      <c r="H53" s="41">
        <f t="shared" si="17"/>
        <v>1072.05</v>
      </c>
    </row>
    <row r="54" spans="3:8" ht="15" x14ac:dyDescent="0.35">
      <c r="C54" s="7">
        <v>1429294</v>
      </c>
      <c r="E54" s="32">
        <v>20418</v>
      </c>
      <c r="F54" s="32">
        <f t="shared" si="16"/>
        <v>20418</v>
      </c>
      <c r="G54" s="8">
        <v>0.21</v>
      </c>
      <c r="H54" s="32">
        <f t="shared" si="17"/>
        <v>4287.78</v>
      </c>
    </row>
    <row r="55" spans="3:8" x14ac:dyDescent="0.2">
      <c r="E55" s="7">
        <f>SUM(E32:E54)</f>
        <v>3506100.1974452385</v>
      </c>
      <c r="F55" s="7">
        <f>SUM(F32:F54)</f>
        <v>2241643.1074452382</v>
      </c>
      <c r="G55" s="34" t="s">
        <v>43</v>
      </c>
      <c r="H55" s="7">
        <f>SUM(H32:H54)</f>
        <v>470745.05256349995</v>
      </c>
    </row>
    <row r="56" spans="3:8" ht="15" x14ac:dyDescent="0.35">
      <c r="G56" s="34" t="s">
        <v>44</v>
      </c>
      <c r="H56" s="32">
        <f>-H81*0.21</f>
        <v>-52809.301726350008</v>
      </c>
    </row>
    <row r="57" spans="3:8" x14ac:dyDescent="0.2">
      <c r="H57" s="7">
        <f>H55+H56</f>
        <v>417935.75083714991</v>
      </c>
    </row>
    <row r="58" spans="3:8" x14ac:dyDescent="0.2">
      <c r="H58" s="7">
        <f>H57-K24</f>
        <v>3.7187149922829121E-2</v>
      </c>
    </row>
    <row r="59" spans="3:8" x14ac:dyDescent="0.2">
      <c r="C59" s="24" t="s">
        <v>39</v>
      </c>
      <c r="D59" s="27" t="s">
        <v>35</v>
      </c>
      <c r="E59" s="28" t="s">
        <v>40</v>
      </c>
      <c r="F59" s="24" t="s">
        <v>41</v>
      </c>
      <c r="G59" s="30" t="s">
        <v>28</v>
      </c>
      <c r="H59" s="24" t="s">
        <v>42</v>
      </c>
    </row>
    <row r="60" spans="3:8" x14ac:dyDescent="0.2">
      <c r="C60" s="7">
        <v>3645863</v>
      </c>
      <c r="D60" s="7">
        <f>D32</f>
        <v>1264457.0900000001</v>
      </c>
      <c r="E60" s="7">
        <v>14851</v>
      </c>
      <c r="F60" s="7">
        <f>E60-D60</f>
        <v>-1249606.0900000001</v>
      </c>
      <c r="G60" s="8">
        <v>0.05</v>
      </c>
      <c r="H60" s="7">
        <f>F60*G60</f>
        <v>-62480.304500000006</v>
      </c>
    </row>
    <row r="61" spans="3:8" x14ac:dyDescent="0.2">
      <c r="C61" s="7">
        <v>3415356</v>
      </c>
      <c r="E61" s="7">
        <v>15042</v>
      </c>
      <c r="F61" s="7">
        <f t="shared" ref="F61:F80" si="18">E61-D61</f>
        <v>15042</v>
      </c>
      <c r="G61" s="8">
        <v>0.05</v>
      </c>
      <c r="H61" s="7">
        <f t="shared" ref="H61:H78" si="19">F61*G61</f>
        <v>752.1</v>
      </c>
    </row>
    <row r="62" spans="3:8" x14ac:dyDescent="0.2">
      <c r="C62" s="7">
        <v>5123034</v>
      </c>
      <c r="E62" s="7">
        <v>60988.5</v>
      </c>
      <c r="F62" s="7">
        <f t="shared" si="18"/>
        <v>60988.5</v>
      </c>
      <c r="G62" s="8">
        <v>0.05</v>
      </c>
      <c r="H62" s="7">
        <f t="shared" si="19"/>
        <v>3049.4250000000002</v>
      </c>
    </row>
    <row r="63" spans="3:8" x14ac:dyDescent="0.2">
      <c r="C63" s="7">
        <v>61300530.800000004</v>
      </c>
      <c r="E63" s="7">
        <v>291842</v>
      </c>
      <c r="F63" s="7">
        <f t="shared" si="18"/>
        <v>291842</v>
      </c>
      <c r="G63" s="8">
        <v>0.05</v>
      </c>
      <c r="H63" s="7">
        <f t="shared" si="19"/>
        <v>14592.1</v>
      </c>
    </row>
    <row r="64" spans="3:8" x14ac:dyDescent="0.2">
      <c r="C64" s="7">
        <v>91950796.200000003</v>
      </c>
      <c r="E64" s="7">
        <v>1094652.3357142857</v>
      </c>
      <c r="F64" s="7">
        <f t="shared" si="18"/>
        <v>1094652.3357142857</v>
      </c>
      <c r="G64" s="8">
        <v>0.05</v>
      </c>
      <c r="H64" s="7">
        <f t="shared" si="19"/>
        <v>54732.616785714286</v>
      </c>
    </row>
    <row r="65" spans="3:8" x14ac:dyDescent="0.2">
      <c r="C65" s="7">
        <v>54929134.064000003</v>
      </c>
      <c r="E65" s="7">
        <v>261508</v>
      </c>
      <c r="F65" s="7">
        <f t="shared" si="18"/>
        <v>261508</v>
      </c>
      <c r="G65" s="8">
        <v>0.05</v>
      </c>
      <c r="H65" s="7">
        <f t="shared" si="19"/>
        <v>13075.400000000001</v>
      </c>
    </row>
    <row r="66" spans="3:8" x14ac:dyDescent="0.2">
      <c r="C66" s="7">
        <v>82393701.096000001</v>
      </c>
      <c r="E66" s="7">
        <v>980877.39399999997</v>
      </c>
      <c r="F66" s="7">
        <f t="shared" si="18"/>
        <v>980877.39399999997</v>
      </c>
      <c r="G66" s="8">
        <v>0.05</v>
      </c>
      <c r="H66" s="7">
        <f t="shared" si="19"/>
        <v>49043.869700000003</v>
      </c>
    </row>
    <row r="67" spans="3:8" x14ac:dyDescent="0.2">
      <c r="C67" s="7">
        <v>8604879.8300000001</v>
      </c>
      <c r="E67" s="7">
        <v>44294</v>
      </c>
      <c r="F67" s="7">
        <f t="shared" si="18"/>
        <v>44294</v>
      </c>
      <c r="G67" s="8">
        <v>0.05</v>
      </c>
      <c r="H67" s="7">
        <f t="shared" si="19"/>
        <v>2214.7000000000003</v>
      </c>
    </row>
    <row r="68" spans="3:8" x14ac:dyDescent="0.2">
      <c r="C68" s="7">
        <v>6880429.9000000022</v>
      </c>
      <c r="E68" s="7">
        <v>35417</v>
      </c>
      <c r="F68" s="7">
        <f t="shared" si="18"/>
        <v>35417</v>
      </c>
      <c r="G68" s="8">
        <v>0.05</v>
      </c>
      <c r="H68" s="7">
        <f t="shared" si="19"/>
        <v>1770.8500000000001</v>
      </c>
    </row>
    <row r="69" spans="3:8" x14ac:dyDescent="0.2">
      <c r="C69" s="7">
        <v>10320644.850000001</v>
      </c>
      <c r="E69" s="7">
        <v>122864.81964285717</v>
      </c>
      <c r="F69" s="7">
        <f t="shared" si="18"/>
        <v>122864.81964285717</v>
      </c>
      <c r="G69" s="8">
        <v>0.05</v>
      </c>
      <c r="H69" s="7">
        <f t="shared" si="19"/>
        <v>6143.2409821428591</v>
      </c>
    </row>
    <row r="70" spans="3:8" x14ac:dyDescent="0.2">
      <c r="C70" s="7">
        <v>62123741.428000003</v>
      </c>
      <c r="E70" s="7">
        <v>319782</v>
      </c>
      <c r="F70" s="7">
        <f t="shared" si="18"/>
        <v>319782</v>
      </c>
      <c r="G70" s="8">
        <v>0.05</v>
      </c>
      <c r="H70" s="7">
        <f t="shared" si="19"/>
        <v>15989.1</v>
      </c>
    </row>
    <row r="71" spans="3:8" x14ac:dyDescent="0.2">
      <c r="C71" s="7">
        <v>93185612.14199999</v>
      </c>
      <c r="E71" s="7">
        <v>1553093.5356999999</v>
      </c>
      <c r="F71" s="7">
        <f t="shared" si="18"/>
        <v>1553093.5356999999</v>
      </c>
      <c r="G71" s="8">
        <v>0.05</v>
      </c>
      <c r="H71" s="7">
        <f t="shared" si="19"/>
        <v>77654.676785000003</v>
      </c>
    </row>
    <row r="72" spans="3:8" x14ac:dyDescent="0.2">
      <c r="C72" s="7">
        <v>1219848.1800000002</v>
      </c>
      <c r="E72" s="7">
        <v>6279</v>
      </c>
      <c r="F72" s="7">
        <f t="shared" si="18"/>
        <v>6279</v>
      </c>
      <c r="G72" s="8">
        <v>0.05</v>
      </c>
      <c r="H72" s="7">
        <f t="shared" si="19"/>
        <v>313.95000000000005</v>
      </c>
    </row>
    <row r="73" spans="3:8" x14ac:dyDescent="0.2">
      <c r="C73" s="7">
        <v>5047999.824000001</v>
      </c>
      <c r="E73" s="7">
        <v>25985</v>
      </c>
      <c r="F73" s="7">
        <f t="shared" si="18"/>
        <v>25985</v>
      </c>
      <c r="G73" s="8">
        <v>0.05</v>
      </c>
      <c r="H73" s="7">
        <f t="shared" si="19"/>
        <v>1299.25</v>
      </c>
    </row>
    <row r="74" spans="3:8" x14ac:dyDescent="0.2">
      <c r="C74" s="7">
        <v>7571999.7359999996</v>
      </c>
      <c r="E74" s="7">
        <v>90142.853999999992</v>
      </c>
      <c r="F74" s="7">
        <f t="shared" si="18"/>
        <v>90142.853999999992</v>
      </c>
      <c r="G74" s="8">
        <v>0.05</v>
      </c>
      <c r="H74" s="7">
        <f t="shared" si="19"/>
        <v>4507.1426999999994</v>
      </c>
    </row>
    <row r="75" spans="3:8" x14ac:dyDescent="0.2">
      <c r="C75" s="7">
        <v>51949136.776000001</v>
      </c>
      <c r="E75" s="7">
        <v>267408</v>
      </c>
      <c r="F75" s="7">
        <f t="shared" si="18"/>
        <v>267408</v>
      </c>
      <c r="G75" s="8">
        <v>0.05</v>
      </c>
      <c r="H75" s="7">
        <f t="shared" si="19"/>
        <v>13370.400000000001</v>
      </c>
    </row>
    <row r="76" spans="3:8" x14ac:dyDescent="0.2">
      <c r="C76" s="7">
        <v>77923705.16399999</v>
      </c>
      <c r="E76" s="7">
        <v>927663.15671428561</v>
      </c>
      <c r="F76" s="7">
        <f t="shared" si="18"/>
        <v>927663.15671428561</v>
      </c>
      <c r="G76" s="8">
        <v>0.05</v>
      </c>
      <c r="H76" s="7">
        <f t="shared" si="19"/>
        <v>46383.157835714286</v>
      </c>
    </row>
    <row r="77" spans="3:8" x14ac:dyDescent="0.2">
      <c r="C77" s="7">
        <v>5558100.8840000005</v>
      </c>
      <c r="E77" s="7">
        <v>30926</v>
      </c>
      <c r="F77" s="41">
        <f t="shared" si="18"/>
        <v>30926</v>
      </c>
      <c r="G77" s="8">
        <v>0.05</v>
      </c>
      <c r="H77" s="7">
        <f t="shared" si="19"/>
        <v>1546.3000000000002</v>
      </c>
    </row>
    <row r="78" spans="3:8" x14ac:dyDescent="0.2">
      <c r="C78" s="7">
        <v>8337151.3260000004</v>
      </c>
      <c r="E78" s="41">
        <v>99251.801500000001</v>
      </c>
      <c r="F78" s="41">
        <f t="shared" si="18"/>
        <v>99251.801500000001</v>
      </c>
      <c r="G78" s="51">
        <v>0.05</v>
      </c>
      <c r="H78" s="41">
        <f t="shared" si="19"/>
        <v>4962.5900750000001</v>
      </c>
    </row>
    <row r="79" spans="3:8" x14ac:dyDescent="0.2">
      <c r="C79" s="7">
        <v>1905725</v>
      </c>
      <c r="E79" s="41">
        <v>10209</v>
      </c>
      <c r="F79" s="41">
        <f t="shared" si="18"/>
        <v>10209</v>
      </c>
      <c r="G79" s="51">
        <v>0.05</v>
      </c>
      <c r="H79" s="41">
        <f t="shared" ref="H79:H80" si="20">F79*G79</f>
        <v>510.45000000000005</v>
      </c>
    </row>
    <row r="80" spans="3:8" ht="15" x14ac:dyDescent="0.35">
      <c r="C80" s="7">
        <v>2858587</v>
      </c>
      <c r="E80" s="32">
        <v>40837</v>
      </c>
      <c r="F80" s="32">
        <f t="shared" si="18"/>
        <v>40837</v>
      </c>
      <c r="G80" s="8">
        <v>0.05</v>
      </c>
      <c r="H80" s="32">
        <f t="shared" si="20"/>
        <v>2041.8500000000001</v>
      </c>
    </row>
    <row r="81" spans="5:8" x14ac:dyDescent="0.2">
      <c r="E81" s="7">
        <f>SUM(E60:E80)</f>
        <v>6293914.3972714292</v>
      </c>
      <c r="F81" s="7">
        <f>SUM(F60:F80)</f>
        <v>5029457.3072714284</v>
      </c>
      <c r="H81" s="7">
        <f>SUM(H60:H80)</f>
        <v>251472.86536357147</v>
      </c>
    </row>
    <row r="82" spans="5:8" x14ac:dyDescent="0.2">
      <c r="H82" s="7">
        <f>H81-L24</f>
        <v>2.0363571442430839E-2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9 of 12
Williams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Project 28</vt:lpstr>
      <vt:lpstr>Project 29</vt:lpstr>
      <vt:lpstr>Project 29_2011 Plan</vt:lpstr>
      <vt:lpstr>Project 30</vt:lpstr>
      <vt:lpstr>Project 31</vt:lpstr>
      <vt:lpstr>Project 32</vt:lpstr>
      <vt:lpstr>Project 33</vt:lpstr>
      <vt:lpstr>Project 34</vt:lpstr>
      <vt:lpstr>Project 35</vt:lpstr>
      <vt:lpstr>Project 37</vt:lpstr>
      <vt:lpstr>Project 38</vt:lpstr>
      <vt:lpstr>Project 41</vt:lpstr>
      <vt:lpstr>'Project 28'!Print_Area</vt:lpstr>
      <vt:lpstr>'Project 29'!Print_Area</vt:lpstr>
      <vt:lpstr>'Project 29_2011 Plan'!Print_Area</vt:lpstr>
      <vt:lpstr>'Project 30'!Print_Area</vt:lpstr>
      <vt:lpstr>'Project 31'!Print_Area</vt:lpstr>
      <vt:lpstr>'Project 32'!Print_Area</vt:lpstr>
      <vt:lpstr>'Project 33'!Print_Area</vt:lpstr>
      <vt:lpstr>'Project 34'!Print_Area</vt:lpstr>
      <vt:lpstr>'Project 35'!Print_Area</vt:lpstr>
      <vt:lpstr>'Project 37'!Print_Area</vt:lpstr>
      <vt:lpstr>'Project 38'!Print_Area</vt:lpstr>
      <vt:lpstr>'Project 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2019-03-04T17:58:16Z</dcterms:created>
  <dcterms:modified xsi:type="dcterms:W3CDTF">2019-03-04T17:58:23Z</dcterms:modified>
</cp:coreProperties>
</file>