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R:\KY\2018 Water Rate Case\Exhibits\Taxes\"/>
    </mc:Choice>
  </mc:AlternateContent>
  <bookViews>
    <workbookView xWindow="0" yWindow="0" windowWidth="28800" windowHeight="12300" tabRatio="903" activeTab="2"/>
  </bookViews>
  <sheets>
    <sheet name="Link In" sheetId="1" r:id="rId1"/>
    <sheet name="Link Out" sheetId="2" r:id="rId2"/>
    <sheet name="Exhibit" sheetId="3" r:id="rId3"/>
    <sheet name="Summary by Account" sheetId="5" r:id="rId4"/>
    <sheet name="Notes" sheetId="4" r:id="rId5"/>
    <sheet name="E-1.1 Federal Inc Tax Base" sheetId="6" r:id="rId6"/>
    <sheet name="E-1.2 State Inc Tax Base" sheetId="7" r:id="rId7"/>
    <sheet name="E-1.3 Federal Inc Tax Forecast" sheetId="8" r:id="rId8"/>
    <sheet name="E-1.4 State Inc Tax Forecast" sheetId="9" r:id="rId9"/>
    <sheet name="E-1.5 Summary of Income Tax Adj" sheetId="10" r:id="rId10"/>
    <sheet name="E-2 Jurisdictional Income Taxes"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_xlnm.Print_Area" localSheetId="5">'E-1.1 Federal Inc Tax Base'!$A$1:$L$79</definedName>
    <definedName name="_xlnm.Print_Area" localSheetId="6">'E-1.2 State Inc Tax Base'!$A$1:$L$76</definedName>
    <definedName name="_xlnm.Print_Area" localSheetId="7">'E-1.3 Federal Inc Tax Forecast'!$A$1:$L$73</definedName>
    <definedName name="_xlnm.Print_Area" localSheetId="8">'E-1.4 State Inc Tax Forecast'!$A$1:$L$70</definedName>
    <definedName name="_xlnm.Print_Area" localSheetId="9">'E-1.5 Summary of Income Tax Adj'!$A$1:$N$38</definedName>
    <definedName name="_xlnm.Print_Area" localSheetId="10">'E-2 Jurisdictional Income Taxes'!$A$1:$O$23</definedName>
    <definedName name="_xlnm.Print_Area" localSheetId="2">Exhibit!$A$1:$M$26</definedName>
    <definedName name="_xlnm.Print_Area" localSheetId="0">'Link In'!$A$1:$L$265</definedName>
    <definedName name="_xlnm.Print_Area" localSheetId="1">'Link Out'!$A$1:$M$33</definedName>
    <definedName name="_xlnm.Print_Area" localSheetId="3">'Summary by Account'!$A$1:$O$33</definedName>
  </definedNames>
  <calcPr calcId="162913" iterate="1"/>
</workbook>
</file>

<file path=xl/calcChain.xml><?xml version="1.0" encoding="utf-8"?>
<calcChain xmlns="http://schemas.openxmlformats.org/spreadsheetml/2006/main">
  <c r="C141" i="1" l="1"/>
  <c r="B149" i="1"/>
  <c r="E33" i="2" l="1"/>
  <c r="E32" i="2"/>
  <c r="K2" i="6" l="1"/>
  <c r="K2" i="7"/>
  <c r="K2" i="8"/>
  <c r="G33" i="2" s="1"/>
  <c r="K2" i="9"/>
  <c r="G32" i="2" s="1"/>
  <c r="O2" i="11"/>
  <c r="A24" i="1" l="1"/>
  <c r="A28" i="1"/>
  <c r="C116" i="1" l="1"/>
  <c r="B118" i="1" l="1"/>
  <c r="B117" i="1"/>
  <c r="C118" i="1"/>
  <c r="C117" i="1"/>
  <c r="C138" i="1" l="1"/>
  <c r="B204" i="1"/>
  <c r="B205" i="1" l="1"/>
  <c r="I34" i="7" l="1"/>
  <c r="B187" i="1" l="1"/>
  <c r="D187" i="1"/>
  <c r="D186" i="1"/>
  <c r="B186" i="1" l="1"/>
  <c r="G66" i="8"/>
  <c r="G29" i="8" s="1"/>
  <c r="H265" i="1"/>
  <c r="G68" i="8" s="1"/>
  <c r="H258" i="1"/>
  <c r="G65" i="9" s="1"/>
  <c r="G28" i="9" s="1"/>
  <c r="H257" i="1"/>
  <c r="C265" i="1" l="1"/>
  <c r="B265" i="1" l="1"/>
  <c r="I245" i="1"/>
  <c r="H245" i="1"/>
  <c r="G245" i="1"/>
  <c r="L19" i="5" l="1"/>
  <c r="L16" i="5"/>
  <c r="B53" i="1" l="1"/>
  <c r="A19" i="1" l="1"/>
  <c r="M2" i="3" l="1"/>
  <c r="C264" i="1" l="1"/>
  <c r="B264" i="1"/>
  <c r="K118" i="1"/>
  <c r="K117" i="1"/>
  <c r="K116" i="1"/>
  <c r="J118" i="1"/>
  <c r="J117" i="1"/>
  <c r="J116" i="1"/>
  <c r="F118" i="1"/>
  <c r="F117" i="1"/>
  <c r="F116" i="1"/>
  <c r="E118" i="1"/>
  <c r="E117" i="1"/>
  <c r="E116" i="1"/>
  <c r="C134" i="1" l="1"/>
  <c r="D132" i="1" l="1"/>
  <c r="B132" i="1"/>
  <c r="B227" i="1" l="1"/>
  <c r="A36" i="1" l="1"/>
  <c r="K9" i="9" l="1"/>
  <c r="K9" i="11"/>
  <c r="M9" i="10"/>
  <c r="K9" i="8"/>
  <c r="K9" i="7"/>
  <c r="L1" i="4"/>
  <c r="M1" i="3"/>
  <c r="A29" i="2"/>
  <c r="N1" i="5"/>
  <c r="K9" i="6"/>
  <c r="A33" i="1" l="1"/>
  <c r="AN79" i="1" l="1"/>
  <c r="AL79" i="1"/>
  <c r="AJ79" i="1"/>
  <c r="AH79" i="1"/>
  <c r="AF79" i="1"/>
  <c r="AD79" i="1"/>
  <c r="AB79" i="1"/>
  <c r="Z79" i="1"/>
  <c r="X79" i="1"/>
  <c r="V79" i="1"/>
  <c r="T79" i="1"/>
  <c r="R79" i="1"/>
  <c r="P79" i="1"/>
  <c r="O79" i="1"/>
  <c r="N79" i="1"/>
  <c r="L79" i="1"/>
  <c r="K79" i="1"/>
  <c r="AN78" i="1"/>
  <c r="AL78" i="1"/>
  <c r="AJ78" i="1"/>
  <c r="AH78" i="1"/>
  <c r="AF78" i="1"/>
  <c r="AD78" i="1"/>
  <c r="AB78" i="1"/>
  <c r="Z78" i="1"/>
  <c r="X78" i="1"/>
  <c r="V78" i="1"/>
  <c r="T78" i="1"/>
  <c r="R78" i="1"/>
  <c r="P78" i="1"/>
  <c r="O78" i="1"/>
  <c r="N78" i="1"/>
  <c r="L78" i="1"/>
  <c r="K78" i="1"/>
  <c r="AN77" i="1"/>
  <c r="AL77" i="1"/>
  <c r="AJ77" i="1"/>
  <c r="AH77" i="1"/>
  <c r="AF77" i="1"/>
  <c r="AD77" i="1"/>
  <c r="AB77" i="1"/>
  <c r="Z77" i="1"/>
  <c r="X77" i="1"/>
  <c r="V77" i="1"/>
  <c r="T77" i="1"/>
  <c r="R77" i="1"/>
  <c r="P77" i="1"/>
  <c r="O77" i="1"/>
  <c r="N77" i="1"/>
  <c r="L77" i="1"/>
  <c r="K77" i="1"/>
  <c r="AN76" i="1"/>
  <c r="AL76" i="1"/>
  <c r="AJ76" i="1"/>
  <c r="AH76" i="1"/>
  <c r="AF76" i="1"/>
  <c r="AD76" i="1"/>
  <c r="AB76" i="1"/>
  <c r="Z76" i="1"/>
  <c r="X76" i="1"/>
  <c r="V76" i="1"/>
  <c r="T76" i="1"/>
  <c r="R76" i="1"/>
  <c r="P76" i="1"/>
  <c r="O76" i="1"/>
  <c r="N76" i="1"/>
  <c r="L76" i="1"/>
  <c r="K76" i="1"/>
  <c r="AN75" i="1"/>
  <c r="AL75" i="1"/>
  <c r="AJ75" i="1"/>
  <c r="AH75" i="1"/>
  <c r="AF75" i="1"/>
  <c r="AD75" i="1"/>
  <c r="AB75" i="1"/>
  <c r="Z75" i="1"/>
  <c r="X75" i="1"/>
  <c r="V75" i="1"/>
  <c r="T75" i="1"/>
  <c r="R75" i="1"/>
  <c r="P75" i="1"/>
  <c r="O75" i="1"/>
  <c r="N75" i="1"/>
  <c r="L75" i="1"/>
  <c r="K75" i="1"/>
  <c r="AN74" i="1"/>
  <c r="AL74" i="1"/>
  <c r="AJ74" i="1"/>
  <c r="AH74" i="1"/>
  <c r="AF74" i="1"/>
  <c r="AD74" i="1"/>
  <c r="AB74" i="1"/>
  <c r="Z74" i="1"/>
  <c r="X74" i="1"/>
  <c r="V74" i="1"/>
  <c r="T74" i="1"/>
  <c r="R74" i="1"/>
  <c r="P74" i="1"/>
  <c r="O74" i="1"/>
  <c r="N74" i="1"/>
  <c r="L74" i="1"/>
  <c r="K74" i="1"/>
  <c r="AN73" i="1"/>
  <c r="AL73" i="1"/>
  <c r="AJ73" i="1"/>
  <c r="AH73" i="1"/>
  <c r="AF73" i="1"/>
  <c r="AD73" i="1"/>
  <c r="AB73" i="1"/>
  <c r="Z73" i="1"/>
  <c r="X73" i="1"/>
  <c r="V73" i="1"/>
  <c r="T73" i="1"/>
  <c r="R73" i="1"/>
  <c r="P73" i="1"/>
  <c r="O73" i="1"/>
  <c r="N73" i="1"/>
  <c r="L73" i="1"/>
  <c r="K73" i="1"/>
  <c r="AN72" i="1"/>
  <c r="AL72" i="1"/>
  <c r="AJ72" i="1"/>
  <c r="AH72" i="1"/>
  <c r="AF72" i="1"/>
  <c r="AD72" i="1"/>
  <c r="AB72" i="1"/>
  <c r="Z72" i="1"/>
  <c r="X72" i="1"/>
  <c r="V72" i="1"/>
  <c r="T72" i="1"/>
  <c r="R72" i="1"/>
  <c r="P72" i="1"/>
  <c r="O72" i="1"/>
  <c r="N72" i="1"/>
  <c r="L72" i="1"/>
  <c r="K72" i="1"/>
  <c r="AN71" i="1"/>
  <c r="AL71" i="1"/>
  <c r="AJ71" i="1"/>
  <c r="AH71" i="1"/>
  <c r="AF71" i="1"/>
  <c r="AD71" i="1"/>
  <c r="AB71" i="1"/>
  <c r="Z71" i="1"/>
  <c r="X71" i="1"/>
  <c r="V71" i="1"/>
  <c r="T71" i="1"/>
  <c r="R71" i="1"/>
  <c r="P71" i="1"/>
  <c r="O71" i="1"/>
  <c r="N71" i="1"/>
  <c r="L71" i="1"/>
  <c r="K71" i="1"/>
  <c r="AN70" i="1"/>
  <c r="AL70" i="1"/>
  <c r="AJ70" i="1"/>
  <c r="AH70" i="1"/>
  <c r="AF70" i="1"/>
  <c r="AD70" i="1"/>
  <c r="AB70" i="1"/>
  <c r="Z70" i="1"/>
  <c r="X70" i="1"/>
  <c r="V70" i="1"/>
  <c r="T70" i="1"/>
  <c r="R70" i="1"/>
  <c r="P70" i="1"/>
  <c r="O70" i="1"/>
  <c r="N70" i="1"/>
  <c r="L70" i="1"/>
  <c r="K70" i="1"/>
  <c r="AN69" i="1"/>
  <c r="AL69" i="1"/>
  <c r="AJ69" i="1"/>
  <c r="AH69" i="1"/>
  <c r="AF69" i="1"/>
  <c r="AD69" i="1"/>
  <c r="AB69" i="1"/>
  <c r="Z69" i="1"/>
  <c r="X69" i="1"/>
  <c r="V69" i="1"/>
  <c r="T69" i="1"/>
  <c r="R69" i="1"/>
  <c r="P69" i="1"/>
  <c r="O69" i="1"/>
  <c r="N69" i="1"/>
  <c r="L69" i="1"/>
  <c r="K69" i="1"/>
  <c r="AN68" i="1"/>
  <c r="AL68" i="1"/>
  <c r="AJ68" i="1"/>
  <c r="AH68" i="1"/>
  <c r="AF68" i="1"/>
  <c r="AD68" i="1"/>
  <c r="AB68" i="1"/>
  <c r="Z68" i="1"/>
  <c r="X68" i="1"/>
  <c r="V68" i="1"/>
  <c r="T68" i="1"/>
  <c r="R68" i="1"/>
  <c r="P68" i="1"/>
  <c r="O68" i="1"/>
  <c r="N68" i="1"/>
  <c r="L68" i="1"/>
  <c r="K68" i="1"/>
  <c r="AN67" i="1"/>
  <c r="AL67" i="1"/>
  <c r="AJ67" i="1"/>
  <c r="AH67" i="1"/>
  <c r="AF67" i="1"/>
  <c r="AD67" i="1"/>
  <c r="AB67" i="1"/>
  <c r="Z67" i="1"/>
  <c r="X67" i="1"/>
  <c r="V67" i="1"/>
  <c r="T67" i="1"/>
  <c r="R67" i="1"/>
  <c r="P67" i="1"/>
  <c r="O67" i="1"/>
  <c r="N67" i="1"/>
  <c r="L67" i="1"/>
  <c r="K67" i="1"/>
  <c r="AN43" i="1"/>
  <c r="AN44" i="1"/>
  <c r="AN45" i="1"/>
  <c r="AN46" i="1"/>
  <c r="AN47" i="1"/>
  <c r="AN48" i="1"/>
  <c r="AN49" i="1"/>
  <c r="AN42" i="1"/>
  <c r="AL43" i="1"/>
  <c r="AL44" i="1"/>
  <c r="AL45" i="1"/>
  <c r="AL46" i="1"/>
  <c r="AL47" i="1"/>
  <c r="AL48" i="1"/>
  <c r="AL49" i="1"/>
  <c r="AL42" i="1"/>
  <c r="AJ43" i="1"/>
  <c r="AJ44" i="1"/>
  <c r="AJ45" i="1"/>
  <c r="AJ46" i="1"/>
  <c r="AJ47" i="1"/>
  <c r="AJ48" i="1"/>
  <c r="AJ49" i="1"/>
  <c r="AJ42" i="1"/>
  <c r="AH43" i="1"/>
  <c r="AH44" i="1"/>
  <c r="AH45" i="1"/>
  <c r="AH46" i="1"/>
  <c r="AH47" i="1"/>
  <c r="AH48" i="1"/>
  <c r="AH49" i="1"/>
  <c r="AH42" i="1"/>
  <c r="AF43" i="1"/>
  <c r="AF44" i="1"/>
  <c r="AF45" i="1"/>
  <c r="AF46" i="1"/>
  <c r="AF47" i="1"/>
  <c r="AF48" i="1"/>
  <c r="AF49" i="1"/>
  <c r="AF42" i="1"/>
  <c r="AD43" i="1"/>
  <c r="AD44" i="1"/>
  <c r="AD45" i="1"/>
  <c r="AD46" i="1"/>
  <c r="AD47" i="1"/>
  <c r="AD48" i="1"/>
  <c r="AD49" i="1"/>
  <c r="AD42" i="1"/>
  <c r="AB43" i="1"/>
  <c r="AB44" i="1"/>
  <c r="AB45" i="1"/>
  <c r="AB46" i="1"/>
  <c r="AB47" i="1"/>
  <c r="AB48" i="1"/>
  <c r="AB49" i="1"/>
  <c r="AB42" i="1"/>
  <c r="Z43" i="1"/>
  <c r="Z44" i="1"/>
  <c r="Z45" i="1"/>
  <c r="Z46" i="1"/>
  <c r="Z47" i="1"/>
  <c r="Z48" i="1"/>
  <c r="Z49" i="1"/>
  <c r="Z42" i="1"/>
  <c r="X43" i="1"/>
  <c r="X44" i="1"/>
  <c r="X45" i="1"/>
  <c r="X46" i="1"/>
  <c r="X47" i="1"/>
  <c r="X48" i="1"/>
  <c r="X49" i="1"/>
  <c r="X42" i="1"/>
  <c r="V43" i="1"/>
  <c r="V44" i="1"/>
  <c r="V45" i="1"/>
  <c r="V46" i="1"/>
  <c r="V47" i="1"/>
  <c r="V48" i="1"/>
  <c r="V49" i="1"/>
  <c r="V42" i="1"/>
  <c r="T43" i="1"/>
  <c r="T44" i="1"/>
  <c r="T45" i="1"/>
  <c r="T46" i="1"/>
  <c r="T47" i="1"/>
  <c r="T48" i="1"/>
  <c r="T49" i="1"/>
  <c r="T42" i="1"/>
  <c r="R43" i="1"/>
  <c r="R44" i="1"/>
  <c r="R45" i="1"/>
  <c r="R46" i="1"/>
  <c r="R47" i="1"/>
  <c r="R48" i="1"/>
  <c r="R49" i="1"/>
  <c r="R42" i="1"/>
  <c r="P49" i="1"/>
  <c r="P48" i="1"/>
  <c r="P47" i="1"/>
  <c r="P46" i="1"/>
  <c r="AO46" i="1" s="1"/>
  <c r="P45" i="1"/>
  <c r="P44" i="1"/>
  <c r="P43" i="1"/>
  <c r="P42" i="1"/>
  <c r="AO42" i="1" s="1"/>
  <c r="K48" i="1"/>
  <c r="L48" i="1"/>
  <c r="N48" i="1"/>
  <c r="O48" i="1"/>
  <c r="K49" i="1"/>
  <c r="L49" i="1"/>
  <c r="N49" i="1"/>
  <c r="O49" i="1"/>
  <c r="N43" i="1"/>
  <c r="O43" i="1"/>
  <c r="N44" i="1"/>
  <c r="O44" i="1"/>
  <c r="N45" i="1"/>
  <c r="O45" i="1"/>
  <c r="N46" i="1"/>
  <c r="O46" i="1"/>
  <c r="N47" i="1"/>
  <c r="O47" i="1"/>
  <c r="O42" i="1"/>
  <c r="N42" i="1"/>
  <c r="L47" i="1"/>
  <c r="K47" i="1"/>
  <c r="L46" i="1"/>
  <c r="K46" i="1"/>
  <c r="L45" i="1"/>
  <c r="K45" i="1"/>
  <c r="L44" i="1"/>
  <c r="K44" i="1"/>
  <c r="L43" i="1"/>
  <c r="K43" i="1"/>
  <c r="K42" i="1"/>
  <c r="L42" i="1"/>
  <c r="G74" i="6"/>
  <c r="K74" i="6" s="1"/>
  <c r="AO43" i="1" l="1"/>
  <c r="AO44" i="1"/>
  <c r="AO45" i="1"/>
  <c r="AO73" i="1"/>
  <c r="AO67" i="1"/>
  <c r="AO75" i="1"/>
  <c r="AO48" i="1"/>
  <c r="AO68" i="1"/>
  <c r="AO76" i="1"/>
  <c r="AO49" i="1"/>
  <c r="AO69" i="1"/>
  <c r="AO77" i="1"/>
  <c r="AO70" i="1"/>
  <c r="AO78" i="1"/>
  <c r="AO47" i="1"/>
  <c r="AO74" i="1"/>
  <c r="AO71" i="1"/>
  <c r="AO79" i="1"/>
  <c r="AO72" i="1"/>
  <c r="P63" i="1"/>
  <c r="I92" i="1" l="1"/>
  <c r="I91" i="1"/>
  <c r="I90" i="1"/>
  <c r="I89" i="1"/>
  <c r="B169" i="1" s="1"/>
  <c r="G65" i="7" s="1"/>
  <c r="I88" i="1"/>
  <c r="I87" i="1"/>
  <c r="I86" i="1"/>
  <c r="I85" i="1"/>
  <c r="I84" i="1"/>
  <c r="B168" i="1" s="1"/>
  <c r="G66" i="6" s="1"/>
  <c r="I83" i="1"/>
  <c r="I82" i="1"/>
  <c r="I81" i="1"/>
  <c r="I80" i="1"/>
  <c r="I79" i="1"/>
  <c r="E171" i="1" s="1"/>
  <c r="G92" i="1"/>
  <c r="E92" i="1"/>
  <c r="G91" i="1"/>
  <c r="E91" i="1"/>
  <c r="G90" i="1"/>
  <c r="E90" i="1"/>
  <c r="G89" i="1"/>
  <c r="E89" i="1"/>
  <c r="G88" i="1"/>
  <c r="E88" i="1"/>
  <c r="G87" i="1"/>
  <c r="E87" i="1"/>
  <c r="G86" i="1"/>
  <c r="E86" i="1"/>
  <c r="G85" i="1"/>
  <c r="E85" i="1"/>
  <c r="G84" i="1"/>
  <c r="E84" i="1"/>
  <c r="G83" i="1"/>
  <c r="E83" i="1"/>
  <c r="G82" i="1"/>
  <c r="E82" i="1"/>
  <c r="G81" i="1"/>
  <c r="E81" i="1"/>
  <c r="G80" i="1"/>
  <c r="E80" i="1"/>
  <c r="G79" i="1"/>
  <c r="E79"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I76" i="1"/>
  <c r="I75" i="1"/>
  <c r="I74" i="1"/>
  <c r="I73" i="1"/>
  <c r="I72" i="1"/>
  <c r="I71" i="1"/>
  <c r="I70" i="1"/>
  <c r="I69" i="1"/>
  <c r="I68" i="1"/>
  <c r="I67" i="1"/>
  <c r="G76" i="1"/>
  <c r="G75" i="1"/>
  <c r="G74" i="1"/>
  <c r="G73" i="1"/>
  <c r="G72" i="1"/>
  <c r="G71" i="1"/>
  <c r="G70" i="1"/>
  <c r="G69" i="1"/>
  <c r="G68" i="1"/>
  <c r="G67" i="1"/>
  <c r="E76" i="1"/>
  <c r="E75" i="1"/>
  <c r="E74" i="1"/>
  <c r="E73" i="1"/>
  <c r="E72" i="1"/>
  <c r="E71" i="1"/>
  <c r="E70" i="1"/>
  <c r="E69" i="1"/>
  <c r="E68" i="1"/>
  <c r="E67" i="1"/>
  <c r="A76" i="1"/>
  <c r="A75" i="1"/>
  <c r="A74" i="1"/>
  <c r="A73" i="1"/>
  <c r="A72" i="1"/>
  <c r="A71" i="1"/>
  <c r="A70" i="1"/>
  <c r="A69" i="1"/>
  <c r="A68" i="1"/>
  <c r="A67" i="1"/>
  <c r="B76" i="1"/>
  <c r="B75" i="1"/>
  <c r="B74" i="1"/>
  <c r="B73" i="1"/>
  <c r="B72" i="1"/>
  <c r="B71" i="1"/>
  <c r="B70" i="1"/>
  <c r="B69" i="1"/>
  <c r="B68" i="1"/>
  <c r="B67" i="1"/>
  <c r="I43" i="1"/>
  <c r="I44" i="1"/>
  <c r="I45" i="1"/>
  <c r="I46" i="1"/>
  <c r="I47" i="1"/>
  <c r="I48" i="1"/>
  <c r="I49" i="1"/>
  <c r="I50" i="1"/>
  <c r="I51" i="1"/>
  <c r="I52" i="1"/>
  <c r="I53" i="1"/>
  <c r="I54" i="1"/>
  <c r="I55" i="1"/>
  <c r="I56" i="1"/>
  <c r="I57" i="1"/>
  <c r="I58" i="1"/>
  <c r="I59" i="1"/>
  <c r="I60" i="1"/>
  <c r="I61" i="1"/>
  <c r="I62" i="1"/>
  <c r="I63" i="1"/>
  <c r="I64" i="1"/>
  <c r="I42" i="1"/>
  <c r="G43" i="1"/>
  <c r="G44" i="1"/>
  <c r="G45" i="1"/>
  <c r="G46" i="1"/>
  <c r="G47" i="1"/>
  <c r="G48" i="1"/>
  <c r="G49" i="1"/>
  <c r="G50" i="1"/>
  <c r="G51" i="1"/>
  <c r="G52" i="1"/>
  <c r="G53" i="1"/>
  <c r="G54" i="1"/>
  <c r="G55" i="1"/>
  <c r="G56" i="1"/>
  <c r="G57" i="1"/>
  <c r="G58" i="1"/>
  <c r="G59" i="1"/>
  <c r="G60" i="1"/>
  <c r="G61" i="1"/>
  <c r="G62" i="1"/>
  <c r="G63" i="1"/>
  <c r="G64" i="1"/>
  <c r="G42" i="1"/>
  <c r="E43" i="1"/>
  <c r="E44" i="1"/>
  <c r="E45" i="1"/>
  <c r="E46" i="1"/>
  <c r="E47" i="1"/>
  <c r="E48" i="1"/>
  <c r="E49" i="1"/>
  <c r="E50" i="1"/>
  <c r="E51" i="1"/>
  <c r="E52" i="1"/>
  <c r="E53" i="1"/>
  <c r="E54" i="1"/>
  <c r="E55" i="1"/>
  <c r="E56" i="1"/>
  <c r="E57" i="1"/>
  <c r="E58" i="1"/>
  <c r="E59" i="1"/>
  <c r="E60" i="1"/>
  <c r="E61" i="1"/>
  <c r="E62" i="1"/>
  <c r="E63" i="1"/>
  <c r="E64" i="1"/>
  <c r="E42" i="1"/>
  <c r="A43" i="1"/>
  <c r="A44" i="1"/>
  <c r="A45" i="1"/>
  <c r="A46" i="1"/>
  <c r="A47" i="1"/>
  <c r="A48" i="1"/>
  <c r="A49" i="1"/>
  <c r="A50" i="1"/>
  <c r="A51" i="1"/>
  <c r="A52" i="1"/>
  <c r="A53" i="1"/>
  <c r="A54" i="1"/>
  <c r="A55" i="1"/>
  <c r="A56" i="1"/>
  <c r="A57" i="1"/>
  <c r="A58" i="1"/>
  <c r="A59" i="1"/>
  <c r="A60" i="1"/>
  <c r="A61" i="1"/>
  <c r="A62" i="1"/>
  <c r="A63" i="1"/>
  <c r="A64" i="1"/>
  <c r="A42" i="1"/>
  <c r="B43" i="1"/>
  <c r="B44" i="1"/>
  <c r="B45" i="1"/>
  <c r="B46" i="1"/>
  <c r="B47" i="1"/>
  <c r="B48" i="1"/>
  <c r="B49" i="1"/>
  <c r="B50" i="1"/>
  <c r="B51" i="1"/>
  <c r="B52" i="1"/>
  <c r="B54" i="1"/>
  <c r="B55" i="1"/>
  <c r="B56" i="1"/>
  <c r="B57" i="1"/>
  <c r="B58" i="1"/>
  <c r="B59" i="1"/>
  <c r="B60" i="1"/>
  <c r="B61" i="1"/>
  <c r="B62" i="1"/>
  <c r="B63" i="1"/>
  <c r="B64" i="1"/>
  <c r="B42" i="1"/>
  <c r="I94" i="1" l="1"/>
  <c r="A37" i="1"/>
  <c r="M22" i="3" l="1"/>
  <c r="I19" i="3"/>
  <c r="A21" i="1"/>
  <c r="A22" i="1"/>
  <c r="A23" i="1"/>
  <c r="A25" i="1"/>
  <c r="A26" i="1"/>
  <c r="A27" i="1"/>
  <c r="A29" i="1"/>
  <c r="A30" i="1"/>
  <c r="A31" i="1"/>
  <c r="A20" i="1"/>
  <c r="D9" i="1"/>
  <c r="A16" i="1"/>
  <c r="A17" i="1"/>
  <c r="A15" i="1"/>
  <c r="A10" i="1"/>
  <c r="A11" i="1"/>
  <c r="A12" i="1"/>
  <c r="A13" i="1"/>
  <c r="C9" i="1"/>
  <c r="B9" i="1"/>
  <c r="K13" i="3" s="1"/>
  <c r="C7" i="1"/>
  <c r="D256" i="1" s="1"/>
  <c r="D264" i="1" s="1"/>
  <c r="B7" i="1"/>
  <c r="E13" i="3" s="1"/>
  <c r="A7" i="1"/>
  <c r="A4" i="1"/>
  <c r="A2" i="1"/>
  <c r="A3" i="1"/>
  <c r="A5" i="1"/>
  <c r="A6" i="1"/>
  <c r="C15" i="3" s="1"/>
  <c r="A8" i="1"/>
  <c r="A34" i="1" s="1"/>
  <c r="A9" i="1"/>
  <c r="A1" i="1"/>
  <c r="J12" i="5" l="1"/>
  <c r="N12" i="5" s="1"/>
  <c r="A10" i="5"/>
  <c r="A10" i="11"/>
  <c r="A10" i="7"/>
  <c r="A10" i="9"/>
  <c r="A10" i="10"/>
  <c r="A10" i="6"/>
  <c r="A10" i="8"/>
  <c r="A9" i="8"/>
  <c r="A9" i="11"/>
  <c r="A9" i="7"/>
  <c r="A9" i="10"/>
  <c r="A9" i="6"/>
  <c r="A9" i="5"/>
  <c r="A9" i="9"/>
  <c r="A9" i="3"/>
  <c r="A7" i="6"/>
  <c r="A7" i="7"/>
  <c r="A4" i="10"/>
  <c r="A4" i="9"/>
  <c r="A4" i="11"/>
  <c r="A4" i="7"/>
  <c r="A4" i="8"/>
  <c r="A4" i="6"/>
  <c r="A4" i="5"/>
  <c r="E12" i="5"/>
  <c r="A5" i="10"/>
  <c r="A5" i="9"/>
  <c r="A5" i="11"/>
  <c r="A5" i="7"/>
  <c r="A5" i="8"/>
  <c r="A6" i="3"/>
  <c r="A6" i="9"/>
  <c r="A6" i="7"/>
  <c r="A6" i="8"/>
  <c r="A6" i="10"/>
  <c r="A6" i="6"/>
  <c r="A6" i="5"/>
  <c r="A10" i="3"/>
  <c r="L2" i="4" l="1"/>
  <c r="N2" i="5"/>
  <c r="C221" i="1" l="1"/>
  <c r="B212" i="1" l="1"/>
  <c r="B141" i="1" s="1"/>
  <c r="C226" i="1" l="1"/>
  <c r="C225" i="1"/>
  <c r="C227" i="1" l="1"/>
  <c r="C223" i="1" l="1"/>
  <c r="B223" i="1" l="1"/>
  <c r="M2" i="10" l="1"/>
  <c r="A30" i="2"/>
  <c r="K40" i="9" l="1"/>
  <c r="G47" i="7" l="1"/>
  <c r="G48" i="6"/>
  <c r="G118" i="1" l="1"/>
  <c r="L118" i="1"/>
  <c r="G34" i="6" s="1"/>
  <c r="L117" i="1"/>
  <c r="G117" i="1"/>
  <c r="G33" i="7" l="1"/>
  <c r="G42" i="9" l="1"/>
  <c r="G43" i="8"/>
  <c r="G48" i="8"/>
  <c r="G47" i="9"/>
  <c r="K47" i="9" s="1"/>
  <c r="K42" i="9" l="1"/>
  <c r="L116" i="1"/>
  <c r="L119" i="1" s="1"/>
  <c r="G23" i="7" l="1"/>
  <c r="G23" i="6"/>
  <c r="G116" i="1"/>
  <c r="G119" i="1" s="1"/>
  <c r="K23" i="9" l="1"/>
  <c r="I62" i="9" l="1"/>
  <c r="I66" i="9" s="1"/>
  <c r="I48" i="9"/>
  <c r="I63" i="8"/>
  <c r="I69" i="8" s="1"/>
  <c r="I49" i="8"/>
  <c r="K48" i="8"/>
  <c r="K43" i="8"/>
  <c r="K41" i="8"/>
  <c r="I56" i="7" l="1"/>
  <c r="I48" i="7"/>
  <c r="K47" i="7"/>
  <c r="K40" i="7"/>
  <c r="K23" i="7"/>
  <c r="I24" i="7"/>
  <c r="I26" i="7" s="1"/>
  <c r="K33" i="7"/>
  <c r="I50" i="7" l="1"/>
  <c r="B178" i="1"/>
  <c r="B180" i="1"/>
  <c r="E178" i="1"/>
  <c r="E179" i="1"/>
  <c r="E180" i="1"/>
  <c r="B147" i="1" l="1"/>
  <c r="B146" i="1"/>
  <c r="E181" i="1"/>
  <c r="B179" i="1" l="1"/>
  <c r="B181" i="1" s="1"/>
  <c r="B167" i="1" l="1"/>
  <c r="G57" i="7" s="1"/>
  <c r="B171" i="1"/>
  <c r="B166" i="1"/>
  <c r="G58" i="6" s="1"/>
  <c r="I66" i="6" l="1"/>
  <c r="P94" i="1"/>
  <c r="I57" i="7"/>
  <c r="I58" i="7" s="1"/>
  <c r="I28" i="6" s="1"/>
  <c r="R94" i="1"/>
  <c r="Z94" i="1"/>
  <c r="AH94" i="1"/>
  <c r="V94" i="1"/>
  <c r="AD94" i="1"/>
  <c r="AL94" i="1"/>
  <c r="X94" i="1"/>
  <c r="AF94" i="1"/>
  <c r="AN94" i="1"/>
  <c r="T94" i="1"/>
  <c r="AB94" i="1"/>
  <c r="AJ94" i="1"/>
  <c r="K57" i="7" l="1"/>
  <c r="A7" i="3"/>
  <c r="A4" i="3"/>
  <c r="A5" i="3" l="1"/>
  <c r="A5" i="6"/>
  <c r="A5" i="5"/>
  <c r="Z63" i="1"/>
  <c r="AH63" i="1"/>
  <c r="R63" i="1"/>
  <c r="X63" i="1"/>
  <c r="AF63" i="1"/>
  <c r="AN63" i="1"/>
  <c r="AB63" i="1"/>
  <c r="AJ63" i="1"/>
  <c r="T63" i="1"/>
  <c r="V63" i="1"/>
  <c r="AD63" i="1"/>
  <c r="AL63" i="1"/>
  <c r="I65" i="1"/>
  <c r="K48" i="6" l="1"/>
  <c r="I48" i="6" s="1"/>
  <c r="K41" i="6"/>
  <c r="I41" i="6" s="1"/>
  <c r="K34" i="6"/>
  <c r="K23" i="6"/>
  <c r="I23" i="6" s="1"/>
  <c r="I24" i="6" l="1"/>
  <c r="I26" i="6"/>
  <c r="I35" i="6" s="1"/>
  <c r="I67" i="6"/>
  <c r="I69" i="6" s="1"/>
  <c r="I75" i="6" s="1"/>
  <c r="K66" i="6"/>
  <c r="I58" i="6"/>
  <c r="I59" i="6" s="1"/>
  <c r="K58" i="6" l="1"/>
  <c r="I78" i="6"/>
  <c r="I247" i="1" l="1"/>
  <c r="H247" i="1" l="1"/>
  <c r="G247" i="1"/>
  <c r="D265" i="1" l="1"/>
  <c r="G46" i="7" l="1"/>
  <c r="G47" i="6"/>
  <c r="K47" i="6" l="1"/>
  <c r="I47" i="6" s="1"/>
  <c r="K46" i="7"/>
  <c r="G64" i="7"/>
  <c r="G65" i="6" s="1"/>
  <c r="K65" i="6" l="1"/>
  <c r="K64" i="7"/>
  <c r="I31" i="10" l="1"/>
  <c r="K68" i="6" l="1"/>
  <c r="K31" i="10" l="1"/>
  <c r="M31" i="10" s="1"/>
  <c r="J20" i="5"/>
  <c r="G14" i="2" s="1"/>
  <c r="K68" i="8"/>
  <c r="N20" i="5" s="1"/>
  <c r="J29" i="5"/>
  <c r="G21" i="2" s="1"/>
  <c r="K65" i="9"/>
  <c r="K28" i="9" s="1"/>
  <c r="I28" i="9" s="1"/>
  <c r="N29" i="5" l="1"/>
  <c r="L29" i="5" s="1"/>
  <c r="J25" i="5"/>
  <c r="G17" i="2" s="1"/>
  <c r="K30" i="10"/>
  <c r="K66" i="8"/>
  <c r="K29" i="8" s="1"/>
  <c r="I29" i="8" s="1"/>
  <c r="L20" i="5"/>
  <c r="N25" i="5" l="1"/>
  <c r="L25" i="5" s="1"/>
  <c r="C152" i="1" l="1"/>
  <c r="I65" i="7" l="1"/>
  <c r="I66" i="7" s="1"/>
  <c r="I68" i="7" s="1"/>
  <c r="I72" i="7" s="1"/>
  <c r="I75" i="7" s="1"/>
  <c r="I82" i="6" s="1"/>
  <c r="K65" i="7" l="1"/>
  <c r="E20" i="5" l="1"/>
  <c r="I14" i="2" s="1"/>
  <c r="K14" i="2" s="1"/>
  <c r="G20" i="5" l="1"/>
  <c r="D245" i="1" l="1"/>
  <c r="D247" i="1" s="1"/>
  <c r="C245" i="1" l="1"/>
  <c r="C247" i="1" s="1"/>
  <c r="B245" i="1" l="1"/>
  <c r="B247" i="1" s="1"/>
  <c r="B258" i="1" l="1"/>
  <c r="B257" i="1" l="1"/>
  <c r="C258" i="1"/>
  <c r="D258" i="1" s="1"/>
  <c r="G71" i="7" s="1"/>
  <c r="G28" i="7" s="1"/>
  <c r="K71" i="7" l="1"/>
  <c r="K28" i="7" s="1"/>
  <c r="E29" i="5"/>
  <c r="C257" i="1"/>
  <c r="C259" i="1" s="1"/>
  <c r="B259" i="1"/>
  <c r="C149" i="1"/>
  <c r="C146" i="1"/>
  <c r="D257" i="1" l="1"/>
  <c r="G72" i="6" s="1"/>
  <c r="G29" i="6" s="1"/>
  <c r="D259" i="1"/>
  <c r="F259" i="1" s="1"/>
  <c r="G259" i="1" s="1"/>
  <c r="H259" i="1" s="1"/>
  <c r="I21" i="2"/>
  <c r="G29" i="5"/>
  <c r="C147" i="1"/>
  <c r="K21" i="2" l="1"/>
  <c r="K72" i="6"/>
  <c r="K29" i="6" s="1"/>
  <c r="E25" i="5"/>
  <c r="I17" i="2" s="1"/>
  <c r="K17" i="2" l="1"/>
  <c r="I30" i="10"/>
  <c r="M30" i="10" s="1"/>
  <c r="G25" i="5"/>
  <c r="G44" i="9"/>
  <c r="K44" i="9" s="1"/>
  <c r="G45" i="8"/>
  <c r="K45" i="8" s="1"/>
  <c r="B188" i="1" l="1"/>
  <c r="B129" i="1" l="1"/>
  <c r="B206" i="1" l="1"/>
  <c r="G38" i="7"/>
  <c r="G39" i="6"/>
  <c r="K39" i="6" l="1"/>
  <c r="K38" i="7"/>
  <c r="B138" i="1"/>
  <c r="I39" i="6" l="1"/>
  <c r="G45" i="6"/>
  <c r="G44" i="7"/>
  <c r="K45" i="6" l="1"/>
  <c r="K44" i="7"/>
  <c r="I45" i="6" l="1"/>
  <c r="D188" i="1" l="1"/>
  <c r="C129" i="1" s="1"/>
  <c r="C136" i="1"/>
  <c r="G38" i="9" l="1"/>
  <c r="G39" i="8"/>
  <c r="K39" i="8" l="1"/>
  <c r="K38" i="9"/>
  <c r="C124" i="1" l="1"/>
  <c r="G33" i="8" l="1"/>
  <c r="K33" i="8" s="1"/>
  <c r="G32" i="9"/>
  <c r="K32" i="9" s="1"/>
  <c r="C151" i="1" l="1"/>
  <c r="C131" i="1" l="1"/>
  <c r="G39" i="9" l="1"/>
  <c r="G40" i="8"/>
  <c r="C132" i="1"/>
  <c r="K40" i="8" l="1"/>
  <c r="G60" i="9"/>
  <c r="K60" i="9" s="1"/>
  <c r="K39" i="9"/>
  <c r="G61" i="8" l="1"/>
  <c r="K61" i="8" s="1"/>
  <c r="C133" i="1" l="1"/>
  <c r="G42" i="8" l="1"/>
  <c r="G41" i="9"/>
  <c r="K41" i="9" l="1"/>
  <c r="G59" i="9"/>
  <c r="G60" i="8" s="1"/>
  <c r="K42" i="8"/>
  <c r="K60" i="8" l="1"/>
  <c r="K59" i="9"/>
  <c r="C120" i="1" l="1"/>
  <c r="C119" i="1"/>
  <c r="G34" i="8" l="1"/>
  <c r="K34" i="8" s="1"/>
  <c r="G33" i="9"/>
  <c r="K33" i="9" s="1"/>
  <c r="G23" i="8"/>
  <c r="G23" i="9"/>
  <c r="I23" i="9" l="1"/>
  <c r="K23" i="8"/>
  <c r="I23" i="8" s="1"/>
  <c r="E245" i="1" l="1"/>
  <c r="E247" i="1" s="1"/>
  <c r="F245" i="1"/>
  <c r="F247" i="1" s="1"/>
  <c r="J247" i="1" l="1"/>
  <c r="B228" i="1" s="1"/>
  <c r="C228" i="1" l="1"/>
  <c r="C230" i="1" s="1"/>
  <c r="C232" i="1" s="1"/>
  <c r="C234" i="1" s="1"/>
  <c r="C216" i="1" s="1"/>
  <c r="B230" i="1"/>
  <c r="B233" i="1" l="1"/>
  <c r="B234" i="1" s="1"/>
  <c r="B216" i="1" s="1"/>
  <c r="C139" i="1"/>
  <c r="B198" i="1"/>
  <c r="B199" i="1" s="1"/>
  <c r="B139" i="1" s="1"/>
  <c r="G46" i="8" l="1"/>
  <c r="K46" i="8" s="1"/>
  <c r="G45" i="9"/>
  <c r="K45" i="9" s="1"/>
  <c r="G45" i="7"/>
  <c r="K45" i="7" s="1"/>
  <c r="G46" i="6"/>
  <c r="K46" i="6" s="1"/>
  <c r="I46" i="6" s="1"/>
  <c r="B193" i="1" l="1"/>
  <c r="B194" i="1" s="1"/>
  <c r="E216" i="1" l="1"/>
  <c r="B128" i="1"/>
  <c r="G38" i="6" s="1"/>
  <c r="C193" i="1"/>
  <c r="C194" i="1" s="1"/>
  <c r="B127" i="1" s="1"/>
  <c r="G37" i="7" s="1"/>
  <c r="K37" i="7" l="1"/>
  <c r="K38" i="6"/>
  <c r="I38" i="6" l="1"/>
  <c r="C128" i="1" l="1"/>
  <c r="G38" i="8" s="1"/>
  <c r="C127" i="1" l="1"/>
  <c r="G37" i="9" s="1"/>
  <c r="K38" i="8"/>
  <c r="K37" i="9" l="1"/>
  <c r="C217" i="1" l="1"/>
  <c r="C218" i="1" s="1"/>
  <c r="B143" i="1" s="1"/>
  <c r="B217" i="1" l="1"/>
  <c r="B218" i="1" s="1"/>
  <c r="B144" i="1" s="1"/>
  <c r="C143" i="1" l="1"/>
  <c r="C144" i="1" l="1"/>
  <c r="C153" i="1" l="1"/>
  <c r="B116" i="1" l="1"/>
  <c r="B119" i="1" l="1"/>
  <c r="B120" i="1"/>
  <c r="C137" i="1" l="1"/>
  <c r="G43" i="9" l="1"/>
  <c r="G44" i="8"/>
  <c r="K44" i="8" l="1"/>
  <c r="K43" i="9"/>
  <c r="G58" i="9"/>
  <c r="G59" i="8" s="1"/>
  <c r="K59" i="8" l="1"/>
  <c r="K58" i="9"/>
  <c r="B104" i="1" l="1"/>
  <c r="B137" i="1" l="1"/>
  <c r="B131" i="1"/>
  <c r="B153" i="1"/>
  <c r="B124" i="1"/>
  <c r="G39" i="7" l="1"/>
  <c r="G40" i="6"/>
  <c r="G43" i="7"/>
  <c r="G44" i="6"/>
  <c r="G33" i="6"/>
  <c r="K33" i="6" s="1"/>
  <c r="G32" i="7"/>
  <c r="K32" i="7" s="1"/>
  <c r="B151" i="1"/>
  <c r="B133" i="1"/>
  <c r="K40" i="6" l="1"/>
  <c r="G41" i="7"/>
  <c r="K41" i="7" s="1"/>
  <c r="G42" i="6"/>
  <c r="B134" i="1"/>
  <c r="K44" i="6"/>
  <c r="I44" i="6" s="1"/>
  <c r="G61" i="7"/>
  <c r="G62" i="6" s="1"/>
  <c r="K43" i="7"/>
  <c r="G63" i="7"/>
  <c r="K63" i="7" s="1"/>
  <c r="K39" i="7"/>
  <c r="B152" i="1"/>
  <c r="B105" i="1"/>
  <c r="G43" i="6" l="1"/>
  <c r="G42" i="7"/>
  <c r="G48" i="7" s="1"/>
  <c r="G64" i="6"/>
  <c r="K64" i="6" s="1"/>
  <c r="K62" i="6"/>
  <c r="K61" i="7"/>
  <c r="K42" i="6"/>
  <c r="I42" i="6" s="1"/>
  <c r="I40" i="6"/>
  <c r="B110" i="1"/>
  <c r="B111" i="1"/>
  <c r="B106" i="1"/>
  <c r="G21" i="6" s="1"/>
  <c r="K21" i="6" s="1"/>
  <c r="G22" i="7" l="1"/>
  <c r="K22" i="7" s="1"/>
  <c r="G22" i="6"/>
  <c r="K22" i="6" s="1"/>
  <c r="I49" i="6"/>
  <c r="I51" i="6" s="1"/>
  <c r="I55" i="6" s="1"/>
  <c r="G62" i="7"/>
  <c r="K42" i="7"/>
  <c r="K48" i="7" s="1"/>
  <c r="K43" i="6"/>
  <c r="I43" i="6" s="1"/>
  <c r="G49" i="6"/>
  <c r="G21" i="7"/>
  <c r="K21" i="7" s="1"/>
  <c r="B103" i="1"/>
  <c r="B98" i="1"/>
  <c r="G20" i="6" l="1"/>
  <c r="G20" i="7"/>
  <c r="G17" i="6"/>
  <c r="G17" i="7"/>
  <c r="K17" i="7" s="1"/>
  <c r="K49" i="6"/>
  <c r="K62" i="7"/>
  <c r="K66" i="7" s="1"/>
  <c r="G66" i="7"/>
  <c r="G63" i="6"/>
  <c r="G24" i="7" l="1"/>
  <c r="G26" i="7" s="1"/>
  <c r="G34" i="7" s="1"/>
  <c r="G50" i="7" s="1"/>
  <c r="G54" i="7" s="1"/>
  <c r="K20" i="7"/>
  <c r="K24" i="7" s="1"/>
  <c r="K26" i="7" s="1"/>
  <c r="K63" i="6"/>
  <c r="K67" i="6" s="1"/>
  <c r="K69" i="6" s="1"/>
  <c r="G67" i="6"/>
  <c r="B182" i="1"/>
  <c r="B183" i="1" s="1"/>
  <c r="K67" i="7" s="1"/>
  <c r="K68" i="7" s="1"/>
  <c r="K72" i="7" s="1"/>
  <c r="I20" i="10" s="1"/>
  <c r="G68" i="7"/>
  <c r="G72" i="7" s="1"/>
  <c r="E15" i="5" s="1"/>
  <c r="I9" i="2" s="1"/>
  <c r="E30" i="5"/>
  <c r="I22" i="2" s="1"/>
  <c r="K17" i="6"/>
  <c r="K26" i="6" s="1"/>
  <c r="K80" i="6" s="1"/>
  <c r="G26" i="6"/>
  <c r="G24" i="6"/>
  <c r="K20" i="6"/>
  <c r="K24" i="6" s="1"/>
  <c r="G69" i="6" l="1"/>
  <c r="G75" i="6" s="1"/>
  <c r="E18" i="5" s="1"/>
  <c r="I12" i="2" s="1"/>
  <c r="E182" i="1"/>
  <c r="E183" i="1" s="1"/>
  <c r="E26" i="5"/>
  <c r="K75" i="6"/>
  <c r="I29" i="10"/>
  <c r="K34" i="7"/>
  <c r="K50" i="7" s="1"/>
  <c r="K77" i="7"/>
  <c r="B172" i="1"/>
  <c r="B173" i="1" s="1"/>
  <c r="K55" i="7" s="1"/>
  <c r="G56" i="7"/>
  <c r="K54" i="7"/>
  <c r="K56" i="7" s="1"/>
  <c r="K58" i="7" s="1"/>
  <c r="D110" i="1"/>
  <c r="I19" i="10" l="1"/>
  <c r="I23" i="10" s="1"/>
  <c r="K75" i="7"/>
  <c r="K78" i="7" s="1"/>
  <c r="G58" i="7"/>
  <c r="E14" i="5"/>
  <c r="I18" i="2"/>
  <c r="E32" i="5"/>
  <c r="F110" i="1"/>
  <c r="G75" i="7" l="1"/>
  <c r="G28" i="6"/>
  <c r="I8" i="2"/>
  <c r="K28" i="6" l="1"/>
  <c r="K35" i="6" s="1"/>
  <c r="K51" i="6" s="1"/>
  <c r="K55" i="6" s="1"/>
  <c r="G35" i="6"/>
  <c r="G51" i="6" s="1"/>
  <c r="G55" i="6" s="1"/>
  <c r="E172" i="1" s="1"/>
  <c r="E173" i="1" s="1"/>
  <c r="G57" i="6" s="1"/>
  <c r="G59" i="6" l="1"/>
  <c r="K57" i="6"/>
  <c r="K59" i="6" s="1"/>
  <c r="I28" i="10" l="1"/>
  <c r="I34" i="10" s="1"/>
  <c r="I37" i="10" s="1"/>
  <c r="K78" i="6"/>
  <c r="G78" i="6"/>
  <c r="G82" i="6" s="1"/>
  <c r="E17" i="5"/>
  <c r="I11" i="2" l="1"/>
  <c r="E22" i="5"/>
  <c r="E15" i="3" s="1"/>
  <c r="K15" i="3" s="1"/>
  <c r="K82" i="6"/>
  <c r="K81" i="6"/>
  <c r="F98" i="1" l="1"/>
  <c r="K17" i="9" l="1"/>
  <c r="K17" i="8"/>
  <c r="D98" i="1" l="1"/>
  <c r="G17" i="9" l="1"/>
  <c r="I17" i="9" s="1"/>
  <c r="G17" i="8"/>
  <c r="I17" i="8" s="1"/>
  <c r="D111" i="1" l="1"/>
  <c r="G22" i="9" l="1"/>
  <c r="G22" i="8"/>
  <c r="B158" i="1" l="1"/>
  <c r="B162" i="1" l="1"/>
  <c r="B157" i="1" l="1"/>
  <c r="B108" i="1"/>
  <c r="B161" i="1" l="1"/>
  <c r="B109" i="1"/>
  <c r="B112" i="1" l="1"/>
  <c r="F111" i="1" l="1"/>
  <c r="K22" i="9" l="1"/>
  <c r="I22" i="9" s="1"/>
  <c r="K22" i="8"/>
  <c r="I22" i="8" s="1"/>
  <c r="D106" i="1" l="1"/>
  <c r="F106" i="1" l="1"/>
  <c r="D105" i="1"/>
  <c r="F105" i="1" l="1"/>
  <c r="C140" i="1" l="1"/>
  <c r="G46" i="9" l="1"/>
  <c r="G47" i="8"/>
  <c r="K47" i="8" l="1"/>
  <c r="K49" i="8" s="1"/>
  <c r="G49" i="8"/>
  <c r="K46" i="9"/>
  <c r="K48" i="9" s="1"/>
  <c r="G61" i="9"/>
  <c r="G48" i="9"/>
  <c r="G62" i="8" l="1"/>
  <c r="K61" i="9"/>
  <c r="K62" i="9" s="1"/>
  <c r="G62" i="9"/>
  <c r="J30" i="5" l="1"/>
  <c r="G66" i="9"/>
  <c r="N30" i="5"/>
  <c r="L30" i="5" s="1"/>
  <c r="K66" i="9"/>
  <c r="N15" i="5" s="1"/>
  <c r="K62" i="8"/>
  <c r="K63" i="8" s="1"/>
  <c r="G63" i="8"/>
  <c r="J15" i="5" l="1"/>
  <c r="K20" i="10"/>
  <c r="M20" i="10" s="1"/>
  <c r="K29" i="10"/>
  <c r="M29" i="10" s="1"/>
  <c r="G69" i="8"/>
  <c r="J18" i="5" s="1"/>
  <c r="J26" i="5"/>
  <c r="N26" i="5"/>
  <c r="K69" i="8"/>
  <c r="N18" i="5" s="1"/>
  <c r="G22" i="2"/>
  <c r="G30" i="5"/>
  <c r="L18" i="5" l="1"/>
  <c r="G18" i="5"/>
  <c r="G12" i="2"/>
  <c r="K12" i="2" s="1"/>
  <c r="N32" i="5"/>
  <c r="L26" i="5"/>
  <c r="L32" i="5" s="1"/>
  <c r="K22" i="2"/>
  <c r="G26" i="5"/>
  <c r="G32" i="5" s="1"/>
  <c r="G18" i="2"/>
  <c r="J32" i="5"/>
  <c r="L15" i="5"/>
  <c r="G9" i="2"/>
  <c r="K9" i="2" s="1"/>
  <c r="G15" i="5"/>
  <c r="K18" i="2" l="1"/>
  <c r="D104" i="1" l="1"/>
  <c r="G21" i="8" l="1"/>
  <c r="G21" i="9"/>
  <c r="F104" i="1"/>
  <c r="K21" i="9" l="1"/>
  <c r="I21" i="9" s="1"/>
  <c r="K21" i="8"/>
  <c r="I21" i="8" s="1"/>
  <c r="F103" i="1" l="1"/>
  <c r="D103" i="1"/>
  <c r="G20" i="8" l="1"/>
  <c r="G24" i="8" s="1"/>
  <c r="G26" i="8" s="1"/>
  <c r="G20" i="9"/>
  <c r="G24" i="9" s="1"/>
  <c r="G26" i="9" s="1"/>
  <c r="G34" i="9" s="1"/>
  <c r="G50" i="9" s="1"/>
  <c r="G54" i="9" s="1"/>
  <c r="K20" i="9"/>
  <c r="K20" i="8"/>
  <c r="K24" i="9" l="1"/>
  <c r="K26" i="9" s="1"/>
  <c r="I20" i="9"/>
  <c r="I24" i="9" s="1"/>
  <c r="I26" i="9" s="1"/>
  <c r="I34" i="9" s="1"/>
  <c r="I50" i="9" s="1"/>
  <c r="I54" i="9" s="1"/>
  <c r="I69" i="9" s="1"/>
  <c r="J14" i="5"/>
  <c r="G69" i="9"/>
  <c r="K19" i="10"/>
  <c r="G28" i="8"/>
  <c r="G35" i="8" s="1"/>
  <c r="G51" i="8" s="1"/>
  <c r="G55" i="8" s="1"/>
  <c r="I20" i="8"/>
  <c r="I24" i="8" s="1"/>
  <c r="I26" i="8" s="1"/>
  <c r="K24" i="8"/>
  <c r="K26" i="8" s="1"/>
  <c r="G14" i="5" l="1"/>
  <c r="G8" i="2"/>
  <c r="K74" i="8"/>
  <c r="J17" i="5"/>
  <c r="K28" i="10"/>
  <c r="G72" i="8"/>
  <c r="G77" i="8" s="1"/>
  <c r="M19" i="10"/>
  <c r="M23" i="10" s="1"/>
  <c r="K23" i="10"/>
  <c r="K34" i="9"/>
  <c r="K50" i="9" s="1"/>
  <c r="K54" i="9" s="1"/>
  <c r="K71" i="9"/>
  <c r="K28" i="8" l="1"/>
  <c r="N14" i="5"/>
  <c r="K69" i="9"/>
  <c r="K72" i="9" s="1"/>
  <c r="K34" i="10"/>
  <c r="M34" i="10" s="1"/>
  <c r="M28" i="10"/>
  <c r="K8" i="2"/>
  <c r="J22" i="5"/>
  <c r="G17" i="5"/>
  <c r="G22" i="5" s="1"/>
  <c r="G19" i="3" s="1"/>
  <c r="G22" i="3" s="1"/>
  <c r="K22" i="3" s="1"/>
  <c r="K25" i="3" s="1"/>
  <c r="G11" i="2"/>
  <c r="K37" i="10" l="1"/>
  <c r="M37" i="10" s="1"/>
  <c r="L14" i="5"/>
  <c r="I28" i="8"/>
  <c r="I35" i="8" s="1"/>
  <c r="I51" i="8" s="1"/>
  <c r="I55" i="8" s="1"/>
  <c r="I72" i="8" s="1"/>
  <c r="I77" i="8" s="1"/>
  <c r="K35" i="8"/>
  <c r="K51" i="8" s="1"/>
  <c r="K55" i="8" s="1"/>
  <c r="K11" i="2"/>
  <c r="N17" i="5" l="1"/>
  <c r="K72" i="8"/>
  <c r="D108" i="1" l="1"/>
  <c r="K77" i="8"/>
  <c r="K75" i="8"/>
  <c r="L17" i="5"/>
  <c r="L22" i="5" s="1"/>
  <c r="N22" i="5"/>
  <c r="D109" i="1" l="1"/>
  <c r="F108" i="1" l="1"/>
  <c r="D112" i="1"/>
  <c r="F109" i="1"/>
  <c r="F112" i="1" s="1"/>
</calcChain>
</file>

<file path=xl/comments1.xml><?xml version="1.0" encoding="utf-8"?>
<comments xmlns="http://schemas.openxmlformats.org/spreadsheetml/2006/main">
  <authors>
    <author>GRUBBE2</author>
  </authors>
  <commentList>
    <comment ref="C116" authorId="0" shapeId="0">
      <text>
        <r>
          <rPr>
            <b/>
            <sz val="9"/>
            <color indexed="81"/>
            <rFont val="Tahoma"/>
            <family val="2"/>
          </rPr>
          <t>GRUBBE2:</t>
        </r>
        <r>
          <rPr>
            <sz val="9"/>
            <color indexed="81"/>
            <rFont val="Tahoma"/>
            <family val="2"/>
          </rPr>
          <t xml:space="preserve">
Rate Base links to Exhibit 37. In excel model, refer to cell R540 on Schedule B-5.  Final Rate Base amount is hard coded to avoid circular references in revenue requirement calculation.
</t>
        </r>
      </text>
    </comment>
  </commentList>
</comments>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<sst xmlns="http://schemas.openxmlformats.org/spreadsheetml/2006/main" count="571" uniqueCount="306">
  <si>
    <t>Line No.</t>
  </si>
  <si>
    <t>Description</t>
  </si>
  <si>
    <t>Reference</t>
  </si>
  <si>
    <t xml:space="preserve"> Adjustments</t>
  </si>
  <si>
    <t>Adjustments:</t>
  </si>
  <si>
    <t>Total Adjustments:</t>
  </si>
  <si>
    <t>Account Description</t>
  </si>
  <si>
    <t>Line</t>
  </si>
  <si>
    <t>Base Year Total</t>
  </si>
  <si>
    <t>Notes:</t>
  </si>
  <si>
    <t>Adjustment by Account</t>
  </si>
  <si>
    <t>Workpaper #:</t>
  </si>
  <si>
    <t>Excel Reference:</t>
  </si>
  <si>
    <t>Work Paper Reference:</t>
  </si>
  <si>
    <t>Base Year Financial Data:</t>
  </si>
  <si>
    <t>Line Description</t>
  </si>
  <si>
    <t>Account</t>
  </si>
  <si>
    <t>NARUC</t>
  </si>
  <si>
    <t>A</t>
  </si>
  <si>
    <t>Supporting Exhibit Reference</t>
  </si>
  <si>
    <t>Line Number</t>
  </si>
  <si>
    <t>Adjustments for Proposed Rates</t>
  </si>
  <si>
    <t>Account No.</t>
  </si>
  <si>
    <t>Account Name</t>
  </si>
  <si>
    <t>Total</t>
  </si>
  <si>
    <t>Jurisdictional</t>
  </si>
  <si>
    <t>Jurisdictional Code /</t>
  </si>
  <si>
    <t>Account Title</t>
  </si>
  <si>
    <t>Utility</t>
  </si>
  <si>
    <t>Percent</t>
  </si>
  <si>
    <t>Jurisdiction</t>
  </si>
  <si>
    <t>Explanation</t>
  </si>
  <si>
    <t>NOT APPLICABLE TO KENTUCKY-AMERICAN WATER COMPANY.</t>
  </si>
  <si>
    <t>100% JURISDICTIONAL FOR KENTUCKY-AMERICAN WATER COMPANY.</t>
  </si>
  <si>
    <t>Current Rates</t>
  </si>
  <si>
    <t>Federal Tax Calculation</t>
  </si>
  <si>
    <t>Adjusted</t>
  </si>
  <si>
    <t>Category</t>
  </si>
  <si>
    <t>Item</t>
  </si>
  <si>
    <t>Base Period</t>
  </si>
  <si>
    <t>Adjustments</t>
  </si>
  <si>
    <t>Book Revenue (+)</t>
  </si>
  <si>
    <t>Operating Revenue</t>
  </si>
  <si>
    <t>Book Deductions (-)</t>
  </si>
  <si>
    <t>O&amp;M Expenses</t>
  </si>
  <si>
    <t>Depreciation, Amortization, &amp; Cost of Removal</t>
  </si>
  <si>
    <t>Taxes Other Than Income</t>
  </si>
  <si>
    <t>Current State Income Tax</t>
  </si>
  <si>
    <t>Interest Expense</t>
  </si>
  <si>
    <t>Total Book Deductions (Sum Lines 5 - 10)</t>
  </si>
  <si>
    <t>Book Pre-Tax Income (Line 2 + Line 11)</t>
  </si>
  <si>
    <t>Reconciling Items</t>
  </si>
  <si>
    <t>Permanent Differences:
(Deduction) or Reversal of Deduction</t>
  </si>
  <si>
    <t>Non-Deductible Meals</t>
  </si>
  <si>
    <t>Non-Deductible Penalties and Mandatory Dividends</t>
  </si>
  <si>
    <t>Pre-Tax Income After Perm. Differences (Line 13 + Line 17 + Line 18)</t>
  </si>
  <si>
    <t>Temporary Differences:
(Deduction) or Reversal of Deduction; Revenue or (Reversal of Revenue)</t>
  </si>
  <si>
    <t>Deduct Tax Depreciation (State or Federal)</t>
  </si>
  <si>
    <t>Reverse Deduction of Book Depreciation</t>
  </si>
  <si>
    <t>Reverse Deduction of Amortization of Property Losses</t>
  </si>
  <si>
    <t>Reverse Deduction of Amortization of UPAA</t>
  </si>
  <si>
    <t>Reverse Deduction of Deferred Maintenance Amortization</t>
  </si>
  <si>
    <t>Deduct Actual Deferred Maintenance Expenditures</t>
  </si>
  <si>
    <t>Reverse All CIAC Amortization Credits</t>
  </si>
  <si>
    <t>Reflect Actual Taxable CIAC Received</t>
  </si>
  <si>
    <t>Reflect Repairs Deduction</t>
  </si>
  <si>
    <t>Reflect Actual Cost of Removal</t>
  </si>
  <si>
    <t>Net Temporary (Deductions) or Reversal of Deductions (Sum Lines 22 - 32)</t>
  </si>
  <si>
    <t>Pre-Tax Income After Permanent and Temporary Differences (Line 19 + Line 33)</t>
  </si>
  <si>
    <t>Calculation of Current Federal Income Taxes</t>
  </si>
  <si>
    <t>Tax Rate</t>
  </si>
  <si>
    <t>Current Taxes (Line 35 x Line 38)</t>
  </si>
  <si>
    <t>Adjustment For Tax Provision</t>
  </si>
  <si>
    <t xml:space="preserve">Total Current Taxes </t>
  </si>
  <si>
    <t>Less:  Prior Year Adjustment</t>
  </si>
  <si>
    <t>Total Federal Income Taxes - Current (Line 41 - Line 42)</t>
  </si>
  <si>
    <t>Calculation of Deferred Federal Income Taxes</t>
  </si>
  <si>
    <t>Federal Defered Taxes Related to UPIS, CIAC, and Repairs</t>
  </si>
  <si>
    <t>Federal Defered Taxes Related to Deferred Maintenance</t>
  </si>
  <si>
    <t>Federal Defered Taxes Related to Property Losses</t>
  </si>
  <si>
    <t>Federal Defered Taxes Related to Cost of Removal</t>
  </si>
  <si>
    <t>Federal Defered Taxes  - Prior Year</t>
  </si>
  <si>
    <t>Items Deferred</t>
  </si>
  <si>
    <t>Sum Items Deferred</t>
  </si>
  <si>
    <t>Amortization of Deferred Income Tax Assets &amp; Liabilties</t>
  </si>
  <si>
    <t>Amortization of Deferred Regulatory Tax Assets &amp; Tax Liabilities</t>
  </si>
  <si>
    <t>Amortization of Deferred ITC</t>
  </si>
  <si>
    <t>Sum Total Federal Deferred Taxes + Amortization of ITC</t>
  </si>
  <si>
    <t>Total Current + Deferred Federal Income Taxes + Amortization of ITC (Line 43 + Line 59)</t>
  </si>
  <si>
    <t>Reverse Book Cost of Removal</t>
  </si>
  <si>
    <t>State Tax Calculation</t>
  </si>
  <si>
    <t>Calculation of Current State Income Taxes</t>
  </si>
  <si>
    <t>Total State Income Taxes (Line 41 - Line 42)</t>
  </si>
  <si>
    <t>Calculation of Deferred State Income Taxes</t>
  </si>
  <si>
    <t>State Defered Taxes Related to UPIS, CIAC, and Repairs</t>
  </si>
  <si>
    <t>State Defered Taxes Related to Deferred Maintenance</t>
  </si>
  <si>
    <t>State Defered Taxes Related to Property Losses</t>
  </si>
  <si>
    <t>State Defered Taxes Related to Cost of Removal</t>
  </si>
  <si>
    <t>State Defered Taxes  - Prior Year</t>
  </si>
  <si>
    <t>Sum Total Deferred Taxes</t>
  </si>
  <si>
    <t>Total Current + Deferred State Income Taxes (Line 43 + Line 57)</t>
  </si>
  <si>
    <t>At Proposed Rates</t>
  </si>
  <si>
    <t>Forecast Period</t>
  </si>
  <si>
    <t>Total Book Deductions (Sum Lines 5 - 9)</t>
  </si>
  <si>
    <t>Book Pre-Tax Income (Line 2 + Line 10)</t>
  </si>
  <si>
    <t>Pre-Tax Income After Perm. Differences (Line 12 + Line 16 + Line 17)</t>
  </si>
  <si>
    <t>Net Temporary (Deductions) or Reversal of Deductions (Sum Lines 21 - 31)</t>
  </si>
  <si>
    <t>Pre-Tax Income After Permanent and Temporary Differences (Line 18 + Line 32)</t>
  </si>
  <si>
    <t>Current Taxes (Line 34 x Line 37)</t>
  </si>
  <si>
    <t>Total Current + Deferred Federal Income Taxes + Amortization of ITC (Line 38 + Line 52)</t>
  </si>
  <si>
    <t>Total Current + Deferred State Income Taxes (Line 38 + Line 50)</t>
  </si>
  <si>
    <t>At Current Rates</t>
  </si>
  <si>
    <t>Present Rates</t>
  </si>
  <si>
    <t>Base</t>
  </si>
  <si>
    <t>Forecasted</t>
  </si>
  <si>
    <t>Period</t>
  </si>
  <si>
    <t xml:space="preserve"> Period</t>
  </si>
  <si>
    <t>Adjustment</t>
  </si>
  <si>
    <t>State Income Taxes</t>
  </si>
  <si>
    <t>Sch E-1.2</t>
  </si>
  <si>
    <t>Sch E-1.4</t>
  </si>
  <si>
    <t xml:space="preserve">  Current</t>
  </si>
  <si>
    <t xml:space="preserve">  Deferred</t>
  </si>
  <si>
    <t>Total State Income Taxes</t>
  </si>
  <si>
    <t>Federal Income Taxes</t>
  </si>
  <si>
    <t>Sch E-1.1</t>
  </si>
  <si>
    <t>Sch E-1.3</t>
  </si>
  <si>
    <t xml:space="preserve">  Amort. Def Reg Assets/Liab.</t>
  </si>
  <si>
    <t xml:space="preserve">  Deferred - ITC</t>
  </si>
  <si>
    <t>Total Federal Income Taxes</t>
  </si>
  <si>
    <t>Total Income Taxes</t>
  </si>
  <si>
    <t>Base Year Test Year Financial Data:</t>
  </si>
  <si>
    <t>Line #</t>
  </si>
  <si>
    <t>Forecasted Test Year Financial Data:</t>
  </si>
  <si>
    <t xml:space="preserve">Forecast </t>
  </si>
  <si>
    <t>Current FIT</t>
  </si>
  <si>
    <t>Calculated Current Tax</t>
  </si>
  <si>
    <t>Adjustment for tax Provision</t>
  </si>
  <si>
    <t xml:space="preserve">       Federal</t>
  </si>
  <si>
    <t xml:space="preserve">       State</t>
  </si>
  <si>
    <t xml:space="preserve">       Federal (deferred)</t>
  </si>
  <si>
    <t xml:space="preserve">       State (deferred)</t>
  </si>
  <si>
    <t>Prior Period Adjustment</t>
  </si>
  <si>
    <t>Current SIT</t>
  </si>
  <si>
    <t>Deferred State Income Tax</t>
  </si>
  <si>
    <t>Deferred Federal Income Tax</t>
  </si>
  <si>
    <t>Def SIT-Current</t>
  </si>
  <si>
    <t>Def SIT-Pr Yr Adj</t>
  </si>
  <si>
    <t>Def SIT-Other</t>
  </si>
  <si>
    <t>Calculated Deferred State Income Tax</t>
  </si>
  <si>
    <t>Amortization of Deferred ITCs</t>
  </si>
  <si>
    <t xml:space="preserve">Forecasted (Current Rates) </t>
  </si>
  <si>
    <t xml:space="preserve">Forecast (Purposed) </t>
  </si>
  <si>
    <t>State Tax Depreciation</t>
  </si>
  <si>
    <t>Federal Tax Depreciation</t>
  </si>
  <si>
    <t>Taxable AFUDC</t>
  </si>
  <si>
    <t>Actual Deferred Maintenance Expenditures</t>
  </si>
  <si>
    <t xml:space="preserve">    Property Losses</t>
  </si>
  <si>
    <t>AFUDC Gross Up</t>
  </si>
  <si>
    <t>CIAC Amortization</t>
  </si>
  <si>
    <t xml:space="preserve">    Repairs Maintenance</t>
  </si>
  <si>
    <t xml:space="preserve">(Not Included in Revenue Above) </t>
  </si>
  <si>
    <t xml:space="preserve">Deferred Debits </t>
  </si>
  <si>
    <t>Rate Base</t>
  </si>
  <si>
    <t xml:space="preserve">Weighted Cost of Debt </t>
  </si>
  <si>
    <t>Weighted Cost of Preferred Stock</t>
  </si>
  <si>
    <t>Within Interest, Mandatory Dividend</t>
  </si>
  <si>
    <t>Debt Type Capital</t>
  </si>
  <si>
    <t>Cost</t>
  </si>
  <si>
    <t>Annual Interest</t>
  </si>
  <si>
    <t>STD</t>
  </si>
  <si>
    <t>LTD</t>
  </si>
  <si>
    <t>Pref Stock</t>
  </si>
  <si>
    <t xml:space="preserve">Perm </t>
  </si>
  <si>
    <t xml:space="preserve">Temp </t>
  </si>
  <si>
    <t xml:space="preserve">Book Depreciation Life ((Life Rate Only, No CIAC Amortization) </t>
  </si>
  <si>
    <t>UPIS Deferred State Tax</t>
  </si>
  <si>
    <t>UPIS Deferred Federal Tax</t>
  </si>
  <si>
    <t>Amortization of Tax Reg Assets &amp; Liabilities State</t>
  </si>
  <si>
    <t>Amortization of Tax Reg Assets &amp; Liabilities Federal</t>
  </si>
  <si>
    <t>State Income Tax</t>
  </si>
  <si>
    <t>Federal Tax</t>
  </si>
  <si>
    <t>Current Federal Income Tax</t>
  </si>
  <si>
    <t>Investment Tax Credits</t>
  </si>
  <si>
    <t>Current State Tax</t>
  </si>
  <si>
    <t>Deferred State Tax</t>
  </si>
  <si>
    <t>Current Federal Tax</t>
  </si>
  <si>
    <t>Deferred Federal Tax</t>
  </si>
  <si>
    <t>Deferred Tax Components</t>
  </si>
  <si>
    <t>Federal Reg Asset / Liability</t>
  </si>
  <si>
    <t>Federal Other</t>
  </si>
  <si>
    <t>(Remainder Is ITC see above)</t>
  </si>
  <si>
    <t>State Reg Asset / Liability</t>
  </si>
  <si>
    <t>State Other</t>
  </si>
  <si>
    <t>Deferred Maintenance Amortization</t>
  </si>
  <si>
    <t>Sum</t>
  </si>
  <si>
    <t>State Income Tax - Current &amp; Deferred</t>
  </si>
  <si>
    <t>Federal Income Tax - Current &amp; Deferred</t>
  </si>
  <si>
    <t>SCHEDULE E-1.4</t>
  </si>
  <si>
    <t>SCHEDULE E-1.3</t>
  </si>
  <si>
    <t>SCHEDULE E-1.2</t>
  </si>
  <si>
    <t>SCHEDULE E-1.1</t>
  </si>
  <si>
    <t>SCHEDULE E-1.5</t>
  </si>
  <si>
    <t>SCHEDULE E-2</t>
  </si>
  <si>
    <t xml:space="preserve">Tax Depreciation </t>
  </si>
  <si>
    <t xml:space="preserve">Federal </t>
  </si>
  <si>
    <t xml:space="preserve">State </t>
  </si>
  <si>
    <t xml:space="preserve">Repairs </t>
  </si>
  <si>
    <t>Actual Cost of Removal</t>
  </si>
  <si>
    <t>Deferred Tax Related to UPIS, CIAC, and Repairs</t>
  </si>
  <si>
    <t>Federal</t>
  </si>
  <si>
    <t>State</t>
  </si>
  <si>
    <t>Tax Basis per Q3 provision</t>
  </si>
  <si>
    <t>Tax Depreciation per Q3 provision</t>
  </si>
  <si>
    <t>Book Basis per Q3 provision</t>
  </si>
  <si>
    <t>Book Depreciation per Q3 provision</t>
  </si>
  <si>
    <t>Net Activity</t>
  </si>
  <si>
    <t>State Deferred Tax</t>
  </si>
  <si>
    <t>Federal Deferred Tax</t>
  </si>
  <si>
    <t>Equity</t>
  </si>
  <si>
    <t>Plant Flow</t>
  </si>
  <si>
    <t xml:space="preserve">Customer </t>
  </si>
  <si>
    <t>Excess</t>
  </si>
  <si>
    <t>Gross-up</t>
  </si>
  <si>
    <t>Grossup</t>
  </si>
  <si>
    <t>Through</t>
  </si>
  <si>
    <t>Other</t>
  </si>
  <si>
    <t>Advances</t>
  </si>
  <si>
    <t>CIAC</t>
  </si>
  <si>
    <t>ITC</t>
  </si>
  <si>
    <t>Deferred Taxes</t>
  </si>
  <si>
    <t xml:space="preserve">Amortization of Deferred Reg Tax Assets &amp; Liabilities </t>
  </si>
  <si>
    <t xml:space="preserve">Amortization of Deferred ITC </t>
  </si>
  <si>
    <t>Accts 695xxx - Federal</t>
  </si>
  <si>
    <t xml:space="preserve">Change In Balance </t>
  </si>
  <si>
    <t>Change in Balance</t>
  </si>
  <si>
    <t>Account 69063000 - Federal</t>
  </si>
  <si>
    <t>Account 69073000 - State</t>
  </si>
  <si>
    <t xml:space="preserve">Tax Amortizations </t>
  </si>
  <si>
    <t>Forecasted expenses were deducted from operating revenues to arrive at pre-tax income.  From this number statutory add backs in the form of permanent differences, and deductions in the form of temporary differences,were made to arrive at the taxable income.  These statutory adjustments are shown as reconciling items.</t>
  </si>
  <si>
    <t>Def FIT-Current</t>
  </si>
  <si>
    <t>Def FIT-Pr Yr Adj</t>
  </si>
  <si>
    <t>Def FIT-Other</t>
  </si>
  <si>
    <t>13 Month Average from 2018 Cap Structure</t>
  </si>
  <si>
    <t>Base from 2018 Cap Structure</t>
  </si>
  <si>
    <t>September  2018 - Feburary 2019 per rate case</t>
  </si>
  <si>
    <t>March 2018 - August 2018</t>
  </si>
  <si>
    <t>For the 12 Months Ending June 30, 2020</t>
  </si>
  <si>
    <t xml:space="preserve">March 2018 - August 2018 Per Provision </t>
  </si>
  <si>
    <t>Full year estimate for 2018</t>
  </si>
  <si>
    <t>Apportioned for March - August 2018</t>
  </si>
  <si>
    <t>Balance March 2018</t>
  </si>
  <si>
    <t>Balance August 2018</t>
  </si>
  <si>
    <t>18603000/03500/05500</t>
  </si>
  <si>
    <t>271xxxxx &amp; 272xxxxx</t>
  </si>
  <si>
    <t>25510100
25510200
25510300</t>
  </si>
  <si>
    <r>
      <rPr>
        <b/>
        <sz val="11"/>
        <color rgb="FFFF0000"/>
        <rFont val="Calibri"/>
        <family val="2"/>
        <scheme val="minor"/>
      </rPr>
      <t xml:space="preserve">25621000 </t>
    </r>
    <r>
      <rPr>
        <b/>
        <sz val="11"/>
        <rFont val="Calibri"/>
        <family val="2"/>
        <scheme val="minor"/>
      </rPr>
      <t>25621200
25622000
25623200</t>
    </r>
  </si>
  <si>
    <t>25626100
25626200
25626000</t>
  </si>
  <si>
    <t>Jan - Feb 2019</t>
  </si>
  <si>
    <t>March - Dec 2018</t>
  </si>
  <si>
    <t>No Non-deductible per Income Statement</t>
  </si>
  <si>
    <t>Not in Income State LinkOut file</t>
  </si>
  <si>
    <t>Less: Deductions:</t>
  </si>
  <si>
    <t>Operating and Maintenance:</t>
  </si>
  <si>
    <t>Depreciation:</t>
  </si>
  <si>
    <t>Amortization of UPAA</t>
  </si>
  <si>
    <t>Amortization Expense</t>
  </si>
  <si>
    <t>Removal Costs:</t>
  </si>
  <si>
    <t>State Income Taxes:</t>
  </si>
  <si>
    <t>Federal Income Taxes:</t>
  </si>
  <si>
    <t>Investment Tax Credits:</t>
  </si>
  <si>
    <t>General Taxes</t>
  </si>
  <si>
    <t>Total Deductions:</t>
  </si>
  <si>
    <t>Property Tax</t>
  </si>
  <si>
    <t>Payroll Taxes</t>
  </si>
  <si>
    <t xml:space="preserve">Reg Assessment Fees </t>
  </si>
  <si>
    <t>Forecasted Year at Present Rates</t>
  </si>
  <si>
    <t>(Based on 2017 Data) R:\KY\2018 Water Rate Case\Exhibits Support\Rate Base\KY Depr Activity_0115-0818.xlsx</t>
  </si>
  <si>
    <t>Calculated based on 3 year cost of removal R:\KY\2018 Water Rate Case\Exhibits Support\Rate Base\KY Depr Activity_0115-0818.xlsx</t>
  </si>
  <si>
    <t>Check:</t>
  </si>
  <si>
    <t>imm</t>
  </si>
  <si>
    <t>Proposed Rates</t>
  </si>
  <si>
    <t>Fed + State</t>
  </si>
  <si>
    <t>Forecast - Present Rates</t>
  </si>
  <si>
    <t>Base Year</t>
  </si>
  <si>
    <t>R:\KY\2018 Water Rate Case\Exhibits\Rate Base\KAWC 2018 Rate Case - Capital-Depr Exp.xlsx</t>
  </si>
  <si>
    <t>R:\KY\2018 Water Rate Case\Taxes\Supporting Workpaper\Taxable CIAC March - August 2018.xlsx</t>
  </si>
  <si>
    <t>March 2018 - August 2018 Per SAP (25227000/27123000/27126000/27127000)</t>
  </si>
  <si>
    <t>Jan - June'2020</t>
  </si>
  <si>
    <t>July - Dec 2019</t>
  </si>
  <si>
    <t>Forecast Year for 12 Months ended 6/30/2020</t>
  </si>
  <si>
    <t xml:space="preserve">Book  Depreciation </t>
  </si>
  <si>
    <t>Forecast Year</t>
  </si>
  <si>
    <t>March 2018 - August 2018 Per Ledger</t>
  </si>
  <si>
    <t>Acquisitions</t>
  </si>
  <si>
    <t xml:space="preserve">Actual Taxable CIAC/Advances Received </t>
  </si>
  <si>
    <t>Tax Amortizations</t>
  </si>
  <si>
    <t>September  2018 - Feburary 2019 per rate case - CIAC</t>
  </si>
  <si>
    <t>September  2018 - Feburary 2019 per rate case - Advances</t>
  </si>
  <si>
    <t>Taxable CIAC/Advances Contributed</t>
  </si>
  <si>
    <t>13-Month Rate Base</t>
  </si>
  <si>
    <t>Jurisdictional Factors for Income Tax Expense</t>
  </si>
  <si>
    <t>Meals Non-Deductible</t>
  </si>
  <si>
    <t>Meals Deductible</t>
  </si>
  <si>
    <t>Federal and State Tax Adjustment</t>
  </si>
  <si>
    <t>Operating Revenue at Present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</si>
</sst>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_ ;[Red]\-#,##0.00;\-"/>
    <numFmt numFmtId="166" formatCode="_-* #,##0_-;\-* #,##0_-;_-* &quot;-&quot;_-;_-@_-"/>
    <numFmt numFmtId="167" formatCode="#,##0.0_)_x;\(#,##0.0\)_x"/>
    <numFmt numFmtId="168" formatCode="\£\ #,##0_);[Red]\(\£\ #,##0\)"/>
    <numFmt numFmtId="169" formatCode="0.000_)"/>
    <numFmt numFmtId="170" formatCode="\ \ _•\–\ \ \ \ @"/>
    <numFmt numFmtId="171" formatCode="_-[$€-2]* #,##0.00_-;\-[$€-2]* #,##0.00_-;_-[$€-2]* &quot;-&quot;??_-"/>
    <numFmt numFmtId="172" formatCode="_-* #,##0\ _P_t_s_-;\-* #,##0\ _P_t_s_-;_-* &quot;-&quot;\ _P_t_s_-;_-@_-"/>
    <numFmt numFmtId="173" formatCode="_-* #,##0.00\ _P_t_s_-;\-* #,##0.00\ _P_t_s_-;_-* &quot;-&quot;??\ _P_t_s_-;_-@_-"/>
    <numFmt numFmtId="174" formatCode="_-&quot;S/.&quot;* #,##0_-;\-&quot;S/.&quot;* #,##0_-;_-&quot;S/.&quot;* &quot;-&quot;_-;_-@_-"/>
    <numFmt numFmtId="175" formatCode="_-&quot;S/.&quot;* #,##0.00_-;\-&quot;S/.&quot;* #,##0.00_-;_-&quot;S/.&quot;* &quot;-&quot;??_-;_-@_-"/>
    <numFmt numFmtId="176" formatCode="0.00_)"/>
    <numFmt numFmtId="177" formatCode="#,##0.0_);\(#,##0.0\)"/>
    <numFmt numFmtId="178" formatCode="_(&quot;$&quot;* #,##0_);_(&quot;$&quot;* \(#,##0\);_(&quot;$&quot;* &quot;-&quot;??_);_(@_)"/>
    <numFmt numFmtId="179" formatCode="[$-409]mmmm\ d\,\ yyyy;@"/>
    <numFmt numFmtId="180" formatCode="0.0%"/>
    <numFmt numFmtId="181" formatCode="[$-409]mmm\-yy;@"/>
    <numFmt numFmtId="182" formatCode="###,000"/>
    <numFmt numFmtId="183" formatCode="0_);\(0\)"/>
  </numFmts>
  <fonts count="79">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sz val="12"/>
      <name val="Arial"/>
      <family val="2"/>
    </font>
    <font>
      <b/>
      <sz val="12"/>
      <color theme="1"/>
      <name val="Calibri"/>
      <family val="2"/>
      <scheme val="minor"/>
    </font>
    <font>
      <sz val="12"/>
      <color theme="1"/>
      <name val="Calibri"/>
      <family val="2"/>
      <scheme val="minor"/>
    </font>
    <font>
      <sz val="11"/>
      <color theme="3"/>
      <name val="Calibri"/>
      <family val="2"/>
      <scheme val="minor"/>
    </font>
    <font>
      <sz val="11"/>
      <color theme="4"/>
      <name val="Calibri"/>
      <family val="2"/>
      <scheme val="minor"/>
    </font>
    <font>
      <b/>
      <sz val="11"/>
      <name val="Arial"/>
      <family val="2"/>
    </font>
    <font>
      <sz val="11"/>
      <name val="Calibri"/>
      <family val="2"/>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8"/>
      <color theme="1"/>
      <name val="Verdana"/>
      <family val="2"/>
    </font>
    <font>
      <sz val="8"/>
      <color theme="1"/>
      <name val="Verdana"/>
      <family val="2"/>
    </font>
    <font>
      <i/>
      <sz val="8"/>
      <color rgb="FF000000"/>
      <name val="Verdana"/>
      <family val="2"/>
    </font>
    <font>
      <sz val="8"/>
      <color rgb="FF000000"/>
      <name val="Verdana"/>
      <family val="2"/>
    </font>
    <font>
      <sz val="10"/>
      <color rgb="FF000000"/>
      <name val="Calibri"/>
      <family val="2"/>
      <scheme val="minor"/>
    </font>
    <font>
      <u/>
      <sz val="11"/>
      <color indexed="8"/>
      <name val="Calibri"/>
      <family val="2"/>
      <scheme val="minor"/>
    </font>
    <font>
      <b/>
      <sz val="11"/>
      <name val="Calibri"/>
      <family val="2"/>
    </font>
    <font>
      <sz val="11"/>
      <name val="Calibri"/>
      <family val="2"/>
      <scheme val="minor"/>
    </font>
    <font>
      <u val="singleAccounting"/>
      <sz val="11"/>
      <color theme="1"/>
      <name val="Calibri"/>
      <family val="2"/>
      <scheme val="minor"/>
    </font>
    <font>
      <b/>
      <u/>
      <sz val="11"/>
      <color theme="1"/>
      <name val="Calibri"/>
      <family val="2"/>
      <scheme val="minor"/>
    </font>
    <font>
      <sz val="10"/>
      <name val="Calibri"/>
      <family val="2"/>
      <scheme val="minor"/>
    </font>
    <font>
      <b/>
      <sz val="10"/>
      <name val="Calibri"/>
      <family val="2"/>
      <scheme val="minor"/>
    </font>
    <font>
      <b/>
      <sz val="11"/>
      <color rgb="FFFF0000"/>
      <name val="Calibri"/>
      <family val="2"/>
      <scheme val="minor"/>
    </font>
    <font>
      <b/>
      <sz val="10"/>
      <color rgb="FF000000"/>
      <name val="Calibri"/>
      <family val="2"/>
      <scheme val="minor"/>
    </font>
    <font>
      <sz val="11"/>
      <color rgb="FFFF0000"/>
      <name val="Calibri"/>
      <family val="2"/>
      <scheme val="minor"/>
    </font>
    <font>
      <sz val="11"/>
      <color theme="0"/>
      <name val="Calibri"/>
      <family val="2"/>
      <scheme val="minor"/>
    </font>
    <font>
      <sz val="10"/>
      <color theme="0"/>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CC"/>
      </patternFill>
    </fill>
    <fill>
      <patternFill patternType="solid">
        <fgColor rgb="FFFFFFFF"/>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DBE5F2"/>
        <bgColor rgb="FF000000"/>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93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2" borderId="0"/>
    <xf numFmtId="0" fontId="5" fillId="2" borderId="0"/>
    <xf numFmtId="0" fontId="6" fillId="2" borderId="0"/>
    <xf numFmtId="0" fontId="7" fillId="2" borderId="0"/>
    <xf numFmtId="0" fontId="8" fillId="2" borderId="0"/>
    <xf numFmtId="0" fontId="9" fillId="2" borderId="0"/>
    <xf numFmtId="0" fontId="10" fillId="2" borderId="0"/>
    <xf numFmtId="165" fontId="4" fillId="3" borderId="2"/>
    <xf numFmtId="166" fontId="4" fillId="3" borderId="2"/>
    <xf numFmtId="165" fontId="4" fillId="3" borderId="2"/>
    <xf numFmtId="165" fontId="4" fillId="3" borderId="2"/>
    <xf numFmtId="165" fontId="4" fillId="3" borderId="2"/>
    <xf numFmtId="165" fontId="4" fillId="3" borderId="2"/>
    <xf numFmtId="0" fontId="6" fillId="3" borderId="0"/>
    <xf numFmtId="167" fontId="4" fillId="0" borderId="0" applyFont="0" applyFill="0" applyBorder="0" applyAlignment="0" applyProtection="0"/>
    <xf numFmtId="0" fontId="4" fillId="2" borderId="0"/>
    <xf numFmtId="0" fontId="5" fillId="2" borderId="0"/>
    <xf numFmtId="0" fontId="6" fillId="2" borderId="0"/>
    <xf numFmtId="0" fontId="4" fillId="2" borderId="0"/>
    <xf numFmtId="0" fontId="8" fillId="2" borderId="0"/>
    <xf numFmtId="0" fontId="9" fillId="2" borderId="0"/>
    <xf numFmtId="0" fontId="10" fillId="2" borderId="0"/>
    <xf numFmtId="0" fontId="11" fillId="0" borderId="0" applyNumberFormat="0" applyFill="0" applyBorder="0" applyProtection="0">
      <alignment horizontal="centerContinuous"/>
    </xf>
    <xf numFmtId="0" fontId="4" fillId="0" borderId="0"/>
    <xf numFmtId="168" fontId="12" fillId="0" borderId="0" applyFont="0" applyFill="0" applyBorder="0" applyAlignment="0" applyProtection="0"/>
    <xf numFmtId="0" fontId="12"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0" fontId="23" fillId="0" borderId="0" applyFont="0" applyFill="0" applyBorder="0" applyAlignment="0" applyProtection="0"/>
    <xf numFmtId="40" fontId="23" fillId="0" borderId="0" applyFont="0" applyFill="0" applyBorder="0" applyAlignment="0" applyProtection="0"/>
    <xf numFmtId="43" fontId="4" fillId="0" borderId="0" applyFont="0" applyFill="0" applyBorder="0" applyAlignment="0" applyProtection="0"/>
    <xf numFmtId="8" fontId="24" fillId="0" borderId="5">
      <protection locked="0"/>
    </xf>
    <xf numFmtId="170" fontId="12" fillId="0" borderId="0" applyFont="0" applyFill="0" applyBorder="0" applyAlignment="0" applyProtection="0"/>
    <xf numFmtId="171"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1" fillId="0" borderId="0" applyNumberFormat="0" applyFill="0" applyBorder="0" applyAlignment="0">
      <protection locked="0"/>
    </xf>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174" fontId="33" fillId="0" borderId="0" applyFont="0" applyFill="0" applyBorder="0" applyAlignment="0" applyProtection="0"/>
    <xf numFmtId="175" fontId="33" fillId="0" borderId="0" applyFont="0" applyFill="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176" fontId="35"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37" fillId="0" borderId="0"/>
    <xf numFmtId="0" fontId="36"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37" fillId="25" borderId="10" applyNumberFormat="0" applyFont="0" applyAlignment="0" applyProtection="0"/>
    <xf numFmtId="0" fontId="37"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0" fillId="0" borderId="0" applyNumberFormat="0" applyFill="0" applyBorder="0" applyAlignment="0" applyProtection="0"/>
    <xf numFmtId="40" fontId="38" fillId="0" borderId="0" applyFont="0" applyFill="0" applyBorder="0" applyAlignment="0" applyProtection="0"/>
    <xf numFmtId="38" fontId="38" fillId="0" borderId="0" applyFont="0" applyFill="0" applyBorder="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9" fontId="22" fillId="0" borderId="0" applyFont="0" applyFill="0" applyBorder="0" applyAlignment="0" applyProtection="0"/>
    <xf numFmtId="7" fontId="40" fillId="0" borderId="0" applyFont="0" applyFill="0" applyBorder="0" applyAlignment="0" applyProtection="0"/>
    <xf numFmtId="0" fontId="41" fillId="0" borderId="12" applyNumberFormat="0" applyAlignment="0"/>
    <xf numFmtId="177" fontId="42" fillId="0" borderId="0"/>
    <xf numFmtId="0" fontId="42" fillId="0" borderId="13">
      <alignment horizontal="centerContinuous"/>
    </xf>
    <xf numFmtId="0" fontId="42" fillId="0" borderId="13">
      <protection locked="0"/>
    </xf>
    <xf numFmtId="0" fontId="42" fillId="0" borderId="13">
      <alignment horizontal="centerContinuous"/>
    </xf>
    <xf numFmtId="177" fontId="42" fillId="0" borderId="0"/>
    <xf numFmtId="0" fontId="42" fillId="0" borderId="13">
      <protection locked="0"/>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0" fontId="42" fillId="0" borderId="13">
      <protection locked="0"/>
    </xf>
    <xf numFmtId="177" fontId="42" fillId="0" borderId="0"/>
    <xf numFmtId="177" fontId="42" fillId="0" borderId="0"/>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protection locked="0"/>
    </xf>
    <xf numFmtId="0" fontId="42" fillId="0" borderId="13">
      <alignment horizontal="centerContinuous"/>
    </xf>
    <xf numFmtId="0" fontId="42" fillId="0" borderId="13">
      <protection locked="0"/>
    </xf>
    <xf numFmtId="0" fontId="42" fillId="0" borderId="13">
      <protection locked="0"/>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177" fontId="42" fillId="0" borderId="0"/>
    <xf numFmtId="0" fontId="33" fillId="0" borderId="0"/>
    <xf numFmtId="0" fontId="37" fillId="0" borderId="0" applyNumberFormat="0" applyBorder="0" applyAlignment="0"/>
    <xf numFmtId="0" fontId="42" fillId="0" borderId="0" applyNumberFormat="0" applyBorder="0" applyAlignment="0"/>
    <xf numFmtId="0" fontId="43" fillId="0" borderId="0" applyNumberFormat="0" applyBorder="0" applyAlignment="0"/>
    <xf numFmtId="0" fontId="18" fillId="0" borderId="0" applyNumberFormat="0" applyBorder="0" applyAlignment="0"/>
    <xf numFmtId="0" fontId="42" fillId="0" borderId="0" applyNumberFormat="0" applyBorder="0" applyAlignment="0"/>
    <xf numFmtId="0" fontId="17" fillId="0" borderId="1">
      <alignment horizontal="center"/>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6" fillId="0" borderId="0"/>
    <xf numFmtId="3" fontId="47" fillId="0" borderId="0"/>
    <xf numFmtId="0" fontId="4" fillId="0" borderId="0"/>
    <xf numFmtId="9" fontId="3" fillId="0" borderId="0" applyFont="0" applyFill="0" applyBorder="0" applyAlignment="0" applyProtection="0"/>
    <xf numFmtId="0" fontId="4" fillId="0" borderId="0"/>
    <xf numFmtId="0" fontId="4" fillId="0" borderId="0"/>
    <xf numFmtId="182" fontId="61" fillId="28" borderId="20" applyNumberFormat="0" applyAlignment="0" applyProtection="0">
      <alignment horizontal="left" vertical="center" indent="1"/>
    </xf>
    <xf numFmtId="182" fontId="61" fillId="0" borderId="21" applyNumberFormat="0" applyProtection="0">
      <alignment horizontal="right" vertical="center"/>
    </xf>
    <xf numFmtId="0" fontId="59" fillId="0" borderId="0"/>
    <xf numFmtId="0" fontId="60" fillId="29" borderId="20" applyNumberFormat="0" applyAlignment="0" applyProtection="0">
      <alignment horizontal="left" vertical="center" indent="1"/>
    </xf>
    <xf numFmtId="43" fontId="59" fillId="0" borderId="0" applyFont="0" applyFill="0" applyBorder="0" applyAlignment="0" applyProtection="0"/>
    <xf numFmtId="0" fontId="62" fillId="0" borderId="22" applyNumberFormat="0" applyFill="0" applyBorder="0" applyAlignment="0" applyProtection="0"/>
    <xf numFmtId="0" fontId="60" fillId="29" borderId="23" applyNumberFormat="0" applyAlignment="0" applyProtection="0">
      <alignment horizontal="left" vertical="center" indent="1"/>
    </xf>
    <xf numFmtId="182" fontId="60" fillId="0" borderId="21" applyNumberFormat="0" applyProtection="0">
      <alignment horizontal="right" vertical="center"/>
    </xf>
    <xf numFmtId="0" fontId="63" fillId="30" borderId="23" applyNumberFormat="0" applyAlignment="0" applyProtection="0">
      <alignment horizontal="left" vertical="center" indent="1"/>
    </xf>
    <xf numFmtId="0" fontId="63" fillId="31" borderId="20" applyNumberFormat="0" applyAlignment="0" applyProtection="0">
      <alignment horizontal="left" vertical="center" indent="1"/>
    </xf>
    <xf numFmtId="0" fontId="63" fillId="32" borderId="20" applyNumberFormat="0" applyAlignment="0" applyProtection="0">
      <alignment horizontal="left" vertical="center" indent="1"/>
    </xf>
    <xf numFmtId="3" fontId="49" fillId="0" borderId="0"/>
    <xf numFmtId="0" fontId="3" fillId="0" borderId="0"/>
    <xf numFmtId="44" fontId="49"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59" fillId="0" borderId="0"/>
    <xf numFmtId="43" fontId="4" fillId="0" borderId="0" applyFont="0" applyFill="0" applyBorder="0" applyAlignment="0" applyProtection="0"/>
    <xf numFmtId="0" fontId="3" fillId="27" borderId="18" applyNumberFormat="0" applyFont="0" applyAlignment="0" applyProtection="0"/>
    <xf numFmtId="4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59" fillId="0" borderId="0"/>
    <xf numFmtId="43" fontId="59" fillId="0" borderId="0" applyFont="0" applyFill="0" applyBorder="0" applyAlignment="0" applyProtection="0"/>
    <xf numFmtId="44" fontId="59" fillId="0" borderId="0" applyFont="0" applyFill="0" applyBorder="0" applyAlignment="0" applyProtection="0"/>
  </cellStyleXfs>
  <cellXfs count="410">
    <xf numFmtId="0" fontId="0" fillId="0" borderId="0" xfId="0"/>
    <xf numFmtId="0" fontId="2" fillId="0" borderId="0" xfId="0" applyFont="1" applyAlignment="1"/>
    <xf numFmtId="0" fontId="1" fillId="0" borderId="0" xfId="0" applyFont="1"/>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41" fontId="1" fillId="0" borderId="0" xfId="0" applyNumberFormat="1" applyFont="1"/>
    <xf numFmtId="41" fontId="2" fillId="0" borderId="0" xfId="0" applyNumberFormat="1" applyFont="1"/>
    <xf numFmtId="10" fontId="1" fillId="0" borderId="0" xfId="0" applyNumberFormat="1" applyFont="1"/>
    <xf numFmtId="0" fontId="0" fillId="0" borderId="0" xfId="0"/>
    <xf numFmtId="42"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178"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37" fontId="0" fillId="0" borderId="1" xfId="0" applyNumberFormat="1" applyBorder="1"/>
    <xf numFmtId="0" fontId="48" fillId="0" borderId="0" xfId="0" applyFont="1" applyFill="1" applyBorder="1" applyAlignment="1">
      <alignment horizontal="right" wrapText="1" indent="1"/>
    </xf>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178" fontId="48" fillId="0" borderId="0" xfId="0" applyNumberFormat="1" applyFont="1" applyBorder="1"/>
    <xf numFmtId="0" fontId="0" fillId="0" borderId="0" xfId="0" applyFont="1"/>
    <xf numFmtId="37" fontId="0" fillId="0" borderId="1" xfId="0" applyNumberFormat="1" applyFill="1" applyBorder="1"/>
    <xf numFmtId="0" fontId="53" fillId="0" borderId="0" xfId="0" applyFont="1" applyBorder="1" applyAlignment="1">
      <alignment horizontal="center"/>
    </xf>
    <xf numFmtId="44" fontId="52" fillId="0" borderId="0" xfId="0" applyNumberFormat="1" applyFont="1" applyBorder="1"/>
    <xf numFmtId="0" fontId="0" fillId="0" borderId="0" xfId="0"/>
    <xf numFmtId="41" fontId="0" fillId="0" borderId="0" xfId="0" applyNumberFormat="1"/>
    <xf numFmtId="3"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0" fontId="48" fillId="0" borderId="0" xfId="0" applyFont="1" applyFill="1" applyBorder="1" applyAlignment="1">
      <alignment horizontal="right" wrapText="1" indent="1"/>
    </xf>
    <xf numFmtId="41" fontId="0" fillId="0" borderId="1" xfId="0" applyNumberFormat="1" applyBorder="1"/>
    <xf numFmtId="9" fontId="0" fillId="0" borderId="1" xfId="1898" applyFon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37" fontId="0" fillId="0" borderId="0" xfId="0" applyNumberFormat="1" applyFill="1"/>
    <xf numFmtId="0" fontId="48" fillId="0" borderId="0" xfId="0" applyFont="1" applyFill="1" applyBorder="1" applyAlignment="1">
      <alignment wrapText="1"/>
    </xf>
    <xf numFmtId="0" fontId="0" fillId="0" borderId="0" xfId="0" applyFill="1" applyBorder="1" applyAlignment="1">
      <alignment horizontal="center"/>
    </xf>
    <xf numFmtId="0" fontId="50" fillId="0" borderId="0" xfId="0" applyFont="1" applyAlignment="1">
      <alignment horizontal="left"/>
    </xf>
    <xf numFmtId="37" fontId="0" fillId="0" borderId="0" xfId="0" applyNumberFormat="1" applyBorder="1"/>
    <xf numFmtId="0" fontId="0" fillId="0" borderId="1" xfId="0" applyFill="1" applyBorder="1"/>
    <xf numFmtId="0" fontId="50" fillId="0" borderId="0" xfId="0" applyFont="1" applyAlignment="1">
      <alignment horizontal="right"/>
    </xf>
    <xf numFmtId="41" fontId="0" fillId="0" borderId="0" xfId="0" applyNumberFormat="1" applyBorder="1"/>
    <xf numFmtId="0" fontId="0" fillId="0" borderId="0" xfId="0" applyFont="1"/>
    <xf numFmtId="42" fontId="0" fillId="0" borderId="0" xfId="0" applyNumberFormat="1" applyFont="1"/>
    <xf numFmtId="0" fontId="51" fillId="0" borderId="0" xfId="0" applyFont="1" applyAlignment="1">
      <alignment horizontal="right"/>
    </xf>
    <xf numFmtId="0" fontId="0" fillId="0" borderId="0" xfId="0" applyFont="1" applyAlignment="1">
      <alignment horizontal="center"/>
    </xf>
    <xf numFmtId="0" fontId="0" fillId="0" borderId="0" xfId="0"/>
    <xf numFmtId="42" fontId="0" fillId="0" borderId="0" xfId="0" applyNumberFormat="1"/>
    <xf numFmtId="41"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178" fontId="0" fillId="0" borderId="0" xfId="1" applyNumberFormat="1" applyFont="1" applyBorder="1"/>
    <xf numFmtId="0" fontId="0" fillId="0" borderId="1" xfId="0" applyFill="1" applyBorder="1" applyAlignment="1">
      <alignment horizontal="left" indent="1"/>
    </xf>
    <xf numFmtId="180" fontId="0" fillId="0" borderId="1" xfId="1898" applyNumberFormat="1" applyFont="1" applyBorder="1"/>
    <xf numFmtId="42" fontId="0" fillId="0" borderId="0" xfId="0" applyNumberFormat="1" applyBorder="1"/>
    <xf numFmtId="0" fontId="48" fillId="0" borderId="0" xfId="0" applyFont="1" applyFill="1" applyBorder="1" applyAlignment="1">
      <alignment horizontal="right" wrapText="1" indent="1"/>
    </xf>
    <xf numFmtId="41" fontId="0" fillId="0" borderId="1" xfId="0" applyNumberForma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41" fontId="0" fillId="0" borderId="0" xfId="0" applyNumberFormat="1" applyBorder="1"/>
    <xf numFmtId="41" fontId="0" fillId="0" borderId="0" xfId="1" applyNumberFormat="1" applyFont="1" applyBorder="1"/>
    <xf numFmtId="41" fontId="0" fillId="0" borderId="0" xfId="1" applyNumberFormat="1" applyFont="1" applyFill="1" applyBorder="1"/>
    <xf numFmtId="0" fontId="0" fillId="0" borderId="0" xfId="0"/>
    <xf numFmtId="42" fontId="0" fillId="0" borderId="0" xfId="0" applyNumberFormat="1"/>
    <xf numFmtId="0" fontId="0" fillId="0" borderId="1" xfId="0" applyBorder="1"/>
    <xf numFmtId="0" fontId="48" fillId="0" borderId="1" xfId="0" applyFont="1" applyBorder="1" applyAlignment="1">
      <alignment horizontal="center"/>
    </xf>
    <xf numFmtId="0" fontId="48" fillId="0" borderId="0" xfId="0" applyFont="1" applyAlignment="1">
      <alignment horizontal="center"/>
    </xf>
    <xf numFmtId="0" fontId="0" fillId="0" borderId="0" xfId="0" applyAlignment="1">
      <alignment horizontal="center"/>
    </xf>
    <xf numFmtId="0" fontId="0" fillId="0" borderId="0" xfId="0" applyFont="1"/>
    <xf numFmtId="0" fontId="0" fillId="0" borderId="0" xfId="0" applyFont="1" applyFill="1"/>
    <xf numFmtId="179" fontId="0" fillId="0" borderId="0" xfId="0" applyNumberFormat="1" applyFont="1" applyFill="1" applyAlignment="1">
      <alignment horizontal="left"/>
    </xf>
    <xf numFmtId="49" fontId="0" fillId="0" borderId="0" xfId="0" applyNumberFormat="1" applyFont="1" applyFill="1"/>
    <xf numFmtId="43" fontId="0" fillId="0" borderId="0" xfId="2" applyFont="1"/>
    <xf numFmtId="0" fontId="56" fillId="0" borderId="1" xfId="0" applyFont="1" applyBorder="1" applyAlignment="1">
      <alignment horizontal="center"/>
    </xf>
    <xf numFmtId="181" fontId="56" fillId="0" borderId="1" xfId="0" applyNumberFormat="1" applyFont="1" applyBorder="1" applyAlignment="1">
      <alignment horizontal="center"/>
    </xf>
    <xf numFmtId="14" fontId="0" fillId="0" borderId="0" xfId="0" applyNumberFormat="1" applyFont="1" applyFill="1"/>
    <xf numFmtId="0" fontId="0" fillId="26" borderId="0" xfId="0" applyFont="1" applyFill="1"/>
    <xf numFmtId="14" fontId="48" fillId="0" borderId="0" xfId="0" applyNumberFormat="1" applyFont="1"/>
    <xf numFmtId="14" fontId="48" fillId="0" borderId="0" xfId="0" applyNumberFormat="1" applyFont="1" applyFill="1"/>
    <xf numFmtId="0" fontId="48" fillId="0" borderId="0" xfId="0" applyFont="1" applyFill="1"/>
    <xf numFmtId="0" fontId="0" fillId="0" borderId="0" xfId="0" applyFont="1" applyAlignment="1"/>
    <xf numFmtId="43" fontId="0" fillId="0" borderId="0" xfId="2" applyFont="1" applyBorder="1"/>
    <xf numFmtId="0" fontId="48" fillId="0" borderId="1" xfId="0" applyFont="1" applyBorder="1" applyAlignment="1">
      <alignment horizontal="center" wrapText="1"/>
    </xf>
    <xf numFmtId="0" fontId="48" fillId="0" borderId="0" xfId="0" applyFont="1" applyAlignment="1">
      <alignment horizontal="center" wrapText="1"/>
    </xf>
    <xf numFmtId="0" fontId="0" fillId="0" borderId="0" xfId="0" applyFont="1" applyAlignment="1">
      <alignment wrapText="1"/>
    </xf>
    <xf numFmtId="14" fontId="57" fillId="0" borderId="1" xfId="1896" applyNumberFormat="1" applyFont="1" applyBorder="1" applyAlignment="1">
      <alignment horizontal="center" wrapText="1"/>
    </xf>
    <xf numFmtId="3" fontId="57" fillId="0" borderId="1" xfId="1896" applyFont="1" applyBorder="1" applyAlignment="1">
      <alignment horizontal="center" wrapText="1"/>
    </xf>
    <xf numFmtId="3" fontId="57" fillId="0" borderId="0" xfId="1896" applyFont="1" applyFill="1" applyBorder="1" applyAlignment="1">
      <alignment horizontal="center" wrapText="1"/>
    </xf>
    <xf numFmtId="178" fontId="0" fillId="0" borderId="16" xfId="1" applyNumberFormat="1" applyFont="1" applyBorder="1"/>
    <xf numFmtId="0" fontId="48" fillId="0" borderId="0" xfId="0" applyFont="1" applyAlignment="1">
      <alignment horizontal="left"/>
    </xf>
    <xf numFmtId="0" fontId="0" fillId="0" borderId="0" xfId="0" applyNumberFormat="1" applyFont="1" applyAlignment="1">
      <alignment horizontal="center"/>
    </xf>
    <xf numFmtId="0" fontId="48" fillId="0" borderId="0" xfId="0" applyFont="1" applyAlignment="1"/>
    <xf numFmtId="0" fontId="48" fillId="0" borderId="0" xfId="0" applyFont="1" applyFill="1" applyAlignment="1">
      <alignment horizontal="right"/>
    </xf>
    <xf numFmtId="0" fontId="48" fillId="0" borderId="0" xfId="0" applyFont="1" applyBorder="1" applyAlignment="1">
      <alignment wrapText="1"/>
    </xf>
    <xf numFmtId="0" fontId="48" fillId="0" borderId="0" xfId="0" applyFont="1" applyBorder="1" applyAlignment="1">
      <alignment horizontal="center" wrapText="1"/>
    </xf>
    <xf numFmtId="5" fontId="0" fillId="0" borderId="0" xfId="1" applyNumberFormat="1" applyFont="1" applyBorder="1"/>
    <xf numFmtId="5" fontId="0" fillId="0" borderId="0" xfId="0" applyNumberFormat="1" applyFont="1" applyBorder="1"/>
    <xf numFmtId="37" fontId="0" fillId="0" borderId="0" xfId="0" applyNumberFormat="1" applyFont="1"/>
    <xf numFmtId="0" fontId="0" fillId="0" borderId="0" xfId="0" applyFont="1" applyAlignment="1">
      <alignment horizontal="left" wrapText="1" indent="3"/>
    </xf>
    <xf numFmtId="37" fontId="0" fillId="0" borderId="0" xfId="2" applyNumberFormat="1" applyFont="1" applyBorder="1"/>
    <xf numFmtId="37" fontId="0" fillId="0" borderId="0" xfId="0" applyNumberFormat="1" applyFont="1" applyAlignment="1">
      <alignment horizontal="center"/>
    </xf>
    <xf numFmtId="5" fontId="0" fillId="0" borderId="16" xfId="0" applyNumberFormat="1" applyFont="1" applyBorder="1"/>
    <xf numFmtId="5" fontId="0" fillId="0" borderId="0" xfId="0" applyNumberFormat="1" applyFont="1"/>
    <xf numFmtId="5" fontId="0" fillId="0" borderId="0" xfId="0" applyNumberFormat="1" applyFont="1" applyAlignment="1">
      <alignment horizontal="center"/>
    </xf>
    <xf numFmtId="5" fontId="0" fillId="0" borderId="0" xfId="0" applyNumberFormat="1" applyFont="1" applyFill="1"/>
    <xf numFmtId="37" fontId="0" fillId="0" borderId="0" xfId="2" applyNumberFormat="1" applyFont="1"/>
    <xf numFmtId="41" fontId="0" fillId="0" borderId="0" xfId="0" applyNumberFormat="1" applyFont="1"/>
    <xf numFmtId="0" fontId="48" fillId="0" borderId="17" xfId="0" applyFont="1" applyBorder="1" applyAlignment="1">
      <alignment horizontal="right"/>
    </xf>
    <xf numFmtId="41" fontId="48" fillId="0" borderId="17" xfId="0" applyNumberFormat="1" applyFont="1" applyBorder="1"/>
    <xf numFmtId="41" fontId="48" fillId="0" borderId="0" xfId="0" applyNumberFormat="1" applyFont="1"/>
    <xf numFmtId="0" fontId="48" fillId="0" borderId="0" xfId="0" applyFont="1" applyAlignment="1">
      <alignment wrapText="1"/>
    </xf>
    <xf numFmtId="0" fontId="0" fillId="0" borderId="0" xfId="0" applyFont="1" applyAlignment="1">
      <alignment horizontal="left" indent="2"/>
    </xf>
    <xf numFmtId="0" fontId="48" fillId="0" borderId="17" xfId="0" applyFont="1" applyBorder="1" applyAlignment="1">
      <alignment horizontal="left" indent="1"/>
    </xf>
    <xf numFmtId="0" fontId="0" fillId="0" borderId="1" xfId="0" applyFont="1" applyBorder="1" applyAlignment="1">
      <alignment horizontal="left" indent="1"/>
    </xf>
    <xf numFmtId="10" fontId="0" fillId="0" borderId="0" xfId="0" applyNumberFormat="1" applyFont="1"/>
    <xf numFmtId="0" fontId="0" fillId="0" borderId="1" xfId="0" applyFont="1" applyBorder="1"/>
    <xf numFmtId="0" fontId="0" fillId="0" borderId="0" xfId="0" applyFont="1" applyBorder="1"/>
    <xf numFmtId="37" fontId="0" fillId="0" borderId="0" xfId="0" applyNumberFormat="1" applyFont="1" applyBorder="1"/>
    <xf numFmtId="42" fontId="0" fillId="0" borderId="0" xfId="0" applyNumberFormat="1" applyFont="1" applyAlignment="1">
      <alignment horizontal="left"/>
    </xf>
    <xf numFmtId="0" fontId="55" fillId="0" borderId="0" xfId="0" applyFont="1"/>
    <xf numFmtId="41" fontId="0" fillId="0" borderId="0" xfId="0" applyNumberFormat="1" applyFont="1" applyFill="1"/>
    <xf numFmtId="0" fontId="55" fillId="0" borderId="0" xfId="0" applyFont="1" applyAlignment="1">
      <alignment horizontal="center"/>
    </xf>
    <xf numFmtId="43" fontId="0" fillId="0" borderId="0" xfId="0" applyNumberFormat="1" applyFont="1" applyFill="1"/>
    <xf numFmtId="0" fontId="0" fillId="0" borderId="0" xfId="0"/>
    <xf numFmtId="0" fontId="0" fillId="0" borderId="0" xfId="0"/>
    <xf numFmtId="0" fontId="0" fillId="0" borderId="0" xfId="0"/>
    <xf numFmtId="41" fontId="0" fillId="0" borderId="0" xfId="0" applyNumberFormat="1"/>
    <xf numFmtId="0" fontId="0" fillId="0" borderId="0" xfId="0" applyFont="1"/>
    <xf numFmtId="0" fontId="0" fillId="0" borderId="0" xfId="0"/>
    <xf numFmtId="0" fontId="64" fillId="0" borderId="0" xfId="1917" applyFont="1" applyAlignment="1">
      <alignment horizontal="center"/>
    </xf>
    <xf numFmtId="5" fontId="0" fillId="0" borderId="0" xfId="0" applyNumberFormat="1"/>
    <xf numFmtId="5" fontId="1" fillId="0" borderId="0" xfId="0" applyNumberFormat="1" applyFont="1"/>
    <xf numFmtId="0" fontId="0" fillId="0" borderId="0" xfId="0"/>
    <xf numFmtId="0" fontId="0" fillId="0" borderId="0" xfId="0" applyAlignment="1">
      <alignment horizontal="left" indent="1"/>
    </xf>
    <xf numFmtId="0" fontId="0" fillId="0" borderId="0" xfId="0" applyAlignment="1">
      <alignment horizontal="left"/>
    </xf>
    <xf numFmtId="5" fontId="0" fillId="0" borderId="0" xfId="0" applyNumberFormat="1" applyAlignment="1">
      <alignment horizontal="left"/>
    </xf>
    <xf numFmtId="42" fontId="0" fillId="0" borderId="0" xfId="0" applyNumberFormat="1"/>
    <xf numFmtId="0" fontId="48" fillId="0" borderId="0" xfId="0" applyFont="1"/>
    <xf numFmtId="0" fontId="48" fillId="0" borderId="0" xfId="0" applyFont="1" applyAlignment="1">
      <alignment horizontal="center"/>
    </xf>
    <xf numFmtId="0" fontId="0" fillId="0" borderId="0" xfId="0" applyFont="1"/>
    <xf numFmtId="42" fontId="0" fillId="0" borderId="0" xfId="0" applyNumberFormat="1" applyFont="1"/>
    <xf numFmtId="37" fontId="0" fillId="0" borderId="0" xfId="0" applyNumberFormat="1" applyFont="1" applyFill="1"/>
    <xf numFmtId="0" fontId="66" fillId="0" borderId="0" xfId="0" applyFont="1" applyAlignment="1">
      <alignment horizontal="center"/>
    </xf>
    <xf numFmtId="0" fontId="0" fillId="0" borderId="25" xfId="0" applyBorder="1"/>
    <xf numFmtId="0" fontId="0" fillId="0" borderId="25" xfId="0" applyFont="1" applyBorder="1"/>
    <xf numFmtId="41" fontId="0" fillId="0" borderId="25" xfId="0" applyNumberFormat="1" applyFont="1" applyFill="1" applyBorder="1"/>
    <xf numFmtId="0" fontId="0" fillId="0" borderId="24" xfId="0" applyBorder="1"/>
    <xf numFmtId="0" fontId="0" fillId="0" borderId="0" xfId="0"/>
    <xf numFmtId="41" fontId="0" fillId="0" borderId="26" xfId="0" applyNumberFormat="1" applyFont="1" applyFill="1" applyBorder="1"/>
    <xf numFmtId="0" fontId="48" fillId="0" borderId="0" xfId="0" applyFont="1"/>
    <xf numFmtId="0" fontId="0" fillId="0" borderId="0" xfId="0" applyFont="1"/>
    <xf numFmtId="0" fontId="0" fillId="0" borderId="0" xfId="0" applyAlignment="1">
      <alignment horizontal="left"/>
    </xf>
    <xf numFmtId="5" fontId="0" fillId="0" borderId="0" xfId="0" applyNumberFormat="1" applyAlignment="1">
      <alignment horizontal="left"/>
    </xf>
    <xf numFmtId="0" fontId="0" fillId="0" borderId="0" xfId="0" applyAlignment="1">
      <alignment horizontal="left"/>
    </xf>
    <xf numFmtId="0" fontId="0" fillId="0" borderId="0" xfId="0" applyAlignment="1">
      <alignment horizontal="left" indent="1"/>
    </xf>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3" fontId="65" fillId="0" borderId="0" xfId="1896" applyFont="1" applyFill="1" applyAlignment="1">
      <alignment horizontal="left" indent="1"/>
    </xf>
    <xf numFmtId="3" fontId="58" fillId="0" borderId="0" xfId="1896" applyFont="1" applyFill="1" applyAlignment="1">
      <alignment horizontal="left" indent="3"/>
    </xf>
    <xf numFmtId="0" fontId="3" fillId="0" borderId="0" xfId="0" applyFont="1"/>
    <xf numFmtId="3" fontId="58" fillId="0" borderId="0" xfId="1896" applyFont="1" applyFill="1" applyAlignment="1">
      <alignment horizontal="left" indent="1"/>
    </xf>
    <xf numFmtId="0" fontId="0" fillId="0" borderId="0" xfId="0" applyFont="1"/>
    <xf numFmtId="0" fontId="0" fillId="0" borderId="0" xfId="0"/>
    <xf numFmtId="0" fontId="0" fillId="0" borderId="0" xfId="0" applyAlignment="1">
      <alignment horizontal="left" indent="1"/>
    </xf>
    <xf numFmtId="0" fontId="0" fillId="0" borderId="1" xfId="0" applyBorder="1"/>
    <xf numFmtId="0" fontId="0" fillId="0" borderId="0" xfId="0"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left"/>
    </xf>
    <xf numFmtId="0" fontId="0" fillId="0" borderId="0" xfId="0" applyBorder="1"/>
    <xf numFmtId="0" fontId="0" fillId="0" borderId="0" xfId="0" applyFill="1" applyBorder="1" applyAlignment="1">
      <alignment horizontal="left" indent="1"/>
    </xf>
    <xf numFmtId="0" fontId="0" fillId="0" borderId="1" xfId="0" applyBorder="1" applyAlignment="1">
      <alignment horizontal="center"/>
    </xf>
    <xf numFmtId="3" fontId="58" fillId="0" borderId="1" xfId="1896" applyFont="1" applyFill="1" applyBorder="1" applyAlignment="1">
      <alignment horizontal="left" indent="3"/>
    </xf>
    <xf numFmtId="0" fontId="0" fillId="0" borderId="27" xfId="0" applyBorder="1"/>
    <xf numFmtId="41" fontId="0" fillId="0" borderId="0" xfId="0" applyNumberFormat="1" applyFont="1" applyBorder="1"/>
    <xf numFmtId="41" fontId="0" fillId="0" borderId="28" xfId="0" applyNumberFormat="1" applyFont="1" applyFill="1" applyBorder="1"/>
    <xf numFmtId="0" fontId="0" fillId="0" borderId="27" xfId="0" applyFill="1" applyBorder="1" applyAlignment="1">
      <alignment horizontal="left" indent="1"/>
    </xf>
    <xf numFmtId="43" fontId="0" fillId="0" borderId="0" xfId="0" applyNumberFormat="1" applyFont="1" applyFill="1" applyBorder="1"/>
    <xf numFmtId="0" fontId="0" fillId="0" borderId="28" xfId="0" applyFont="1" applyBorder="1"/>
    <xf numFmtId="0" fontId="0" fillId="0" borderId="27" xfId="0" applyFont="1" applyBorder="1"/>
    <xf numFmtId="0" fontId="0" fillId="0" borderId="0" xfId="0" applyFont="1" applyFill="1" applyBorder="1"/>
    <xf numFmtId="0" fontId="0" fillId="0" borderId="28" xfId="0" applyBorder="1"/>
    <xf numFmtId="3" fontId="58" fillId="0" borderId="27" xfId="1896" applyFont="1" applyFill="1" applyBorder="1" applyAlignment="1">
      <alignment horizontal="left" indent="3"/>
    </xf>
    <xf numFmtId="3" fontId="58" fillId="0" borderId="0" xfId="1896" applyFont="1" applyFill="1" applyBorder="1" applyAlignment="1">
      <alignment horizontal="left" indent="3"/>
    </xf>
    <xf numFmtId="3" fontId="58" fillId="0" borderId="29" xfId="1896" applyFont="1" applyFill="1" applyBorder="1" applyAlignment="1">
      <alignment horizontal="left" indent="3"/>
    </xf>
    <xf numFmtId="3" fontId="58" fillId="0" borderId="31" xfId="1896" applyFont="1" applyFill="1" applyBorder="1" applyAlignment="1">
      <alignment horizontal="left" indent="3"/>
    </xf>
    <xf numFmtId="0" fontId="0" fillId="0" borderId="33" xfId="0" applyBorder="1"/>
    <xf numFmtId="3" fontId="58" fillId="0" borderId="33" xfId="1896" applyFont="1" applyFill="1" applyBorder="1" applyAlignment="1">
      <alignment horizontal="left" indent="3"/>
    </xf>
    <xf numFmtId="0" fontId="0" fillId="0" borderId="27" xfId="0" applyBorder="1" applyAlignment="1">
      <alignment horizontal="right"/>
    </xf>
    <xf numFmtId="0" fontId="0" fillId="0" borderId="31" xfId="0" applyFont="1" applyBorder="1"/>
    <xf numFmtId="42" fontId="0" fillId="0" borderId="33" xfId="0" applyNumberFormat="1" applyFont="1" applyBorder="1"/>
    <xf numFmtId="0" fontId="0" fillId="0" borderId="33" xfId="0" applyFont="1" applyBorder="1"/>
    <xf numFmtId="10" fontId="0" fillId="0" borderId="0" xfId="0" applyNumberFormat="1" applyFont="1" applyBorder="1"/>
    <xf numFmtId="0" fontId="0" fillId="0" borderId="31" xfId="0" applyBorder="1"/>
    <xf numFmtId="10" fontId="0" fillId="0" borderId="0" xfId="0" applyNumberFormat="1" applyBorder="1"/>
    <xf numFmtId="3" fontId="0" fillId="0" borderId="0" xfId="0" applyNumberFormat="1" applyBorder="1"/>
    <xf numFmtId="0" fontId="0" fillId="0" borderId="36" xfId="0" applyBorder="1" applyAlignment="1">
      <alignment horizontal="center"/>
    </xf>
    <xf numFmtId="42" fontId="0" fillId="0" borderId="35" xfId="0" applyNumberFormat="1" applyFont="1" applyBorder="1"/>
    <xf numFmtId="41" fontId="0" fillId="0" borderId="0" xfId="0" applyNumberFormat="1"/>
    <xf numFmtId="0" fontId="0" fillId="0" borderId="0" xfId="0" applyFill="1"/>
    <xf numFmtId="41" fontId="0" fillId="0" borderId="1" xfId="1" applyNumberFormat="1" applyFont="1" applyBorder="1"/>
    <xf numFmtId="42" fontId="0" fillId="0" borderId="0" xfId="0" applyNumberFormat="1" applyBorder="1"/>
    <xf numFmtId="41" fontId="0" fillId="0" borderId="1" xfId="0" applyNumberFormat="1" applyBorder="1"/>
    <xf numFmtId="41" fontId="0" fillId="0" borderId="0" xfId="1" applyNumberFormat="1" applyFont="1" applyFill="1"/>
    <xf numFmtId="0" fontId="0" fillId="0" borderId="1" xfId="0" applyBorder="1" applyAlignment="1">
      <alignment horizontal="center"/>
    </xf>
    <xf numFmtId="41" fontId="0" fillId="0" borderId="0" xfId="0" applyNumberFormat="1" applyFill="1"/>
    <xf numFmtId="41" fontId="0" fillId="0" borderId="1" xfId="0" applyNumberFormat="1" applyFill="1" applyBorder="1"/>
    <xf numFmtId="42" fontId="0" fillId="0" borderId="0" xfId="0" applyNumberFormat="1" applyFont="1"/>
    <xf numFmtId="42" fontId="0" fillId="0" borderId="33" xfId="0" applyNumberFormat="1" applyBorder="1"/>
    <xf numFmtId="0" fontId="0" fillId="0" borderId="40" xfId="0" applyBorder="1" applyAlignment="1">
      <alignment horizontal="center"/>
    </xf>
    <xf numFmtId="37" fontId="0" fillId="0" borderId="28" xfId="0" applyNumberFormat="1" applyFont="1" applyBorder="1"/>
    <xf numFmtId="41" fontId="1" fillId="0" borderId="0" xfId="0" applyNumberFormat="1" applyFont="1" applyFill="1"/>
    <xf numFmtId="0" fontId="48" fillId="0" borderId="0" xfId="0" applyFont="1" applyFill="1" applyAlignment="1"/>
    <xf numFmtId="0" fontId="48" fillId="0" borderId="0" xfId="0" applyFont="1" applyFill="1" applyAlignment="1">
      <alignment horizontal="center"/>
    </xf>
    <xf numFmtId="41" fontId="48" fillId="0" borderId="17" xfId="0" applyNumberFormat="1" applyFont="1" applyFill="1" applyBorder="1"/>
    <xf numFmtId="41" fontId="48" fillId="0" borderId="0" xfId="0" applyNumberFormat="1" applyFont="1" applyFill="1"/>
    <xf numFmtId="10" fontId="0" fillId="0" borderId="0" xfId="0" applyNumberFormat="1" applyFont="1" applyFill="1"/>
    <xf numFmtId="0" fontId="0" fillId="0" borderId="0" xfId="0" applyFill="1" applyBorder="1"/>
    <xf numFmtId="41" fontId="2" fillId="0" borderId="0" xfId="0" applyNumberFormat="1" applyFont="1" applyFill="1"/>
    <xf numFmtId="10" fontId="1" fillId="0" borderId="0" xfId="0" applyNumberFormat="1" applyFont="1" applyFill="1"/>
    <xf numFmtId="41" fontId="0" fillId="0" borderId="1" xfId="1" applyNumberFormat="1" applyFont="1" applyFill="1" applyBorder="1"/>
    <xf numFmtId="42" fontId="0" fillId="0" borderId="0" xfId="0" applyNumberFormat="1" applyFill="1" applyBorder="1"/>
    <xf numFmtId="42" fontId="0" fillId="0" borderId="0" xfId="0" applyNumberFormat="1" applyFill="1"/>
    <xf numFmtId="180" fontId="0" fillId="0" borderId="1" xfId="1898" applyNumberFormat="1" applyFont="1" applyFill="1" applyBorder="1"/>
    <xf numFmtId="5" fontId="48" fillId="0" borderId="0" xfId="0" applyNumberFormat="1" applyFont="1"/>
    <xf numFmtId="5" fontId="48" fillId="0" borderId="17" xfId="0" applyNumberFormat="1" applyFont="1" applyBorder="1"/>
    <xf numFmtId="5" fontId="0" fillId="0" borderId="0" xfId="0" applyNumberFormat="1" applyBorder="1"/>
    <xf numFmtId="5" fontId="48" fillId="0" borderId="16" xfId="0" applyNumberFormat="1" applyFont="1" applyBorder="1"/>
    <xf numFmtId="5" fontId="0" fillId="0" borderId="0" xfId="1" applyNumberFormat="1" applyFont="1" applyFill="1" applyBorder="1"/>
    <xf numFmtId="49" fontId="1" fillId="0" borderId="0" xfId="0" applyNumberFormat="1" applyFont="1"/>
    <xf numFmtId="5" fontId="0" fillId="0" borderId="15" xfId="0" applyNumberFormat="1" applyBorder="1"/>
    <xf numFmtId="0" fontId="0" fillId="0" borderId="0" xfId="0"/>
    <xf numFmtId="0" fontId="0" fillId="0" borderId="0" xfId="0" applyAlignment="1">
      <alignment horizontal="left" indent="1"/>
    </xf>
    <xf numFmtId="0" fontId="0" fillId="0" borderId="1" xfId="0" applyBorder="1"/>
    <xf numFmtId="37" fontId="0" fillId="0" borderId="0" xfId="0" applyNumberFormat="1"/>
    <xf numFmtId="37" fontId="0" fillId="0" borderId="1" xfId="0" applyNumberFormat="1" applyBorder="1"/>
    <xf numFmtId="0" fontId="48" fillId="0" borderId="1" xfId="0" applyFont="1" applyBorder="1" applyAlignment="1">
      <alignment horizontal="center"/>
    </xf>
    <xf numFmtId="0" fontId="0" fillId="0" borderId="33" xfId="0" applyFont="1" applyFill="1" applyBorder="1"/>
    <xf numFmtId="37" fontId="0" fillId="0" borderId="15" xfId="0" applyNumberFormat="1" applyFont="1" applyFill="1" applyBorder="1"/>
    <xf numFmtId="0" fontId="69" fillId="0" borderId="0" xfId="0" applyFont="1" applyAlignment="1">
      <alignment horizontal="center"/>
    </xf>
    <xf numFmtId="0" fontId="69" fillId="0" borderId="0" xfId="0" applyFont="1" applyFill="1" applyAlignment="1">
      <alignment horizontal="center"/>
    </xf>
    <xf numFmtId="0" fontId="48" fillId="0" borderId="0" xfId="0" applyFont="1"/>
    <xf numFmtId="37" fontId="0" fillId="0" borderId="1" xfId="0" applyNumberFormat="1" applyFont="1" applyFill="1" applyBorder="1"/>
    <xf numFmtId="0" fontId="0" fillId="0" borderId="0" xfId="0"/>
    <xf numFmtId="0" fontId="0" fillId="0" borderId="0" xfId="0"/>
    <xf numFmtId="0" fontId="0" fillId="0" borderId="0" xfId="0" applyFont="1"/>
    <xf numFmtId="37" fontId="0" fillId="0" borderId="1" xfId="0" applyNumberFormat="1" applyFont="1" applyBorder="1"/>
    <xf numFmtId="41" fontId="0" fillId="0" borderId="1" xfId="0" applyNumberFormat="1" applyFont="1" applyFill="1" applyBorder="1"/>
    <xf numFmtId="41" fontId="0" fillId="0" borderId="36" xfId="0" applyNumberFormat="1" applyFont="1" applyFill="1" applyBorder="1"/>
    <xf numFmtId="0" fontId="48" fillId="0" borderId="0" xfId="0" applyFont="1" applyAlignment="1">
      <alignment horizontal="center"/>
    </xf>
    <xf numFmtId="41" fontId="48" fillId="0" borderId="1" xfId="0" applyNumberFormat="1" applyFont="1" applyBorder="1"/>
    <xf numFmtId="5" fontId="1" fillId="0" borderId="0" xfId="0" applyNumberFormat="1" applyFont="1" applyFill="1"/>
    <xf numFmtId="5" fontId="48" fillId="0" borderId="0" xfId="1" applyNumberFormat="1" applyFont="1" applyFill="1" applyBorder="1"/>
    <xf numFmtId="5" fontId="48" fillId="0" borderId="0" xfId="1" applyNumberFormat="1" applyFont="1" applyBorder="1"/>
    <xf numFmtId="5" fontId="48" fillId="0" borderId="0" xfId="0" applyNumberFormat="1" applyFont="1" applyFill="1"/>
    <xf numFmtId="5" fontId="48" fillId="0" borderId="16" xfId="0" applyNumberFormat="1" applyFont="1" applyFill="1" applyBorder="1"/>
    <xf numFmtId="5" fontId="48" fillId="0" borderId="15" xfId="0" applyNumberFormat="1" applyFont="1" applyFill="1" applyBorder="1"/>
    <xf numFmtId="5" fontId="48" fillId="0" borderId="15" xfId="0" applyNumberFormat="1" applyFont="1" applyBorder="1"/>
    <xf numFmtId="5" fontId="48" fillId="0" borderId="0" xfId="1" applyNumberFormat="1" applyFont="1"/>
    <xf numFmtId="41" fontId="0" fillId="0" borderId="1" xfId="0" applyNumberFormat="1" applyFont="1" applyBorder="1"/>
    <xf numFmtId="5" fontId="48" fillId="0" borderId="17" xfId="0" applyNumberFormat="1" applyFont="1" applyFill="1" applyBorder="1"/>
    <xf numFmtId="5" fontId="0" fillId="0" borderId="15" xfId="0" applyNumberFormat="1" applyFont="1" applyBorder="1"/>
    <xf numFmtId="0" fontId="0" fillId="0" borderId="0" xfId="0" applyAlignment="1">
      <alignment wrapText="1"/>
    </xf>
    <xf numFmtId="0" fontId="0" fillId="0" borderId="0" xfId="0" applyBorder="1" applyAlignment="1">
      <alignment wrapText="1"/>
    </xf>
    <xf numFmtId="5" fontId="48" fillId="0" borderId="17" xfId="1" applyNumberFormat="1" applyFont="1" applyBorder="1"/>
    <xf numFmtId="5" fontId="0" fillId="0" borderId="1" xfId="0" applyNumberFormat="1" applyBorder="1"/>
    <xf numFmtId="0" fontId="0" fillId="0" borderId="1" xfId="0" applyFont="1" applyBorder="1" applyAlignment="1">
      <alignment horizontal="center"/>
    </xf>
    <xf numFmtId="5" fontId="0" fillId="0" borderId="19" xfId="0" applyNumberFormat="1" applyFont="1" applyBorder="1"/>
    <xf numFmtId="7" fontId="0" fillId="0" borderId="0" xfId="0" applyNumberFormat="1"/>
    <xf numFmtId="164" fontId="0" fillId="0" borderId="0" xfId="2" applyNumberFormat="1" applyFont="1" applyFill="1" applyBorder="1"/>
    <xf numFmtId="164" fontId="0" fillId="0" borderId="15" xfId="2" applyNumberFormat="1" applyFont="1" applyFill="1" applyBorder="1"/>
    <xf numFmtId="164" fontId="0" fillId="0" borderId="32" xfId="2" applyNumberFormat="1" applyFont="1" applyBorder="1"/>
    <xf numFmtId="164" fontId="0" fillId="0" borderId="28" xfId="2" applyNumberFormat="1" applyFont="1" applyBorder="1"/>
    <xf numFmtId="164" fontId="0" fillId="0" borderId="30" xfId="2" applyNumberFormat="1" applyFont="1" applyFill="1" applyBorder="1"/>
    <xf numFmtId="164" fontId="0" fillId="0" borderId="34" xfId="2" applyNumberFormat="1" applyFont="1" applyBorder="1"/>
    <xf numFmtId="164" fontId="0" fillId="0" borderId="0" xfId="0" applyNumberFormat="1" applyFill="1"/>
    <xf numFmtId="164" fontId="0" fillId="0" borderId="0" xfId="2" applyNumberFormat="1" applyFont="1" applyFill="1"/>
    <xf numFmtId="164" fontId="0" fillId="0" borderId="0" xfId="2" applyNumberFormat="1" applyFont="1"/>
    <xf numFmtId="0" fontId="48" fillId="0" borderId="0" xfId="0" applyFont="1" applyFill="1" applyBorder="1"/>
    <xf numFmtId="0" fontId="0" fillId="0" borderId="0" xfId="0" applyFill="1" applyAlignment="1">
      <alignment horizontal="left"/>
    </xf>
    <xf numFmtId="164" fontId="68" fillId="0" borderId="0" xfId="2" applyNumberFormat="1" applyFont="1" applyFill="1" applyBorder="1" applyAlignment="1">
      <alignment horizontal="center"/>
    </xf>
    <xf numFmtId="0" fontId="0" fillId="0" borderId="1" xfId="0" applyFont="1" applyFill="1" applyBorder="1"/>
    <xf numFmtId="0" fontId="67" fillId="0" borderId="0" xfId="0" applyFont="1" applyFill="1" applyAlignment="1">
      <alignment horizontal="right"/>
    </xf>
    <xf numFmtId="179" fontId="70" fillId="0" borderId="0" xfId="0" applyNumberFormat="1" applyFont="1" applyAlignment="1">
      <alignment horizontal="left"/>
    </xf>
    <xf numFmtId="0" fontId="71" fillId="0" borderId="0" xfId="0" applyFont="1"/>
    <xf numFmtId="43" fontId="0" fillId="0" borderId="19" xfId="0" applyNumberFormat="1" applyFont="1" applyFill="1" applyBorder="1"/>
    <xf numFmtId="0" fontId="67" fillId="0" borderId="0" xfId="0" applyFont="1"/>
    <xf numFmtId="43" fontId="48" fillId="0" borderId="15" xfId="2" applyFont="1" applyBorder="1"/>
    <xf numFmtId="42" fontId="48" fillId="0" borderId="0" xfId="0" applyNumberFormat="1" applyFont="1"/>
    <xf numFmtId="43" fontId="0" fillId="0" borderId="0" xfId="2" applyNumberFormat="1" applyFont="1"/>
    <xf numFmtId="43" fontId="0" fillId="0" borderId="0" xfId="0" applyNumberFormat="1" applyFont="1"/>
    <xf numFmtId="0" fontId="73" fillId="0" borderId="0" xfId="1917" applyFont="1" applyAlignment="1">
      <alignment horizontal="center"/>
    </xf>
    <xf numFmtId="0" fontId="48" fillId="0" borderId="0" xfId="0" applyFont="1" applyAlignment="1">
      <alignment horizontal="center"/>
    </xf>
    <xf numFmtId="0" fontId="48" fillId="26" borderId="0" xfId="0" applyFont="1" applyFill="1"/>
    <xf numFmtId="164" fontId="0" fillId="0" borderId="1" xfId="2" applyNumberFormat="1" applyFont="1" applyFill="1" applyBorder="1"/>
    <xf numFmtId="37" fontId="4" fillId="0" borderId="0" xfId="0" applyNumberFormat="1" applyFont="1" applyFill="1" applyBorder="1" applyAlignment="1">
      <alignment horizontal="center"/>
    </xf>
    <xf numFmtId="183" fontId="56" fillId="0" borderId="1" xfId="0" applyNumberFormat="1" applyFont="1" applyFill="1" applyBorder="1" applyAlignment="1">
      <alignment horizontal="center"/>
    </xf>
    <xf numFmtId="183" fontId="56" fillId="0" borderId="1" xfId="0" applyNumberFormat="1" applyFont="1" applyFill="1" applyBorder="1" applyAlignment="1">
      <alignment horizontal="center" wrapText="1"/>
    </xf>
    <xf numFmtId="0" fontId="72" fillId="0" borderId="0" xfId="0" applyFont="1" applyFill="1"/>
    <xf numFmtId="0" fontId="74" fillId="0" borderId="0" xfId="0" applyFont="1"/>
    <xf numFmtId="10" fontId="0" fillId="0" borderId="1" xfId="0" applyNumberFormat="1" applyFont="1" applyFill="1" applyBorder="1"/>
    <xf numFmtId="37" fontId="0" fillId="0" borderId="0" xfId="0" applyNumberFormat="1" applyFont="1" applyFill="1" applyBorder="1"/>
    <xf numFmtId="41" fontId="74" fillId="0" borderId="0" xfId="0" applyNumberFormat="1" applyFont="1" applyFill="1"/>
    <xf numFmtId="164" fontId="0" fillId="0" borderId="1" xfId="0" applyNumberFormat="1" applyFill="1" applyBorder="1"/>
    <xf numFmtId="5" fontId="48" fillId="0" borderId="0" xfId="1" applyNumberFormat="1" applyFont="1" applyFill="1"/>
    <xf numFmtId="0" fontId="48" fillId="0" borderId="0" xfId="0" applyFont="1" applyBorder="1"/>
    <xf numFmtId="0" fontId="66" fillId="0" borderId="1" xfId="0" applyFont="1" applyBorder="1" applyAlignment="1">
      <alignment horizontal="center"/>
    </xf>
    <xf numFmtId="0" fontId="48" fillId="0" borderId="0" xfId="0" applyFont="1" applyAlignment="1">
      <alignment horizontal="center"/>
    </xf>
    <xf numFmtId="7" fontId="0" fillId="0" borderId="0" xfId="0" applyNumberFormat="1" applyFont="1"/>
    <xf numFmtId="43" fontId="0" fillId="0" borderId="0" xfId="0" applyNumberFormat="1" applyBorder="1"/>
    <xf numFmtId="164" fontId="1" fillId="0" borderId="0" xfId="2" applyNumberFormat="1" applyFont="1"/>
    <xf numFmtId="37" fontId="0" fillId="0" borderId="1" xfId="2" applyNumberFormat="1" applyFont="1" applyBorder="1"/>
    <xf numFmtId="0" fontId="0" fillId="0" borderId="0" xfId="0" applyAlignment="1">
      <alignment horizontal="right"/>
    </xf>
    <xf numFmtId="164" fontId="0" fillId="0" borderId="0" xfId="2" applyNumberFormat="1" applyFont="1" applyAlignment="1">
      <alignment horizontal="center"/>
    </xf>
    <xf numFmtId="5" fontId="0" fillId="0" borderId="0" xfId="0" applyNumberFormat="1" applyFont="1" applyFill="1" applyBorder="1"/>
    <xf numFmtId="3" fontId="57" fillId="0" borderId="0" xfId="1896" applyFont="1" applyBorder="1" applyAlignment="1">
      <alignment horizontal="center" wrapText="1"/>
    </xf>
    <xf numFmtId="37" fontId="48" fillId="0" borderId="15" xfId="2" applyNumberFormat="1" applyFont="1" applyBorder="1"/>
    <xf numFmtId="37" fontId="48" fillId="0" borderId="0" xfId="2" applyNumberFormat="1" applyFont="1"/>
    <xf numFmtId="37" fontId="48" fillId="0" borderId="0" xfId="0" applyNumberFormat="1" applyFont="1"/>
    <xf numFmtId="37" fontId="48" fillId="0" borderId="0" xfId="0" applyNumberFormat="1" applyFont="1" applyAlignment="1">
      <alignment horizontal="center"/>
    </xf>
    <xf numFmtId="37" fontId="48" fillId="0" borderId="0" xfId="2" applyNumberFormat="1" applyFont="1" applyBorder="1"/>
    <xf numFmtId="5" fontId="48" fillId="0" borderId="15" xfId="1" applyNumberFormat="1" applyFont="1" applyBorder="1"/>
    <xf numFmtId="164" fontId="0" fillId="0" borderId="0" xfId="0" applyNumberFormat="1" applyFont="1"/>
    <xf numFmtId="0" fontId="48" fillId="0" borderId="0" xfId="0" applyFont="1" applyAlignment="1">
      <alignment horizontal="center"/>
    </xf>
    <xf numFmtId="164" fontId="0" fillId="0" borderId="1" xfId="2" applyNumberFormat="1" applyFont="1" applyBorder="1"/>
    <xf numFmtId="37" fontId="67" fillId="0" borderId="0" xfId="0" applyNumberFormat="1" applyFont="1" applyFill="1"/>
    <xf numFmtId="164" fontId="0" fillId="0" borderId="0" xfId="0" applyNumberFormat="1" applyBorder="1"/>
    <xf numFmtId="0" fontId="69" fillId="0" borderId="0" xfId="0" applyFont="1" applyBorder="1" applyAlignment="1">
      <alignment horizontal="center"/>
    </xf>
    <xf numFmtId="5" fontId="3" fillId="0" borderId="0" xfId="1" applyNumberFormat="1" applyFont="1" applyFill="1" applyBorder="1"/>
    <xf numFmtId="41" fontId="3" fillId="0" borderId="0" xfId="1" applyNumberFormat="1" applyFont="1" applyBorder="1"/>
    <xf numFmtId="0" fontId="75" fillId="0" borderId="0" xfId="0" applyFont="1" applyAlignment="1">
      <alignment horizontal="right"/>
    </xf>
    <xf numFmtId="0" fontId="75" fillId="0" borderId="0" xfId="0" applyFont="1"/>
    <xf numFmtId="164" fontId="75" fillId="0" borderId="0" xfId="2" applyNumberFormat="1" applyFont="1"/>
    <xf numFmtId="41" fontId="76" fillId="0" borderId="0" xfId="0" applyNumberFormat="1" applyFont="1"/>
    <xf numFmtId="178" fontId="75" fillId="0" borderId="0" xfId="0" applyNumberFormat="1" applyFont="1"/>
    <xf numFmtId="10" fontId="0" fillId="0" borderId="0" xfId="0" applyNumberFormat="1"/>
    <xf numFmtId="42" fontId="48" fillId="33" borderId="41" xfId="0" applyNumberFormat="1" applyFont="1" applyFill="1" applyBorder="1" applyAlignment="1">
      <alignment horizontal="center"/>
    </xf>
    <xf numFmtId="5" fontId="0" fillId="34" borderId="0" xfId="0" applyNumberFormat="1" applyFill="1"/>
    <xf numFmtId="10" fontId="0" fillId="0" borderId="0" xfId="1898" applyNumberFormat="1" applyFont="1"/>
    <xf numFmtId="37" fontId="55" fillId="0" borderId="0" xfId="0" applyNumberFormat="1" applyFont="1"/>
    <xf numFmtId="37" fontId="66" fillId="0" borderId="0" xfId="0" applyNumberFormat="1" applyFont="1"/>
    <xf numFmtId="37" fontId="55" fillId="0" borderId="1" xfId="0" applyNumberFormat="1" applyFont="1" applyBorder="1"/>
    <xf numFmtId="5" fontId="55" fillId="0" borderId="0" xfId="0" applyNumberFormat="1" applyFont="1"/>
    <xf numFmtId="0" fontId="48" fillId="0" borderId="37" xfId="0" applyFont="1" applyFill="1" applyBorder="1" applyAlignment="1">
      <alignment horizontal="center"/>
    </xf>
    <xf numFmtId="0" fontId="48" fillId="0" borderId="38" xfId="0" applyFont="1" applyFill="1" applyBorder="1" applyAlignment="1">
      <alignment horizontal="center"/>
    </xf>
    <xf numFmtId="0" fontId="48" fillId="0" borderId="39" xfId="0" applyFont="1" applyFill="1" applyBorder="1" applyAlignment="1">
      <alignment horizontal="center"/>
    </xf>
    <xf numFmtId="0" fontId="48" fillId="33" borderId="38" xfId="0" applyFont="1" applyFill="1" applyBorder="1" applyAlignment="1">
      <alignment horizontal="center"/>
    </xf>
    <xf numFmtId="0" fontId="48" fillId="33" borderId="39" xfId="0" applyFont="1" applyFill="1" applyBorder="1" applyAlignment="1">
      <alignment horizontal="center"/>
    </xf>
    <xf numFmtId="0" fontId="48" fillId="0" borderId="0" xfId="0" applyFont="1" applyAlignment="1">
      <alignment horizontal="center"/>
    </xf>
    <xf numFmtId="49" fontId="48" fillId="0" borderId="0" xfId="0" applyNumberFormat="1" applyFont="1" applyAlignment="1">
      <alignment horizontal="center"/>
    </xf>
    <xf numFmtId="0" fontId="1" fillId="0" borderId="0" xfId="0" applyFont="1" applyAlignment="1">
      <alignment horizontal="left" wrapText="1"/>
    </xf>
    <xf numFmtId="0" fontId="0" fillId="0" borderId="0" xfId="0" applyAlignment="1">
      <alignment horizontal="left"/>
    </xf>
  </cellXfs>
  <cellStyles count="1935">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0" xfId="1926"/>
    <cellStyle name="Comma 11" xfId="1107"/>
    <cellStyle name="Comma 12" xfId="1929"/>
    <cellStyle name="Comma 13" xfId="1933"/>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30" xfId="1915"/>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3 2" xfId="1918"/>
    <cellStyle name="Comma 4" xfId="1145"/>
    <cellStyle name="Comma 5" xfId="1146"/>
    <cellStyle name="Comma 6" xfId="1905"/>
    <cellStyle name="Comma 7" xfId="1921"/>
    <cellStyle name="Comma 8" xfId="1147"/>
    <cellStyle name="Comma 9" xfId="1922"/>
    <cellStyle name="Currency" xfId="1" builtinId="4"/>
    <cellStyle name="Currency [2]" xfId="1148"/>
    <cellStyle name="Currency 2" xfId="1914"/>
    <cellStyle name="Currency 3" xfId="1916"/>
    <cellStyle name="Currency 4" xfId="1920"/>
    <cellStyle name="Currency 5" xfId="1927"/>
    <cellStyle name="Currency 6" xfId="1928"/>
    <cellStyle name="Currency 7" xfId="1930"/>
    <cellStyle name="Currency 8" xfId="1931"/>
    <cellStyle name="Currency 9" xfId="1934"/>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 2" xfId="1899"/>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 2" xfId="1900"/>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 2" xfId="1913"/>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35" xfId="1903"/>
    <cellStyle name="Normal 36" xfId="1917"/>
    <cellStyle name="Normal 37" xfId="1923"/>
    <cellStyle name="Normal 38" xfId="1925"/>
    <cellStyle name="Normal 39" xfId="1924"/>
    <cellStyle name="Normal 4" xfId="1590"/>
    <cellStyle name="Normal 4 2" xfId="1591"/>
    <cellStyle name="Normal 4 3" xfId="1912"/>
    <cellStyle name="Normal 40" xfId="1932"/>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41" xfId="1919"/>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APDataCell" xfId="1902"/>
    <cellStyle name="SAPDataTotalCell" xfId="1908"/>
    <cellStyle name="SAPDimensionCell" xfId="1904"/>
    <cellStyle name="SAPEmphasized" xfId="1906"/>
    <cellStyle name="SAPHierarchyCell2" xfId="1911"/>
    <cellStyle name="SAPHierarchyCell3" xfId="1910"/>
    <cellStyle name="SAPHierarchyCell4" xfId="1909"/>
    <cellStyle name="SAPMemberCell" xfId="1901"/>
    <cellStyle name="SAPMemberTotalCell" xfId="1907"/>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Exhibits/2018%20KY%20Constants_Financi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Y/2018%20Water%20Rate%20Case/Exhibits/KAWC%202018%20Rate%20Case%20-%20Income%20Stat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Y/2018%20Water%20Rate%20Case/Exhibits/Rate%20Base/KAWC%202018%20Rate%20Case%20-%20Exhibit%2037%20Schedules%20B1%20-%20B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Y/2018%20Water%20Rate%20Case/Exhibits/Capital%20Structure/KAWC%202018%20Rate%20Case%20-%20Capital%20Structu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ferred%20Taxes%202018-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Y/2018%20Water%20Rate%20Case/Exhibits/Rate%20Base/KAWC%202018%20Rate%20Case%20-%20Deferred%20Maintenanc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Y/2018%20Water%20Rate%20Case/Exhibits/Rate%20Base/KAWC%202018%20Rate%20Case%20-%20Capital-Depr%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 val="Link Out Carlisle"/>
      <sheetName val="Link Out BY"/>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1">
          <cell r="C31" t="str">
            <v>Witness Responsible:   Ann Bulkley</v>
          </cell>
        </row>
        <row r="32">
          <cell r="C32" t="str">
            <v>Witness Responsible:   Brent O'Neill</v>
          </cell>
        </row>
        <row r="33">
          <cell r="C33" t="str">
            <v>Witness Responsible:   Chuck Rea</v>
          </cell>
        </row>
        <row r="34">
          <cell r="C34" t="str">
            <v>Witness Responsible:   Ed Spitznagel</v>
          </cell>
        </row>
        <row r="35">
          <cell r="C35" t="str">
            <v>Witness Responsible:   John Wilde</v>
          </cell>
        </row>
        <row r="36">
          <cell r="C36" t="str">
            <v>Witness Responsible:   Kevin Rogers</v>
          </cell>
        </row>
        <row r="37">
          <cell r="C37" t="str">
            <v>Witness Responsible:   James Pellock</v>
          </cell>
        </row>
        <row r="38">
          <cell r="C38" t="str">
            <v>Witness Responsible:   Robert Mustich</v>
          </cell>
        </row>
        <row r="39">
          <cell r="C39" t="str">
            <v>Witness Responsible:   Melissa Schwarzell</v>
          </cell>
        </row>
        <row r="40">
          <cell r="C40" t="str">
            <v>Witness Responsible:   Pat Baryenbruch</v>
          </cell>
        </row>
        <row r="41">
          <cell r="C41" t="str">
            <v>Witness Responsible:   Nick Rowe</v>
          </cell>
        </row>
        <row r="42">
          <cell r="C42" t="str">
            <v>Witness Responsible:   Scott Rungren</v>
          </cell>
        </row>
      </sheetData>
      <sheetData sheetId="1">
        <row r="21">
          <cell r="F21" t="str">
            <v>W/P - 1-10</v>
          </cell>
        </row>
        <row r="78">
          <cell r="D78" t="str">
            <v>Federal and State Taxes</v>
          </cell>
          <cell r="F78" t="str">
            <v>W/P - 6-1</v>
          </cell>
        </row>
      </sheetData>
      <sheetData sheetId="2">
        <row r="1">
          <cell r="A1" t="str">
            <v>Kentucky American Water Company</v>
          </cell>
        </row>
        <row r="80">
          <cell r="M80" t="str">
            <v>Schedule D-2.3</v>
          </cell>
        </row>
      </sheetData>
      <sheetData sheetId="3">
        <row r="6">
          <cell r="A6" t="str">
            <v>Line</v>
          </cell>
        </row>
        <row r="7">
          <cell r="A7" t="str">
            <v>P02</v>
          </cell>
          <cell r="B7" t="str">
            <v>Water revenues - residential</v>
          </cell>
          <cell r="C7">
            <v>40111000</v>
          </cell>
          <cell r="D7" t="str">
            <v>Res Sales Billed</v>
          </cell>
          <cell r="E7" t="str">
            <v>461.1</v>
          </cell>
          <cell r="R7">
            <v>-49744539</v>
          </cell>
        </row>
        <row r="8">
          <cell r="A8" t="str">
            <v>P02</v>
          </cell>
          <cell r="B8" t="str">
            <v>Water revenues - residential</v>
          </cell>
          <cell r="C8">
            <v>40111100</v>
          </cell>
          <cell r="D8" t="str">
            <v>ResSls Billed Surch</v>
          </cell>
          <cell r="E8" t="str">
            <v>461.1</v>
          </cell>
          <cell r="R8">
            <v>518</v>
          </cell>
        </row>
        <row r="9">
          <cell r="A9" t="str">
            <v>P02</v>
          </cell>
          <cell r="B9" t="str">
            <v>Water revenues - residential</v>
          </cell>
          <cell r="C9">
            <v>40111200</v>
          </cell>
          <cell r="D9" t="str">
            <v>ResSls Billed DSIC</v>
          </cell>
          <cell r="E9" t="str">
            <v>461.1</v>
          </cell>
          <cell r="R9">
            <v>456</v>
          </cell>
        </row>
        <row r="10">
          <cell r="A10" t="str">
            <v>P02</v>
          </cell>
          <cell r="B10" t="str">
            <v>Water revenues - residential</v>
          </cell>
          <cell r="C10">
            <v>40112000</v>
          </cell>
          <cell r="D10" t="str">
            <v>Res Sales Unbilled</v>
          </cell>
          <cell r="E10" t="str">
            <v>461.1</v>
          </cell>
          <cell r="R10">
            <v>-416113</v>
          </cell>
        </row>
        <row r="11">
          <cell r="A11" t="str">
            <v>P02 Total</v>
          </cell>
          <cell r="R11">
            <v>-50159678</v>
          </cell>
        </row>
        <row r="12">
          <cell r="A12" t="str">
            <v>P03</v>
          </cell>
          <cell r="B12" t="str">
            <v>Water revenues - commercial</v>
          </cell>
          <cell r="C12">
            <v>40121000</v>
          </cell>
          <cell r="D12" t="str">
            <v>Com Sales Billed</v>
          </cell>
          <cell r="E12" t="str">
            <v>461.2</v>
          </cell>
          <cell r="R12">
            <v>-22628762</v>
          </cell>
        </row>
        <row r="13">
          <cell r="A13" t="str">
            <v>P03</v>
          </cell>
          <cell r="B13" t="str">
            <v>Water revenues - commercial</v>
          </cell>
          <cell r="C13">
            <v>40122000</v>
          </cell>
          <cell r="D13" t="str">
            <v>Com Sales Unbilled</v>
          </cell>
          <cell r="E13" t="str">
            <v>461.2</v>
          </cell>
          <cell r="R13">
            <v>-427146</v>
          </cell>
        </row>
        <row r="14">
          <cell r="A14" t="str">
            <v>P03 Total</v>
          </cell>
          <cell r="R14">
            <v>-23055908</v>
          </cell>
        </row>
        <row r="15">
          <cell r="A15" t="str">
            <v>P04</v>
          </cell>
          <cell r="B15" t="str">
            <v>Water revenues - industrial</v>
          </cell>
          <cell r="C15">
            <v>40131000</v>
          </cell>
          <cell r="D15" t="str">
            <v>Ind Sales Billed</v>
          </cell>
          <cell r="E15" t="str">
            <v>461.3</v>
          </cell>
          <cell r="R15">
            <v>-2813213</v>
          </cell>
        </row>
        <row r="16">
          <cell r="A16" t="str">
            <v>P04</v>
          </cell>
          <cell r="B16" t="str">
            <v>Water revenues - industrial</v>
          </cell>
          <cell r="C16">
            <v>40132000</v>
          </cell>
          <cell r="D16" t="str">
            <v>Ind Sales Unbilled</v>
          </cell>
          <cell r="E16" t="str">
            <v>461.3</v>
          </cell>
          <cell r="R16">
            <v>-28117</v>
          </cell>
        </row>
        <row r="17">
          <cell r="A17" t="str">
            <v>P04 Total</v>
          </cell>
          <cell r="R17">
            <v>-2841330</v>
          </cell>
        </row>
        <row r="18">
          <cell r="A18" t="str">
            <v>P05</v>
          </cell>
          <cell r="B18" t="str">
            <v>Water revenues - public fire</v>
          </cell>
          <cell r="C18">
            <v>40141000</v>
          </cell>
          <cell r="D18" t="str">
            <v>Publ Fire Billed</v>
          </cell>
          <cell r="E18" t="str">
            <v>462.1</v>
          </cell>
          <cell r="R18">
            <v>-3807205</v>
          </cell>
        </row>
        <row r="19">
          <cell r="A19" t="str">
            <v>P05</v>
          </cell>
          <cell r="B19" t="str">
            <v>Water revenues - public fire</v>
          </cell>
          <cell r="C19">
            <v>40142000</v>
          </cell>
          <cell r="D19" t="str">
            <v>Publ Fire Unbilled</v>
          </cell>
          <cell r="E19" t="str">
            <v>462.1</v>
          </cell>
          <cell r="R19">
            <v>6</v>
          </cell>
        </row>
        <row r="20">
          <cell r="A20" t="str">
            <v>P05 Total</v>
          </cell>
          <cell r="R20">
            <v>-3807199</v>
          </cell>
        </row>
        <row r="21">
          <cell r="A21" t="str">
            <v>P06</v>
          </cell>
          <cell r="B21" t="str">
            <v>Water revenues - private fire</v>
          </cell>
          <cell r="C21">
            <v>40145000</v>
          </cell>
          <cell r="D21" t="str">
            <v>Priv Fire Billed</v>
          </cell>
          <cell r="E21" t="str">
            <v>462.2</v>
          </cell>
          <cell r="R21">
            <v>-2801452</v>
          </cell>
        </row>
        <row r="22">
          <cell r="C22">
            <v>40145100</v>
          </cell>
          <cell r="D22" t="str">
            <v>Priv Fire Billed Sur</v>
          </cell>
          <cell r="E22" t="str">
            <v>462.2</v>
          </cell>
          <cell r="R22">
            <v>0</v>
          </cell>
        </row>
        <row r="23">
          <cell r="A23" t="str">
            <v>P06</v>
          </cell>
          <cell r="B23" t="str">
            <v>Water revenues - private fire</v>
          </cell>
          <cell r="C23">
            <v>40146000</v>
          </cell>
          <cell r="D23" t="str">
            <v>Priv Fire Unbilled</v>
          </cell>
          <cell r="E23" t="str">
            <v>462.2</v>
          </cell>
          <cell r="R23">
            <v>-11165</v>
          </cell>
        </row>
        <row r="24">
          <cell r="A24" t="str">
            <v>P06 Total</v>
          </cell>
          <cell r="R24">
            <v>-2812617</v>
          </cell>
        </row>
        <row r="25">
          <cell r="A25" t="str">
            <v>P07</v>
          </cell>
          <cell r="B25" t="str">
            <v>Water revenues - public authority</v>
          </cell>
          <cell r="C25">
            <v>40151000</v>
          </cell>
          <cell r="D25" t="str">
            <v>Publ Auth Billed</v>
          </cell>
          <cell r="E25" t="str">
            <v>461.4</v>
          </cell>
          <cell r="R25">
            <v>-5785621</v>
          </cell>
        </row>
        <row r="26">
          <cell r="A26" t="str">
            <v>P07</v>
          </cell>
          <cell r="B26" t="str">
            <v>Water revenues - public authority</v>
          </cell>
          <cell r="C26">
            <v>40152000</v>
          </cell>
          <cell r="D26" t="str">
            <v>Publ Auth Unbilled</v>
          </cell>
          <cell r="E26" t="str">
            <v>461.4</v>
          </cell>
          <cell r="R26">
            <v>-271611</v>
          </cell>
        </row>
        <row r="27">
          <cell r="A27" t="str">
            <v>P07 Total</v>
          </cell>
          <cell r="R27">
            <v>-6057232</v>
          </cell>
        </row>
        <row r="28">
          <cell r="A28" t="str">
            <v>P08</v>
          </cell>
          <cell r="B28" t="str">
            <v>Water revenues - sales for resale</v>
          </cell>
          <cell r="C28">
            <v>40161000</v>
          </cell>
          <cell r="D28" t="str">
            <v>Sls/Rsle Billed</v>
          </cell>
          <cell r="E28" t="str">
            <v>466.</v>
          </cell>
          <cell r="R28">
            <v>-1882705</v>
          </cell>
        </row>
        <row r="29">
          <cell r="A29" t="str">
            <v>P08</v>
          </cell>
          <cell r="B29" t="str">
            <v>Water revenues - sales for resale</v>
          </cell>
          <cell r="C29">
            <v>40161050</v>
          </cell>
          <cell r="D29" t="str">
            <v>Sls/Rsle Billed I/C</v>
          </cell>
          <cell r="E29" t="str">
            <v>467.</v>
          </cell>
          <cell r="R29">
            <v>-15096</v>
          </cell>
        </row>
        <row r="30">
          <cell r="A30" t="str">
            <v>P08</v>
          </cell>
          <cell r="B30" t="str">
            <v>Water revenues - sales for resale</v>
          </cell>
          <cell r="C30">
            <v>40162000</v>
          </cell>
          <cell r="D30" t="str">
            <v>SalesforRsle Unbilld</v>
          </cell>
          <cell r="E30" t="str">
            <v>466.</v>
          </cell>
          <cell r="R30">
            <v>-39606</v>
          </cell>
        </row>
        <row r="31">
          <cell r="A31" t="str">
            <v>P08 Total</v>
          </cell>
          <cell r="R31">
            <v>-1937407</v>
          </cell>
        </row>
        <row r="32">
          <cell r="A32" t="str">
            <v>P09</v>
          </cell>
          <cell r="B32" t="str">
            <v>Water revenues - other</v>
          </cell>
          <cell r="C32">
            <v>40171000</v>
          </cell>
          <cell r="D32" t="str">
            <v>Misc Sales Billed</v>
          </cell>
          <cell r="E32" t="str">
            <v>474.</v>
          </cell>
          <cell r="R32">
            <v>-80697</v>
          </cell>
        </row>
        <row r="33">
          <cell r="A33" t="str">
            <v>P09</v>
          </cell>
          <cell r="B33" t="str">
            <v>Water revenues - other</v>
          </cell>
          <cell r="C33">
            <v>40171300</v>
          </cell>
          <cell r="D33" t="str">
            <v>MiscSls Bill Unmtrd</v>
          </cell>
          <cell r="E33" t="str">
            <v>474.</v>
          </cell>
          <cell r="R33">
            <v>-150</v>
          </cell>
        </row>
        <row r="34">
          <cell r="A34" t="str">
            <v>P09</v>
          </cell>
          <cell r="B34" t="str">
            <v>Water revenues - other</v>
          </cell>
          <cell r="C34">
            <v>40172000</v>
          </cell>
          <cell r="D34" t="str">
            <v>Misc Sales Unbilled</v>
          </cell>
          <cell r="E34" t="str">
            <v>474.</v>
          </cell>
          <cell r="R34">
            <v>1430</v>
          </cell>
        </row>
        <row r="35">
          <cell r="A35" t="str">
            <v>P09</v>
          </cell>
          <cell r="B35" t="str">
            <v>Water revenues - other</v>
          </cell>
          <cell r="C35">
            <v>40180100</v>
          </cell>
          <cell r="D35" t="str">
            <v>Oth Wtr Rev-Temp Svc</v>
          </cell>
          <cell r="E35" t="str">
            <v>471.</v>
          </cell>
          <cell r="R35">
            <v>-15</v>
          </cell>
        </row>
        <row r="36">
          <cell r="A36" t="str">
            <v>P09</v>
          </cell>
          <cell r="B36" t="str">
            <v>Water revenues - other</v>
          </cell>
          <cell r="C36">
            <v>40189900</v>
          </cell>
          <cell r="D36" t="str">
            <v>Other Water Revenue</v>
          </cell>
          <cell r="E36" t="str">
            <v>474.</v>
          </cell>
          <cell r="R36">
            <v>1363581</v>
          </cell>
        </row>
        <row r="37">
          <cell r="A37" t="str">
            <v>P09 Total</v>
          </cell>
          <cell r="R37">
            <v>1284149</v>
          </cell>
        </row>
        <row r="38">
          <cell r="A38" t="str">
            <v>P11</v>
          </cell>
          <cell r="B38" t="str">
            <v>Other revenues</v>
          </cell>
          <cell r="C38">
            <v>40310100</v>
          </cell>
          <cell r="D38" t="str">
            <v>OthRev-Late Pymt Fee</v>
          </cell>
          <cell r="E38" t="str">
            <v>470.</v>
          </cell>
          <cell r="R38">
            <v>-837881</v>
          </cell>
        </row>
        <row r="39">
          <cell r="A39" t="str">
            <v>P11</v>
          </cell>
          <cell r="B39" t="str">
            <v>Other revenues</v>
          </cell>
          <cell r="C39">
            <v>40310200</v>
          </cell>
          <cell r="D39" t="str">
            <v>OthRev-Rent</v>
          </cell>
          <cell r="E39" t="str">
            <v>472.</v>
          </cell>
          <cell r="R39">
            <v>-95656</v>
          </cell>
        </row>
        <row r="40">
          <cell r="A40" t="str">
            <v>P11</v>
          </cell>
          <cell r="B40" t="str">
            <v>Other revenues</v>
          </cell>
          <cell r="C40">
            <v>40310250</v>
          </cell>
          <cell r="D40" t="str">
            <v>OthRev-Rent I/C</v>
          </cell>
          <cell r="E40" t="str">
            <v>473.</v>
          </cell>
          <cell r="R40">
            <v>-154932</v>
          </cell>
        </row>
        <row r="41">
          <cell r="A41" t="str">
            <v>P11</v>
          </cell>
          <cell r="B41" t="str">
            <v>Other revenues</v>
          </cell>
          <cell r="C41">
            <v>40310300</v>
          </cell>
          <cell r="D41" t="str">
            <v>OthRev-CFO</v>
          </cell>
          <cell r="E41" t="str">
            <v>471.</v>
          </cell>
          <cell r="R41">
            <v>0</v>
          </cell>
        </row>
        <row r="42">
          <cell r="A42" t="str">
            <v>P11</v>
          </cell>
          <cell r="B42" t="str">
            <v>Other revenues</v>
          </cell>
          <cell r="C42">
            <v>40310400</v>
          </cell>
          <cell r="D42" t="str">
            <v>OthRev-NSF Ck Chrg</v>
          </cell>
          <cell r="E42" t="str">
            <v>471.</v>
          </cell>
          <cell r="R42">
            <v>-30420</v>
          </cell>
        </row>
        <row r="43">
          <cell r="A43" t="str">
            <v>P11</v>
          </cell>
          <cell r="B43" t="str">
            <v>Other revenues</v>
          </cell>
          <cell r="C43">
            <v>40310500</v>
          </cell>
          <cell r="D43" t="str">
            <v>OthRev-Appl/InitFee</v>
          </cell>
          <cell r="E43" t="str">
            <v>471.</v>
          </cell>
          <cell r="R43">
            <v>-776520</v>
          </cell>
        </row>
        <row r="44">
          <cell r="A44" t="str">
            <v>P11</v>
          </cell>
          <cell r="B44" t="str">
            <v>Other revenues</v>
          </cell>
          <cell r="C44">
            <v>40310600</v>
          </cell>
          <cell r="D44" t="str">
            <v>OthRev-Usage Data</v>
          </cell>
          <cell r="E44" t="str">
            <v>471.</v>
          </cell>
          <cell r="R44">
            <v>-51797</v>
          </cell>
        </row>
        <row r="45">
          <cell r="A45" t="str">
            <v>P11</v>
          </cell>
          <cell r="B45" t="str">
            <v>Other revenues</v>
          </cell>
          <cell r="C45">
            <v>40310700</v>
          </cell>
          <cell r="D45" t="str">
            <v>OthRev-Reconnct Fee</v>
          </cell>
          <cell r="E45" t="str">
            <v>471.</v>
          </cell>
          <cell r="R45">
            <v>-573394</v>
          </cell>
        </row>
        <row r="46">
          <cell r="A46" t="str">
            <v>P11</v>
          </cell>
          <cell r="B46" t="str">
            <v>Other revenues</v>
          </cell>
          <cell r="C46">
            <v>40310800</v>
          </cell>
          <cell r="D46" t="str">
            <v>OthRev-Frozen Mtr</v>
          </cell>
          <cell r="E46" t="str">
            <v>471.</v>
          </cell>
          <cell r="R46">
            <v>0</v>
          </cell>
        </row>
        <row r="47">
          <cell r="A47" t="str">
            <v>P11</v>
          </cell>
          <cell r="B47" t="str">
            <v>Other revenues</v>
          </cell>
          <cell r="C47">
            <v>40319900</v>
          </cell>
          <cell r="D47" t="str">
            <v>OthRev-Misc Svc</v>
          </cell>
          <cell r="E47" t="str">
            <v>471.</v>
          </cell>
          <cell r="R47">
            <v>-165</v>
          </cell>
        </row>
        <row r="48">
          <cell r="A48" t="str">
            <v>P11 Total</v>
          </cell>
          <cell r="R48">
            <v>-2520765</v>
          </cell>
        </row>
        <row r="49">
          <cell r="A49" t="str">
            <v>P13</v>
          </cell>
          <cell r="B49" t="str">
            <v>Purchased water</v>
          </cell>
          <cell r="C49">
            <v>51010000</v>
          </cell>
          <cell r="D49" t="str">
            <v>Purchased Water</v>
          </cell>
          <cell r="E49" t="str">
            <v>610.1</v>
          </cell>
          <cell r="R49">
            <v>299237</v>
          </cell>
        </row>
        <row r="50">
          <cell r="C50">
            <v>51015000</v>
          </cell>
          <cell r="D50" t="str">
            <v>Purchased Water I/C</v>
          </cell>
          <cell r="E50" t="str">
            <v>610.1</v>
          </cell>
          <cell r="R50">
            <v>0</v>
          </cell>
        </row>
        <row r="51">
          <cell r="A51" t="str">
            <v>P13 Total</v>
          </cell>
          <cell r="R51">
            <v>299237</v>
          </cell>
        </row>
        <row r="52">
          <cell r="A52" t="str">
            <v>P14</v>
          </cell>
          <cell r="B52" t="str">
            <v>Fuel and power</v>
          </cell>
          <cell r="C52">
            <v>51510000</v>
          </cell>
          <cell r="D52" t="str">
            <v>Purchased Power</v>
          </cell>
          <cell r="E52" t="str">
            <v>615.8</v>
          </cell>
          <cell r="R52">
            <v>2141917.9799161823</v>
          </cell>
        </row>
        <row r="53">
          <cell r="A53" t="str">
            <v>P14</v>
          </cell>
          <cell r="B53" t="str">
            <v>Fuel and power</v>
          </cell>
          <cell r="C53">
            <v>51510011</v>
          </cell>
          <cell r="D53" t="str">
            <v>Purchased Power SS</v>
          </cell>
          <cell r="E53" t="str">
            <v>615.1</v>
          </cell>
          <cell r="R53">
            <v>91968</v>
          </cell>
        </row>
        <row r="54">
          <cell r="A54" t="str">
            <v>P14</v>
          </cell>
          <cell r="B54" t="str">
            <v>Fuel and power</v>
          </cell>
          <cell r="C54">
            <v>51510012</v>
          </cell>
          <cell r="D54" t="str">
            <v>Purchased Power P</v>
          </cell>
          <cell r="E54" t="str">
            <v>615.1</v>
          </cell>
          <cell r="R54">
            <v>246430</v>
          </cell>
        </row>
        <row r="55">
          <cell r="A55" t="str">
            <v>P14</v>
          </cell>
          <cell r="B55" t="str">
            <v>Fuel and power</v>
          </cell>
          <cell r="C55">
            <v>51510013</v>
          </cell>
          <cell r="D55" t="str">
            <v>Purchased Power WT</v>
          </cell>
          <cell r="E55" t="str">
            <v>615.3</v>
          </cell>
          <cell r="R55">
            <v>1641892</v>
          </cell>
        </row>
        <row r="56">
          <cell r="A56" t="str">
            <v>P14</v>
          </cell>
          <cell r="B56" t="str">
            <v>Fuel and power</v>
          </cell>
          <cell r="C56">
            <v>51510014</v>
          </cell>
          <cell r="D56" t="str">
            <v>Purchased Power TD</v>
          </cell>
          <cell r="E56" t="str">
            <v>615.5</v>
          </cell>
          <cell r="R56">
            <v>8200</v>
          </cell>
        </row>
        <row r="57">
          <cell r="A57" t="str">
            <v>P14</v>
          </cell>
          <cell r="B57" t="str">
            <v>Fuel and power</v>
          </cell>
          <cell r="C57">
            <v>51520000</v>
          </cell>
          <cell r="D57" t="str">
            <v>Fuel for Power Prod</v>
          </cell>
          <cell r="E57" t="str">
            <v>616.1</v>
          </cell>
          <cell r="R57">
            <v>6000</v>
          </cell>
        </row>
        <row r="58">
          <cell r="A58" t="str">
            <v>P14 Total</v>
          </cell>
          <cell r="R58">
            <v>4136407.9799161823</v>
          </cell>
        </row>
        <row r="59">
          <cell r="A59" t="str">
            <v>P15</v>
          </cell>
          <cell r="B59" t="str">
            <v>Chemicals</v>
          </cell>
          <cell r="C59">
            <v>51800000</v>
          </cell>
          <cell r="D59" t="str">
            <v>Chemicals</v>
          </cell>
          <cell r="E59" t="str">
            <v>618.3</v>
          </cell>
          <cell r="R59">
            <v>1902436.9872043957</v>
          </cell>
        </row>
        <row r="60">
          <cell r="A60" t="str">
            <v>P15 Total</v>
          </cell>
          <cell r="R60">
            <v>1902436.9872043957</v>
          </cell>
        </row>
        <row r="61">
          <cell r="A61" t="str">
            <v>P16</v>
          </cell>
          <cell r="B61" t="str">
            <v>Waste disposal</v>
          </cell>
          <cell r="C61">
            <v>51110000</v>
          </cell>
          <cell r="D61" t="str">
            <v>Waste Disposal</v>
          </cell>
          <cell r="E61" t="str">
            <v>675.3</v>
          </cell>
          <cell r="R61">
            <v>476720</v>
          </cell>
        </row>
        <row r="62">
          <cell r="A62" t="str">
            <v>P16</v>
          </cell>
          <cell r="B62" t="str">
            <v>Waste disposal</v>
          </cell>
          <cell r="C62">
            <v>51120000</v>
          </cell>
          <cell r="D62" t="str">
            <v>Amort Waste Disposal</v>
          </cell>
          <cell r="E62" t="str">
            <v>675.3</v>
          </cell>
          <cell r="R62">
            <v>33336</v>
          </cell>
        </row>
        <row r="63">
          <cell r="A63" t="str">
            <v>P16 Total</v>
          </cell>
          <cell r="R63">
            <v>510056</v>
          </cell>
        </row>
        <row r="64">
          <cell r="A64" t="str">
            <v>P17</v>
          </cell>
          <cell r="B64" t="str">
            <v>Salaries and wages</v>
          </cell>
          <cell r="C64">
            <v>50100000</v>
          </cell>
          <cell r="D64" t="str">
            <v>Labor Expense</v>
          </cell>
          <cell r="E64" t="str">
            <v>601.8</v>
          </cell>
          <cell r="R64">
            <v>5971937</v>
          </cell>
        </row>
        <row r="65">
          <cell r="A65" t="str">
            <v>P17</v>
          </cell>
          <cell r="B65" t="str">
            <v>Salaries and wages</v>
          </cell>
          <cell r="C65">
            <v>50100001</v>
          </cell>
          <cell r="D65" t="str">
            <v>Labor ExpenseAccrual</v>
          </cell>
          <cell r="E65" t="str">
            <v>601.8</v>
          </cell>
          <cell r="R65">
            <v>-61217</v>
          </cell>
        </row>
        <row r="66">
          <cell r="A66" t="str">
            <v>P17</v>
          </cell>
          <cell r="B66" t="str">
            <v>Salaries and wages</v>
          </cell>
          <cell r="C66">
            <v>50101210</v>
          </cell>
          <cell r="D66" t="str">
            <v>Labor Oper P PwrProd</v>
          </cell>
          <cell r="E66" t="str">
            <v>601.1</v>
          </cell>
          <cell r="R66">
            <v>0</v>
          </cell>
        </row>
        <row r="67">
          <cell r="A67" t="str">
            <v>P17</v>
          </cell>
          <cell r="B67" t="str">
            <v>Salaries and wages</v>
          </cell>
          <cell r="C67">
            <v>50101300</v>
          </cell>
          <cell r="D67" t="str">
            <v>Labor Oper WT</v>
          </cell>
          <cell r="E67" t="str">
            <v>601.3</v>
          </cell>
          <cell r="R67">
            <v>964606</v>
          </cell>
        </row>
        <row r="68">
          <cell r="A68" t="str">
            <v>P17</v>
          </cell>
          <cell r="B68" t="str">
            <v>Salaries and wages</v>
          </cell>
          <cell r="C68">
            <v>50101305</v>
          </cell>
          <cell r="D68" t="str">
            <v>Labor Oper WT SupEng</v>
          </cell>
          <cell r="E68" t="str">
            <v>601.3</v>
          </cell>
          <cell r="R68">
            <v>54871</v>
          </cell>
        </row>
        <row r="69">
          <cell r="A69" t="str">
            <v>P17</v>
          </cell>
          <cell r="B69" t="str">
            <v>Salaries and wages</v>
          </cell>
          <cell r="C69">
            <v>50101400</v>
          </cell>
          <cell r="D69" t="str">
            <v>Labor Oper TD</v>
          </cell>
          <cell r="E69" t="str">
            <v>601.5</v>
          </cell>
          <cell r="R69">
            <v>97942</v>
          </cell>
        </row>
        <row r="70">
          <cell r="A70" t="str">
            <v>P17</v>
          </cell>
          <cell r="B70" t="str">
            <v>Salaries and wages</v>
          </cell>
          <cell r="C70">
            <v>50101405</v>
          </cell>
          <cell r="D70" t="str">
            <v>Labor Oper TD SupEng</v>
          </cell>
          <cell r="E70" t="str">
            <v>601.5</v>
          </cell>
          <cell r="R70">
            <v>26402</v>
          </cell>
        </row>
        <row r="71">
          <cell r="A71" t="str">
            <v>P17</v>
          </cell>
          <cell r="B71" t="str">
            <v>Salaries and wages</v>
          </cell>
          <cell r="C71">
            <v>50101415</v>
          </cell>
          <cell r="D71" t="str">
            <v>Labor Oper TD Lines</v>
          </cell>
          <cell r="E71" t="str">
            <v>601.5</v>
          </cell>
          <cell r="R71">
            <v>34635</v>
          </cell>
        </row>
        <row r="72">
          <cell r="A72" t="str">
            <v>P17</v>
          </cell>
          <cell r="B72" t="str">
            <v>Salaries and wages</v>
          </cell>
          <cell r="C72">
            <v>50101420</v>
          </cell>
          <cell r="D72" t="str">
            <v>Labor Oper TD Meter</v>
          </cell>
          <cell r="E72" t="str">
            <v>601.5</v>
          </cell>
          <cell r="R72">
            <v>367652</v>
          </cell>
        </row>
        <row r="73">
          <cell r="A73" t="str">
            <v>P17</v>
          </cell>
          <cell r="B73" t="str">
            <v>Salaries and wages</v>
          </cell>
          <cell r="C73">
            <v>50101500</v>
          </cell>
          <cell r="D73" t="str">
            <v>Labor Oper CA</v>
          </cell>
          <cell r="E73" t="str">
            <v>601.7</v>
          </cell>
          <cell r="R73">
            <v>13171</v>
          </cell>
        </row>
        <row r="74">
          <cell r="A74" t="str">
            <v>P17</v>
          </cell>
          <cell r="B74" t="str">
            <v>Salaries and wages</v>
          </cell>
          <cell r="C74">
            <v>50101510</v>
          </cell>
          <cell r="D74" t="str">
            <v>Labor Oper CA MtrRd</v>
          </cell>
          <cell r="E74" t="str">
            <v>601.7</v>
          </cell>
          <cell r="R74">
            <v>134277</v>
          </cell>
        </row>
        <row r="75">
          <cell r="A75" t="str">
            <v>P17</v>
          </cell>
          <cell r="B75" t="str">
            <v>Salaries and wages</v>
          </cell>
          <cell r="C75">
            <v>50101515</v>
          </cell>
          <cell r="D75" t="str">
            <v>Labor Oper CA CstRec</v>
          </cell>
          <cell r="E75" t="str">
            <v>601.7</v>
          </cell>
          <cell r="R75">
            <v>0</v>
          </cell>
        </row>
        <row r="76">
          <cell r="A76" t="str">
            <v>P17</v>
          </cell>
          <cell r="B76" t="str">
            <v>Salaries and wages</v>
          </cell>
          <cell r="C76">
            <v>50101520</v>
          </cell>
          <cell r="D76" t="str">
            <v>Labor Oper CA CstSrv</v>
          </cell>
          <cell r="E76" t="str">
            <v>601.7</v>
          </cell>
          <cell r="R76">
            <v>102255</v>
          </cell>
        </row>
        <row r="77">
          <cell r="A77" t="str">
            <v>P17</v>
          </cell>
          <cell r="B77" t="str">
            <v>Salaries and wages</v>
          </cell>
          <cell r="C77">
            <v>50101600</v>
          </cell>
          <cell r="D77" t="str">
            <v>Labor Oper AG</v>
          </cell>
          <cell r="E77" t="str">
            <v>601.8</v>
          </cell>
          <cell r="R77">
            <v>362686</v>
          </cell>
        </row>
        <row r="78">
          <cell r="A78" t="str">
            <v>P17</v>
          </cell>
          <cell r="B78" t="str">
            <v>Salaries and wages</v>
          </cell>
          <cell r="C78">
            <v>50101601</v>
          </cell>
          <cell r="D78" t="str">
            <v>Labor Oper AG Dir&amp;Of</v>
          </cell>
          <cell r="E78" t="str">
            <v>603.8</v>
          </cell>
          <cell r="R78">
            <v>161</v>
          </cell>
        </row>
        <row r="79">
          <cell r="A79" t="str">
            <v>P17</v>
          </cell>
          <cell r="B79" t="str">
            <v>Salaries and wages</v>
          </cell>
          <cell r="C79">
            <v>50102300</v>
          </cell>
          <cell r="D79" t="str">
            <v>Labor Maint WT</v>
          </cell>
          <cell r="E79" t="str">
            <v>601.4</v>
          </cell>
          <cell r="R79">
            <v>96528</v>
          </cell>
        </row>
        <row r="80">
          <cell r="A80" t="str">
            <v>P17</v>
          </cell>
          <cell r="B80" t="str">
            <v>Salaries and wages</v>
          </cell>
          <cell r="C80">
            <v>50102400</v>
          </cell>
          <cell r="D80" t="str">
            <v>Labor Maint TD</v>
          </cell>
          <cell r="E80" t="str">
            <v>601.6</v>
          </cell>
          <cell r="R80">
            <v>277315</v>
          </cell>
        </row>
        <row r="81">
          <cell r="A81" t="str">
            <v>P17</v>
          </cell>
          <cell r="B81" t="str">
            <v>Salaries and wages</v>
          </cell>
          <cell r="C81">
            <v>50102410</v>
          </cell>
          <cell r="D81" t="str">
            <v>Labor Mnt TD Str&amp;Imp</v>
          </cell>
          <cell r="E81" t="str">
            <v>601.6</v>
          </cell>
          <cell r="R81">
            <v>0</v>
          </cell>
        </row>
        <row r="82">
          <cell r="A82" t="str">
            <v>P17</v>
          </cell>
          <cell r="B82" t="str">
            <v>Salaries and wages</v>
          </cell>
          <cell r="C82">
            <v>50102415</v>
          </cell>
          <cell r="D82" t="str">
            <v>Labor Mnt TD DistRes</v>
          </cell>
          <cell r="E82" t="str">
            <v>601.6</v>
          </cell>
          <cell r="R82">
            <v>0</v>
          </cell>
        </row>
        <row r="83">
          <cell r="A83" t="str">
            <v>P17</v>
          </cell>
          <cell r="B83" t="str">
            <v>Salaries and wages</v>
          </cell>
          <cell r="C83">
            <v>50102420</v>
          </cell>
          <cell r="D83" t="str">
            <v>Labor Mnt TD Mains</v>
          </cell>
          <cell r="E83" t="str">
            <v>601.6</v>
          </cell>
          <cell r="R83">
            <v>23681</v>
          </cell>
        </row>
        <row r="84">
          <cell r="A84" t="str">
            <v>P17</v>
          </cell>
          <cell r="B84" t="str">
            <v>Salaries and wages</v>
          </cell>
          <cell r="C84">
            <v>50102425</v>
          </cell>
          <cell r="D84" t="str">
            <v>Labor Mnt TD FireMn</v>
          </cell>
          <cell r="E84" t="str">
            <v>601.6</v>
          </cell>
          <cell r="R84">
            <v>0</v>
          </cell>
        </row>
        <row r="85">
          <cell r="A85" t="str">
            <v>P17</v>
          </cell>
          <cell r="B85" t="str">
            <v>Salaries and wages</v>
          </cell>
          <cell r="C85">
            <v>50102430</v>
          </cell>
          <cell r="D85" t="str">
            <v>Labor Mnt TD Service</v>
          </cell>
          <cell r="E85" t="str">
            <v>601.6</v>
          </cell>
          <cell r="R85">
            <v>59903</v>
          </cell>
        </row>
        <row r="86">
          <cell r="A86" t="str">
            <v>P17</v>
          </cell>
          <cell r="B86" t="str">
            <v>Salaries and wages</v>
          </cell>
          <cell r="C86">
            <v>50102435</v>
          </cell>
          <cell r="D86" t="str">
            <v>Labor Mnt TD Meter</v>
          </cell>
          <cell r="E86" t="str">
            <v>601.6</v>
          </cell>
          <cell r="R86">
            <v>17852</v>
          </cell>
        </row>
        <row r="87">
          <cell r="A87" t="str">
            <v>P17</v>
          </cell>
          <cell r="B87" t="str">
            <v>Salaries and wages</v>
          </cell>
          <cell r="C87">
            <v>50102440</v>
          </cell>
          <cell r="D87" t="str">
            <v>Labor Mnt TD Hydrant</v>
          </cell>
          <cell r="E87" t="str">
            <v>601.6</v>
          </cell>
          <cell r="R87">
            <v>9575</v>
          </cell>
        </row>
        <row r="88">
          <cell r="A88" t="str">
            <v>P17</v>
          </cell>
          <cell r="B88" t="str">
            <v>Salaries and wages</v>
          </cell>
          <cell r="C88">
            <v>50109900</v>
          </cell>
          <cell r="D88" t="str">
            <v>Labor Cap Credits</v>
          </cell>
          <cell r="E88" t="str">
            <v>601.8</v>
          </cell>
          <cell r="R88">
            <v>-2447639</v>
          </cell>
        </row>
        <row r="89">
          <cell r="A89" t="str">
            <v>P17</v>
          </cell>
          <cell r="B89" t="str">
            <v>Salaries and wages</v>
          </cell>
          <cell r="C89">
            <v>50110000</v>
          </cell>
          <cell r="D89" t="str">
            <v>Labor NS OT -Natural</v>
          </cell>
          <cell r="E89" t="str">
            <v>601.8</v>
          </cell>
          <cell r="R89">
            <v>639111</v>
          </cell>
        </row>
        <row r="90">
          <cell r="A90" t="str">
            <v>P17</v>
          </cell>
          <cell r="B90" t="str">
            <v>Salaries and wages</v>
          </cell>
          <cell r="C90">
            <v>50111210</v>
          </cell>
          <cell r="D90" t="str">
            <v>LaborOperNS OT P PP</v>
          </cell>
          <cell r="E90" t="str">
            <v>601.1</v>
          </cell>
          <cell r="R90">
            <v>0</v>
          </cell>
        </row>
        <row r="91">
          <cell r="A91" t="str">
            <v>P17</v>
          </cell>
          <cell r="B91" t="str">
            <v>Salaries and wages</v>
          </cell>
          <cell r="C91">
            <v>50111300</v>
          </cell>
          <cell r="D91" t="str">
            <v>LaborOper NS OT WT</v>
          </cell>
          <cell r="E91" t="str">
            <v>601.3</v>
          </cell>
          <cell r="R91">
            <v>145972</v>
          </cell>
        </row>
        <row r="92">
          <cell r="A92" t="str">
            <v>P17</v>
          </cell>
          <cell r="B92" t="str">
            <v>Salaries and wages</v>
          </cell>
          <cell r="C92">
            <v>50111400</v>
          </cell>
          <cell r="D92" t="str">
            <v>LaborOper NS OT TD</v>
          </cell>
          <cell r="E92" t="str">
            <v>601.5</v>
          </cell>
          <cell r="R92">
            <v>15804</v>
          </cell>
        </row>
        <row r="93">
          <cell r="A93" t="str">
            <v>P17</v>
          </cell>
          <cell r="B93" t="str">
            <v>Salaries and wages</v>
          </cell>
          <cell r="C93">
            <v>50111405</v>
          </cell>
          <cell r="D93" t="str">
            <v>LaborOperNS OT TD SE</v>
          </cell>
          <cell r="E93" t="str">
            <v>601.5</v>
          </cell>
          <cell r="R93">
            <v>0</v>
          </cell>
        </row>
        <row r="94">
          <cell r="A94" t="str">
            <v>P17</v>
          </cell>
          <cell r="B94" t="str">
            <v>Salaries and wages</v>
          </cell>
          <cell r="C94">
            <v>50111415</v>
          </cell>
          <cell r="D94" t="str">
            <v>LaborOperNS OT TD Ln</v>
          </cell>
          <cell r="E94" t="str">
            <v>601.5</v>
          </cell>
          <cell r="R94">
            <v>5351</v>
          </cell>
        </row>
        <row r="95">
          <cell r="A95" t="str">
            <v>P17</v>
          </cell>
          <cell r="B95" t="str">
            <v>Salaries and wages</v>
          </cell>
          <cell r="C95">
            <v>50111420</v>
          </cell>
          <cell r="D95" t="str">
            <v>LaborOperNS OT TD Mt</v>
          </cell>
          <cell r="E95" t="str">
            <v>601.5</v>
          </cell>
          <cell r="R95">
            <v>48078</v>
          </cell>
        </row>
        <row r="96">
          <cell r="A96" t="str">
            <v>P17</v>
          </cell>
          <cell r="B96" t="str">
            <v>Salaries and wages</v>
          </cell>
          <cell r="C96">
            <v>50111500</v>
          </cell>
          <cell r="D96" t="str">
            <v>LaborOper NS OT CA</v>
          </cell>
          <cell r="E96" t="str">
            <v>601.7</v>
          </cell>
          <cell r="R96">
            <v>1089</v>
          </cell>
        </row>
        <row r="97">
          <cell r="A97" t="str">
            <v>P17</v>
          </cell>
          <cell r="B97" t="str">
            <v>Salaries and wages</v>
          </cell>
          <cell r="C97">
            <v>50111510</v>
          </cell>
          <cell r="D97" t="str">
            <v>LaborOperNS OT CA MR</v>
          </cell>
          <cell r="E97" t="str">
            <v>601.7</v>
          </cell>
          <cell r="R97">
            <v>17862</v>
          </cell>
        </row>
        <row r="98">
          <cell r="A98" t="str">
            <v>P17</v>
          </cell>
          <cell r="B98" t="str">
            <v>Salaries and wages</v>
          </cell>
          <cell r="C98">
            <v>50111520</v>
          </cell>
          <cell r="D98" t="str">
            <v>LaborOperNS OT CA CS</v>
          </cell>
          <cell r="E98" t="str">
            <v>601.7</v>
          </cell>
          <cell r="R98">
            <v>6274</v>
          </cell>
        </row>
        <row r="99">
          <cell r="A99" t="str">
            <v>P17</v>
          </cell>
          <cell r="B99" t="str">
            <v>Salaries and wages</v>
          </cell>
          <cell r="C99">
            <v>50111600</v>
          </cell>
          <cell r="D99" t="str">
            <v>LaborOper NS OT AG</v>
          </cell>
          <cell r="E99" t="str">
            <v>601.8</v>
          </cell>
          <cell r="R99">
            <v>122</v>
          </cell>
        </row>
        <row r="100">
          <cell r="A100" t="str">
            <v>P17</v>
          </cell>
          <cell r="B100" t="str">
            <v>Salaries and wages</v>
          </cell>
          <cell r="C100">
            <v>50112215</v>
          </cell>
          <cell r="D100" t="str">
            <v>LaborMaintNSOT P PP</v>
          </cell>
          <cell r="E100" t="str">
            <v>601.2</v>
          </cell>
          <cell r="R100">
            <v>0</v>
          </cell>
        </row>
        <row r="101">
          <cell r="A101" t="str">
            <v>P17</v>
          </cell>
          <cell r="B101" t="str">
            <v>Salaries and wages</v>
          </cell>
          <cell r="C101">
            <v>50112300</v>
          </cell>
          <cell r="D101" t="str">
            <v>LaborMaint NS OT WT</v>
          </cell>
          <cell r="E101" t="str">
            <v>601.4</v>
          </cell>
          <cell r="R101">
            <v>24399</v>
          </cell>
        </row>
        <row r="102">
          <cell r="A102" t="str">
            <v>P17</v>
          </cell>
          <cell r="B102" t="str">
            <v>Salaries and wages</v>
          </cell>
          <cell r="C102">
            <v>50112400</v>
          </cell>
          <cell r="D102" t="str">
            <v>LaborMaint NS OT TD</v>
          </cell>
          <cell r="E102" t="str">
            <v>601.6</v>
          </cell>
          <cell r="R102">
            <v>93016</v>
          </cell>
        </row>
        <row r="103">
          <cell r="A103" t="str">
            <v>P17</v>
          </cell>
          <cell r="B103" t="str">
            <v>Salaries and wages</v>
          </cell>
          <cell r="C103">
            <v>50112415</v>
          </cell>
          <cell r="D103" t="str">
            <v>LaborMaintNSOT TD DR</v>
          </cell>
          <cell r="E103" t="str">
            <v>601.6</v>
          </cell>
          <cell r="R103">
            <v>0</v>
          </cell>
        </row>
        <row r="104">
          <cell r="A104" t="str">
            <v>P17</v>
          </cell>
          <cell r="B104" t="str">
            <v>Salaries and wages</v>
          </cell>
          <cell r="C104">
            <v>50112420</v>
          </cell>
          <cell r="D104" t="str">
            <v>LaborMaintNSOT TD Mn</v>
          </cell>
          <cell r="E104" t="str">
            <v>601.6</v>
          </cell>
          <cell r="R104">
            <v>8862</v>
          </cell>
        </row>
        <row r="105">
          <cell r="A105" t="str">
            <v>P17</v>
          </cell>
          <cell r="B105" t="str">
            <v>Salaries and wages</v>
          </cell>
          <cell r="C105">
            <v>50112425</v>
          </cell>
          <cell r="D105" t="str">
            <v>LaborMaintNSOT TD FM</v>
          </cell>
          <cell r="E105" t="str">
            <v>601.6</v>
          </cell>
          <cell r="R105">
            <v>0</v>
          </cell>
        </row>
        <row r="106">
          <cell r="A106" t="str">
            <v>P17</v>
          </cell>
          <cell r="B106" t="str">
            <v>Salaries and wages</v>
          </cell>
          <cell r="C106">
            <v>50112430</v>
          </cell>
          <cell r="D106" t="str">
            <v>LaborMaintNSOT TD Sv</v>
          </cell>
          <cell r="E106" t="str">
            <v>601.6</v>
          </cell>
          <cell r="R106">
            <v>16804</v>
          </cell>
        </row>
        <row r="107">
          <cell r="A107" t="str">
            <v>P17</v>
          </cell>
          <cell r="B107" t="str">
            <v>Salaries and wages</v>
          </cell>
          <cell r="C107">
            <v>50112435</v>
          </cell>
          <cell r="D107" t="str">
            <v>LaborMaintNSOT TD Mt</v>
          </cell>
          <cell r="E107" t="str">
            <v>601.6</v>
          </cell>
          <cell r="R107">
            <v>3539</v>
          </cell>
        </row>
        <row r="108">
          <cell r="A108" t="str">
            <v>P17</v>
          </cell>
          <cell r="B108" t="str">
            <v>Salaries and wages</v>
          </cell>
          <cell r="C108">
            <v>50112440</v>
          </cell>
          <cell r="D108" t="str">
            <v>LaborMaintNSOT TD Hy</v>
          </cell>
          <cell r="E108" t="str">
            <v>601.6</v>
          </cell>
          <cell r="R108">
            <v>1634</v>
          </cell>
        </row>
        <row r="109">
          <cell r="A109" t="str">
            <v>P17</v>
          </cell>
          <cell r="B109" t="str">
            <v>Salaries and wages</v>
          </cell>
          <cell r="C109">
            <v>50119900</v>
          </cell>
          <cell r="D109" t="str">
            <v>LaborNSOT CapCredits</v>
          </cell>
          <cell r="E109" t="str">
            <v>601.8</v>
          </cell>
          <cell r="R109">
            <v>-359649</v>
          </cell>
        </row>
        <row r="110">
          <cell r="A110" t="str">
            <v>P17</v>
          </cell>
          <cell r="B110" t="str">
            <v>Salaries and wages</v>
          </cell>
          <cell r="C110">
            <v>50120000</v>
          </cell>
          <cell r="D110" t="str">
            <v>Labor OT - Natural</v>
          </cell>
          <cell r="E110" t="str">
            <v>601.8</v>
          </cell>
          <cell r="R110">
            <v>0</v>
          </cell>
        </row>
        <row r="111">
          <cell r="A111" t="str">
            <v>P17</v>
          </cell>
          <cell r="B111" t="str">
            <v>Salaries and wages</v>
          </cell>
          <cell r="C111">
            <v>50121300</v>
          </cell>
          <cell r="D111" t="str">
            <v>LaborOper OT WT</v>
          </cell>
          <cell r="E111" t="str">
            <v>601.3</v>
          </cell>
          <cell r="R111">
            <v>0</v>
          </cell>
        </row>
        <row r="112">
          <cell r="A112" t="str">
            <v>P17</v>
          </cell>
          <cell r="B112" t="str">
            <v>Salaries and wages</v>
          </cell>
          <cell r="C112">
            <v>50122400</v>
          </cell>
          <cell r="D112" t="str">
            <v>LaborMaint OT TD</v>
          </cell>
          <cell r="E112" t="str">
            <v>601.6</v>
          </cell>
          <cell r="R112">
            <v>0</v>
          </cell>
        </row>
        <row r="113">
          <cell r="A113" t="str">
            <v>P17</v>
          </cell>
          <cell r="B113" t="str">
            <v>Salaries and wages</v>
          </cell>
          <cell r="C113">
            <v>50129900</v>
          </cell>
          <cell r="D113" t="str">
            <v>Labor OT Cap Credits</v>
          </cell>
          <cell r="E113" t="str">
            <v>601.8</v>
          </cell>
          <cell r="R113">
            <v>0</v>
          </cell>
        </row>
        <row r="114">
          <cell r="A114" t="str">
            <v>P17</v>
          </cell>
          <cell r="B114" t="str">
            <v>Salaries and wages</v>
          </cell>
          <cell r="C114">
            <v>50171000</v>
          </cell>
          <cell r="D114" t="str">
            <v>Annual Incent Plan</v>
          </cell>
          <cell r="E114" t="str">
            <v>601.8</v>
          </cell>
          <cell r="R114">
            <v>393701</v>
          </cell>
        </row>
        <row r="115">
          <cell r="A115" t="str">
            <v>P17</v>
          </cell>
          <cell r="B115" t="str">
            <v>Salaries and wages</v>
          </cell>
          <cell r="C115">
            <v>50171600</v>
          </cell>
          <cell r="D115" t="str">
            <v>Comp Exp-Options</v>
          </cell>
          <cell r="E115" t="str">
            <v>601.8</v>
          </cell>
          <cell r="R115">
            <v>453</v>
          </cell>
        </row>
        <row r="116">
          <cell r="A116" t="str">
            <v>P17</v>
          </cell>
          <cell r="B116" t="str">
            <v>Salaries and wages</v>
          </cell>
          <cell r="C116">
            <v>50171800</v>
          </cell>
          <cell r="D116" t="str">
            <v>Comp Exp-RSU's</v>
          </cell>
          <cell r="E116" t="str">
            <v>601.8</v>
          </cell>
          <cell r="R116">
            <v>15109</v>
          </cell>
        </row>
        <row r="117">
          <cell r="A117" t="str">
            <v>P17</v>
          </cell>
          <cell r="B117" t="str">
            <v>Salaries and wages</v>
          </cell>
          <cell r="C117">
            <v>50185000</v>
          </cell>
          <cell r="D117" t="str">
            <v>Severance</v>
          </cell>
          <cell r="E117" t="str">
            <v>601.8</v>
          </cell>
          <cell r="R117">
            <v>0</v>
          </cell>
        </row>
        <row r="118">
          <cell r="A118" t="str">
            <v>P17 Total</v>
          </cell>
          <cell r="R118">
            <v>7184124</v>
          </cell>
        </row>
        <row r="119">
          <cell r="A119" t="str">
            <v>P18</v>
          </cell>
          <cell r="B119" t="str">
            <v>Pension expense</v>
          </cell>
          <cell r="C119">
            <v>50610000</v>
          </cell>
          <cell r="D119" t="str">
            <v>Pension Expense</v>
          </cell>
          <cell r="E119" t="str">
            <v>604.8</v>
          </cell>
          <cell r="R119">
            <v>627714</v>
          </cell>
        </row>
        <row r="120">
          <cell r="A120" t="str">
            <v>P18</v>
          </cell>
          <cell r="B120" t="str">
            <v>Pension expense</v>
          </cell>
          <cell r="C120">
            <v>50610100</v>
          </cell>
          <cell r="D120" t="str">
            <v>Pension Cap Credits</v>
          </cell>
          <cell r="E120" t="str">
            <v>604.8</v>
          </cell>
          <cell r="R120">
            <v>-188553</v>
          </cell>
        </row>
        <row r="121">
          <cell r="A121" t="str">
            <v>P18 Total</v>
          </cell>
          <cell r="R121">
            <v>439161</v>
          </cell>
        </row>
        <row r="122">
          <cell r="A122" t="str">
            <v>P19</v>
          </cell>
          <cell r="B122" t="str">
            <v>OPEB expense</v>
          </cell>
          <cell r="C122">
            <v>50510000</v>
          </cell>
          <cell r="D122" t="str">
            <v>PBOP Expense</v>
          </cell>
          <cell r="E122" t="str">
            <v>604.8</v>
          </cell>
          <cell r="R122">
            <v>169677</v>
          </cell>
        </row>
        <row r="123">
          <cell r="A123" t="str">
            <v>P19</v>
          </cell>
          <cell r="B123" t="str">
            <v>OPEB expense</v>
          </cell>
          <cell r="C123">
            <v>50510100</v>
          </cell>
          <cell r="D123" t="str">
            <v>PBOP Cap Credits</v>
          </cell>
          <cell r="E123" t="str">
            <v>604.8</v>
          </cell>
          <cell r="R123">
            <v>-55076</v>
          </cell>
        </row>
        <row r="124">
          <cell r="A124" t="str">
            <v>P19 Total</v>
          </cell>
          <cell r="R124">
            <v>114601</v>
          </cell>
        </row>
        <row r="125">
          <cell r="A125" t="str">
            <v>P20</v>
          </cell>
          <cell r="B125" t="str">
            <v>Group insurance expense</v>
          </cell>
          <cell r="C125">
            <v>50550000</v>
          </cell>
          <cell r="D125" t="str">
            <v>Group Insur Expense</v>
          </cell>
          <cell r="E125" t="str">
            <v>604.8</v>
          </cell>
          <cell r="R125">
            <v>1978520</v>
          </cell>
        </row>
        <row r="126">
          <cell r="A126" t="str">
            <v>P20</v>
          </cell>
          <cell r="B126" t="str">
            <v>Group insurance expense</v>
          </cell>
          <cell r="C126">
            <v>50550100</v>
          </cell>
          <cell r="D126" t="str">
            <v>Group Ins Cap Credts</v>
          </cell>
          <cell r="E126" t="str">
            <v>604.8</v>
          </cell>
          <cell r="R126">
            <v>-563503</v>
          </cell>
        </row>
        <row r="127">
          <cell r="A127" t="str">
            <v>P20</v>
          </cell>
          <cell r="B127" t="str">
            <v>Group insurance expense</v>
          </cell>
          <cell r="C127">
            <v>50560000</v>
          </cell>
          <cell r="D127" t="str">
            <v>Health Save Acct Exp</v>
          </cell>
          <cell r="E127" t="str">
            <v>604.8</v>
          </cell>
          <cell r="R127">
            <v>500</v>
          </cell>
        </row>
        <row r="128">
          <cell r="A128" t="str">
            <v>P20 Total</v>
          </cell>
          <cell r="R128">
            <v>1415517</v>
          </cell>
        </row>
        <row r="129">
          <cell r="A129" t="str">
            <v>P21</v>
          </cell>
          <cell r="B129" t="str">
            <v>Other benefits</v>
          </cell>
          <cell r="C129">
            <v>50421000</v>
          </cell>
          <cell r="D129" t="str">
            <v>401k Expense</v>
          </cell>
          <cell r="E129" t="str">
            <v>604.8</v>
          </cell>
          <cell r="R129">
            <v>267244</v>
          </cell>
        </row>
        <row r="130">
          <cell r="A130" t="str">
            <v>P21</v>
          </cell>
          <cell r="B130" t="str">
            <v>Other benefits</v>
          </cell>
          <cell r="C130">
            <v>50421100</v>
          </cell>
          <cell r="D130" t="str">
            <v>401k Exp Cap Credits</v>
          </cell>
          <cell r="E130" t="str">
            <v>604.8</v>
          </cell>
          <cell r="R130">
            <v>-74367</v>
          </cell>
        </row>
        <row r="131">
          <cell r="A131" t="str">
            <v>P21</v>
          </cell>
          <cell r="B131" t="str">
            <v>Other benefits</v>
          </cell>
          <cell r="C131">
            <v>50422000</v>
          </cell>
          <cell r="D131" t="str">
            <v>DCP Expense</v>
          </cell>
          <cell r="E131" t="str">
            <v>604.8</v>
          </cell>
          <cell r="R131">
            <v>307187</v>
          </cell>
        </row>
        <row r="132">
          <cell r="A132" t="str">
            <v>P21</v>
          </cell>
          <cell r="B132" t="str">
            <v>Other benefits</v>
          </cell>
          <cell r="C132">
            <v>50422100</v>
          </cell>
          <cell r="D132" t="str">
            <v>DCP Exp Cap Credits</v>
          </cell>
          <cell r="E132" t="str">
            <v>604.8</v>
          </cell>
          <cell r="R132">
            <v>-80324</v>
          </cell>
        </row>
        <row r="133">
          <cell r="A133" t="str">
            <v>P21</v>
          </cell>
          <cell r="B133" t="str">
            <v>Other benefits</v>
          </cell>
          <cell r="C133">
            <v>50423000</v>
          </cell>
          <cell r="D133" t="str">
            <v>ESPP Expense</v>
          </cell>
          <cell r="E133" t="str">
            <v>604.8</v>
          </cell>
          <cell r="R133">
            <v>14837</v>
          </cell>
        </row>
        <row r="134">
          <cell r="A134" t="str">
            <v>P21</v>
          </cell>
          <cell r="B134" t="str">
            <v>Other benefits</v>
          </cell>
          <cell r="C134">
            <v>50426000</v>
          </cell>
          <cell r="D134" t="str">
            <v>Retiree Medical Exp</v>
          </cell>
          <cell r="E134" t="str">
            <v>604.8</v>
          </cell>
          <cell r="R134">
            <v>24707</v>
          </cell>
        </row>
        <row r="135">
          <cell r="A135" t="str">
            <v>P21</v>
          </cell>
          <cell r="B135" t="str">
            <v>Other benefits</v>
          </cell>
          <cell r="C135">
            <v>50426100</v>
          </cell>
          <cell r="D135" t="str">
            <v>Retiree Med Cap Cr</v>
          </cell>
          <cell r="E135" t="str">
            <v>604.8</v>
          </cell>
          <cell r="R135">
            <v>-4729</v>
          </cell>
        </row>
        <row r="136">
          <cell r="A136" t="str">
            <v>P21</v>
          </cell>
          <cell r="B136" t="str">
            <v>Other benefits</v>
          </cell>
          <cell r="C136">
            <v>50450000</v>
          </cell>
          <cell r="D136" t="str">
            <v>Other Welfare</v>
          </cell>
          <cell r="E136" t="str">
            <v>604.8</v>
          </cell>
          <cell r="R136">
            <v>18405</v>
          </cell>
        </row>
        <row r="137">
          <cell r="A137" t="str">
            <v>P21</v>
          </cell>
          <cell r="B137" t="str">
            <v>Other benefits</v>
          </cell>
          <cell r="C137">
            <v>50450013</v>
          </cell>
          <cell r="D137" t="str">
            <v>Other Welfare WT</v>
          </cell>
          <cell r="E137" t="str">
            <v>604.3</v>
          </cell>
          <cell r="R137">
            <v>1556</v>
          </cell>
        </row>
        <row r="138">
          <cell r="A138" t="str">
            <v>P21</v>
          </cell>
          <cell r="B138" t="str">
            <v>Other benefits</v>
          </cell>
          <cell r="C138">
            <v>50450014</v>
          </cell>
          <cell r="D138" t="str">
            <v>Other Welfare TD</v>
          </cell>
          <cell r="E138" t="str">
            <v>604.5</v>
          </cell>
          <cell r="R138">
            <v>2022</v>
          </cell>
        </row>
        <row r="139">
          <cell r="A139" t="str">
            <v>P21</v>
          </cell>
          <cell r="B139" t="str">
            <v>Other benefits</v>
          </cell>
          <cell r="C139">
            <v>50450015</v>
          </cell>
          <cell r="D139" t="str">
            <v>Other Welfare CA</v>
          </cell>
          <cell r="E139" t="str">
            <v>604.7</v>
          </cell>
          <cell r="R139">
            <v>0</v>
          </cell>
        </row>
        <row r="140">
          <cell r="A140" t="str">
            <v>P21</v>
          </cell>
          <cell r="B140" t="str">
            <v>Other benefits</v>
          </cell>
          <cell r="C140">
            <v>50450016</v>
          </cell>
          <cell r="D140" t="str">
            <v>Other Welfare AG</v>
          </cell>
          <cell r="E140" t="str">
            <v>604.8</v>
          </cell>
          <cell r="R140">
            <v>13196</v>
          </cell>
        </row>
        <row r="141">
          <cell r="A141" t="str">
            <v>P21</v>
          </cell>
          <cell r="B141" t="str">
            <v>Other benefits</v>
          </cell>
          <cell r="C141">
            <v>50451000</v>
          </cell>
          <cell r="D141" t="str">
            <v>Employee Awards</v>
          </cell>
          <cell r="E141" t="str">
            <v>604.8</v>
          </cell>
          <cell r="R141">
            <v>13063</v>
          </cell>
        </row>
        <row r="142">
          <cell r="A142" t="str">
            <v>P21</v>
          </cell>
          <cell r="B142" t="str">
            <v>Other benefits</v>
          </cell>
          <cell r="C142">
            <v>50452000</v>
          </cell>
          <cell r="D142" t="str">
            <v>Emp Physical Exams</v>
          </cell>
          <cell r="E142" t="str">
            <v>604.8</v>
          </cell>
          <cell r="R142">
            <v>8057</v>
          </cell>
        </row>
        <row r="143">
          <cell r="A143" t="str">
            <v>P21</v>
          </cell>
          <cell r="B143" t="str">
            <v>Other benefits</v>
          </cell>
          <cell r="C143">
            <v>50454000</v>
          </cell>
          <cell r="D143" t="str">
            <v>Safety Incent Awards</v>
          </cell>
          <cell r="E143" t="str">
            <v>604.8</v>
          </cell>
          <cell r="R143">
            <v>39</v>
          </cell>
        </row>
        <row r="144">
          <cell r="A144" t="str">
            <v>P21</v>
          </cell>
          <cell r="B144" t="str">
            <v>Other benefits</v>
          </cell>
          <cell r="C144">
            <v>50456000</v>
          </cell>
          <cell r="D144" t="str">
            <v>Tuition Aid</v>
          </cell>
          <cell r="E144" t="str">
            <v>604.8</v>
          </cell>
          <cell r="R144">
            <v>26053</v>
          </cell>
        </row>
        <row r="145">
          <cell r="A145" t="str">
            <v>P21</v>
          </cell>
          <cell r="B145" t="str">
            <v>Other benefits</v>
          </cell>
          <cell r="C145">
            <v>50457000</v>
          </cell>
          <cell r="D145" t="str">
            <v>Training</v>
          </cell>
          <cell r="E145" t="str">
            <v>604.8</v>
          </cell>
          <cell r="R145">
            <v>39890</v>
          </cell>
        </row>
        <row r="146">
          <cell r="A146" t="str">
            <v>P21</v>
          </cell>
          <cell r="B146" t="str">
            <v>Other benefits</v>
          </cell>
          <cell r="C146">
            <v>50458000</v>
          </cell>
          <cell r="D146" t="str">
            <v>Referral Bonus</v>
          </cell>
          <cell r="E146" t="str">
            <v>604.8</v>
          </cell>
          <cell r="R146">
            <v>1301</v>
          </cell>
        </row>
        <row r="147">
          <cell r="A147" t="str">
            <v>P21 Total</v>
          </cell>
          <cell r="R147">
            <v>578137</v>
          </cell>
        </row>
        <row r="148">
          <cell r="A148" t="str">
            <v>P22</v>
          </cell>
          <cell r="B148" t="str">
            <v>Service Company Costs</v>
          </cell>
          <cell r="C148">
            <v>53401000</v>
          </cell>
          <cell r="D148" t="str">
            <v>AWWSC Labor OPEX</v>
          </cell>
          <cell r="E148" t="str">
            <v>634.8</v>
          </cell>
          <cell r="R148">
            <v>4778427</v>
          </cell>
        </row>
        <row r="149">
          <cell r="A149" t="str">
            <v>P22</v>
          </cell>
          <cell r="B149" t="str">
            <v>Service Company Costs</v>
          </cell>
          <cell r="C149">
            <v>53401100</v>
          </cell>
          <cell r="D149" t="str">
            <v>AWWSC Pension OPEX</v>
          </cell>
          <cell r="E149" t="str">
            <v>634.8</v>
          </cell>
          <cell r="R149">
            <v>299355</v>
          </cell>
        </row>
        <row r="150">
          <cell r="A150" t="str">
            <v>P22</v>
          </cell>
          <cell r="B150" t="str">
            <v>Service Company Costs</v>
          </cell>
          <cell r="C150">
            <v>53401200</v>
          </cell>
          <cell r="D150" t="str">
            <v>AWWSC Group Ins OPEX</v>
          </cell>
          <cell r="E150" t="str">
            <v>634.8</v>
          </cell>
          <cell r="R150">
            <v>579947</v>
          </cell>
        </row>
        <row r="151">
          <cell r="A151" t="str">
            <v>P22</v>
          </cell>
          <cell r="B151" t="str">
            <v>Service Company Costs</v>
          </cell>
          <cell r="C151">
            <v>53401300</v>
          </cell>
          <cell r="D151" t="str">
            <v>AWWSC Other Ben OPEX</v>
          </cell>
          <cell r="E151" t="str">
            <v>634.8</v>
          </cell>
          <cell r="R151">
            <v>392082</v>
          </cell>
        </row>
        <row r="152">
          <cell r="A152" t="str">
            <v>P22</v>
          </cell>
          <cell r="B152" t="str">
            <v>Service Company Costs</v>
          </cell>
          <cell r="C152">
            <v>53401400</v>
          </cell>
          <cell r="D152" t="str">
            <v>AWWSC Cont Svcs OPEX</v>
          </cell>
          <cell r="E152" t="str">
            <v>634.8</v>
          </cell>
          <cell r="R152">
            <v>698172</v>
          </cell>
        </row>
        <row r="153">
          <cell r="A153" t="str">
            <v>P22</v>
          </cell>
          <cell r="B153" t="str">
            <v>Service Company Costs</v>
          </cell>
          <cell r="C153">
            <v>53401500</v>
          </cell>
          <cell r="D153" t="str">
            <v>AWWSC Off Suppl OPEX</v>
          </cell>
          <cell r="E153" t="str">
            <v>634.8</v>
          </cell>
          <cell r="R153">
            <v>431481</v>
          </cell>
        </row>
        <row r="154">
          <cell r="A154" t="str">
            <v>P22</v>
          </cell>
          <cell r="B154" t="str">
            <v>Service Company Costs</v>
          </cell>
          <cell r="C154">
            <v>53401600</v>
          </cell>
          <cell r="D154" t="str">
            <v>AWWSC Transportaion</v>
          </cell>
          <cell r="E154" t="str">
            <v>634.8</v>
          </cell>
          <cell r="R154">
            <v>65561</v>
          </cell>
        </row>
        <row r="155">
          <cell r="A155" t="str">
            <v>P22</v>
          </cell>
          <cell r="B155" t="str">
            <v>Service Company Costs</v>
          </cell>
          <cell r="C155">
            <v>53401700</v>
          </cell>
          <cell r="D155" t="str">
            <v>AWWSC Rents OPEX</v>
          </cell>
          <cell r="E155" t="str">
            <v>634.8</v>
          </cell>
          <cell r="R155">
            <v>360212</v>
          </cell>
        </row>
        <row r="156">
          <cell r="A156" t="str">
            <v>P22</v>
          </cell>
          <cell r="B156" t="str">
            <v>Service Company Costs</v>
          </cell>
          <cell r="C156">
            <v>53401800</v>
          </cell>
          <cell r="D156" t="str">
            <v>AWWSC Other operting supplies</v>
          </cell>
          <cell r="E156" t="str">
            <v>634.8</v>
          </cell>
          <cell r="R156">
            <v>102677</v>
          </cell>
        </row>
        <row r="157">
          <cell r="A157" t="str">
            <v>P22</v>
          </cell>
          <cell r="B157" t="str">
            <v>Service Company Costs</v>
          </cell>
          <cell r="C157">
            <v>53401900</v>
          </cell>
          <cell r="D157" t="str">
            <v>AWWSC Maint OPEX</v>
          </cell>
          <cell r="E157" t="str">
            <v>634.8</v>
          </cell>
          <cell r="R157">
            <v>229269</v>
          </cell>
        </row>
        <row r="158">
          <cell r="A158" t="str">
            <v>P22</v>
          </cell>
          <cell r="B158" t="str">
            <v>Service Company Costs</v>
          </cell>
          <cell r="C158">
            <v>53402100</v>
          </cell>
          <cell r="D158" t="str">
            <v>AWWSC Oth O&amp;M OPEX</v>
          </cell>
          <cell r="E158" t="str">
            <v>634.8</v>
          </cell>
          <cell r="R158">
            <v>274430</v>
          </cell>
        </row>
        <row r="159">
          <cell r="A159" t="str">
            <v>P22</v>
          </cell>
          <cell r="B159" t="str">
            <v>Service Company Costs</v>
          </cell>
          <cell r="C159">
            <v>53402200</v>
          </cell>
          <cell r="D159" t="str">
            <v>AWWSC Dpr/Amrt OPEX</v>
          </cell>
          <cell r="E159" t="str">
            <v>634.8</v>
          </cell>
          <cell r="R159">
            <v>818645</v>
          </cell>
        </row>
        <row r="160">
          <cell r="A160" t="str">
            <v>P22</v>
          </cell>
          <cell r="B160" t="str">
            <v>Service Company Costs</v>
          </cell>
          <cell r="C160">
            <v>53402300</v>
          </cell>
          <cell r="D160" t="str">
            <v>AWWSC Gen Tax OPEX</v>
          </cell>
          <cell r="E160" t="str">
            <v>634.8</v>
          </cell>
          <cell r="R160">
            <v>328764</v>
          </cell>
        </row>
        <row r="161">
          <cell r="A161" t="str">
            <v>P22</v>
          </cell>
          <cell r="B161" t="str">
            <v>Service Company Costs</v>
          </cell>
          <cell r="C161">
            <v>53402400</v>
          </cell>
          <cell r="D161" t="str">
            <v>AWWSC Interest OPEX</v>
          </cell>
          <cell r="E161" t="str">
            <v>634.8</v>
          </cell>
          <cell r="R161">
            <v>45533</v>
          </cell>
        </row>
        <row r="162">
          <cell r="A162" t="str">
            <v>P22</v>
          </cell>
          <cell r="B162" t="str">
            <v>Service Company Costs</v>
          </cell>
          <cell r="C162">
            <v>53402500</v>
          </cell>
          <cell r="D162" t="str">
            <v>AWWSC Oth Inc OPEX</v>
          </cell>
          <cell r="E162" t="str">
            <v>634.8</v>
          </cell>
          <cell r="R162">
            <v>-24705</v>
          </cell>
        </row>
        <row r="163">
          <cell r="A163" t="str">
            <v>P22</v>
          </cell>
          <cell r="B163" t="str">
            <v>Service Company Costs</v>
          </cell>
          <cell r="C163">
            <v>53402600</v>
          </cell>
          <cell r="D163" t="str">
            <v>AWWSC Inc Tax OPEX</v>
          </cell>
          <cell r="E163" t="str">
            <v>634.8</v>
          </cell>
          <cell r="R163">
            <v>5044</v>
          </cell>
        </row>
        <row r="164">
          <cell r="A164" t="str">
            <v>P22</v>
          </cell>
          <cell r="B164" t="str">
            <v>Service Company Costs</v>
          </cell>
          <cell r="C164">
            <v>53481000</v>
          </cell>
          <cell r="D164" t="str">
            <v>AWWSC Labor CAPX</v>
          </cell>
          <cell r="E164" t="str">
            <v>634.8</v>
          </cell>
          <cell r="R164">
            <v>0</v>
          </cell>
        </row>
        <row r="165">
          <cell r="A165" t="str">
            <v>P22</v>
          </cell>
          <cell r="B165" t="str">
            <v>Service Company Costs</v>
          </cell>
          <cell r="C165">
            <v>53481100</v>
          </cell>
          <cell r="D165" t="str">
            <v>AWWSC Pension CAPX</v>
          </cell>
          <cell r="E165" t="str">
            <v>634.8</v>
          </cell>
          <cell r="R165">
            <v>0</v>
          </cell>
        </row>
        <row r="166">
          <cell r="A166" t="str">
            <v>P22</v>
          </cell>
          <cell r="B166" t="str">
            <v>Service Company Costs</v>
          </cell>
          <cell r="C166">
            <v>53481200</v>
          </cell>
          <cell r="D166" t="str">
            <v>AWWSC Group Ins CAPX</v>
          </cell>
          <cell r="E166" t="str">
            <v>634.8</v>
          </cell>
          <cell r="R166">
            <v>0</v>
          </cell>
        </row>
        <row r="167">
          <cell r="A167" t="str">
            <v>P22</v>
          </cell>
          <cell r="B167" t="str">
            <v>Service Company Costs</v>
          </cell>
          <cell r="C167">
            <v>53481300</v>
          </cell>
          <cell r="D167" t="str">
            <v>AWWSC Other Ben CAPX</v>
          </cell>
          <cell r="E167" t="str">
            <v>634.8</v>
          </cell>
          <cell r="R167">
            <v>0</v>
          </cell>
        </row>
        <row r="168">
          <cell r="A168" t="str">
            <v>P22</v>
          </cell>
          <cell r="B168" t="str">
            <v>Service Company Costs</v>
          </cell>
          <cell r="C168">
            <v>53481400</v>
          </cell>
          <cell r="D168" t="str">
            <v>AWWSC Cont Svcs CAPX</v>
          </cell>
          <cell r="E168" t="str">
            <v>634.8</v>
          </cell>
          <cell r="R168">
            <v>0</v>
          </cell>
        </row>
        <row r="169">
          <cell r="A169" t="str">
            <v>P22</v>
          </cell>
          <cell r="B169" t="str">
            <v>Service Company Costs</v>
          </cell>
          <cell r="C169">
            <v>53481500</v>
          </cell>
          <cell r="D169" t="str">
            <v>AWWSC Off Suppl CAPX</v>
          </cell>
          <cell r="E169" t="str">
            <v>634.8</v>
          </cell>
          <cell r="R169">
            <v>0</v>
          </cell>
        </row>
        <row r="170">
          <cell r="A170" t="str">
            <v>P22</v>
          </cell>
          <cell r="B170" t="str">
            <v>Service Company Costs</v>
          </cell>
          <cell r="C170">
            <v>53481700</v>
          </cell>
          <cell r="D170" t="str">
            <v>AWWSC Rents CAPX</v>
          </cell>
          <cell r="E170" t="str">
            <v>634.8</v>
          </cell>
          <cell r="R170">
            <v>0</v>
          </cell>
        </row>
        <row r="171">
          <cell r="A171" t="str">
            <v>P22</v>
          </cell>
          <cell r="B171" t="str">
            <v>Service Company Costs</v>
          </cell>
          <cell r="C171">
            <v>53481900</v>
          </cell>
          <cell r="D171" t="str">
            <v>AWWSC Maint CAPX</v>
          </cell>
          <cell r="E171" t="str">
            <v>634.8</v>
          </cell>
          <cell r="R171">
            <v>0</v>
          </cell>
        </row>
        <row r="172">
          <cell r="A172" t="str">
            <v>P22</v>
          </cell>
          <cell r="B172" t="str">
            <v>Service Company Costs</v>
          </cell>
          <cell r="C172">
            <v>53482100</v>
          </cell>
          <cell r="D172" t="str">
            <v>AWWSC Oth O&amp;M CAPX</v>
          </cell>
          <cell r="E172" t="str">
            <v>634.8</v>
          </cell>
          <cell r="R172">
            <v>0</v>
          </cell>
        </row>
        <row r="173">
          <cell r="A173" t="str">
            <v>P22</v>
          </cell>
          <cell r="B173" t="str">
            <v>Service Company Costs</v>
          </cell>
          <cell r="C173">
            <v>53482200</v>
          </cell>
          <cell r="D173" t="str">
            <v>AWWSC Dpr/Amrt CAPX</v>
          </cell>
          <cell r="E173" t="str">
            <v>634.8</v>
          </cell>
          <cell r="R173">
            <v>0</v>
          </cell>
        </row>
        <row r="174">
          <cell r="A174" t="str">
            <v>P22</v>
          </cell>
          <cell r="B174" t="str">
            <v>Service Company Costs</v>
          </cell>
          <cell r="C174">
            <v>53482300</v>
          </cell>
          <cell r="D174" t="str">
            <v>AWWSC Gen Tax CAPX</v>
          </cell>
          <cell r="E174" t="str">
            <v>634.8</v>
          </cell>
          <cell r="R174">
            <v>0</v>
          </cell>
        </row>
        <row r="175">
          <cell r="A175" t="str">
            <v>P22</v>
          </cell>
          <cell r="B175" t="str">
            <v>Service Company Costs</v>
          </cell>
          <cell r="C175">
            <v>53482400</v>
          </cell>
          <cell r="D175" t="str">
            <v>AWWSC Interest CAPX</v>
          </cell>
          <cell r="E175" t="str">
            <v>634.8</v>
          </cell>
          <cell r="R175">
            <v>0</v>
          </cell>
        </row>
        <row r="176">
          <cell r="A176" t="str">
            <v>P22</v>
          </cell>
          <cell r="B176" t="str">
            <v>Service Company Costs</v>
          </cell>
          <cell r="C176">
            <v>53482500</v>
          </cell>
          <cell r="D176" t="str">
            <v>AWWSC Oth Inc CAPX</v>
          </cell>
          <cell r="E176" t="str">
            <v>634.8</v>
          </cell>
          <cell r="R176">
            <v>0</v>
          </cell>
        </row>
        <row r="177">
          <cell r="A177" t="str">
            <v>P22</v>
          </cell>
          <cell r="B177" t="str">
            <v>Service Company Costs</v>
          </cell>
          <cell r="C177">
            <v>53482600</v>
          </cell>
          <cell r="D177" t="str">
            <v>AWWSC Inc Tax CAPX</v>
          </cell>
          <cell r="E177" t="str">
            <v>634.8</v>
          </cell>
          <cell r="R177">
            <v>0</v>
          </cell>
        </row>
        <row r="178">
          <cell r="A178" t="str">
            <v>P22 Total</v>
          </cell>
          <cell r="R178">
            <v>9384894</v>
          </cell>
        </row>
        <row r="179">
          <cell r="A179" t="str">
            <v>P23</v>
          </cell>
          <cell r="B179" t="str">
            <v>Contracted services</v>
          </cell>
          <cell r="C179">
            <v>53110000</v>
          </cell>
          <cell r="D179" t="str">
            <v>Contr Svc-Eng</v>
          </cell>
          <cell r="E179" t="str">
            <v>631.8</v>
          </cell>
          <cell r="R179">
            <v>0</v>
          </cell>
        </row>
        <row r="180">
          <cell r="A180" t="str">
            <v>P23</v>
          </cell>
          <cell r="B180" t="str">
            <v>Contracted services</v>
          </cell>
          <cell r="C180">
            <v>53110011</v>
          </cell>
          <cell r="D180" t="str">
            <v>Contr Svc-Eng SS</v>
          </cell>
          <cell r="E180" t="str">
            <v>631.1</v>
          </cell>
          <cell r="R180">
            <v>0</v>
          </cell>
        </row>
        <row r="181">
          <cell r="A181" t="str">
            <v>P23</v>
          </cell>
          <cell r="B181" t="str">
            <v>Contracted services</v>
          </cell>
          <cell r="C181">
            <v>53110013</v>
          </cell>
          <cell r="D181" t="str">
            <v>Contr Svc-Eng WT</v>
          </cell>
          <cell r="E181" t="str">
            <v>631.3</v>
          </cell>
          <cell r="R181">
            <v>11564</v>
          </cell>
        </row>
        <row r="182">
          <cell r="A182" t="str">
            <v>P23</v>
          </cell>
          <cell r="B182" t="str">
            <v>Contracted services</v>
          </cell>
          <cell r="C182">
            <v>53110016</v>
          </cell>
          <cell r="D182" t="str">
            <v>Contr Svc-Eng AG</v>
          </cell>
          <cell r="E182" t="str">
            <v>631.8</v>
          </cell>
          <cell r="R182">
            <v>3304</v>
          </cell>
        </row>
        <row r="183">
          <cell r="A183" t="str">
            <v>P23</v>
          </cell>
          <cell r="B183" t="str">
            <v>Contracted services</v>
          </cell>
          <cell r="C183">
            <v>53150000</v>
          </cell>
          <cell r="D183" t="str">
            <v>Contr Svc-Other</v>
          </cell>
          <cell r="E183" t="str">
            <v>636.8</v>
          </cell>
          <cell r="R183">
            <v>175587</v>
          </cell>
        </row>
        <row r="184">
          <cell r="A184" t="str">
            <v>P23</v>
          </cell>
          <cell r="B184" t="str">
            <v>Contracted services</v>
          </cell>
          <cell r="C184">
            <v>53150011</v>
          </cell>
          <cell r="D184" t="str">
            <v>Contr Svc-Other SS</v>
          </cell>
          <cell r="E184" t="str">
            <v>636.1</v>
          </cell>
          <cell r="R184">
            <v>10163</v>
          </cell>
        </row>
        <row r="185">
          <cell r="A185" t="str">
            <v>P23</v>
          </cell>
          <cell r="B185" t="str">
            <v>Contracted services</v>
          </cell>
          <cell r="C185">
            <v>53150013</v>
          </cell>
          <cell r="D185" t="str">
            <v>Contr Svc-Other WT</v>
          </cell>
          <cell r="E185" t="str">
            <v>636.3</v>
          </cell>
          <cell r="R185">
            <v>35239</v>
          </cell>
        </row>
        <row r="186">
          <cell r="A186" t="str">
            <v>P23</v>
          </cell>
          <cell r="B186" t="str">
            <v>Contracted services</v>
          </cell>
          <cell r="C186">
            <v>53150014</v>
          </cell>
          <cell r="D186" t="str">
            <v>Contr Svc-Other TD</v>
          </cell>
          <cell r="E186" t="str">
            <v>636.5</v>
          </cell>
          <cell r="R186">
            <v>79016</v>
          </cell>
        </row>
        <row r="187">
          <cell r="A187" t="str">
            <v>P23</v>
          </cell>
          <cell r="B187" t="str">
            <v>Contracted services</v>
          </cell>
          <cell r="C187">
            <v>53150015</v>
          </cell>
          <cell r="D187" t="str">
            <v>Contr Svc-Other CA</v>
          </cell>
          <cell r="E187" t="str">
            <v>636.7</v>
          </cell>
          <cell r="R187">
            <v>-913</v>
          </cell>
        </row>
        <row r="188">
          <cell r="A188" t="str">
            <v>P23</v>
          </cell>
          <cell r="B188" t="str">
            <v>Contracted services</v>
          </cell>
          <cell r="C188">
            <v>53150016</v>
          </cell>
          <cell r="D188" t="str">
            <v>Contr Svc-Other AG</v>
          </cell>
          <cell r="E188" t="str">
            <v>636.8</v>
          </cell>
          <cell r="R188">
            <v>72219</v>
          </cell>
        </row>
        <row r="189">
          <cell r="A189" t="str">
            <v>P23</v>
          </cell>
          <cell r="B189" t="str">
            <v>Contracted services</v>
          </cell>
          <cell r="C189">
            <v>53151000</v>
          </cell>
          <cell r="D189" t="str">
            <v>Contr Svc-Temp EE</v>
          </cell>
          <cell r="E189" t="str">
            <v>636.8</v>
          </cell>
          <cell r="R189">
            <v>1668</v>
          </cell>
        </row>
        <row r="190">
          <cell r="A190" t="str">
            <v>P23</v>
          </cell>
          <cell r="B190" t="str">
            <v>Contracted services</v>
          </cell>
          <cell r="C190">
            <v>53151013</v>
          </cell>
          <cell r="D190" t="str">
            <v>Contr Svc-Temp EE WT</v>
          </cell>
          <cell r="E190" t="str">
            <v>636.3</v>
          </cell>
          <cell r="R190">
            <v>7139</v>
          </cell>
        </row>
        <row r="191">
          <cell r="A191" t="str">
            <v>P23</v>
          </cell>
          <cell r="B191" t="str">
            <v>Contracted services</v>
          </cell>
          <cell r="C191">
            <v>53151016</v>
          </cell>
          <cell r="D191" t="str">
            <v>Contr Svc-Temp EE AG</v>
          </cell>
          <cell r="E191" t="str">
            <v>636.8</v>
          </cell>
          <cell r="R191">
            <v>0</v>
          </cell>
        </row>
        <row r="192">
          <cell r="A192" t="str">
            <v>P23</v>
          </cell>
          <cell r="B192" t="str">
            <v>Contracted services</v>
          </cell>
          <cell r="C192">
            <v>53152000</v>
          </cell>
          <cell r="D192" t="str">
            <v>Contr Svc-Lab Testng</v>
          </cell>
          <cell r="E192" t="str">
            <v>635.3</v>
          </cell>
          <cell r="R192">
            <v>20972</v>
          </cell>
        </row>
        <row r="193">
          <cell r="A193" t="str">
            <v>P23</v>
          </cell>
          <cell r="B193" t="str">
            <v>Contracted services</v>
          </cell>
          <cell r="C193">
            <v>53153000</v>
          </cell>
          <cell r="D193" t="str">
            <v>Contr Svc-Accounting</v>
          </cell>
          <cell r="E193" t="str">
            <v>632.8</v>
          </cell>
          <cell r="R193">
            <v>0</v>
          </cell>
        </row>
        <row r="194">
          <cell r="A194" t="str">
            <v>P23</v>
          </cell>
          <cell r="B194" t="str">
            <v>Contracted services</v>
          </cell>
          <cell r="C194">
            <v>53154000</v>
          </cell>
          <cell r="D194" t="str">
            <v>Contr Svc-Audit Fees</v>
          </cell>
          <cell r="E194" t="str">
            <v>632.8</v>
          </cell>
          <cell r="R194">
            <v>149874</v>
          </cell>
        </row>
        <row r="195">
          <cell r="A195" t="str">
            <v>P23</v>
          </cell>
          <cell r="B195" t="str">
            <v>Contracted services</v>
          </cell>
          <cell r="C195">
            <v>53155000</v>
          </cell>
          <cell r="D195" t="str">
            <v>Contr Svc-Legal</v>
          </cell>
          <cell r="E195" t="str">
            <v>633.8</v>
          </cell>
          <cell r="R195">
            <v>348693</v>
          </cell>
        </row>
        <row r="196">
          <cell r="A196" t="str">
            <v>P23</v>
          </cell>
          <cell r="B196" t="str">
            <v>Contracted services</v>
          </cell>
          <cell r="C196">
            <v>53157000</v>
          </cell>
          <cell r="D196" t="str">
            <v>Contr Svc-Outplacemt</v>
          </cell>
          <cell r="E196" t="str">
            <v>675.8</v>
          </cell>
          <cell r="R196">
            <v>0</v>
          </cell>
        </row>
        <row r="197">
          <cell r="A197" t="str">
            <v>P23 Total</v>
          </cell>
          <cell r="R197">
            <v>914525</v>
          </cell>
        </row>
        <row r="198">
          <cell r="A198" t="str">
            <v>P24</v>
          </cell>
          <cell r="B198" t="str">
            <v>Building Maintenance and Services</v>
          </cell>
          <cell r="C198">
            <v>52532000</v>
          </cell>
          <cell r="D198" t="str">
            <v>Electricity</v>
          </cell>
          <cell r="E198" t="str">
            <v>675.8</v>
          </cell>
          <cell r="R198">
            <v>73193</v>
          </cell>
        </row>
        <row r="199">
          <cell r="A199" t="str">
            <v>P24</v>
          </cell>
          <cell r="B199" t="str">
            <v>Building Maintenance and Services</v>
          </cell>
          <cell r="C199">
            <v>52532011</v>
          </cell>
          <cell r="D199" t="str">
            <v>Electricity SS</v>
          </cell>
          <cell r="E199" t="str">
            <v>675.1</v>
          </cell>
          <cell r="R199">
            <v>0</v>
          </cell>
        </row>
        <row r="200">
          <cell r="A200" t="str">
            <v>P24</v>
          </cell>
          <cell r="B200" t="str">
            <v>Building Maintenance and Services</v>
          </cell>
          <cell r="C200">
            <v>52532013</v>
          </cell>
          <cell r="D200" t="str">
            <v>Electricity WT</v>
          </cell>
          <cell r="E200" t="str">
            <v>675.3</v>
          </cell>
          <cell r="R200">
            <v>3707</v>
          </cell>
        </row>
        <row r="201">
          <cell r="A201" t="str">
            <v>P24</v>
          </cell>
          <cell r="B201" t="str">
            <v>Building Maintenance and Services</v>
          </cell>
          <cell r="C201">
            <v>52532014</v>
          </cell>
          <cell r="D201" t="str">
            <v>Electricity TD</v>
          </cell>
          <cell r="E201" t="str">
            <v>675.5</v>
          </cell>
          <cell r="R201">
            <v>40646</v>
          </cell>
        </row>
        <row r="202">
          <cell r="A202" t="str">
            <v>P24</v>
          </cell>
          <cell r="B202" t="str">
            <v>Building Maintenance and Services</v>
          </cell>
          <cell r="C202">
            <v>52532016</v>
          </cell>
          <cell r="D202" t="str">
            <v>Electricity AG</v>
          </cell>
          <cell r="E202" t="str">
            <v>675.8</v>
          </cell>
          <cell r="R202">
            <v>36966</v>
          </cell>
        </row>
        <row r="203">
          <cell r="A203" t="str">
            <v>P24</v>
          </cell>
          <cell r="B203" t="str">
            <v>Building Maintenance and Services</v>
          </cell>
          <cell r="C203">
            <v>52546000</v>
          </cell>
          <cell r="D203" t="str">
            <v>Grounds Keeping</v>
          </cell>
          <cell r="E203" t="str">
            <v>675.8</v>
          </cell>
          <cell r="R203">
            <v>86401</v>
          </cell>
        </row>
        <row r="204">
          <cell r="A204" t="str">
            <v>P24</v>
          </cell>
          <cell r="B204" t="str">
            <v>Building Maintenance and Services</v>
          </cell>
          <cell r="C204">
            <v>52546011</v>
          </cell>
          <cell r="D204" t="str">
            <v>Grounds Keeping SS</v>
          </cell>
          <cell r="E204" t="str">
            <v>675.1</v>
          </cell>
          <cell r="R204">
            <v>4926</v>
          </cell>
        </row>
        <row r="205">
          <cell r="A205" t="str">
            <v>P24</v>
          </cell>
          <cell r="B205" t="str">
            <v>Building Maintenance and Services</v>
          </cell>
          <cell r="C205">
            <v>52546013</v>
          </cell>
          <cell r="D205" t="str">
            <v>Grounds Keeping WT</v>
          </cell>
          <cell r="E205" t="str">
            <v>675.3</v>
          </cell>
          <cell r="R205">
            <v>21727</v>
          </cell>
        </row>
        <row r="206">
          <cell r="A206" t="str">
            <v>P24</v>
          </cell>
          <cell r="B206" t="str">
            <v>Building Maintenance and Services</v>
          </cell>
          <cell r="C206">
            <v>52546014</v>
          </cell>
          <cell r="D206" t="str">
            <v>Grounds Keeping TD</v>
          </cell>
          <cell r="E206" t="str">
            <v>675.5</v>
          </cell>
          <cell r="R206">
            <v>21867</v>
          </cell>
        </row>
        <row r="207">
          <cell r="A207" t="str">
            <v>P24</v>
          </cell>
          <cell r="B207" t="str">
            <v>Building Maintenance and Services</v>
          </cell>
          <cell r="C207">
            <v>52546016</v>
          </cell>
          <cell r="D207" t="str">
            <v>Grounds Keeping AG</v>
          </cell>
          <cell r="E207" t="str">
            <v>675.8</v>
          </cell>
          <cell r="R207">
            <v>92413</v>
          </cell>
        </row>
        <row r="208">
          <cell r="A208" t="str">
            <v>P24</v>
          </cell>
          <cell r="B208" t="str">
            <v>Building Maintenance and Services</v>
          </cell>
          <cell r="C208">
            <v>52548000</v>
          </cell>
          <cell r="D208" t="str">
            <v>Heating Oil/Gas</v>
          </cell>
          <cell r="E208" t="str">
            <v>675.8</v>
          </cell>
          <cell r="R208">
            <v>13095</v>
          </cell>
        </row>
        <row r="209">
          <cell r="A209" t="str">
            <v>P24</v>
          </cell>
          <cell r="B209" t="str">
            <v>Building Maintenance and Services</v>
          </cell>
          <cell r="C209">
            <v>52548013</v>
          </cell>
          <cell r="D209" t="str">
            <v>Heating Oil/Gas WT</v>
          </cell>
          <cell r="E209" t="str">
            <v>675.3</v>
          </cell>
          <cell r="R209">
            <v>6898</v>
          </cell>
        </row>
        <row r="210">
          <cell r="A210" t="str">
            <v>P24</v>
          </cell>
          <cell r="B210" t="str">
            <v>Building Maintenance and Services</v>
          </cell>
          <cell r="C210">
            <v>52548014</v>
          </cell>
          <cell r="D210" t="str">
            <v>Heating Oil/Gas TD</v>
          </cell>
          <cell r="E210" t="str">
            <v>675.5</v>
          </cell>
          <cell r="R210">
            <v>0</v>
          </cell>
        </row>
        <row r="211">
          <cell r="A211" t="str">
            <v>P24</v>
          </cell>
          <cell r="B211" t="str">
            <v>Building Maintenance and Services</v>
          </cell>
          <cell r="C211">
            <v>52548016</v>
          </cell>
          <cell r="D211" t="str">
            <v>Heating Oil/Gas AG</v>
          </cell>
          <cell r="E211" t="str">
            <v>675.8</v>
          </cell>
          <cell r="R211">
            <v>2371</v>
          </cell>
        </row>
        <row r="212">
          <cell r="A212" t="str">
            <v>P24</v>
          </cell>
          <cell r="B212" t="str">
            <v>Building Maintenance and Services</v>
          </cell>
          <cell r="C212">
            <v>52550000</v>
          </cell>
          <cell r="D212" t="str">
            <v>Janitorial</v>
          </cell>
          <cell r="E212" t="str">
            <v>675.8</v>
          </cell>
          <cell r="R212">
            <v>45117</v>
          </cell>
        </row>
        <row r="213">
          <cell r="A213" t="str">
            <v>P24</v>
          </cell>
          <cell r="B213" t="str">
            <v>Building Maintenance and Services</v>
          </cell>
          <cell r="C213">
            <v>52550013</v>
          </cell>
          <cell r="D213" t="str">
            <v>Janitorial WT</v>
          </cell>
          <cell r="E213" t="str">
            <v>675.3</v>
          </cell>
          <cell r="R213">
            <v>1551</v>
          </cell>
        </row>
        <row r="214">
          <cell r="A214" t="str">
            <v>P24</v>
          </cell>
          <cell r="B214" t="str">
            <v>Building Maintenance and Services</v>
          </cell>
          <cell r="C214">
            <v>52550014</v>
          </cell>
          <cell r="D214" t="str">
            <v>Janitorial TD</v>
          </cell>
          <cell r="E214" t="str">
            <v>675.5</v>
          </cell>
          <cell r="R214">
            <v>7637</v>
          </cell>
        </row>
        <row r="215">
          <cell r="A215" t="str">
            <v>P24</v>
          </cell>
          <cell r="B215" t="str">
            <v>Building Maintenance and Services</v>
          </cell>
          <cell r="C215">
            <v>52550016</v>
          </cell>
          <cell r="D215" t="str">
            <v>Janitorial AG</v>
          </cell>
          <cell r="E215" t="str">
            <v>675.8</v>
          </cell>
          <cell r="R215">
            <v>32844</v>
          </cell>
        </row>
        <row r="216">
          <cell r="A216" t="str">
            <v>P24</v>
          </cell>
          <cell r="B216" t="str">
            <v>Building Maintenance and Services</v>
          </cell>
          <cell r="C216">
            <v>52571000</v>
          </cell>
          <cell r="D216" t="str">
            <v>Security Svc</v>
          </cell>
          <cell r="E216" t="str">
            <v>675.8</v>
          </cell>
          <cell r="R216">
            <v>14487</v>
          </cell>
        </row>
        <row r="217">
          <cell r="A217" t="str">
            <v>P24</v>
          </cell>
          <cell r="B217" t="str">
            <v>Building Maintenance and Services</v>
          </cell>
          <cell r="C217">
            <v>52571011</v>
          </cell>
          <cell r="D217" t="str">
            <v>Security Svc SS</v>
          </cell>
          <cell r="E217" t="str">
            <v>675.1</v>
          </cell>
          <cell r="R217">
            <v>14490</v>
          </cell>
        </row>
        <row r="218">
          <cell r="A218" t="str">
            <v>P24</v>
          </cell>
          <cell r="B218" t="str">
            <v>Building Maintenance and Services</v>
          </cell>
          <cell r="C218">
            <v>52571014</v>
          </cell>
          <cell r="D218" t="str">
            <v>Security Svc TD</v>
          </cell>
          <cell r="E218" t="str">
            <v>675.5</v>
          </cell>
          <cell r="R218">
            <v>305</v>
          </cell>
        </row>
        <row r="219">
          <cell r="A219" t="str">
            <v>P24</v>
          </cell>
          <cell r="B219" t="str">
            <v>Building Maintenance and Services</v>
          </cell>
          <cell r="C219">
            <v>52571016</v>
          </cell>
          <cell r="D219" t="str">
            <v>Security Svc AG</v>
          </cell>
          <cell r="E219" t="str">
            <v>675.8</v>
          </cell>
          <cell r="R219">
            <v>0</v>
          </cell>
        </row>
        <row r="220">
          <cell r="A220" t="str">
            <v>P24</v>
          </cell>
          <cell r="B220" t="str">
            <v>Building Maintenance and Services</v>
          </cell>
          <cell r="C220">
            <v>52571100</v>
          </cell>
          <cell r="D220" t="str">
            <v>Add'l Security Costs</v>
          </cell>
          <cell r="E220" t="str">
            <v>675.8</v>
          </cell>
          <cell r="R220">
            <v>60566</v>
          </cell>
        </row>
        <row r="221">
          <cell r="A221" t="str">
            <v>P24</v>
          </cell>
          <cell r="B221" t="str">
            <v>Building Maintenance and Services</v>
          </cell>
          <cell r="C221">
            <v>52578000</v>
          </cell>
          <cell r="D221" t="str">
            <v>Trash Removal</v>
          </cell>
          <cell r="E221" t="str">
            <v>675.8</v>
          </cell>
          <cell r="R221">
            <v>12192</v>
          </cell>
        </row>
        <row r="222">
          <cell r="A222" t="str">
            <v>P24</v>
          </cell>
          <cell r="B222" t="str">
            <v>Building Maintenance and Services</v>
          </cell>
          <cell r="C222">
            <v>52578013</v>
          </cell>
          <cell r="D222" t="str">
            <v>Trash Removal WT</v>
          </cell>
          <cell r="E222" t="str">
            <v>675.3</v>
          </cell>
          <cell r="R222">
            <v>4184</v>
          </cell>
        </row>
        <row r="223">
          <cell r="A223" t="str">
            <v>P24</v>
          </cell>
          <cell r="B223" t="str">
            <v>Building Maintenance and Services</v>
          </cell>
          <cell r="C223">
            <v>52578014</v>
          </cell>
          <cell r="D223" t="str">
            <v>Trash Removal TD</v>
          </cell>
          <cell r="E223" t="str">
            <v>675.5</v>
          </cell>
          <cell r="R223">
            <v>3378</v>
          </cell>
        </row>
        <row r="224">
          <cell r="A224" t="str">
            <v>P24</v>
          </cell>
          <cell r="B224" t="str">
            <v>Building Maintenance and Services</v>
          </cell>
          <cell r="C224">
            <v>52578016</v>
          </cell>
          <cell r="D224" t="str">
            <v>Trash Removal AG</v>
          </cell>
          <cell r="E224" t="str">
            <v>675.8</v>
          </cell>
          <cell r="R224">
            <v>6345</v>
          </cell>
        </row>
        <row r="225">
          <cell r="A225" t="str">
            <v>P24</v>
          </cell>
          <cell r="B225" t="str">
            <v>Building Maintenance and Services</v>
          </cell>
          <cell r="C225">
            <v>52583000</v>
          </cell>
          <cell r="D225" t="str">
            <v>Water &amp; WW</v>
          </cell>
          <cell r="E225" t="str">
            <v>675.8</v>
          </cell>
          <cell r="R225">
            <v>43507</v>
          </cell>
        </row>
        <row r="226">
          <cell r="A226" t="str">
            <v>P24</v>
          </cell>
          <cell r="B226" t="str">
            <v>Building Maintenance and Services</v>
          </cell>
          <cell r="C226">
            <v>52583011</v>
          </cell>
          <cell r="D226" t="str">
            <v>Water &amp; WW SS</v>
          </cell>
          <cell r="E226" t="str">
            <v>675.1</v>
          </cell>
          <cell r="R226">
            <v>27668</v>
          </cell>
        </row>
        <row r="227">
          <cell r="A227" t="str">
            <v>P24</v>
          </cell>
          <cell r="B227" t="str">
            <v>Building Maintenance and Services</v>
          </cell>
          <cell r="C227">
            <v>52583013</v>
          </cell>
          <cell r="D227" t="str">
            <v>Water &amp; WW WT</v>
          </cell>
          <cell r="E227" t="str">
            <v>675.3</v>
          </cell>
          <cell r="R227">
            <v>5785</v>
          </cell>
        </row>
        <row r="228">
          <cell r="A228" t="str">
            <v>P24</v>
          </cell>
          <cell r="B228" t="str">
            <v>Building Maintenance and Services</v>
          </cell>
          <cell r="C228">
            <v>52583014</v>
          </cell>
          <cell r="D228" t="str">
            <v>Water &amp; WW TD</v>
          </cell>
          <cell r="E228" t="str">
            <v>675.5</v>
          </cell>
          <cell r="R228">
            <v>0</v>
          </cell>
        </row>
        <row r="229">
          <cell r="A229" t="str">
            <v>P24</v>
          </cell>
          <cell r="B229" t="str">
            <v>Building Maintenance and Services</v>
          </cell>
          <cell r="C229">
            <v>52583016</v>
          </cell>
          <cell r="D229" t="str">
            <v>Water &amp; WW AG</v>
          </cell>
          <cell r="E229" t="str">
            <v>675.8</v>
          </cell>
          <cell r="R229">
            <v>8903</v>
          </cell>
        </row>
        <row r="230">
          <cell r="A230" t="str">
            <v>P24 Total</v>
          </cell>
          <cell r="R230">
            <v>693169</v>
          </cell>
        </row>
        <row r="231">
          <cell r="A231" t="str">
            <v>P25</v>
          </cell>
          <cell r="B231" t="str">
            <v>Telecommunication expenses</v>
          </cell>
          <cell r="C231">
            <v>52574000</v>
          </cell>
          <cell r="D231" t="str">
            <v>Telephone</v>
          </cell>
          <cell r="E231" t="str">
            <v>675.8</v>
          </cell>
          <cell r="R231">
            <v>60307</v>
          </cell>
        </row>
        <row r="232">
          <cell r="A232" t="str">
            <v>P25</v>
          </cell>
          <cell r="B232" t="str">
            <v>Telecommunication expenses</v>
          </cell>
          <cell r="C232">
            <v>52574013</v>
          </cell>
          <cell r="D232" t="str">
            <v>Telephone WT</v>
          </cell>
          <cell r="E232" t="str">
            <v>675.3</v>
          </cell>
          <cell r="R232">
            <v>13754</v>
          </cell>
        </row>
        <row r="233">
          <cell r="A233" t="str">
            <v>P25</v>
          </cell>
          <cell r="B233" t="str">
            <v>Telecommunication expenses</v>
          </cell>
          <cell r="C233">
            <v>52574014</v>
          </cell>
          <cell r="D233" t="str">
            <v>Telephone TD</v>
          </cell>
          <cell r="E233" t="str">
            <v>675.5</v>
          </cell>
          <cell r="R233">
            <v>0</v>
          </cell>
        </row>
        <row r="234">
          <cell r="A234" t="str">
            <v>P25</v>
          </cell>
          <cell r="B234" t="str">
            <v>Telecommunication expenses</v>
          </cell>
          <cell r="C234">
            <v>52574015</v>
          </cell>
          <cell r="D234" t="str">
            <v>Telephone CA</v>
          </cell>
          <cell r="E234" t="str">
            <v>675.7</v>
          </cell>
          <cell r="R234">
            <v>31001</v>
          </cell>
        </row>
        <row r="235">
          <cell r="A235" t="str">
            <v>P25</v>
          </cell>
          <cell r="B235" t="str">
            <v>Telecommunication expenses</v>
          </cell>
          <cell r="C235">
            <v>52574016</v>
          </cell>
          <cell r="D235" t="str">
            <v>Telephone AG</v>
          </cell>
          <cell r="E235" t="str">
            <v>675.8</v>
          </cell>
          <cell r="R235">
            <v>7542</v>
          </cell>
        </row>
        <row r="236">
          <cell r="A236" t="str">
            <v>P25</v>
          </cell>
          <cell r="B236" t="str">
            <v>Telecommunication expenses</v>
          </cell>
          <cell r="C236">
            <v>52574100</v>
          </cell>
          <cell r="D236" t="str">
            <v>Cell Phone</v>
          </cell>
          <cell r="E236" t="str">
            <v>675.8</v>
          </cell>
          <cell r="R236">
            <v>62084</v>
          </cell>
        </row>
        <row r="237">
          <cell r="A237" t="str">
            <v>P25</v>
          </cell>
          <cell r="B237" t="str">
            <v>Telecommunication expenses</v>
          </cell>
          <cell r="C237">
            <v>52574111</v>
          </cell>
          <cell r="D237" t="str">
            <v>Cell Phone SS</v>
          </cell>
          <cell r="E237" t="str">
            <v>675.1</v>
          </cell>
          <cell r="R237">
            <v>0</v>
          </cell>
        </row>
        <row r="238">
          <cell r="A238" t="str">
            <v>P25</v>
          </cell>
          <cell r="B238" t="str">
            <v>Telecommunication expenses</v>
          </cell>
          <cell r="C238">
            <v>52574113</v>
          </cell>
          <cell r="D238" t="str">
            <v>Cell Phone WT</v>
          </cell>
          <cell r="E238" t="str">
            <v>675.3</v>
          </cell>
          <cell r="R238">
            <v>2987</v>
          </cell>
        </row>
        <row r="239">
          <cell r="A239" t="str">
            <v>P25</v>
          </cell>
          <cell r="B239" t="str">
            <v>Telecommunication expenses</v>
          </cell>
          <cell r="C239">
            <v>52574114</v>
          </cell>
          <cell r="D239" t="str">
            <v>Cell Phone TD</v>
          </cell>
          <cell r="E239" t="str">
            <v>675.5</v>
          </cell>
          <cell r="R239">
            <v>1605</v>
          </cell>
        </row>
        <row r="240">
          <cell r="A240" t="str">
            <v>P25</v>
          </cell>
          <cell r="B240" t="str">
            <v>Telecommunication expenses</v>
          </cell>
          <cell r="C240">
            <v>52574115</v>
          </cell>
          <cell r="D240" t="str">
            <v>Cell Phone CA</v>
          </cell>
          <cell r="E240" t="str">
            <v>675.7</v>
          </cell>
          <cell r="R240">
            <v>19248</v>
          </cell>
        </row>
        <row r="241">
          <cell r="A241" t="str">
            <v>P25</v>
          </cell>
          <cell r="B241" t="str">
            <v>Telecommunication expenses</v>
          </cell>
          <cell r="C241">
            <v>52574116</v>
          </cell>
          <cell r="D241" t="str">
            <v>Cell Phone AG</v>
          </cell>
          <cell r="E241" t="str">
            <v>675.8</v>
          </cell>
          <cell r="R241">
            <v>52154</v>
          </cell>
        </row>
        <row r="242">
          <cell r="A242" t="str">
            <v>P25</v>
          </cell>
          <cell r="B242" t="str">
            <v>Telecommunication expenses</v>
          </cell>
          <cell r="C242">
            <v>52574200</v>
          </cell>
          <cell r="D242" t="str">
            <v>Data Lines AG</v>
          </cell>
          <cell r="E242" t="str">
            <v>675.8</v>
          </cell>
          <cell r="R242">
            <v>0</v>
          </cell>
        </row>
        <row r="243">
          <cell r="A243" t="str">
            <v>P25</v>
          </cell>
          <cell r="B243" t="str">
            <v>Telecommunication expenses</v>
          </cell>
          <cell r="C243">
            <v>52574300</v>
          </cell>
          <cell r="D243" t="str">
            <v>Wireless Serv 1st</v>
          </cell>
          <cell r="E243" t="str">
            <v>675.8</v>
          </cell>
          <cell r="R243">
            <v>0</v>
          </cell>
        </row>
        <row r="244">
          <cell r="A244" t="str">
            <v>P25</v>
          </cell>
          <cell r="B244" t="str">
            <v>Telecommunication expenses</v>
          </cell>
          <cell r="C244">
            <v>52574316</v>
          </cell>
          <cell r="D244" t="str">
            <v>Wireless Serv 1st AG</v>
          </cell>
          <cell r="E244" t="str">
            <v>675.8</v>
          </cell>
          <cell r="R244">
            <v>120</v>
          </cell>
        </row>
        <row r="245">
          <cell r="A245" t="str">
            <v>P25 Total</v>
          </cell>
          <cell r="R245">
            <v>250802</v>
          </cell>
        </row>
        <row r="246">
          <cell r="A246" t="str">
            <v>P26</v>
          </cell>
          <cell r="B246" t="str">
            <v>Postage, printing and stationary</v>
          </cell>
          <cell r="C246">
            <v>52562500</v>
          </cell>
          <cell r="D246" t="str">
            <v>Overnight Shippng</v>
          </cell>
          <cell r="E246" t="str">
            <v>675.8</v>
          </cell>
          <cell r="R246">
            <v>10832</v>
          </cell>
        </row>
        <row r="247">
          <cell r="A247" t="str">
            <v>P26</v>
          </cell>
          <cell r="B247" t="str">
            <v>Postage, printing and stationary</v>
          </cell>
          <cell r="C247">
            <v>52562511</v>
          </cell>
          <cell r="D247" t="str">
            <v>Overnight Shippng SS</v>
          </cell>
          <cell r="E247" t="str">
            <v>675.1</v>
          </cell>
          <cell r="R247">
            <v>0</v>
          </cell>
        </row>
        <row r="248">
          <cell r="A248" t="str">
            <v>P26</v>
          </cell>
          <cell r="B248" t="str">
            <v>Postage, printing and stationary</v>
          </cell>
          <cell r="C248">
            <v>52562513</v>
          </cell>
          <cell r="D248" t="str">
            <v>Overnight Shippng WT</v>
          </cell>
          <cell r="E248" t="str">
            <v>675.3</v>
          </cell>
          <cell r="R248">
            <v>10363</v>
          </cell>
        </row>
        <row r="249">
          <cell r="A249" t="str">
            <v>P26</v>
          </cell>
          <cell r="B249" t="str">
            <v>Postage, printing and stationary</v>
          </cell>
          <cell r="C249">
            <v>52562514</v>
          </cell>
          <cell r="D249" t="str">
            <v>Overnight Shippng TD</v>
          </cell>
          <cell r="E249" t="str">
            <v>675.5</v>
          </cell>
          <cell r="R249">
            <v>406</v>
          </cell>
        </row>
        <row r="250">
          <cell r="A250" t="str">
            <v>P26</v>
          </cell>
          <cell r="B250" t="str">
            <v>Postage, printing and stationary</v>
          </cell>
          <cell r="C250">
            <v>52562516</v>
          </cell>
          <cell r="D250" t="str">
            <v>Overnight Shippng AG</v>
          </cell>
          <cell r="E250" t="str">
            <v>675.8</v>
          </cell>
          <cell r="R250">
            <v>2218</v>
          </cell>
        </row>
        <row r="251">
          <cell r="A251" t="str">
            <v>P26</v>
          </cell>
          <cell r="B251" t="str">
            <v>Postage, printing and stationary</v>
          </cell>
          <cell r="C251">
            <v>52566000</v>
          </cell>
          <cell r="D251" t="str">
            <v>Postage</v>
          </cell>
          <cell r="E251" t="str">
            <v>675.8</v>
          </cell>
          <cell r="R251">
            <v>1248</v>
          </cell>
        </row>
        <row r="252">
          <cell r="A252" t="str">
            <v>P26</v>
          </cell>
          <cell r="B252" t="str">
            <v>Postage, printing and stationary</v>
          </cell>
          <cell r="C252">
            <v>52566016</v>
          </cell>
          <cell r="D252" t="str">
            <v>Postage AG</v>
          </cell>
          <cell r="E252" t="str">
            <v>675.8</v>
          </cell>
          <cell r="R252">
            <v>776</v>
          </cell>
        </row>
        <row r="253">
          <cell r="A253" t="str">
            <v>P26</v>
          </cell>
          <cell r="B253" t="str">
            <v>Postage, printing and stationary</v>
          </cell>
          <cell r="C253">
            <v>52566700</v>
          </cell>
          <cell r="D253" t="str">
            <v>Printing</v>
          </cell>
          <cell r="E253" t="str">
            <v>675.8</v>
          </cell>
          <cell r="R253">
            <v>3353</v>
          </cell>
        </row>
        <row r="254">
          <cell r="A254" t="str">
            <v>P26 Total</v>
          </cell>
          <cell r="R254">
            <v>29196</v>
          </cell>
        </row>
        <row r="255">
          <cell r="A255" t="str">
            <v>P27</v>
          </cell>
          <cell r="B255" t="str">
            <v>Office supplies and services</v>
          </cell>
          <cell r="C255">
            <v>52510000</v>
          </cell>
          <cell r="D255" t="str">
            <v>Bank Svc Charges</v>
          </cell>
          <cell r="E255" t="str">
            <v>675.8</v>
          </cell>
          <cell r="R255">
            <v>0</v>
          </cell>
        </row>
        <row r="256">
          <cell r="A256" t="str">
            <v>P27</v>
          </cell>
          <cell r="B256" t="str">
            <v>Office supplies and services</v>
          </cell>
          <cell r="C256">
            <v>52510016</v>
          </cell>
          <cell r="D256" t="str">
            <v>Bank Svc Charges-AG</v>
          </cell>
          <cell r="E256" t="str">
            <v>675.8</v>
          </cell>
          <cell r="R256">
            <v>92</v>
          </cell>
        </row>
        <row r="257">
          <cell r="A257" t="str">
            <v>P27</v>
          </cell>
          <cell r="B257" t="str">
            <v>Office supplies and services</v>
          </cell>
          <cell r="C257">
            <v>52512500</v>
          </cell>
          <cell r="D257" t="str">
            <v>Books&amp;Publications</v>
          </cell>
          <cell r="E257" t="str">
            <v>675.8</v>
          </cell>
          <cell r="R257">
            <v>248</v>
          </cell>
        </row>
        <row r="258">
          <cell r="A258" t="str">
            <v>P27</v>
          </cell>
          <cell r="B258" t="str">
            <v>Office supplies and services</v>
          </cell>
          <cell r="C258">
            <v>52526100</v>
          </cell>
          <cell r="D258" t="str">
            <v>Credit Line Fees I/C</v>
          </cell>
          <cell r="E258" t="str">
            <v>675.8</v>
          </cell>
          <cell r="R258">
            <v>52682</v>
          </cell>
        </row>
        <row r="259">
          <cell r="A259" t="str">
            <v>P27</v>
          </cell>
          <cell r="B259" t="str">
            <v>Office supplies and services</v>
          </cell>
          <cell r="C259">
            <v>52542000</v>
          </cell>
          <cell r="D259" t="str">
            <v>Forms</v>
          </cell>
          <cell r="E259" t="str">
            <v>675.8</v>
          </cell>
          <cell r="R259">
            <v>0</v>
          </cell>
        </row>
        <row r="260">
          <cell r="A260" t="str">
            <v>P27</v>
          </cell>
          <cell r="B260" t="str">
            <v>Office supplies and services</v>
          </cell>
          <cell r="C260">
            <v>52542016</v>
          </cell>
          <cell r="D260" t="str">
            <v>Forms AG</v>
          </cell>
          <cell r="E260" t="str">
            <v>675.8</v>
          </cell>
          <cell r="R260">
            <v>1079</v>
          </cell>
        </row>
        <row r="261">
          <cell r="A261" t="str">
            <v>P27</v>
          </cell>
          <cell r="B261" t="str">
            <v>Office supplies and services</v>
          </cell>
          <cell r="C261">
            <v>52562000</v>
          </cell>
          <cell r="D261" t="str">
            <v>Office Supplies</v>
          </cell>
          <cell r="E261" t="str">
            <v>675.8</v>
          </cell>
          <cell r="R261">
            <v>18640</v>
          </cell>
        </row>
        <row r="262">
          <cell r="A262" t="str">
            <v>P27</v>
          </cell>
          <cell r="B262" t="str">
            <v>Office supplies and services</v>
          </cell>
          <cell r="C262">
            <v>52562011</v>
          </cell>
          <cell r="D262" t="str">
            <v>Off&amp;Adm Supplies SS</v>
          </cell>
          <cell r="E262" t="str">
            <v>675.1</v>
          </cell>
          <cell r="R262">
            <v>33</v>
          </cell>
        </row>
        <row r="263">
          <cell r="A263" t="str">
            <v>P27</v>
          </cell>
          <cell r="B263" t="str">
            <v>Office supplies and services</v>
          </cell>
          <cell r="C263">
            <v>52562013</v>
          </cell>
          <cell r="D263" t="str">
            <v>Off&amp;Adm Supplies WT</v>
          </cell>
          <cell r="E263" t="str">
            <v>675.3</v>
          </cell>
          <cell r="R263">
            <v>9449</v>
          </cell>
        </row>
        <row r="264">
          <cell r="A264" t="str">
            <v>P27</v>
          </cell>
          <cell r="B264" t="str">
            <v>Office supplies and services</v>
          </cell>
          <cell r="C264">
            <v>52562014</v>
          </cell>
          <cell r="D264" t="str">
            <v>Off&amp;Adm Supplies TD</v>
          </cell>
          <cell r="E264" t="str">
            <v>675.5</v>
          </cell>
          <cell r="R264">
            <v>3818</v>
          </cell>
        </row>
        <row r="265">
          <cell r="A265" t="str">
            <v>P27</v>
          </cell>
          <cell r="B265" t="str">
            <v>Office supplies and services</v>
          </cell>
          <cell r="C265">
            <v>52562015</v>
          </cell>
          <cell r="D265" t="str">
            <v>Off&amp;Adm Supplies CA</v>
          </cell>
          <cell r="E265" t="str">
            <v>675.7</v>
          </cell>
          <cell r="R265">
            <v>0</v>
          </cell>
        </row>
        <row r="266">
          <cell r="A266" t="str">
            <v>P27</v>
          </cell>
          <cell r="B266" t="str">
            <v>Office supplies and services</v>
          </cell>
          <cell r="C266">
            <v>52562016</v>
          </cell>
          <cell r="D266" t="str">
            <v>Off&amp;Adm Supplies AG</v>
          </cell>
          <cell r="E266" t="str">
            <v>675.8</v>
          </cell>
          <cell r="R266">
            <v>10128</v>
          </cell>
        </row>
        <row r="267">
          <cell r="A267" t="str">
            <v>P27</v>
          </cell>
          <cell r="B267" t="str">
            <v>Office supplies and services</v>
          </cell>
          <cell r="C267">
            <v>52571500</v>
          </cell>
          <cell r="D267" t="str">
            <v>Software Licenses</v>
          </cell>
          <cell r="E267" t="str">
            <v>675.8</v>
          </cell>
          <cell r="R267">
            <v>150263</v>
          </cell>
        </row>
        <row r="268">
          <cell r="A268" t="str">
            <v>P27</v>
          </cell>
          <cell r="B268" t="str">
            <v>Office supplies and services</v>
          </cell>
          <cell r="C268">
            <v>52582000</v>
          </cell>
          <cell r="D268" t="str">
            <v>Uniforms</v>
          </cell>
          <cell r="E268" t="str">
            <v>675.7</v>
          </cell>
          <cell r="R268">
            <v>18138</v>
          </cell>
        </row>
        <row r="269">
          <cell r="A269" t="str">
            <v>P27</v>
          </cell>
          <cell r="B269" t="str">
            <v>Office supplies and services</v>
          </cell>
          <cell r="C269">
            <v>52582011</v>
          </cell>
          <cell r="D269" t="str">
            <v>Uniforms SS</v>
          </cell>
          <cell r="E269" t="str">
            <v>675.1</v>
          </cell>
          <cell r="R269">
            <v>0</v>
          </cell>
        </row>
        <row r="270">
          <cell r="A270" t="str">
            <v>P27</v>
          </cell>
          <cell r="B270" t="str">
            <v>Office supplies and services</v>
          </cell>
          <cell r="C270">
            <v>52582012</v>
          </cell>
          <cell r="D270" t="str">
            <v>Uniforms P</v>
          </cell>
          <cell r="E270" t="str">
            <v>675.3</v>
          </cell>
          <cell r="R270">
            <v>0</v>
          </cell>
        </row>
        <row r="271">
          <cell r="A271" t="str">
            <v>P27</v>
          </cell>
          <cell r="B271" t="str">
            <v>Office supplies and services</v>
          </cell>
          <cell r="C271">
            <v>52582013</v>
          </cell>
          <cell r="D271" t="str">
            <v>Uniforms WT</v>
          </cell>
          <cell r="E271" t="str">
            <v>675.3</v>
          </cell>
          <cell r="R271">
            <v>9332</v>
          </cell>
        </row>
        <row r="272">
          <cell r="A272" t="str">
            <v>P27</v>
          </cell>
          <cell r="B272" t="str">
            <v>Office supplies and services</v>
          </cell>
          <cell r="C272">
            <v>52582014</v>
          </cell>
          <cell r="D272" t="str">
            <v>Uniforms TD</v>
          </cell>
          <cell r="E272" t="str">
            <v>675.5</v>
          </cell>
          <cell r="R272">
            <v>10053</v>
          </cell>
        </row>
        <row r="273">
          <cell r="A273" t="str">
            <v>P27</v>
          </cell>
          <cell r="B273" t="str">
            <v>Office supplies and services</v>
          </cell>
          <cell r="C273">
            <v>52582016</v>
          </cell>
          <cell r="D273" t="str">
            <v>Uniforms AG</v>
          </cell>
          <cell r="E273" t="str">
            <v>675.7</v>
          </cell>
          <cell r="R273">
            <v>1304</v>
          </cell>
        </row>
        <row r="274">
          <cell r="A274" t="str">
            <v>P27</v>
          </cell>
          <cell r="B274" t="str">
            <v>Office supplies and services</v>
          </cell>
          <cell r="C274">
            <v>52801100</v>
          </cell>
          <cell r="D274" t="str">
            <v>Indirect OH Clearing</v>
          </cell>
          <cell r="E274" t="str">
            <v>675.8</v>
          </cell>
          <cell r="R274">
            <v>0</v>
          </cell>
        </row>
        <row r="275">
          <cell r="A275" t="str">
            <v>P27</v>
          </cell>
          <cell r="B275" t="str">
            <v>Office supplies and services</v>
          </cell>
          <cell r="C275">
            <v>52805100</v>
          </cell>
          <cell r="D275" t="str">
            <v>Indirect OH RWIP Clr</v>
          </cell>
          <cell r="E275" t="str">
            <v>675.8</v>
          </cell>
          <cell r="R275">
            <v>0</v>
          </cell>
        </row>
        <row r="276">
          <cell r="A276" t="str">
            <v>P27 Total</v>
          </cell>
          <cell r="R276">
            <v>285259</v>
          </cell>
        </row>
        <row r="277">
          <cell r="A277" t="str">
            <v>P28</v>
          </cell>
          <cell r="B277" t="str">
            <v>Advertising &amp; marketing expenses</v>
          </cell>
          <cell r="C277">
            <v>52503000</v>
          </cell>
          <cell r="D277" t="str">
            <v>Advertising</v>
          </cell>
          <cell r="E277" t="str">
            <v>660.8</v>
          </cell>
          <cell r="R277">
            <v>7988</v>
          </cell>
        </row>
        <row r="278">
          <cell r="A278" t="str">
            <v>P28 Total</v>
          </cell>
          <cell r="R278">
            <v>7988</v>
          </cell>
        </row>
        <row r="279">
          <cell r="A279" t="str">
            <v>P29</v>
          </cell>
          <cell r="B279" t="str">
            <v>Employee related expense travel &amp; entertainme</v>
          </cell>
          <cell r="C279">
            <v>52534000</v>
          </cell>
          <cell r="D279" t="str">
            <v>Employee Expenses</v>
          </cell>
          <cell r="E279" t="str">
            <v>675.8</v>
          </cell>
          <cell r="R279">
            <v>72245</v>
          </cell>
        </row>
        <row r="280">
          <cell r="A280" t="str">
            <v>P29</v>
          </cell>
          <cell r="B280" t="str">
            <v>Employee related expense travel &amp; entertainme</v>
          </cell>
          <cell r="C280">
            <v>52534021</v>
          </cell>
          <cell r="D280" t="str">
            <v>Travel - Meals</v>
          </cell>
          <cell r="E280" t="str">
            <v>675.8</v>
          </cell>
          <cell r="R280">
            <v>0</v>
          </cell>
        </row>
        <row r="281">
          <cell r="A281" t="str">
            <v>P29</v>
          </cell>
          <cell r="B281" t="str">
            <v>Employee related expense travel &amp; entertainme</v>
          </cell>
          <cell r="C281">
            <v>52534200</v>
          </cell>
          <cell r="D281" t="str">
            <v>Conferences &amp; Reg</v>
          </cell>
          <cell r="E281" t="str">
            <v>675.8</v>
          </cell>
          <cell r="R281">
            <v>8813</v>
          </cell>
        </row>
        <row r="282">
          <cell r="A282" t="str">
            <v>P29</v>
          </cell>
          <cell r="B282" t="str">
            <v>Employee related expense travel &amp; entertainme</v>
          </cell>
          <cell r="C282">
            <v>52535000</v>
          </cell>
          <cell r="D282" t="str">
            <v>Meals Deductible</v>
          </cell>
          <cell r="E282" t="str">
            <v>675.8</v>
          </cell>
          <cell r="R282">
            <v>35622</v>
          </cell>
        </row>
        <row r="283">
          <cell r="A283" t="str">
            <v>P29</v>
          </cell>
          <cell r="B283" t="str">
            <v>Employee related expense travel &amp; entertainme</v>
          </cell>
          <cell r="C283">
            <v>52535100</v>
          </cell>
          <cell r="D283" t="str">
            <v>Meals Nondeductible</v>
          </cell>
          <cell r="E283" t="str">
            <v>675.8</v>
          </cell>
          <cell r="R283">
            <v>0</v>
          </cell>
        </row>
        <row r="284">
          <cell r="A284" t="str">
            <v>P29</v>
          </cell>
          <cell r="B284" t="str">
            <v>Employee related expense travel &amp; entertainme</v>
          </cell>
          <cell r="C284">
            <v>52567000</v>
          </cell>
          <cell r="D284" t="str">
            <v>Relocation Expenses</v>
          </cell>
          <cell r="E284" t="str">
            <v>675.8</v>
          </cell>
          <cell r="R284">
            <v>10034</v>
          </cell>
        </row>
        <row r="285">
          <cell r="A285" t="str">
            <v>P29 Total</v>
          </cell>
          <cell r="R285">
            <v>126714</v>
          </cell>
        </row>
        <row r="286">
          <cell r="A286" t="str">
            <v>P30</v>
          </cell>
          <cell r="B286" t="str">
            <v>Miscellaneous expenses</v>
          </cell>
          <cell r="C286">
            <v>52000000</v>
          </cell>
          <cell r="D286" t="str">
            <v>M&amp;S Expense (O&amp;M)</v>
          </cell>
          <cell r="E286" t="str">
            <v>620.5</v>
          </cell>
          <cell r="R286">
            <v>78639</v>
          </cell>
        </row>
        <row r="287">
          <cell r="A287" t="str">
            <v>P30</v>
          </cell>
          <cell r="B287" t="str">
            <v>Miscellaneous expenses</v>
          </cell>
          <cell r="C287">
            <v>52001000</v>
          </cell>
          <cell r="D287" t="str">
            <v>M&amp;S Expense (O&amp;M)</v>
          </cell>
          <cell r="E287" t="str">
            <v>620.5</v>
          </cell>
          <cell r="R287">
            <v>-70867.805123857834</v>
          </cell>
        </row>
        <row r="288">
          <cell r="A288" t="str">
            <v>P30</v>
          </cell>
          <cell r="B288" t="str">
            <v>Miscellaneous expenses</v>
          </cell>
          <cell r="C288">
            <v>52001100</v>
          </cell>
          <cell r="D288" t="str">
            <v>M&amp;S Oper SS</v>
          </cell>
          <cell r="E288" t="str">
            <v>620.1</v>
          </cell>
          <cell r="R288">
            <v>129</v>
          </cell>
        </row>
        <row r="289">
          <cell r="A289" t="str">
            <v>P30</v>
          </cell>
          <cell r="B289" t="str">
            <v>Miscellaneous expenses</v>
          </cell>
          <cell r="C289">
            <v>52001200</v>
          </cell>
          <cell r="D289" t="str">
            <v>M&amp;S Oper P</v>
          </cell>
          <cell r="E289" t="str">
            <v>620.1</v>
          </cell>
          <cell r="R289">
            <v>-1088</v>
          </cell>
        </row>
        <row r="290">
          <cell r="A290" t="str">
            <v>P30</v>
          </cell>
          <cell r="B290" t="str">
            <v>Miscellaneous expenses</v>
          </cell>
          <cell r="C290">
            <v>52001300</v>
          </cell>
          <cell r="D290" t="str">
            <v>M&amp;S Oper WT</v>
          </cell>
          <cell r="E290" t="str">
            <v>620.3</v>
          </cell>
          <cell r="R290">
            <v>31120</v>
          </cell>
        </row>
        <row r="291">
          <cell r="A291" t="str">
            <v>P30</v>
          </cell>
          <cell r="B291" t="str">
            <v>Miscellaneous expenses</v>
          </cell>
          <cell r="C291">
            <v>52001400</v>
          </cell>
          <cell r="D291" t="str">
            <v>M&amp;S Oper TD</v>
          </cell>
          <cell r="E291" t="str">
            <v>620.5</v>
          </cell>
          <cell r="R291">
            <v>30078</v>
          </cell>
        </row>
        <row r="292">
          <cell r="A292" t="str">
            <v>P30</v>
          </cell>
          <cell r="B292" t="str">
            <v>Miscellaneous expenses</v>
          </cell>
          <cell r="C292">
            <v>52001500</v>
          </cell>
          <cell r="D292" t="str">
            <v>M&amp;S Oper CA</v>
          </cell>
          <cell r="E292" t="str">
            <v>620.7</v>
          </cell>
          <cell r="R292">
            <v>504</v>
          </cell>
        </row>
        <row r="293">
          <cell r="A293" t="str">
            <v>P30</v>
          </cell>
          <cell r="B293" t="str">
            <v>Miscellaneous expenses</v>
          </cell>
          <cell r="C293">
            <v>52001600</v>
          </cell>
          <cell r="D293" t="str">
            <v>M&amp;S Oper AG</v>
          </cell>
          <cell r="E293" t="str">
            <v>620.8</v>
          </cell>
          <cell r="R293">
            <v>21962</v>
          </cell>
        </row>
        <row r="294">
          <cell r="A294" t="str">
            <v>P30</v>
          </cell>
          <cell r="B294" t="str">
            <v>Miscellaneous expenses</v>
          </cell>
          <cell r="C294">
            <v>52500000</v>
          </cell>
          <cell r="D294" t="str">
            <v>Misc Expense (O&amp;M)</v>
          </cell>
          <cell r="E294" t="str">
            <v>675.8</v>
          </cell>
          <cell r="R294">
            <v>55070</v>
          </cell>
        </row>
        <row r="295">
          <cell r="A295" t="str">
            <v>P30</v>
          </cell>
          <cell r="B295" t="str">
            <v>Miscellaneous expenses</v>
          </cell>
          <cell r="C295">
            <v>52501100</v>
          </cell>
          <cell r="D295" t="str">
            <v>Misc Oper SS</v>
          </cell>
          <cell r="E295" t="str">
            <v>675.1</v>
          </cell>
          <cell r="R295">
            <v>1951</v>
          </cell>
        </row>
        <row r="296">
          <cell r="A296" t="str">
            <v>P30</v>
          </cell>
          <cell r="B296" t="str">
            <v>Miscellaneous expenses</v>
          </cell>
          <cell r="C296">
            <v>52501200</v>
          </cell>
          <cell r="D296" t="str">
            <v>Misc Oper P</v>
          </cell>
          <cell r="E296" t="str">
            <v>675.1</v>
          </cell>
          <cell r="R296">
            <v>13</v>
          </cell>
        </row>
        <row r="297">
          <cell r="A297" t="str">
            <v>P30</v>
          </cell>
          <cell r="B297" t="str">
            <v>Miscellaneous expenses</v>
          </cell>
          <cell r="C297">
            <v>52501300</v>
          </cell>
          <cell r="D297" t="str">
            <v>Misc Oper WT</v>
          </cell>
          <cell r="E297" t="str">
            <v>675.3</v>
          </cell>
          <cell r="R297">
            <v>8243</v>
          </cell>
        </row>
        <row r="298">
          <cell r="A298" t="str">
            <v>P30</v>
          </cell>
          <cell r="B298" t="str">
            <v>Miscellaneous expenses</v>
          </cell>
          <cell r="C298">
            <v>52501400</v>
          </cell>
          <cell r="D298" t="str">
            <v>Misc Oper TD</v>
          </cell>
          <cell r="E298" t="str">
            <v>675.5</v>
          </cell>
          <cell r="R298">
            <v>64614</v>
          </cell>
        </row>
        <row r="299">
          <cell r="A299" t="str">
            <v>P30</v>
          </cell>
          <cell r="B299" t="str">
            <v>Miscellaneous expenses</v>
          </cell>
          <cell r="C299">
            <v>52501600</v>
          </cell>
          <cell r="D299" t="str">
            <v>Misc Oper AG</v>
          </cell>
          <cell r="E299" t="str">
            <v>675.8</v>
          </cell>
          <cell r="R299">
            <v>-81175</v>
          </cell>
        </row>
        <row r="300">
          <cell r="A300" t="str">
            <v>P30</v>
          </cell>
          <cell r="B300" t="str">
            <v>Miscellaneous expenses</v>
          </cell>
          <cell r="C300">
            <v>52514000</v>
          </cell>
          <cell r="D300" t="str">
            <v>Charitb Contr Deduct</v>
          </cell>
          <cell r="E300" t="str">
            <v>675.8</v>
          </cell>
          <cell r="R300">
            <v>0</v>
          </cell>
        </row>
        <row r="301">
          <cell r="A301" t="str">
            <v>P30</v>
          </cell>
          <cell r="B301" t="str">
            <v>Miscellaneous expenses</v>
          </cell>
          <cell r="C301">
            <v>52514500</v>
          </cell>
          <cell r="D301" t="str">
            <v>Charitb Don-H/Ed/En</v>
          </cell>
          <cell r="E301" t="str">
            <v>675.8</v>
          </cell>
          <cell r="R301">
            <v>49472</v>
          </cell>
        </row>
        <row r="302">
          <cell r="A302" t="str">
            <v>P30</v>
          </cell>
          <cell r="B302" t="str">
            <v>Miscellaneous expenses</v>
          </cell>
          <cell r="C302">
            <v>52514600</v>
          </cell>
          <cell r="D302" t="str">
            <v>Charitb Don-Commnty</v>
          </cell>
          <cell r="E302" t="str">
            <v>675.8</v>
          </cell>
          <cell r="R302">
            <v>36988</v>
          </cell>
        </row>
        <row r="303">
          <cell r="A303" t="str">
            <v>P30</v>
          </cell>
          <cell r="B303" t="str">
            <v>Miscellaneous expenses</v>
          </cell>
          <cell r="C303">
            <v>52514700</v>
          </cell>
          <cell r="D303" t="str">
            <v>Community Partnrshps</v>
          </cell>
          <cell r="E303" t="str">
            <v>675.8</v>
          </cell>
          <cell r="R303">
            <v>41694</v>
          </cell>
        </row>
        <row r="304">
          <cell r="A304" t="str">
            <v>P30</v>
          </cell>
          <cell r="B304" t="str">
            <v>Miscellaneous expenses</v>
          </cell>
          <cell r="C304">
            <v>52514901</v>
          </cell>
          <cell r="D304" t="str">
            <v>Cust Edu Comm-Reg</v>
          </cell>
          <cell r="E304" t="str">
            <v>675.8</v>
          </cell>
          <cell r="R304">
            <v>11721</v>
          </cell>
        </row>
        <row r="305">
          <cell r="A305" t="str">
            <v>P30</v>
          </cell>
          <cell r="B305" t="str">
            <v>Miscellaneous expenses</v>
          </cell>
          <cell r="C305">
            <v>52514903</v>
          </cell>
          <cell r="D305" t="str">
            <v>Cust Edu Comm-Issues</v>
          </cell>
          <cell r="E305" t="str">
            <v>675.8</v>
          </cell>
          <cell r="R305">
            <v>14387</v>
          </cell>
        </row>
        <row r="306">
          <cell r="A306" t="str">
            <v>P30</v>
          </cell>
          <cell r="B306" t="str">
            <v>Miscellaneous expenses</v>
          </cell>
          <cell r="C306">
            <v>52514904</v>
          </cell>
          <cell r="D306" t="str">
            <v>Cust Edu Comm-Consrv</v>
          </cell>
          <cell r="E306" t="str">
            <v>675.8</v>
          </cell>
          <cell r="R306">
            <v>57981</v>
          </cell>
        </row>
        <row r="307">
          <cell r="A307" t="str">
            <v>P30</v>
          </cell>
          <cell r="B307" t="str">
            <v>Miscellaneous expenses</v>
          </cell>
          <cell r="C307">
            <v>52514905</v>
          </cell>
          <cell r="D307" t="str">
            <v>Cust Edu Comm-Printd</v>
          </cell>
          <cell r="E307" t="str">
            <v>675.8</v>
          </cell>
          <cell r="R307">
            <v>11153</v>
          </cell>
        </row>
        <row r="308">
          <cell r="A308" t="str">
            <v>P30</v>
          </cell>
          <cell r="B308" t="str">
            <v>Miscellaneous expenses</v>
          </cell>
          <cell r="C308">
            <v>52514907</v>
          </cell>
          <cell r="D308" t="str">
            <v>Cust Edu-Press Rls</v>
          </cell>
          <cell r="E308" t="str">
            <v>675.8</v>
          </cell>
          <cell r="R308">
            <v>1542</v>
          </cell>
        </row>
        <row r="309">
          <cell r="A309" t="str">
            <v>P30</v>
          </cell>
          <cell r="B309" t="str">
            <v>Miscellaneous expenses</v>
          </cell>
          <cell r="C309">
            <v>52514909</v>
          </cell>
          <cell r="D309" t="str">
            <v>Cust Edu-Video&amp;Photo</v>
          </cell>
          <cell r="E309" t="str">
            <v>675.8</v>
          </cell>
          <cell r="R309">
            <v>5672</v>
          </cell>
        </row>
        <row r="310">
          <cell r="A310" t="str">
            <v>P30</v>
          </cell>
          <cell r="B310" t="str">
            <v>Miscellaneous expenses</v>
          </cell>
          <cell r="C310">
            <v>52515000</v>
          </cell>
          <cell r="D310" t="str">
            <v>Commun Relations-E</v>
          </cell>
          <cell r="E310" t="str">
            <v>675.8</v>
          </cell>
          <cell r="R310">
            <v>9309</v>
          </cell>
        </row>
        <row r="311">
          <cell r="A311" t="str">
            <v>P30</v>
          </cell>
          <cell r="B311" t="str">
            <v>Miscellaneous expenses</v>
          </cell>
          <cell r="C311">
            <v>52515001</v>
          </cell>
          <cell r="D311" t="str">
            <v>Commun Relations-S</v>
          </cell>
          <cell r="E311" t="str">
            <v>675.8</v>
          </cell>
          <cell r="R311">
            <v>3469</v>
          </cell>
        </row>
        <row r="312">
          <cell r="A312" t="str">
            <v>P30</v>
          </cell>
          <cell r="B312" t="str">
            <v>Miscellaneous expenses</v>
          </cell>
          <cell r="C312">
            <v>52522000</v>
          </cell>
          <cell r="D312" t="str">
            <v>Community Relations</v>
          </cell>
          <cell r="E312" t="str">
            <v>675.8</v>
          </cell>
          <cell r="R312">
            <v>250</v>
          </cell>
        </row>
        <row r="313">
          <cell r="A313" t="str">
            <v>P30</v>
          </cell>
          <cell r="B313" t="str">
            <v>Miscellaneous expenses</v>
          </cell>
          <cell r="C313">
            <v>52524000</v>
          </cell>
          <cell r="D313" t="str">
            <v>Co Dues/Mmbrshp Ded</v>
          </cell>
          <cell r="E313" t="str">
            <v>675.8</v>
          </cell>
          <cell r="R313">
            <v>94071</v>
          </cell>
        </row>
        <row r="314">
          <cell r="A314" t="str">
            <v>P30</v>
          </cell>
          <cell r="B314" t="str">
            <v>Miscellaneous expenses</v>
          </cell>
          <cell r="C314">
            <v>52527000</v>
          </cell>
          <cell r="D314" t="str">
            <v>Directors Fees</v>
          </cell>
          <cell r="E314" t="str">
            <v>675.8</v>
          </cell>
          <cell r="R314">
            <v>43350</v>
          </cell>
        </row>
        <row r="315">
          <cell r="A315" t="str">
            <v>P30</v>
          </cell>
          <cell r="B315" t="str">
            <v>Miscellaneous expenses</v>
          </cell>
          <cell r="C315">
            <v>52528000</v>
          </cell>
          <cell r="D315" t="str">
            <v>Dues/Membership Deductible</v>
          </cell>
          <cell r="E315" t="str">
            <v>675.8</v>
          </cell>
          <cell r="R315">
            <v>0</v>
          </cell>
        </row>
        <row r="316">
          <cell r="A316" t="str">
            <v>P30</v>
          </cell>
          <cell r="B316" t="str">
            <v>Miscellaneous expenses</v>
          </cell>
          <cell r="C316">
            <v>52540000</v>
          </cell>
          <cell r="D316" t="str">
            <v>Amort Bus Svc ProjXp</v>
          </cell>
          <cell r="E316" t="str">
            <v>675.8</v>
          </cell>
          <cell r="R316">
            <v>574</v>
          </cell>
        </row>
        <row r="317">
          <cell r="A317" t="str">
            <v>P30</v>
          </cell>
          <cell r="B317" t="str">
            <v>Miscellaneous expenses</v>
          </cell>
          <cell r="C317">
            <v>52548100</v>
          </cell>
          <cell r="D317" t="str">
            <v>Hiring Costs</v>
          </cell>
          <cell r="E317" t="str">
            <v>675.8</v>
          </cell>
          <cell r="R317">
            <v>500</v>
          </cell>
        </row>
        <row r="318">
          <cell r="A318" t="str">
            <v>P30</v>
          </cell>
          <cell r="B318" t="str">
            <v>Miscellaneous expenses</v>
          </cell>
          <cell r="C318">
            <v>52549000</v>
          </cell>
          <cell r="D318" t="str">
            <v>Injuries and Damages</v>
          </cell>
          <cell r="E318" t="str">
            <v>675.8</v>
          </cell>
          <cell r="R318">
            <v>0</v>
          </cell>
        </row>
        <row r="319">
          <cell r="A319" t="str">
            <v>P30</v>
          </cell>
          <cell r="B319" t="str">
            <v>Miscellaneous expenses</v>
          </cell>
          <cell r="C319">
            <v>52549500</v>
          </cell>
          <cell r="D319" t="str">
            <v>Inv Phys W/O Scrap</v>
          </cell>
          <cell r="E319" t="str">
            <v>675.8</v>
          </cell>
          <cell r="R319">
            <v>-473</v>
          </cell>
        </row>
        <row r="320">
          <cell r="A320" t="str">
            <v>P30</v>
          </cell>
          <cell r="B320" t="str">
            <v>Miscellaneous expenses</v>
          </cell>
          <cell r="C320">
            <v>52554500</v>
          </cell>
          <cell r="D320" t="str">
            <v>Lab Supplies</v>
          </cell>
          <cell r="E320" t="str">
            <v>675.3</v>
          </cell>
          <cell r="R320">
            <v>104150</v>
          </cell>
        </row>
        <row r="321">
          <cell r="A321" t="str">
            <v>P30</v>
          </cell>
          <cell r="B321" t="str">
            <v>Miscellaneous expenses</v>
          </cell>
          <cell r="C321">
            <v>52556500</v>
          </cell>
          <cell r="D321" t="str">
            <v>Low Income Pay Prog</v>
          </cell>
          <cell r="E321" t="str">
            <v>675.8</v>
          </cell>
          <cell r="R321">
            <v>67500</v>
          </cell>
        </row>
        <row r="322">
          <cell r="A322" t="str">
            <v>P30</v>
          </cell>
          <cell r="B322" t="str">
            <v>Miscellaneous expenses</v>
          </cell>
          <cell r="C322">
            <v>52564000</v>
          </cell>
          <cell r="D322" t="str">
            <v>Penalties Non-deduct</v>
          </cell>
          <cell r="E322" t="str">
            <v>675.8</v>
          </cell>
          <cell r="R322">
            <v>518</v>
          </cell>
        </row>
        <row r="323">
          <cell r="A323" t="str">
            <v>P30</v>
          </cell>
          <cell r="B323" t="str">
            <v>Miscellaneous expenses</v>
          </cell>
          <cell r="C323">
            <v>52568000</v>
          </cell>
          <cell r="D323" t="str">
            <v>Research &amp; Develop</v>
          </cell>
          <cell r="E323" t="str">
            <v>675.8</v>
          </cell>
          <cell r="R323">
            <v>23632</v>
          </cell>
        </row>
        <row r="324">
          <cell r="A324" t="str">
            <v>P30</v>
          </cell>
          <cell r="B324" t="str">
            <v>Miscellaneous expenses</v>
          </cell>
          <cell r="C324">
            <v>52579000</v>
          </cell>
          <cell r="D324" t="str">
            <v>Trustee Fees</v>
          </cell>
          <cell r="E324" t="str">
            <v>675.8</v>
          </cell>
          <cell r="R324">
            <v>21029</v>
          </cell>
        </row>
        <row r="325">
          <cell r="A325" t="str">
            <v>P30</v>
          </cell>
          <cell r="B325" t="str">
            <v>Miscellaneous expenses</v>
          </cell>
          <cell r="C325">
            <v>52585000</v>
          </cell>
          <cell r="D325" t="str">
            <v>Discounts Available</v>
          </cell>
          <cell r="E325" t="str">
            <v>675.8</v>
          </cell>
          <cell r="R325">
            <v>-81092</v>
          </cell>
        </row>
        <row r="326">
          <cell r="A326" t="str">
            <v>P30</v>
          </cell>
          <cell r="B326" t="str">
            <v>Miscellaneous expenses</v>
          </cell>
          <cell r="C326">
            <v>52586000</v>
          </cell>
          <cell r="D326" t="str">
            <v>PO Small Differences</v>
          </cell>
          <cell r="E326" t="str">
            <v>675.8</v>
          </cell>
          <cell r="R326">
            <v>184</v>
          </cell>
        </row>
        <row r="327">
          <cell r="A327" t="str">
            <v>P30 Total</v>
          </cell>
          <cell r="R327">
            <v>656773.1948761422</v>
          </cell>
        </row>
        <row r="328">
          <cell r="A328" t="str">
            <v>P31</v>
          </cell>
          <cell r="B328" t="str">
            <v>Rents</v>
          </cell>
          <cell r="C328">
            <v>54110000</v>
          </cell>
          <cell r="D328" t="str">
            <v>Rents-Real Prop</v>
          </cell>
          <cell r="E328" t="str">
            <v>641.8</v>
          </cell>
          <cell r="R328">
            <v>5057</v>
          </cell>
        </row>
        <row r="329">
          <cell r="A329" t="str">
            <v>P31</v>
          </cell>
          <cell r="B329" t="str">
            <v>Rents</v>
          </cell>
          <cell r="C329">
            <v>54110013</v>
          </cell>
          <cell r="D329" t="str">
            <v>Rents-Real Prop WT</v>
          </cell>
          <cell r="E329" t="str">
            <v>641.3</v>
          </cell>
          <cell r="R329">
            <v>0</v>
          </cell>
        </row>
        <row r="330">
          <cell r="A330" t="str">
            <v>P31</v>
          </cell>
          <cell r="B330" t="str">
            <v>Rents</v>
          </cell>
          <cell r="C330">
            <v>54110014</v>
          </cell>
          <cell r="D330" t="str">
            <v>Rents-Real Prop TD</v>
          </cell>
          <cell r="E330" t="str">
            <v>641.5</v>
          </cell>
          <cell r="R330">
            <v>7148</v>
          </cell>
        </row>
        <row r="331">
          <cell r="A331" t="str">
            <v>P31</v>
          </cell>
          <cell r="B331" t="str">
            <v>Rents</v>
          </cell>
          <cell r="C331">
            <v>54110016</v>
          </cell>
          <cell r="D331" t="str">
            <v>Rents-Real Prop AG</v>
          </cell>
          <cell r="E331" t="str">
            <v>641.8</v>
          </cell>
          <cell r="R331">
            <v>1500</v>
          </cell>
        </row>
        <row r="332">
          <cell r="A332" t="str">
            <v>P31</v>
          </cell>
          <cell r="B332" t="str">
            <v>Rents</v>
          </cell>
          <cell r="C332">
            <v>54140000</v>
          </cell>
          <cell r="D332" t="str">
            <v>Rents-Equip</v>
          </cell>
          <cell r="E332" t="str">
            <v>642.8</v>
          </cell>
          <cell r="R332">
            <v>1629</v>
          </cell>
        </row>
        <row r="333">
          <cell r="A333" t="str">
            <v>P31</v>
          </cell>
          <cell r="B333" t="str">
            <v>Rents</v>
          </cell>
          <cell r="C333">
            <v>54140011</v>
          </cell>
          <cell r="D333" t="str">
            <v>Rents-Equip SS</v>
          </cell>
          <cell r="E333" t="str">
            <v>642.1</v>
          </cell>
          <cell r="R333">
            <v>565</v>
          </cell>
        </row>
        <row r="334">
          <cell r="A334" t="str">
            <v>P31</v>
          </cell>
          <cell r="B334" t="str">
            <v>Rents</v>
          </cell>
          <cell r="C334">
            <v>54140013</v>
          </cell>
          <cell r="D334" t="str">
            <v>Rents-Equip WT</v>
          </cell>
          <cell r="E334" t="str">
            <v>642.3</v>
          </cell>
          <cell r="R334">
            <v>5740</v>
          </cell>
        </row>
        <row r="335">
          <cell r="A335" t="str">
            <v>P31</v>
          </cell>
          <cell r="B335" t="str">
            <v>Rents</v>
          </cell>
          <cell r="C335">
            <v>54140014</v>
          </cell>
          <cell r="D335" t="str">
            <v>Rents-Equip TD</v>
          </cell>
          <cell r="E335" t="str">
            <v>642.5</v>
          </cell>
          <cell r="R335">
            <v>0</v>
          </cell>
        </row>
        <row r="336">
          <cell r="A336" t="str">
            <v>P31</v>
          </cell>
          <cell r="B336" t="str">
            <v>Rents</v>
          </cell>
          <cell r="C336">
            <v>54140016</v>
          </cell>
          <cell r="D336" t="str">
            <v>Rents-Equip AG</v>
          </cell>
          <cell r="E336" t="str">
            <v>642.8</v>
          </cell>
          <cell r="R336">
            <v>483</v>
          </cell>
        </row>
        <row r="337">
          <cell r="A337" t="str">
            <v>P31 Total</v>
          </cell>
          <cell r="R337">
            <v>22122</v>
          </cell>
        </row>
        <row r="338">
          <cell r="A338" t="str">
            <v>P32</v>
          </cell>
          <cell r="B338" t="str">
            <v>Transportation</v>
          </cell>
          <cell r="C338">
            <v>55000000</v>
          </cell>
          <cell r="D338" t="str">
            <v>Transportation (O&amp;M)</v>
          </cell>
          <cell r="E338" t="str">
            <v>650.8</v>
          </cell>
          <cell r="R338">
            <v>-2943</v>
          </cell>
        </row>
        <row r="339">
          <cell r="A339" t="str">
            <v>P32</v>
          </cell>
          <cell r="B339" t="str">
            <v>Transportation</v>
          </cell>
          <cell r="C339">
            <v>55000010</v>
          </cell>
          <cell r="D339" t="str">
            <v>Transportation</v>
          </cell>
          <cell r="E339" t="str">
            <v>650.8</v>
          </cell>
          <cell r="R339">
            <v>0</v>
          </cell>
        </row>
        <row r="340">
          <cell r="A340" t="str">
            <v>P32</v>
          </cell>
          <cell r="B340" t="str">
            <v>Transportation</v>
          </cell>
          <cell r="C340">
            <v>55000012</v>
          </cell>
          <cell r="D340" t="str">
            <v>Trans Oper P</v>
          </cell>
          <cell r="E340" t="str">
            <v>650.1</v>
          </cell>
          <cell r="R340">
            <v>0</v>
          </cell>
        </row>
        <row r="341">
          <cell r="A341" t="str">
            <v>P32</v>
          </cell>
          <cell r="B341" t="str">
            <v>Transportation</v>
          </cell>
          <cell r="C341">
            <v>55000013</v>
          </cell>
          <cell r="D341" t="str">
            <v>Trans Oper WT</v>
          </cell>
          <cell r="E341" t="str">
            <v>650.3</v>
          </cell>
          <cell r="R341">
            <v>459</v>
          </cell>
        </row>
        <row r="342">
          <cell r="A342" t="str">
            <v>P32</v>
          </cell>
          <cell r="B342" t="str">
            <v>Transportation</v>
          </cell>
          <cell r="C342">
            <v>55000014</v>
          </cell>
          <cell r="D342" t="str">
            <v>Trans Oper TD</v>
          </cell>
          <cell r="E342" t="str">
            <v>650.5</v>
          </cell>
          <cell r="R342">
            <v>0</v>
          </cell>
        </row>
        <row r="343">
          <cell r="A343" t="str">
            <v>P32</v>
          </cell>
          <cell r="B343" t="str">
            <v>Transportation</v>
          </cell>
          <cell r="C343">
            <v>55000015</v>
          </cell>
          <cell r="D343" t="str">
            <v>Trans Oper CA</v>
          </cell>
          <cell r="E343" t="str">
            <v>650.7</v>
          </cell>
          <cell r="R343">
            <v>0</v>
          </cell>
        </row>
        <row r="344">
          <cell r="A344" t="str">
            <v>P32</v>
          </cell>
          <cell r="B344" t="str">
            <v>Transportation</v>
          </cell>
          <cell r="C344">
            <v>55000016</v>
          </cell>
          <cell r="D344" t="str">
            <v>Trans Oper AG</v>
          </cell>
          <cell r="E344" t="str">
            <v>650.8</v>
          </cell>
          <cell r="R344">
            <v>7814</v>
          </cell>
        </row>
        <row r="345">
          <cell r="A345" t="str">
            <v>P32</v>
          </cell>
          <cell r="B345" t="str">
            <v>Transportation</v>
          </cell>
          <cell r="C345">
            <v>55000023</v>
          </cell>
          <cell r="D345" t="str">
            <v>Trans Maint WT</v>
          </cell>
          <cell r="E345" t="str">
            <v>650.4</v>
          </cell>
          <cell r="R345">
            <v>517</v>
          </cell>
        </row>
        <row r="346">
          <cell r="A346" t="str">
            <v>P32</v>
          </cell>
          <cell r="B346" t="str">
            <v>Transportation</v>
          </cell>
          <cell r="C346">
            <v>55000024</v>
          </cell>
          <cell r="D346" t="str">
            <v>Trans Maint TD</v>
          </cell>
          <cell r="E346" t="str">
            <v>650.6</v>
          </cell>
          <cell r="R346">
            <v>80</v>
          </cell>
        </row>
        <row r="347">
          <cell r="A347" t="str">
            <v>P32</v>
          </cell>
          <cell r="B347" t="str">
            <v>Transportation</v>
          </cell>
          <cell r="C347">
            <v>55000100</v>
          </cell>
          <cell r="D347" t="str">
            <v>Trans Cap Credits</v>
          </cell>
          <cell r="E347" t="str">
            <v>650.8</v>
          </cell>
          <cell r="R347">
            <v>-132201</v>
          </cell>
        </row>
        <row r="348">
          <cell r="A348" t="str">
            <v>P32</v>
          </cell>
          <cell r="B348" t="str">
            <v>Transportation</v>
          </cell>
          <cell r="C348">
            <v>55010100</v>
          </cell>
          <cell r="D348" t="str">
            <v>Trans Lease Costs</v>
          </cell>
          <cell r="E348" t="str">
            <v>650.8</v>
          </cell>
          <cell r="R348">
            <v>42481</v>
          </cell>
        </row>
        <row r="349">
          <cell r="A349" t="str">
            <v>P32</v>
          </cell>
          <cell r="B349" t="str">
            <v>Transportation</v>
          </cell>
          <cell r="C349">
            <v>55010200</v>
          </cell>
          <cell r="D349" t="str">
            <v>Trans Lease Fuel</v>
          </cell>
          <cell r="E349" t="str">
            <v>650.8</v>
          </cell>
          <cell r="R349">
            <v>251570</v>
          </cell>
        </row>
        <row r="350">
          <cell r="A350" t="str">
            <v>P32</v>
          </cell>
          <cell r="B350" t="str">
            <v>Transportation</v>
          </cell>
          <cell r="C350">
            <v>55010300</v>
          </cell>
          <cell r="D350" t="str">
            <v>Trans Lease Maint</v>
          </cell>
          <cell r="E350" t="str">
            <v>650.8</v>
          </cell>
          <cell r="R350">
            <v>184672</v>
          </cell>
        </row>
        <row r="351">
          <cell r="A351" t="str">
            <v>P32</v>
          </cell>
          <cell r="B351" t="str">
            <v>Transportation</v>
          </cell>
          <cell r="C351">
            <v>55010400</v>
          </cell>
          <cell r="D351" t="str">
            <v>Trans Emp Reimb Co</v>
          </cell>
          <cell r="E351" t="str">
            <v>650.8</v>
          </cell>
          <cell r="R351">
            <v>0</v>
          </cell>
        </row>
        <row r="352">
          <cell r="A352" t="str">
            <v>P32</v>
          </cell>
          <cell r="B352" t="str">
            <v>Transportation</v>
          </cell>
          <cell r="C352">
            <v>55010500</v>
          </cell>
          <cell r="D352" t="str">
            <v>Trans Reimb EE Prsnl</v>
          </cell>
          <cell r="E352" t="str">
            <v>650.8</v>
          </cell>
          <cell r="R352">
            <v>21145</v>
          </cell>
        </row>
        <row r="353">
          <cell r="A353" t="str">
            <v>P32 Total</v>
          </cell>
          <cell r="R353">
            <v>373594</v>
          </cell>
        </row>
        <row r="354">
          <cell r="A354" t="str">
            <v>P33</v>
          </cell>
          <cell r="B354" t="str">
            <v>Uncollectible accounts expense</v>
          </cell>
          <cell r="C354">
            <v>57010000</v>
          </cell>
          <cell r="D354" t="str">
            <v>Uncoll Accts Exp</v>
          </cell>
          <cell r="E354" t="str">
            <v>670.7</v>
          </cell>
          <cell r="R354">
            <v>0</v>
          </cell>
        </row>
        <row r="355">
          <cell r="A355" t="str">
            <v>P33</v>
          </cell>
          <cell r="B355" t="str">
            <v>Uncollectible accounts expense</v>
          </cell>
          <cell r="C355">
            <v>57010015</v>
          </cell>
          <cell r="D355" t="str">
            <v>Uncoll Accts Exp CA</v>
          </cell>
          <cell r="E355" t="str">
            <v>670.7</v>
          </cell>
          <cell r="R355">
            <v>809767.83800327987</v>
          </cell>
        </row>
        <row r="356">
          <cell r="A356" t="str">
            <v>P33</v>
          </cell>
          <cell r="B356" t="str">
            <v>Uncollectible accounts expense</v>
          </cell>
          <cell r="C356">
            <v>57010016</v>
          </cell>
          <cell r="D356" t="str">
            <v>Uncoll Accts Exp AG</v>
          </cell>
          <cell r="E356" t="str">
            <v>670.7</v>
          </cell>
          <cell r="R356">
            <v>49371</v>
          </cell>
        </row>
        <row r="357">
          <cell r="A357" t="str">
            <v>P33 Total</v>
          </cell>
          <cell r="R357">
            <v>859138.83800327987</v>
          </cell>
        </row>
        <row r="358">
          <cell r="A358" t="str">
            <v>P34</v>
          </cell>
          <cell r="B358" t="str">
            <v>Customer accounting, other</v>
          </cell>
          <cell r="C358">
            <v>52501500</v>
          </cell>
          <cell r="D358" t="str">
            <v>Misc Oper CA</v>
          </cell>
          <cell r="E358" t="str">
            <v>675.7</v>
          </cell>
          <cell r="R358">
            <v>1424</v>
          </cell>
        </row>
        <row r="359">
          <cell r="A359" t="str">
            <v>P34</v>
          </cell>
          <cell r="B359" t="str">
            <v>Customer accounting, other</v>
          </cell>
          <cell r="C359">
            <v>52510015</v>
          </cell>
          <cell r="D359" t="str">
            <v>Bank Svc Charges-CA</v>
          </cell>
          <cell r="E359" t="str">
            <v>675.7</v>
          </cell>
          <cell r="R359">
            <v>140647</v>
          </cell>
        </row>
        <row r="360">
          <cell r="A360" t="str">
            <v>P34</v>
          </cell>
          <cell r="B360" t="str">
            <v>Customer accounting, other</v>
          </cell>
          <cell r="C360">
            <v>52514906</v>
          </cell>
          <cell r="D360" t="str">
            <v>Cust Edu-Bill Insert</v>
          </cell>
          <cell r="E360" t="str">
            <v>675.8</v>
          </cell>
          <cell r="R360">
            <v>10004</v>
          </cell>
        </row>
        <row r="361">
          <cell r="A361" t="str">
            <v>P34</v>
          </cell>
          <cell r="B361" t="str">
            <v>Customer accounting, other</v>
          </cell>
          <cell r="C361">
            <v>52520000</v>
          </cell>
          <cell r="D361" t="str">
            <v>Collection Agencies</v>
          </cell>
          <cell r="E361" t="str">
            <v>675.7</v>
          </cell>
          <cell r="R361">
            <v>303523</v>
          </cell>
        </row>
        <row r="362">
          <cell r="A362" t="str">
            <v>P34</v>
          </cell>
          <cell r="B362" t="str">
            <v>Customer accounting, other</v>
          </cell>
          <cell r="C362">
            <v>52542015</v>
          </cell>
          <cell r="D362" t="str">
            <v>Forms CA</v>
          </cell>
          <cell r="E362" t="str">
            <v>675.7</v>
          </cell>
          <cell r="R362">
            <v>135893</v>
          </cell>
        </row>
        <row r="363">
          <cell r="A363" t="str">
            <v>P34</v>
          </cell>
          <cell r="B363" t="str">
            <v>Customer accounting, other</v>
          </cell>
          <cell r="C363">
            <v>52566015</v>
          </cell>
          <cell r="D363" t="str">
            <v>Postage CA</v>
          </cell>
          <cell r="E363" t="str">
            <v>675.7</v>
          </cell>
          <cell r="R363">
            <v>570456</v>
          </cell>
        </row>
        <row r="364">
          <cell r="A364" t="str">
            <v>P34 Total</v>
          </cell>
          <cell r="R364">
            <v>1161947</v>
          </cell>
        </row>
        <row r="365">
          <cell r="A365" t="str">
            <v>P35</v>
          </cell>
          <cell r="B365" t="str">
            <v>Regulatory expense</v>
          </cell>
          <cell r="C365">
            <v>56610000</v>
          </cell>
          <cell r="D365" t="str">
            <v>Reg Exp-Amort</v>
          </cell>
          <cell r="E365" t="str">
            <v>666.8</v>
          </cell>
          <cell r="R365">
            <v>289720</v>
          </cell>
        </row>
        <row r="366">
          <cell r="A366" t="str">
            <v>P35</v>
          </cell>
          <cell r="B366" t="str">
            <v>Regulatory expense</v>
          </cell>
          <cell r="C366">
            <v>56611000</v>
          </cell>
          <cell r="D366" t="str">
            <v>Reg Exp-Not Auth</v>
          </cell>
          <cell r="E366" t="str">
            <v>666.8</v>
          </cell>
          <cell r="R366">
            <v>0</v>
          </cell>
        </row>
        <row r="367">
          <cell r="A367" t="str">
            <v>P35</v>
          </cell>
          <cell r="B367" t="str">
            <v>Regulatory expense</v>
          </cell>
          <cell r="C367">
            <v>56620000</v>
          </cell>
          <cell r="D367" t="str">
            <v>Reg Exp-Depr Stdy</v>
          </cell>
          <cell r="E367" t="str">
            <v>667.8</v>
          </cell>
          <cell r="R367">
            <v>0</v>
          </cell>
        </row>
        <row r="368">
          <cell r="A368" t="str">
            <v>P35</v>
          </cell>
          <cell r="B368" t="str">
            <v>Regulatory expense</v>
          </cell>
          <cell r="C368">
            <v>56670000</v>
          </cell>
          <cell r="D368" t="str">
            <v>Reg Exp-Other</v>
          </cell>
          <cell r="E368">
            <v>667.8</v>
          </cell>
          <cell r="R368">
            <v>0</v>
          </cell>
        </row>
        <row r="369">
          <cell r="A369" t="str">
            <v>P35 Total</v>
          </cell>
          <cell r="R369">
            <v>289720</v>
          </cell>
        </row>
        <row r="370">
          <cell r="A370" t="str">
            <v>P36</v>
          </cell>
          <cell r="B370" t="str">
            <v>Insurance other than group</v>
          </cell>
          <cell r="C370">
            <v>55110000</v>
          </cell>
          <cell r="D370" t="str">
            <v>Ins Vehicle</v>
          </cell>
          <cell r="E370" t="str">
            <v>656.8</v>
          </cell>
          <cell r="R370">
            <v>29358</v>
          </cell>
        </row>
        <row r="371">
          <cell r="A371" t="str">
            <v>P36</v>
          </cell>
          <cell r="B371" t="str">
            <v>Insurance other than group</v>
          </cell>
          <cell r="C371">
            <v>55115000</v>
          </cell>
          <cell r="D371" t="str">
            <v>Ins Vehicle - I/C</v>
          </cell>
          <cell r="E371" t="str">
            <v>656.8</v>
          </cell>
          <cell r="R371">
            <v>0</v>
          </cell>
        </row>
        <row r="372">
          <cell r="A372" t="str">
            <v>P36</v>
          </cell>
          <cell r="B372" t="str">
            <v>Insurance other than group</v>
          </cell>
          <cell r="C372">
            <v>55710000</v>
          </cell>
          <cell r="D372" t="str">
            <v>Ins General Liabilty</v>
          </cell>
          <cell r="E372" t="str">
            <v>657.8</v>
          </cell>
          <cell r="R372">
            <v>427078</v>
          </cell>
        </row>
        <row r="373">
          <cell r="A373" t="str">
            <v>P36</v>
          </cell>
          <cell r="B373" t="str">
            <v>Insurance other than group</v>
          </cell>
          <cell r="C373">
            <v>55715000</v>
          </cell>
          <cell r="D373" t="str">
            <v>Ins General Liab-I/C</v>
          </cell>
          <cell r="E373" t="str">
            <v>657.8</v>
          </cell>
          <cell r="R373">
            <v>0</v>
          </cell>
        </row>
        <row r="374">
          <cell r="A374" t="str">
            <v>P36</v>
          </cell>
          <cell r="B374" t="str">
            <v>Insurance other than group</v>
          </cell>
          <cell r="C374">
            <v>55720000</v>
          </cell>
          <cell r="D374" t="str">
            <v>Ins Work Comp</v>
          </cell>
          <cell r="E374" t="str">
            <v>658.8</v>
          </cell>
          <cell r="R374">
            <v>105428</v>
          </cell>
        </row>
        <row r="375">
          <cell r="A375" t="str">
            <v>P36</v>
          </cell>
          <cell r="B375" t="str">
            <v>Insurance other than group</v>
          </cell>
          <cell r="C375">
            <v>55720100</v>
          </cell>
          <cell r="D375" t="str">
            <v>Ins W/C Cap Credits</v>
          </cell>
          <cell r="E375" t="str">
            <v>658.8</v>
          </cell>
          <cell r="R375">
            <v>-45629</v>
          </cell>
        </row>
        <row r="376">
          <cell r="A376" t="str">
            <v>P36</v>
          </cell>
          <cell r="B376" t="str">
            <v>Insurance other than group</v>
          </cell>
          <cell r="C376">
            <v>55725000</v>
          </cell>
          <cell r="D376" t="str">
            <v>Ins Work Comp-I/C</v>
          </cell>
          <cell r="E376" t="str">
            <v>658.8</v>
          </cell>
          <cell r="R376">
            <v>0</v>
          </cell>
        </row>
        <row r="377">
          <cell r="A377" t="str">
            <v>P36</v>
          </cell>
          <cell r="B377" t="str">
            <v>Insurance other than group</v>
          </cell>
          <cell r="C377">
            <v>55730000</v>
          </cell>
          <cell r="D377" t="str">
            <v>Ins Other</v>
          </cell>
          <cell r="E377" t="str">
            <v>659.8</v>
          </cell>
          <cell r="R377">
            <v>112354</v>
          </cell>
        </row>
        <row r="378">
          <cell r="A378" t="str">
            <v>P36</v>
          </cell>
          <cell r="B378" t="str">
            <v>Insurance other than group</v>
          </cell>
          <cell r="C378">
            <v>55735000</v>
          </cell>
          <cell r="D378" t="str">
            <v>Ins Other - I/C</v>
          </cell>
          <cell r="E378" t="str">
            <v>659.8</v>
          </cell>
          <cell r="R378">
            <v>0</v>
          </cell>
        </row>
        <row r="379">
          <cell r="A379" t="str">
            <v>P36</v>
          </cell>
          <cell r="B379" t="str">
            <v>Insurance other than group</v>
          </cell>
          <cell r="C379">
            <v>55740000</v>
          </cell>
          <cell r="D379" t="str">
            <v>Ins Property</v>
          </cell>
          <cell r="E379" t="str">
            <v>659.8</v>
          </cell>
          <cell r="R379">
            <v>57480</v>
          </cell>
        </row>
        <row r="380">
          <cell r="A380" t="str">
            <v>P36 Total</v>
          </cell>
          <cell r="R380">
            <v>686069</v>
          </cell>
        </row>
        <row r="381">
          <cell r="A381" t="str">
            <v>P37</v>
          </cell>
          <cell r="B381" t="str">
            <v>Maintenance supplies and services</v>
          </cell>
          <cell r="C381">
            <v>62002100</v>
          </cell>
          <cell r="D381" t="str">
            <v>M&amp;S Maint SS</v>
          </cell>
          <cell r="E381" t="str">
            <v>620.2</v>
          </cell>
          <cell r="R381">
            <v>11559</v>
          </cell>
        </row>
        <row r="382">
          <cell r="A382" t="str">
            <v>P37</v>
          </cell>
          <cell r="B382" t="str">
            <v>Maintenance supplies and services</v>
          </cell>
          <cell r="C382">
            <v>62002300</v>
          </cell>
          <cell r="D382" t="str">
            <v>M&amp;S Maint WT</v>
          </cell>
          <cell r="E382" t="str">
            <v>620.4</v>
          </cell>
          <cell r="R382">
            <v>120941</v>
          </cell>
        </row>
        <row r="383">
          <cell r="A383" t="str">
            <v>P37</v>
          </cell>
          <cell r="B383" t="str">
            <v>Maintenance supplies and services</v>
          </cell>
          <cell r="C383">
            <v>62002400</v>
          </cell>
          <cell r="D383" t="str">
            <v>M&amp;S Maint TD</v>
          </cell>
          <cell r="E383" t="str">
            <v>620.6</v>
          </cell>
          <cell r="R383">
            <v>172000</v>
          </cell>
        </row>
        <row r="384">
          <cell r="A384" t="str">
            <v>P37</v>
          </cell>
          <cell r="B384" t="str">
            <v>Maintenance supplies and services</v>
          </cell>
          <cell r="C384">
            <v>62002600</v>
          </cell>
          <cell r="D384" t="str">
            <v>M&amp;S Maint AG</v>
          </cell>
          <cell r="E384" t="str">
            <v>620.8</v>
          </cell>
          <cell r="R384">
            <v>0</v>
          </cell>
        </row>
        <row r="385">
          <cell r="A385" t="str">
            <v>P37</v>
          </cell>
          <cell r="B385" t="str">
            <v>Maintenance supplies and services</v>
          </cell>
          <cell r="C385">
            <v>62502100</v>
          </cell>
          <cell r="D385" t="str">
            <v>Misc Maint SS</v>
          </cell>
          <cell r="E385" t="str">
            <v>675.2</v>
          </cell>
          <cell r="R385">
            <v>4425</v>
          </cell>
        </row>
        <row r="386">
          <cell r="A386" t="str">
            <v>P37</v>
          </cell>
          <cell r="B386" t="str">
            <v>Maintenance supplies and services</v>
          </cell>
          <cell r="C386">
            <v>62502300</v>
          </cell>
          <cell r="D386" t="str">
            <v>Misc Maint WT</v>
          </cell>
          <cell r="E386" t="str">
            <v>675.4</v>
          </cell>
          <cell r="R386">
            <v>77124</v>
          </cell>
        </row>
        <row r="387">
          <cell r="A387" t="str">
            <v>P37</v>
          </cell>
          <cell r="B387" t="str">
            <v>Maintenance supplies and services</v>
          </cell>
          <cell r="C387">
            <v>62502400</v>
          </cell>
          <cell r="D387" t="str">
            <v>Misc Maint TD</v>
          </cell>
          <cell r="E387" t="str">
            <v>675.6</v>
          </cell>
          <cell r="R387">
            <v>93955</v>
          </cell>
        </row>
        <row r="388">
          <cell r="A388" t="str">
            <v>P37</v>
          </cell>
          <cell r="B388" t="str">
            <v>Maintenance supplies and services</v>
          </cell>
          <cell r="C388">
            <v>62502420</v>
          </cell>
          <cell r="D388" t="str">
            <v>Misc Maint TD Mains</v>
          </cell>
          <cell r="E388" t="str">
            <v>675.6</v>
          </cell>
          <cell r="R388">
            <v>0</v>
          </cell>
        </row>
        <row r="389">
          <cell r="A389" t="str">
            <v>P37</v>
          </cell>
          <cell r="B389" t="str">
            <v>Maintenance supplies and services</v>
          </cell>
          <cell r="C389">
            <v>62502435</v>
          </cell>
          <cell r="D389" t="str">
            <v>Misc Maint TD Meters</v>
          </cell>
          <cell r="E389" t="str">
            <v>675.6</v>
          </cell>
          <cell r="R389">
            <v>0</v>
          </cell>
        </row>
        <row r="390">
          <cell r="A390" t="str">
            <v>P37</v>
          </cell>
          <cell r="B390" t="str">
            <v>Maintenance supplies and services</v>
          </cell>
          <cell r="C390">
            <v>62502600</v>
          </cell>
          <cell r="D390" t="str">
            <v>Misc Maint AG</v>
          </cell>
          <cell r="E390" t="str">
            <v>675.8</v>
          </cell>
          <cell r="R390">
            <v>358100</v>
          </cell>
        </row>
        <row r="391">
          <cell r="A391" t="str">
            <v>P37</v>
          </cell>
          <cell r="B391" t="str">
            <v>Maintenance supplies and services</v>
          </cell>
          <cell r="C391">
            <v>62510000</v>
          </cell>
          <cell r="D391" t="str">
            <v>Amort Def Maint</v>
          </cell>
          <cell r="E391" t="str">
            <v>675.6</v>
          </cell>
          <cell r="R391">
            <v>0</v>
          </cell>
        </row>
        <row r="392">
          <cell r="A392" t="str">
            <v>P37</v>
          </cell>
          <cell r="B392" t="str">
            <v>Maintenance supplies and services</v>
          </cell>
          <cell r="C392">
            <v>62512000</v>
          </cell>
          <cell r="D392" t="str">
            <v>Amort Def Maint</v>
          </cell>
          <cell r="E392" t="str">
            <v>675.6</v>
          </cell>
          <cell r="R392">
            <v>389394</v>
          </cell>
        </row>
        <row r="393">
          <cell r="A393" t="str">
            <v>P37</v>
          </cell>
          <cell r="B393" t="str">
            <v>Maintenance supplies and services</v>
          </cell>
          <cell r="C393">
            <v>62512300</v>
          </cell>
          <cell r="D393" t="str">
            <v>Amort Def Maint WT</v>
          </cell>
          <cell r="E393" t="str">
            <v>675.4</v>
          </cell>
          <cell r="R393">
            <v>122004</v>
          </cell>
        </row>
        <row r="394">
          <cell r="A394" t="str">
            <v>P37</v>
          </cell>
          <cell r="B394" t="str">
            <v>Maintenance supplies and services</v>
          </cell>
          <cell r="C394">
            <v>62512400</v>
          </cell>
          <cell r="D394" t="str">
            <v>Amort Def Maint TD</v>
          </cell>
          <cell r="E394" t="str">
            <v>675.6</v>
          </cell>
          <cell r="R394">
            <v>327830</v>
          </cell>
        </row>
        <row r="395">
          <cell r="A395" t="str">
            <v>P37</v>
          </cell>
          <cell r="B395" t="str">
            <v>Maintenance supplies and services</v>
          </cell>
          <cell r="C395">
            <v>62520700</v>
          </cell>
          <cell r="D395" t="str">
            <v>Misc Main Pvg/Bckfll</v>
          </cell>
          <cell r="E395" t="str">
            <v>675.6</v>
          </cell>
          <cell r="R395">
            <v>15417</v>
          </cell>
        </row>
        <row r="396">
          <cell r="A396" t="str">
            <v>P37</v>
          </cell>
          <cell r="B396" t="str">
            <v>Maintenance supplies and services</v>
          </cell>
          <cell r="C396">
            <v>62520800</v>
          </cell>
          <cell r="D396" t="str">
            <v>Misc Maint Permits</v>
          </cell>
          <cell r="E396" t="str">
            <v>675.6</v>
          </cell>
          <cell r="R396">
            <v>0</v>
          </cell>
        </row>
        <row r="397">
          <cell r="A397" t="str">
            <v>P37</v>
          </cell>
          <cell r="B397" t="str">
            <v>Maintenance supplies and services</v>
          </cell>
          <cell r="C397">
            <v>63110000</v>
          </cell>
          <cell r="D397" t="str">
            <v>Contract Svc - Other Maint</v>
          </cell>
          <cell r="E397" t="str">
            <v>631.6</v>
          </cell>
          <cell r="R397">
            <v>142571</v>
          </cell>
        </row>
        <row r="398">
          <cell r="A398" t="str">
            <v>P37</v>
          </cell>
          <cell r="B398" t="str">
            <v>Maintenance supplies and services</v>
          </cell>
          <cell r="C398">
            <v>63110024</v>
          </cell>
          <cell r="D398" t="str">
            <v>Contr Svc-Maint TD</v>
          </cell>
          <cell r="E398" t="str">
            <v>631.6</v>
          </cell>
          <cell r="R398">
            <v>0</v>
          </cell>
        </row>
        <row r="399">
          <cell r="A399" t="str">
            <v>P37</v>
          </cell>
          <cell r="B399" t="str">
            <v>Maintenance supplies and services</v>
          </cell>
          <cell r="C399">
            <v>63150021</v>
          </cell>
          <cell r="D399" t="str">
            <v>Contr Svc-Maint SS</v>
          </cell>
          <cell r="E399" t="str">
            <v>636.2</v>
          </cell>
          <cell r="R399">
            <v>22726</v>
          </cell>
        </row>
        <row r="400">
          <cell r="A400" t="str">
            <v>P37</v>
          </cell>
          <cell r="B400" t="str">
            <v>Maintenance supplies and services</v>
          </cell>
          <cell r="C400">
            <v>63150022</v>
          </cell>
          <cell r="D400" t="str">
            <v>Contr Svc-Maint P</v>
          </cell>
          <cell r="E400" t="str">
            <v>636.3</v>
          </cell>
          <cell r="R400">
            <v>0</v>
          </cell>
        </row>
        <row r="401">
          <cell r="A401" t="str">
            <v>P37</v>
          </cell>
          <cell r="B401" t="str">
            <v>Maintenance supplies and services</v>
          </cell>
          <cell r="C401">
            <v>63150023</v>
          </cell>
          <cell r="D401" t="str">
            <v>Contr Svc-Maint WT</v>
          </cell>
          <cell r="E401" t="str">
            <v>636.4</v>
          </cell>
          <cell r="R401">
            <v>36773</v>
          </cell>
        </row>
        <row r="402">
          <cell r="A402" t="str">
            <v>P37</v>
          </cell>
          <cell r="B402" t="str">
            <v>Maintenance supplies and services</v>
          </cell>
          <cell r="C402">
            <v>63150024</v>
          </cell>
          <cell r="D402" t="str">
            <v>Contr Svc-Maint TD</v>
          </cell>
          <cell r="E402" t="str">
            <v>636.6</v>
          </cell>
          <cell r="R402">
            <v>39355</v>
          </cell>
        </row>
        <row r="403">
          <cell r="A403" t="str">
            <v>P37</v>
          </cell>
          <cell r="B403" t="str">
            <v>Maintenance supplies and services</v>
          </cell>
          <cell r="C403">
            <v>63150026</v>
          </cell>
          <cell r="D403" t="str">
            <v>Contr Svc-Maint AG</v>
          </cell>
          <cell r="E403" t="str">
            <v>636.8</v>
          </cell>
          <cell r="R403">
            <v>29871</v>
          </cell>
        </row>
        <row r="404">
          <cell r="A404" t="str">
            <v>P37 Total</v>
          </cell>
          <cell r="R404">
            <v>1964045</v>
          </cell>
        </row>
        <row r="405">
          <cell r="A405" t="str">
            <v>P38</v>
          </cell>
          <cell r="B405" t="str">
            <v>Balance sheet pass thru accounts</v>
          </cell>
          <cell r="C405">
            <v>52801200</v>
          </cell>
          <cell r="D405" t="str">
            <v>Capital Accrual Clrg</v>
          </cell>
          <cell r="E405" t="str">
            <v>675.8</v>
          </cell>
          <cell r="R405">
            <v>0</v>
          </cell>
        </row>
        <row r="406">
          <cell r="A406" t="str">
            <v>P38 Total</v>
          </cell>
          <cell r="R406">
            <v>0</v>
          </cell>
        </row>
        <row r="407">
          <cell r="A407" t="str">
            <v>P39</v>
          </cell>
          <cell r="B407" t="str">
            <v>Capital movements</v>
          </cell>
          <cell r="C407">
            <v>88101000</v>
          </cell>
          <cell r="D407" t="str">
            <v>CAP Move-UP</v>
          </cell>
          <cell r="E407" t="str">
            <v>675.8</v>
          </cell>
          <cell r="R407">
            <v>12889419</v>
          </cell>
        </row>
        <row r="408">
          <cell r="A408" t="str">
            <v>P39</v>
          </cell>
          <cell r="B408" t="str">
            <v>Capital movements</v>
          </cell>
          <cell r="C408">
            <v>88106000</v>
          </cell>
          <cell r="D408" t="str">
            <v>CAP Move-CCNC</v>
          </cell>
          <cell r="E408" t="str">
            <v>675.8</v>
          </cell>
          <cell r="R408">
            <v>2905781</v>
          </cell>
        </row>
        <row r="409">
          <cell r="A409" t="str">
            <v>P39</v>
          </cell>
          <cell r="B409" t="str">
            <v>Capital movements</v>
          </cell>
          <cell r="C409">
            <v>88107000</v>
          </cell>
          <cell r="D409" t="str">
            <v>CAP Move-CWIP</v>
          </cell>
          <cell r="E409" t="str">
            <v>675.8</v>
          </cell>
          <cell r="R409">
            <v>1456579</v>
          </cell>
        </row>
        <row r="410">
          <cell r="A410" t="str">
            <v>P39</v>
          </cell>
          <cell r="B410" t="str">
            <v>Capital movements</v>
          </cell>
          <cell r="C410">
            <v>88108020</v>
          </cell>
          <cell r="D410" t="str">
            <v>CAP Move-UP A/D Salv</v>
          </cell>
          <cell r="E410" t="str">
            <v>675.8</v>
          </cell>
          <cell r="R410">
            <v>-194586</v>
          </cell>
        </row>
        <row r="411">
          <cell r="A411" t="str">
            <v>P39</v>
          </cell>
          <cell r="B411" t="str">
            <v>Capital movements</v>
          </cell>
          <cell r="C411">
            <v>88252100</v>
          </cell>
          <cell r="D411" t="str">
            <v>CAP Move-ADV NT</v>
          </cell>
          <cell r="E411" t="str">
            <v>675.8</v>
          </cell>
          <cell r="R411">
            <v>712822</v>
          </cell>
        </row>
        <row r="412">
          <cell r="A412" t="str">
            <v>P39</v>
          </cell>
          <cell r="B412" t="str">
            <v>Capital movements</v>
          </cell>
          <cell r="C412">
            <v>88252170</v>
          </cell>
          <cell r="D412" t="str">
            <v>CAP Move-ADV NT WIP</v>
          </cell>
          <cell r="E412" t="str">
            <v>675.8</v>
          </cell>
          <cell r="R412">
            <v>-55333</v>
          </cell>
        </row>
        <row r="413">
          <cell r="A413" t="str">
            <v>P39</v>
          </cell>
          <cell r="B413" t="str">
            <v>Capital movements</v>
          </cell>
          <cell r="C413">
            <v>88252270</v>
          </cell>
          <cell r="D413" t="str">
            <v>CAP Move-ADV Tax WIP</v>
          </cell>
          <cell r="E413" t="str">
            <v>675.8</v>
          </cell>
          <cell r="R413">
            <v>-404971</v>
          </cell>
        </row>
        <row r="414">
          <cell r="A414" t="str">
            <v>P39</v>
          </cell>
          <cell r="B414" t="str">
            <v>Capital movements</v>
          </cell>
          <cell r="C414">
            <v>88257000</v>
          </cell>
          <cell r="D414" t="str">
            <v>CAP Move-COR</v>
          </cell>
          <cell r="E414" t="str">
            <v>675.8</v>
          </cell>
          <cell r="R414">
            <v>843844</v>
          </cell>
        </row>
        <row r="415">
          <cell r="A415" t="str">
            <v>P39</v>
          </cell>
          <cell r="B415" t="str">
            <v>Capital movements</v>
          </cell>
          <cell r="C415">
            <v>88257100</v>
          </cell>
          <cell r="D415" t="str">
            <v>CAP Move-RWIP</v>
          </cell>
          <cell r="E415" t="str">
            <v>675.8</v>
          </cell>
          <cell r="R415">
            <v>690089</v>
          </cell>
        </row>
        <row r="416">
          <cell r="A416" t="str">
            <v>P39</v>
          </cell>
          <cell r="B416" t="str">
            <v>Capital movements</v>
          </cell>
          <cell r="C416">
            <v>88271100</v>
          </cell>
          <cell r="D416" t="str">
            <v>CAP Move-CIAC NT</v>
          </cell>
          <cell r="E416" t="str">
            <v>675.8</v>
          </cell>
          <cell r="R416">
            <v>-972459</v>
          </cell>
        </row>
        <row r="417">
          <cell r="A417" t="str">
            <v>P39</v>
          </cell>
          <cell r="B417" t="str">
            <v>Capital movements</v>
          </cell>
          <cell r="C417">
            <v>88271170</v>
          </cell>
          <cell r="D417" t="str">
            <v>CAP Move-CIAC NT WIP</v>
          </cell>
          <cell r="E417" t="str">
            <v>675.8</v>
          </cell>
          <cell r="R417">
            <v>2085258</v>
          </cell>
        </row>
        <row r="418">
          <cell r="A418" t="str">
            <v>P39</v>
          </cell>
          <cell r="B418" t="str">
            <v>Capital movements</v>
          </cell>
          <cell r="C418">
            <v>88271200</v>
          </cell>
          <cell r="D418" t="str">
            <v>CAP Move-CIAC Tax</v>
          </cell>
          <cell r="E418" t="str">
            <v>675.8</v>
          </cell>
          <cell r="R418">
            <v>-1954571</v>
          </cell>
        </row>
        <row r="419">
          <cell r="A419" t="str">
            <v>P39</v>
          </cell>
          <cell r="B419" t="str">
            <v>Capital movements</v>
          </cell>
          <cell r="C419">
            <v>88271270</v>
          </cell>
          <cell r="D419" t="str">
            <v>CAP Move-CIAC Tx WIP</v>
          </cell>
          <cell r="E419" t="str">
            <v>675.8</v>
          </cell>
          <cell r="R419">
            <v>-710057</v>
          </cell>
        </row>
        <row r="420">
          <cell r="A420" t="str">
            <v>P39</v>
          </cell>
          <cell r="B420" t="str">
            <v>Capital movements</v>
          </cell>
          <cell r="C420">
            <v>88900000</v>
          </cell>
          <cell r="D420" t="str">
            <v>CAP Move-Settlement</v>
          </cell>
          <cell r="E420" t="str">
            <v>675.8</v>
          </cell>
          <cell r="R420">
            <v>-17291815</v>
          </cell>
        </row>
        <row r="421">
          <cell r="A421" t="str">
            <v>P39 Total</v>
          </cell>
          <cell r="R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R422">
            <v>15662466</v>
          </cell>
        </row>
        <row r="423">
          <cell r="A423" t="str">
            <v>P40</v>
          </cell>
          <cell r="B423" t="str">
            <v>Depreciation</v>
          </cell>
          <cell r="C423">
            <v>68011500</v>
          </cell>
          <cell r="D423" t="str">
            <v>Depr -Amort Def Depreciation</v>
          </cell>
          <cell r="E423" t="str">
            <v>403.</v>
          </cell>
          <cell r="R423">
            <v>0</v>
          </cell>
        </row>
        <row r="424">
          <cell r="A424" t="str">
            <v>P40</v>
          </cell>
          <cell r="B424" t="str">
            <v>Depreciation</v>
          </cell>
          <cell r="C424">
            <v>68012000</v>
          </cell>
          <cell r="D424" t="str">
            <v>Depr -Amort CIAC Tx</v>
          </cell>
          <cell r="E424" t="str">
            <v>403.</v>
          </cell>
          <cell r="R424">
            <v>-272911</v>
          </cell>
        </row>
        <row r="425">
          <cell r="A425" t="str">
            <v>P40</v>
          </cell>
          <cell r="B425" t="str">
            <v>Depreciation</v>
          </cell>
          <cell r="C425">
            <v>68012500</v>
          </cell>
          <cell r="D425" t="str">
            <v>Depr-Amort CIAC Nntx</v>
          </cell>
          <cell r="E425" t="str">
            <v>403.</v>
          </cell>
          <cell r="R425">
            <v>-1395137</v>
          </cell>
        </row>
        <row r="426">
          <cell r="A426" t="str">
            <v>P40 Total</v>
          </cell>
          <cell r="R426">
            <v>13994418</v>
          </cell>
        </row>
        <row r="427">
          <cell r="A427" t="str">
            <v>P41</v>
          </cell>
          <cell r="B427" t="str">
            <v>Amortization</v>
          </cell>
          <cell r="C427">
            <v>68254000</v>
          </cell>
          <cell r="D427" t="str">
            <v>Amort-RegAsset AFUDC</v>
          </cell>
          <cell r="E427" t="str">
            <v>407.1</v>
          </cell>
          <cell r="R427">
            <v>203936</v>
          </cell>
        </row>
        <row r="428">
          <cell r="A428" t="str">
            <v>P41</v>
          </cell>
          <cell r="B428" t="str">
            <v>Amortization</v>
          </cell>
          <cell r="C428">
            <v>68255000</v>
          </cell>
          <cell r="D428" t="str">
            <v>Amort-UPAA</v>
          </cell>
          <cell r="E428" t="str">
            <v>406.</v>
          </cell>
          <cell r="R428">
            <v>8556</v>
          </cell>
        </row>
        <row r="429">
          <cell r="A429" t="str">
            <v>P41</v>
          </cell>
          <cell r="B429" t="str">
            <v>Amortization</v>
          </cell>
          <cell r="C429">
            <v>68257000</v>
          </cell>
          <cell r="D429" t="str">
            <v>Amort-Prop Losses</v>
          </cell>
          <cell r="E429" t="str">
            <v>407.2</v>
          </cell>
          <cell r="R429">
            <v>57084</v>
          </cell>
        </row>
        <row r="430">
          <cell r="A430" t="str">
            <v>P41</v>
          </cell>
          <cell r="B430" t="str">
            <v>Amortization</v>
          </cell>
          <cell r="C430">
            <v>68258000</v>
          </cell>
          <cell r="D430" t="str">
            <v>Amort-Reg Asset</v>
          </cell>
          <cell r="E430" t="str">
            <v>407.4</v>
          </cell>
          <cell r="R430">
            <v>6900</v>
          </cell>
        </row>
        <row r="431">
          <cell r="A431" t="str">
            <v>P41 Total</v>
          </cell>
          <cell r="R431">
            <v>276476</v>
          </cell>
        </row>
        <row r="432">
          <cell r="A432" t="str">
            <v>P42</v>
          </cell>
          <cell r="B432" t="str">
            <v>Removal costs, net</v>
          </cell>
          <cell r="C432">
            <v>68311000</v>
          </cell>
          <cell r="D432" t="str">
            <v>Rem Costs-ARO/NNS</v>
          </cell>
          <cell r="E432" t="str">
            <v>403.</v>
          </cell>
          <cell r="R432">
            <v>2841122</v>
          </cell>
        </row>
        <row r="433">
          <cell r="A433" t="str">
            <v>P42</v>
          </cell>
          <cell r="B433" t="str">
            <v>Removal costs, net</v>
          </cell>
          <cell r="C433">
            <v>68312000</v>
          </cell>
          <cell r="D433" t="str">
            <v>Rmv Csts-NNS CIAC Tx</v>
          </cell>
          <cell r="E433" t="str">
            <v>403.</v>
          </cell>
          <cell r="R433">
            <v>-154187</v>
          </cell>
        </row>
        <row r="434">
          <cell r="A434" t="str">
            <v>P42</v>
          </cell>
          <cell r="B434" t="str">
            <v>Removal costs, net</v>
          </cell>
          <cell r="C434">
            <v>68312500</v>
          </cell>
          <cell r="D434" t="str">
            <v>Rmv Csts-NNS CIAC NT</v>
          </cell>
          <cell r="E434" t="str">
            <v>403.</v>
          </cell>
          <cell r="R434">
            <v>-406244</v>
          </cell>
        </row>
        <row r="435">
          <cell r="A435" t="str">
            <v>P42 Total</v>
          </cell>
          <cell r="R435">
            <v>2280691</v>
          </cell>
        </row>
        <row r="436">
          <cell r="A436" t="str">
            <v>P43</v>
          </cell>
          <cell r="B436" t="str">
            <v>Current federal income taxes - operating</v>
          </cell>
          <cell r="C436">
            <v>69011000</v>
          </cell>
          <cell r="D436" t="str">
            <v>FIT-Current</v>
          </cell>
          <cell r="E436" t="str">
            <v>409.10</v>
          </cell>
          <cell r="R436">
            <v>4831489.9500022596</v>
          </cell>
        </row>
        <row r="437">
          <cell r="A437" t="str">
            <v>P43</v>
          </cell>
          <cell r="B437" t="str">
            <v>Current federal income taxes - operating</v>
          </cell>
          <cell r="C437">
            <v>69012000</v>
          </cell>
          <cell r="D437" t="str">
            <v>FIT-Prior Year Adj</v>
          </cell>
          <cell r="E437" t="str">
            <v>409.10</v>
          </cell>
          <cell r="R437">
            <v>0</v>
          </cell>
        </row>
        <row r="438">
          <cell r="A438" t="str">
            <v>P43 Total</v>
          </cell>
          <cell r="R438">
            <v>4831489.9500022596</v>
          </cell>
        </row>
        <row r="439">
          <cell r="A439" t="str">
            <v>P44</v>
          </cell>
          <cell r="B439" t="str">
            <v>Current state income taxes - operating</v>
          </cell>
          <cell r="C439">
            <v>69021000</v>
          </cell>
          <cell r="D439" t="str">
            <v>SIT-Current</v>
          </cell>
          <cell r="E439" t="str">
            <v>409.11</v>
          </cell>
          <cell r="R439">
            <v>1042164.2999302045</v>
          </cell>
        </row>
        <row r="440">
          <cell r="A440" t="str">
            <v>P44</v>
          </cell>
          <cell r="B440" t="str">
            <v>Current state income taxes - operating</v>
          </cell>
          <cell r="C440">
            <v>69022000</v>
          </cell>
          <cell r="D440" t="str">
            <v>SIT-Prior Year Adj</v>
          </cell>
          <cell r="E440" t="str">
            <v>409.11</v>
          </cell>
          <cell r="R440">
            <v>0</v>
          </cell>
        </row>
        <row r="441">
          <cell r="A441" t="str">
            <v>P44 Total</v>
          </cell>
          <cell r="R441">
            <v>1042164.2999302045</v>
          </cell>
        </row>
        <row r="442">
          <cell r="A442" t="str">
            <v>P45</v>
          </cell>
          <cell r="B442" t="str">
            <v>Deferred federal income tax expense</v>
          </cell>
          <cell r="C442">
            <v>69061000</v>
          </cell>
          <cell r="D442" t="str">
            <v>Def FIT-Current Year</v>
          </cell>
          <cell r="E442" t="str">
            <v>410.10</v>
          </cell>
          <cell r="R442">
            <v>0</v>
          </cell>
        </row>
        <row r="443">
          <cell r="A443" t="str">
            <v>P45</v>
          </cell>
          <cell r="B443" t="str">
            <v>Deferred federal income tax expense</v>
          </cell>
          <cell r="C443">
            <v>69062000</v>
          </cell>
          <cell r="D443" t="str">
            <v>Def FIT-Pr Yr Adj</v>
          </cell>
          <cell r="E443" t="str">
            <v>410.10</v>
          </cell>
          <cell r="R443">
            <v>0</v>
          </cell>
        </row>
        <row r="444">
          <cell r="A444" t="str">
            <v>P45</v>
          </cell>
          <cell r="B444" t="str">
            <v>Deferred federal income tax expense</v>
          </cell>
          <cell r="C444">
            <v>69063000</v>
          </cell>
          <cell r="D444" t="str">
            <v>Def FIT-RegAsst/Liab</v>
          </cell>
          <cell r="E444" t="str">
            <v>410.10</v>
          </cell>
          <cell r="R444">
            <v>-65942.498360214944</v>
          </cell>
        </row>
        <row r="445">
          <cell r="A445" t="str">
            <v>P45</v>
          </cell>
          <cell r="B445" t="str">
            <v>Deferred federal income tax expense</v>
          </cell>
          <cell r="C445">
            <v>69063200</v>
          </cell>
          <cell r="D445" t="str">
            <v>Def FIT-Reg Liability</v>
          </cell>
          <cell r="E445" t="str">
            <v>410.10</v>
          </cell>
          <cell r="R445">
            <v>0</v>
          </cell>
        </row>
        <row r="446">
          <cell r="A446" t="str">
            <v>P45</v>
          </cell>
          <cell r="B446" t="str">
            <v>Deferred federal income tax expense</v>
          </cell>
          <cell r="C446">
            <v>69065000</v>
          </cell>
          <cell r="D446" t="str">
            <v>Def FIT-Other</v>
          </cell>
          <cell r="E446" t="str">
            <v>410.10</v>
          </cell>
          <cell r="R446">
            <v>-612910.32232675899</v>
          </cell>
        </row>
        <row r="447">
          <cell r="A447" t="str">
            <v>P45 Total</v>
          </cell>
          <cell r="R447">
            <v>-678852.82068697398</v>
          </cell>
        </row>
        <row r="448">
          <cell r="A448" t="str">
            <v>P46</v>
          </cell>
          <cell r="B448" t="str">
            <v>Deferred state income tax expense</v>
          </cell>
          <cell r="C448">
            <v>69071000</v>
          </cell>
          <cell r="D448" t="str">
            <v>Def SIT-Current Year</v>
          </cell>
          <cell r="E448" t="str">
            <v>410.11</v>
          </cell>
          <cell r="R448">
            <v>0</v>
          </cell>
        </row>
        <row r="449">
          <cell r="A449" t="str">
            <v>P46</v>
          </cell>
          <cell r="B449" t="str">
            <v>Deferred state income tax expense</v>
          </cell>
          <cell r="C449">
            <v>69072000</v>
          </cell>
          <cell r="D449" t="str">
            <v>Def SIT-Pr Yr Adj</v>
          </cell>
          <cell r="E449" t="str">
            <v>410.11</v>
          </cell>
          <cell r="R449">
            <v>0</v>
          </cell>
        </row>
        <row r="450">
          <cell r="A450" t="str">
            <v>P46</v>
          </cell>
          <cell r="B450" t="str">
            <v>Deferred state income tax expense</v>
          </cell>
          <cell r="C450">
            <v>69073000</v>
          </cell>
          <cell r="D450" t="str">
            <v>Def SIT-RegAsst/Liab</v>
          </cell>
          <cell r="E450" t="str">
            <v>410.11</v>
          </cell>
          <cell r="R450">
            <v>-62970.999999999993</v>
          </cell>
        </row>
        <row r="451">
          <cell r="A451" t="str">
            <v>P46</v>
          </cell>
          <cell r="B451" t="str">
            <v>Deferred state income tax expense</v>
          </cell>
          <cell r="C451">
            <v>69073200</v>
          </cell>
          <cell r="D451" t="str">
            <v>Def SIT-Reg Liability</v>
          </cell>
          <cell r="E451" t="str">
            <v>410.11</v>
          </cell>
          <cell r="R451">
            <v>0</v>
          </cell>
        </row>
        <row r="452">
          <cell r="A452" t="str">
            <v>P46</v>
          </cell>
          <cell r="B452" t="str">
            <v>Deferred state income tax expense</v>
          </cell>
          <cell r="C452">
            <v>69073500</v>
          </cell>
          <cell r="D452" t="str">
            <v>Def SIT-Other</v>
          </cell>
          <cell r="E452" t="str">
            <v>410.11</v>
          </cell>
          <cell r="R452">
            <v>10837.716534646548</v>
          </cell>
        </row>
        <row r="453">
          <cell r="A453" t="str">
            <v>P46 Total</v>
          </cell>
          <cell r="R453">
            <v>-52133.283465353445</v>
          </cell>
        </row>
        <row r="454">
          <cell r="A454" t="str">
            <v>P47</v>
          </cell>
          <cell r="B454" t="str">
            <v>Amortization of investment tax credits</v>
          </cell>
          <cell r="C454">
            <v>69520000</v>
          </cell>
          <cell r="D454" t="str">
            <v>ITC Restored FIT</v>
          </cell>
          <cell r="E454" t="str">
            <v>412.11</v>
          </cell>
          <cell r="R454">
            <v>-39246</v>
          </cell>
        </row>
        <row r="455">
          <cell r="A455" t="str">
            <v>P47</v>
          </cell>
          <cell r="B455" t="str">
            <v>Amortization of investment tax credits</v>
          </cell>
          <cell r="C455">
            <v>69522000</v>
          </cell>
          <cell r="D455" t="str">
            <v>ITC Restored-3%</v>
          </cell>
          <cell r="E455" t="str">
            <v>412.11</v>
          </cell>
          <cell r="R455">
            <v>-3828</v>
          </cell>
        </row>
        <row r="456">
          <cell r="A456" t="str">
            <v>P47</v>
          </cell>
          <cell r="B456" t="str">
            <v>Amortization of investment tax credits</v>
          </cell>
          <cell r="C456">
            <v>69523000</v>
          </cell>
          <cell r="D456" t="str">
            <v>ITC Restored-4%</v>
          </cell>
          <cell r="E456" t="str">
            <v>412.11</v>
          </cell>
          <cell r="R456">
            <v>0</v>
          </cell>
        </row>
        <row r="457">
          <cell r="A457" t="str">
            <v>P47</v>
          </cell>
          <cell r="B457" t="str">
            <v>Amortization of investment tax credits</v>
          </cell>
          <cell r="C457">
            <v>69524000</v>
          </cell>
          <cell r="D457" t="str">
            <v>ITC Restored-10%</v>
          </cell>
          <cell r="E457" t="str">
            <v>412.11</v>
          </cell>
          <cell r="R457">
            <v>-35418</v>
          </cell>
        </row>
        <row r="458">
          <cell r="A458" t="str">
            <v>P47 Total</v>
          </cell>
          <cell r="R458">
            <v>-78492</v>
          </cell>
        </row>
        <row r="459">
          <cell r="A459" t="str">
            <v>P48</v>
          </cell>
          <cell r="B459" t="str">
            <v>General taxes</v>
          </cell>
          <cell r="C459">
            <v>68520000</v>
          </cell>
          <cell r="D459" t="str">
            <v>Property Taxes</v>
          </cell>
          <cell r="E459" t="str">
            <v>408.11</v>
          </cell>
          <cell r="R459">
            <v>6602753</v>
          </cell>
        </row>
        <row r="460">
          <cell r="A460" t="str">
            <v>P48</v>
          </cell>
          <cell r="B460" t="str">
            <v>General taxes</v>
          </cell>
          <cell r="C460">
            <v>68520100</v>
          </cell>
          <cell r="D460" t="str">
            <v>Tax Discounts</v>
          </cell>
          <cell r="E460" t="str">
            <v>408.11</v>
          </cell>
          <cell r="R460">
            <v>-503</v>
          </cell>
        </row>
        <row r="461">
          <cell r="A461" t="str">
            <v>P48</v>
          </cell>
          <cell r="B461" t="str">
            <v>General taxes</v>
          </cell>
          <cell r="C461">
            <v>68532000</v>
          </cell>
          <cell r="D461" t="str">
            <v>FUTA</v>
          </cell>
          <cell r="E461" t="str">
            <v>408.12</v>
          </cell>
          <cell r="R461">
            <v>7017</v>
          </cell>
        </row>
        <row r="462">
          <cell r="A462" t="str">
            <v>P48</v>
          </cell>
          <cell r="B462" t="str">
            <v>General taxes</v>
          </cell>
          <cell r="C462">
            <v>68532100</v>
          </cell>
          <cell r="D462" t="str">
            <v>FUTA Cap Credits</v>
          </cell>
          <cell r="E462" t="str">
            <v>408.12</v>
          </cell>
          <cell r="R462">
            <v>-2058</v>
          </cell>
        </row>
        <row r="463">
          <cell r="A463" t="str">
            <v>P48</v>
          </cell>
          <cell r="B463" t="str">
            <v>General taxes</v>
          </cell>
          <cell r="C463">
            <v>68533000</v>
          </cell>
          <cell r="D463" t="str">
            <v>FICA</v>
          </cell>
          <cell r="E463" t="str">
            <v>408.12</v>
          </cell>
          <cell r="R463">
            <v>764592</v>
          </cell>
        </row>
        <row r="464">
          <cell r="A464" t="str">
            <v>P48</v>
          </cell>
          <cell r="B464" t="str">
            <v>General taxes</v>
          </cell>
          <cell r="C464">
            <v>68533100</v>
          </cell>
          <cell r="D464" t="str">
            <v>FICA Cap Credits</v>
          </cell>
          <cell r="E464" t="str">
            <v>408.12</v>
          </cell>
          <cell r="R464">
            <v>-221558</v>
          </cell>
        </row>
        <row r="465">
          <cell r="A465" t="str">
            <v>P48</v>
          </cell>
          <cell r="B465" t="str">
            <v>General taxes</v>
          </cell>
          <cell r="C465">
            <v>68535000</v>
          </cell>
          <cell r="D465" t="str">
            <v>SUTA</v>
          </cell>
          <cell r="E465" t="str">
            <v>408.12</v>
          </cell>
          <cell r="R465">
            <v>25875</v>
          </cell>
        </row>
        <row r="466">
          <cell r="A466" t="str">
            <v>P48</v>
          </cell>
          <cell r="B466" t="str">
            <v>General taxes</v>
          </cell>
          <cell r="C466">
            <v>68535100</v>
          </cell>
          <cell r="D466" t="str">
            <v>SUTA Cap Credits</v>
          </cell>
          <cell r="E466" t="str">
            <v>408.12</v>
          </cell>
          <cell r="R466">
            <v>-7310</v>
          </cell>
        </row>
        <row r="467">
          <cell r="A467" t="str">
            <v>P48</v>
          </cell>
          <cell r="B467" t="str">
            <v>General taxes</v>
          </cell>
          <cell r="C467">
            <v>68543000</v>
          </cell>
          <cell r="D467" t="str">
            <v>Othr Taxes &amp;Licenses</v>
          </cell>
          <cell r="E467" t="str">
            <v>408.13</v>
          </cell>
          <cell r="R467">
            <v>4263</v>
          </cell>
        </row>
        <row r="468">
          <cell r="A468" t="str">
            <v>P48</v>
          </cell>
          <cell r="B468" t="str">
            <v>General taxes</v>
          </cell>
          <cell r="C468">
            <v>68544000</v>
          </cell>
          <cell r="D468" t="str">
            <v>Gross Receipts Tax</v>
          </cell>
          <cell r="E468" t="str">
            <v>408.13</v>
          </cell>
          <cell r="R468">
            <v>2382</v>
          </cell>
        </row>
        <row r="469">
          <cell r="A469" t="str">
            <v>P48</v>
          </cell>
          <cell r="B469" t="str">
            <v>General taxes</v>
          </cell>
          <cell r="C469">
            <v>68545000</v>
          </cell>
          <cell r="D469" t="str">
            <v>Utility Reg Assessme</v>
          </cell>
          <cell r="E469" t="str">
            <v>408.10</v>
          </cell>
          <cell r="R469">
            <v>186974</v>
          </cell>
        </row>
        <row r="470">
          <cell r="A470" t="str">
            <v>P48 Total</v>
          </cell>
          <cell r="R470">
            <v>7362427</v>
          </cell>
        </row>
        <row r="471">
          <cell r="A471" t="str">
            <v>P49</v>
          </cell>
          <cell r="B471" t="str">
            <v>Gain/Loss on sale of assets</v>
          </cell>
          <cell r="C471">
            <v>59011500</v>
          </cell>
          <cell r="D471" t="str">
            <v>Gains/Losses Non-Utility Property Sales</v>
          </cell>
          <cell r="E471" t="str">
            <v>426.</v>
          </cell>
          <cell r="R471">
            <v>-1900000</v>
          </cell>
        </row>
        <row r="472">
          <cell r="A472" t="str">
            <v>P49</v>
          </cell>
          <cell r="B472" t="str">
            <v>Gain/Loss on sale of assets</v>
          </cell>
          <cell r="C472">
            <v>59021000</v>
          </cell>
          <cell r="D472" t="str">
            <v>Gains/LossesUP Sales</v>
          </cell>
          <cell r="E472" t="str">
            <v>426.</v>
          </cell>
          <cell r="R472">
            <v>0</v>
          </cell>
        </row>
        <row r="473">
          <cell r="A473" t="str">
            <v>P49</v>
          </cell>
          <cell r="B473" t="str">
            <v>Gain/Loss on sale of assets</v>
          </cell>
          <cell r="C473">
            <v>59022000</v>
          </cell>
          <cell r="D473" t="str">
            <v>Gain Acquis of Asset</v>
          </cell>
          <cell r="E473" t="str">
            <v>426.</v>
          </cell>
          <cell r="R473">
            <v>79392</v>
          </cell>
        </row>
        <row r="474">
          <cell r="A474" t="str">
            <v>P49 Total</v>
          </cell>
          <cell r="R474">
            <v>-1820608</v>
          </cell>
        </row>
        <row r="475">
          <cell r="A475" t="str">
            <v>P52</v>
          </cell>
          <cell r="B475" t="str">
            <v>Allowance for funds used during construction</v>
          </cell>
          <cell r="C475">
            <v>70510000</v>
          </cell>
          <cell r="D475" t="str">
            <v>AFUDC-Equity</v>
          </cell>
          <cell r="E475" t="str">
            <v>420.</v>
          </cell>
          <cell r="R475">
            <v>-655786</v>
          </cell>
        </row>
        <row r="476">
          <cell r="A476" t="str">
            <v>P52 Total</v>
          </cell>
          <cell r="R476">
            <v>-655786</v>
          </cell>
        </row>
        <row r="477">
          <cell r="A477" t="str">
            <v>P53</v>
          </cell>
          <cell r="B477" t="str">
            <v>Other miscellaneous income</v>
          </cell>
          <cell r="C477">
            <v>71511000</v>
          </cell>
          <cell r="D477" t="str">
            <v>M&amp;J Revenues</v>
          </cell>
          <cell r="E477" t="str">
            <v>415.</v>
          </cell>
          <cell r="R477">
            <v>0</v>
          </cell>
        </row>
        <row r="478">
          <cell r="A478" t="str">
            <v>P53</v>
          </cell>
          <cell r="B478" t="str">
            <v>Other miscellaneous income</v>
          </cell>
          <cell r="C478">
            <v>71521000</v>
          </cell>
          <cell r="D478" t="str">
            <v>M&amp;J Expenses</v>
          </cell>
          <cell r="E478" t="str">
            <v>416.</v>
          </cell>
          <cell r="R478">
            <v>-14334</v>
          </cell>
        </row>
        <row r="479">
          <cell r="A479" t="str">
            <v>P53</v>
          </cell>
          <cell r="B479" t="str">
            <v>Other miscellaneous income</v>
          </cell>
          <cell r="C479">
            <v>71611000</v>
          </cell>
          <cell r="D479" t="str">
            <v>Misc NU Revenue</v>
          </cell>
          <cell r="E479" t="str">
            <v>421.</v>
          </cell>
          <cell r="R479">
            <v>0</v>
          </cell>
        </row>
        <row r="480">
          <cell r="A480" t="str">
            <v>P53</v>
          </cell>
          <cell r="B480" t="str">
            <v>Other miscellaneous income</v>
          </cell>
          <cell r="C480">
            <v>72801000</v>
          </cell>
          <cell r="D480" t="str">
            <v>Adv Rcpt Svcs Clrg</v>
          </cell>
          <cell r="E480" t="str">
            <v>421.</v>
          </cell>
          <cell r="R480">
            <v>0</v>
          </cell>
        </row>
        <row r="481">
          <cell r="A481" t="str">
            <v>P53</v>
          </cell>
          <cell r="B481" t="str">
            <v>Other miscellaneous income</v>
          </cell>
          <cell r="C481">
            <v>72801100</v>
          </cell>
          <cell r="D481" t="str">
            <v>Adv Rcpt Non-Srv Clr</v>
          </cell>
          <cell r="E481" t="str">
            <v>421.</v>
          </cell>
          <cell r="R481">
            <v>0</v>
          </cell>
        </row>
        <row r="482">
          <cell r="A482" t="str">
            <v>P53</v>
          </cell>
          <cell r="B482" t="str">
            <v>Other miscellaneous income</v>
          </cell>
          <cell r="C482">
            <v>72801300</v>
          </cell>
          <cell r="D482" t="str">
            <v>Adv Ref Non-Srv Clr</v>
          </cell>
          <cell r="E482" t="str">
            <v>421.</v>
          </cell>
          <cell r="R482">
            <v>0</v>
          </cell>
        </row>
        <row r="483">
          <cell r="A483" t="str">
            <v>P53</v>
          </cell>
          <cell r="B483" t="str">
            <v>Other miscellaneous income</v>
          </cell>
          <cell r="C483">
            <v>72802000</v>
          </cell>
          <cell r="D483" t="str">
            <v>CIAC Rcpt Svcs Clrg</v>
          </cell>
          <cell r="E483" t="str">
            <v>421.</v>
          </cell>
          <cell r="R483">
            <v>0</v>
          </cell>
        </row>
        <row r="484">
          <cell r="A484" t="str">
            <v>P53</v>
          </cell>
          <cell r="B484" t="str">
            <v>Other miscellaneous income</v>
          </cell>
          <cell r="C484">
            <v>72802100</v>
          </cell>
          <cell r="D484" t="str">
            <v>CIAC Rcpt Non-SrvClr</v>
          </cell>
          <cell r="E484" t="str">
            <v>421.</v>
          </cell>
          <cell r="R484">
            <v>0</v>
          </cell>
        </row>
        <row r="485">
          <cell r="A485" t="str">
            <v>P53</v>
          </cell>
          <cell r="B485" t="str">
            <v>Other miscellaneous income</v>
          </cell>
          <cell r="C485">
            <v>72803000</v>
          </cell>
          <cell r="D485" t="str">
            <v>Salvg/Scrap Rcpt Clr</v>
          </cell>
          <cell r="E485" t="str">
            <v>421.</v>
          </cell>
          <cell r="R485">
            <v>0</v>
          </cell>
        </row>
        <row r="486">
          <cell r="A486" t="str">
            <v>P53 Total</v>
          </cell>
          <cell r="R486">
            <v>-14334</v>
          </cell>
        </row>
        <row r="487">
          <cell r="A487" t="str">
            <v>P55</v>
          </cell>
          <cell r="B487" t="str">
            <v>Miscellaneous amortization</v>
          </cell>
          <cell r="C487">
            <v>75510000</v>
          </cell>
          <cell r="D487" t="str">
            <v>Amort UPAA</v>
          </cell>
          <cell r="E487" t="str">
            <v>426.</v>
          </cell>
          <cell r="R487">
            <v>-210</v>
          </cell>
        </row>
        <row r="488">
          <cell r="A488" t="str">
            <v>P55 Total</v>
          </cell>
          <cell r="R488">
            <v>-210</v>
          </cell>
        </row>
        <row r="489">
          <cell r="A489" t="str">
            <v>P56</v>
          </cell>
          <cell r="B489" t="str">
            <v>Other miscellaneous deductions</v>
          </cell>
          <cell r="C489">
            <v>71621000</v>
          </cell>
          <cell r="D489" t="str">
            <v>Misc NU Expense</v>
          </cell>
          <cell r="E489" t="str">
            <v>426.</v>
          </cell>
          <cell r="R489">
            <v>38843</v>
          </cell>
        </row>
        <row r="490">
          <cell r="A490" t="str">
            <v>P56</v>
          </cell>
          <cell r="B490" t="str">
            <v>Other miscellaneous deductions</v>
          </cell>
          <cell r="C490">
            <v>71712000</v>
          </cell>
          <cell r="D490" t="str">
            <v>Gn/Loss Othr Non-OP</v>
          </cell>
          <cell r="E490" t="str">
            <v>426.</v>
          </cell>
          <cell r="R490">
            <v>15088</v>
          </cell>
        </row>
        <row r="491">
          <cell r="A491" t="str">
            <v>P56</v>
          </cell>
          <cell r="B491" t="str">
            <v>Other miscellaneous deductions</v>
          </cell>
          <cell r="C491">
            <v>71810000</v>
          </cell>
          <cell r="D491" t="str">
            <v>Other Pension Cost</v>
          </cell>
          <cell r="E491" t="str">
            <v>604.8</v>
          </cell>
          <cell r="R491">
            <v>142410</v>
          </cell>
        </row>
        <row r="492">
          <cell r="A492" t="str">
            <v>P56</v>
          </cell>
          <cell r="B492" t="str">
            <v>Other miscellaneous deductions</v>
          </cell>
          <cell r="C492">
            <v>71820000</v>
          </cell>
          <cell r="D492" t="str">
            <v>Other PBOP Cost</v>
          </cell>
          <cell r="E492" t="str">
            <v>604.8</v>
          </cell>
          <cell r="R492">
            <v>-480989</v>
          </cell>
        </row>
        <row r="493">
          <cell r="A493" t="str">
            <v>P56</v>
          </cell>
          <cell r="B493" t="str">
            <v>Other miscellaneous deductions</v>
          </cell>
          <cell r="C493">
            <v>75811000</v>
          </cell>
          <cell r="D493" t="str">
            <v>Donations Ded Cust</v>
          </cell>
          <cell r="E493" t="str">
            <v>426.</v>
          </cell>
          <cell r="R493">
            <v>0</v>
          </cell>
        </row>
        <row r="494">
          <cell r="A494" t="str">
            <v>P56</v>
          </cell>
          <cell r="B494" t="str">
            <v>Other miscellaneous deductions</v>
          </cell>
          <cell r="C494">
            <v>75820000</v>
          </cell>
          <cell r="D494" t="str">
            <v>Othr Income Deductns</v>
          </cell>
          <cell r="E494" t="str">
            <v>426.</v>
          </cell>
          <cell r="R494">
            <v>28099</v>
          </cell>
        </row>
        <row r="495">
          <cell r="A495" t="str">
            <v>P56</v>
          </cell>
          <cell r="B495" t="str">
            <v>Other miscellaneous deductions</v>
          </cell>
          <cell r="C495">
            <v>75840000</v>
          </cell>
          <cell r="D495" t="str">
            <v>Lobbying Expenses</v>
          </cell>
          <cell r="E495" t="str">
            <v>426.</v>
          </cell>
          <cell r="R495">
            <v>73345</v>
          </cell>
        </row>
        <row r="496">
          <cell r="A496" t="str">
            <v>P56 Total</v>
          </cell>
          <cell r="R496">
            <v>-183204</v>
          </cell>
        </row>
        <row r="497">
          <cell r="A497" t="str">
            <v>P57</v>
          </cell>
          <cell r="B497" t="str">
            <v>Current federal income taxes - non-operating</v>
          </cell>
          <cell r="C497">
            <v>69031000</v>
          </cell>
          <cell r="D497" t="str">
            <v>FIT-Oth Inc&amp;Ded CY</v>
          </cell>
          <cell r="E497" t="str">
            <v>409.20</v>
          </cell>
          <cell r="R497">
            <v>-34224</v>
          </cell>
        </row>
        <row r="498">
          <cell r="A498" t="str">
            <v>P57 Total</v>
          </cell>
          <cell r="R498">
            <v>-34224</v>
          </cell>
        </row>
        <row r="499">
          <cell r="A499" t="str">
            <v>P58</v>
          </cell>
          <cell r="B499" t="str">
            <v>Current state income taxes - non-operating</v>
          </cell>
          <cell r="C499">
            <v>69041000</v>
          </cell>
          <cell r="D499" t="str">
            <v>SIT-Oth Inc&amp;Ded CY</v>
          </cell>
          <cell r="E499" t="str">
            <v>409.20</v>
          </cell>
          <cell r="R499">
            <v>-8934</v>
          </cell>
        </row>
        <row r="500">
          <cell r="A500" t="str">
            <v>P58 Total</v>
          </cell>
          <cell r="R500">
            <v>-8934</v>
          </cell>
        </row>
        <row r="501">
          <cell r="A501" t="str">
            <v>P59</v>
          </cell>
          <cell r="B501" t="str">
            <v>Interest on long-term debt</v>
          </cell>
          <cell r="C501">
            <v>81010000</v>
          </cell>
          <cell r="D501" t="str">
            <v>Interest LTD</v>
          </cell>
          <cell r="E501" t="str">
            <v>427.3</v>
          </cell>
          <cell r="R501">
            <v>1652556</v>
          </cell>
        </row>
        <row r="502">
          <cell r="A502" t="str">
            <v>P59</v>
          </cell>
          <cell r="B502" t="str">
            <v>Interest on long-term debt</v>
          </cell>
          <cell r="C502">
            <v>81015000</v>
          </cell>
          <cell r="D502" t="str">
            <v>Interest LTD Interco</v>
          </cell>
          <cell r="E502" t="str">
            <v>427.3</v>
          </cell>
          <cell r="R502">
            <v>10579484</v>
          </cell>
        </row>
        <row r="503">
          <cell r="A503" t="str">
            <v>P59</v>
          </cell>
          <cell r="B503" t="str">
            <v>Interest on long-term debt</v>
          </cell>
          <cell r="C503">
            <v>81016000</v>
          </cell>
          <cell r="D503" t="str">
            <v>Int exp-debt dis-ins</v>
          </cell>
          <cell r="E503" t="str">
            <v>427.3</v>
          </cell>
          <cell r="R503">
            <v>1264</v>
          </cell>
        </row>
        <row r="504">
          <cell r="A504" t="str">
            <v>P59</v>
          </cell>
          <cell r="B504" t="str">
            <v>Interest on long-term debt</v>
          </cell>
          <cell r="C504">
            <v>81020000</v>
          </cell>
          <cell r="D504" t="str">
            <v>Div Decl P/S w/ MRR</v>
          </cell>
          <cell r="E504" t="str">
            <v>437.</v>
          </cell>
          <cell r="R504">
            <v>127578</v>
          </cell>
        </row>
        <row r="505">
          <cell r="A505" t="str">
            <v>P59 Total</v>
          </cell>
          <cell r="R505">
            <v>12360882</v>
          </cell>
        </row>
        <row r="506">
          <cell r="A506" t="str">
            <v>P60</v>
          </cell>
          <cell r="B506" t="str">
            <v>Interest on short-term debt</v>
          </cell>
          <cell r="C506">
            <v>81315000</v>
          </cell>
          <cell r="D506" t="str">
            <v>Interest STD Interco</v>
          </cell>
          <cell r="E506" t="str">
            <v>427.2</v>
          </cell>
          <cell r="R506">
            <v>244370</v>
          </cell>
        </row>
        <row r="507">
          <cell r="A507" t="str">
            <v>P60 Total</v>
          </cell>
          <cell r="R507">
            <v>244370</v>
          </cell>
        </row>
        <row r="508">
          <cell r="A508" t="str">
            <v>P61</v>
          </cell>
          <cell r="B508" t="str">
            <v>Other interest expense</v>
          </cell>
          <cell r="C508">
            <v>81500000</v>
          </cell>
          <cell r="D508" t="str">
            <v>Interest Other</v>
          </cell>
          <cell r="E508" t="str">
            <v>427.5</v>
          </cell>
          <cell r="R508">
            <v>0</v>
          </cell>
        </row>
        <row r="509">
          <cell r="A509" t="str">
            <v>P61 Total</v>
          </cell>
          <cell r="R509">
            <v>0</v>
          </cell>
        </row>
        <row r="510">
          <cell r="A510" t="str">
            <v>P62</v>
          </cell>
          <cell r="B510" t="str">
            <v>Allowance for borrowed funds used during cons</v>
          </cell>
          <cell r="C510">
            <v>85000000</v>
          </cell>
          <cell r="D510" t="str">
            <v>AFUDC Debt</v>
          </cell>
          <cell r="E510" t="str">
            <v>420.</v>
          </cell>
          <cell r="R510">
            <v>-312965</v>
          </cell>
        </row>
        <row r="511">
          <cell r="A511" t="str">
            <v>P62 Total</v>
          </cell>
          <cell r="R511">
            <v>-312965</v>
          </cell>
        </row>
        <row r="512">
          <cell r="A512" t="str">
            <v>P63</v>
          </cell>
          <cell r="B512" t="str">
            <v>Amortization of debt expense</v>
          </cell>
          <cell r="C512">
            <v>82010000</v>
          </cell>
          <cell r="D512" t="str">
            <v>Amort Debt Disc&amp;Exp</v>
          </cell>
          <cell r="E512" t="str">
            <v>428.</v>
          </cell>
          <cell r="R512">
            <v>8046</v>
          </cell>
        </row>
        <row r="513">
          <cell r="A513" t="str">
            <v>P63</v>
          </cell>
          <cell r="B513" t="str">
            <v>Amortization of debt expense</v>
          </cell>
          <cell r="C513">
            <v>82015000</v>
          </cell>
          <cell r="D513" t="str">
            <v>Amort Dbt Dsc&amp;Ex I/C</v>
          </cell>
          <cell r="E513" t="str">
            <v>428.</v>
          </cell>
          <cell r="R513">
            <v>80267</v>
          </cell>
        </row>
        <row r="514">
          <cell r="A514" t="str">
            <v>P63</v>
          </cell>
          <cell r="B514" t="str">
            <v>Amortization of debt expense</v>
          </cell>
          <cell r="C514">
            <v>82016000</v>
          </cell>
          <cell r="D514" t="str">
            <v>Amort Dbt E-Insde CL</v>
          </cell>
          <cell r="E514" t="str">
            <v>428.</v>
          </cell>
          <cell r="R514">
            <v>24932</v>
          </cell>
        </row>
        <row r="515">
          <cell r="A515" t="str">
            <v>P63</v>
          </cell>
          <cell r="B515" t="str">
            <v>Amortization of debt expense</v>
          </cell>
          <cell r="C515">
            <v>82020000</v>
          </cell>
          <cell r="D515" t="str">
            <v>Amort P/S Exp w/ MRR</v>
          </cell>
          <cell r="E515" t="str">
            <v>428.</v>
          </cell>
          <cell r="R515">
            <v>256</v>
          </cell>
        </row>
        <row r="516">
          <cell r="A516" t="str">
            <v>P63 Total</v>
          </cell>
          <cell r="R516">
            <v>113501</v>
          </cell>
        </row>
        <row r="517">
          <cell r="A517" t="str">
            <v>P65</v>
          </cell>
          <cell r="B517" t="str">
            <v>Common Dividends</v>
          </cell>
          <cell r="C517">
            <v>86021500</v>
          </cell>
          <cell r="D517" t="str">
            <v>Div Decl Com Stk I/C</v>
          </cell>
          <cell r="E517" t="str">
            <v>438.</v>
          </cell>
          <cell r="R517">
            <v>11456643</v>
          </cell>
        </row>
      </sheetData>
      <sheetData sheetId="4">
        <row r="1">
          <cell r="D1" t="str">
            <v>Water Only</v>
          </cell>
        </row>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row r="251">
          <cell r="A251" t="str">
            <v>P56</v>
          </cell>
          <cell r="B251" t="str">
            <v>Other miscellaneous deductions</v>
          </cell>
          <cell r="C251">
            <v>75840000</v>
          </cell>
          <cell r="D251" t="str">
            <v>Lobbying Expenses</v>
          </cell>
          <cell r="E251" t="str">
            <v>426.</v>
          </cell>
          <cell r="F251">
            <v>10500</v>
          </cell>
          <cell r="G251">
            <v>10500</v>
          </cell>
          <cell r="H251">
            <v>10500</v>
          </cell>
          <cell r="I251">
            <v>5500</v>
          </cell>
          <cell r="J251">
            <v>5500</v>
          </cell>
          <cell r="K251">
            <v>5500</v>
          </cell>
          <cell r="L251">
            <v>0</v>
          </cell>
          <cell r="M251">
            <v>0</v>
          </cell>
          <cell r="N251">
            <v>0</v>
          </cell>
          <cell r="O251">
            <v>0</v>
          </cell>
          <cell r="P251">
            <v>0</v>
          </cell>
          <cell r="Q251">
            <v>0</v>
          </cell>
          <cell r="R251">
            <v>48000</v>
          </cell>
        </row>
        <row r="252">
          <cell r="A252" t="str">
            <v>P56 Total</v>
          </cell>
          <cell r="F252">
            <v>-98341</v>
          </cell>
          <cell r="G252">
            <v>-93724</v>
          </cell>
          <cell r="H252">
            <v>-98341</v>
          </cell>
          <cell r="I252">
            <v>-103341</v>
          </cell>
          <cell r="J252">
            <v>-103341</v>
          </cell>
          <cell r="K252">
            <v>-103341</v>
          </cell>
          <cell r="L252">
            <v>-108990</v>
          </cell>
          <cell r="M252">
            <v>-108990</v>
          </cell>
          <cell r="N252">
            <v>-108990</v>
          </cell>
          <cell r="O252">
            <v>-108990</v>
          </cell>
          <cell r="P252">
            <v>-108990</v>
          </cell>
          <cell r="Q252">
            <v>-108990</v>
          </cell>
          <cell r="R252">
            <v>-1254369</v>
          </cell>
        </row>
        <row r="253">
          <cell r="A253" t="str">
            <v>P59</v>
          </cell>
          <cell r="B253" t="str">
            <v>Interest on long-term debt</v>
          </cell>
          <cell r="C253">
            <v>81010000</v>
          </cell>
          <cell r="D253" t="str">
            <v>Interest LTD</v>
          </cell>
          <cell r="E253" t="str">
            <v>427.3</v>
          </cell>
          <cell r="F253">
            <v>137713</v>
          </cell>
          <cell r="G253">
            <v>137713</v>
          </cell>
          <cell r="H253">
            <v>137713</v>
          </cell>
          <cell r="I253">
            <v>137713</v>
          </cell>
          <cell r="J253">
            <v>137713</v>
          </cell>
          <cell r="K253">
            <v>137713</v>
          </cell>
          <cell r="L253">
            <v>1044949</v>
          </cell>
          <cell r="M253">
            <v>1044949</v>
          </cell>
          <cell r="N253">
            <v>1044949</v>
          </cell>
          <cell r="O253">
            <v>1044949</v>
          </cell>
          <cell r="P253">
            <v>1066578</v>
          </cell>
          <cell r="Q253">
            <v>1088207</v>
          </cell>
          <cell r="R253">
            <v>7160859</v>
          </cell>
        </row>
        <row r="254">
          <cell r="A254" t="str">
            <v>P59</v>
          </cell>
          <cell r="B254" t="str">
            <v>Interest on long-term debt</v>
          </cell>
          <cell r="C254">
            <v>81015000</v>
          </cell>
          <cell r="D254" t="str">
            <v>Interest LTD Interco</v>
          </cell>
          <cell r="E254" t="str">
            <v>427.3</v>
          </cell>
          <cell r="F254">
            <v>918233</v>
          </cell>
          <cell r="G254">
            <v>918233</v>
          </cell>
          <cell r="H254">
            <v>918233</v>
          </cell>
          <cell r="I254">
            <v>918233</v>
          </cell>
          <cell r="J254">
            <v>918233</v>
          </cell>
          <cell r="K254">
            <v>918233</v>
          </cell>
          <cell r="L254">
            <v>0</v>
          </cell>
          <cell r="M254">
            <v>0</v>
          </cell>
          <cell r="N254">
            <v>0</v>
          </cell>
          <cell r="O254">
            <v>0</v>
          </cell>
          <cell r="P254">
            <v>0</v>
          </cell>
          <cell r="Q254">
            <v>0</v>
          </cell>
          <cell r="R254">
            <v>5509398</v>
          </cell>
        </row>
        <row r="255">
          <cell r="A255" t="str">
            <v>P59</v>
          </cell>
          <cell r="B255" t="str">
            <v>Interest on long-term debt</v>
          </cell>
          <cell r="C255">
            <v>81016000</v>
          </cell>
          <cell r="D255" t="str">
            <v>Int Exp_debt discount amort intercompany</v>
          </cell>
          <cell r="E255" t="str">
            <v>427.3</v>
          </cell>
          <cell r="F255">
            <v>158</v>
          </cell>
          <cell r="G255">
            <v>158</v>
          </cell>
          <cell r="H255">
            <v>158</v>
          </cell>
          <cell r="I255">
            <v>158</v>
          </cell>
          <cell r="J255">
            <v>158</v>
          </cell>
          <cell r="K255">
            <v>158</v>
          </cell>
          <cell r="L255">
            <v>0</v>
          </cell>
          <cell r="M255">
            <v>0</v>
          </cell>
          <cell r="N255">
            <v>0</v>
          </cell>
          <cell r="O255">
            <v>0</v>
          </cell>
          <cell r="P255">
            <v>0</v>
          </cell>
          <cell r="Q255">
            <v>0</v>
          </cell>
          <cell r="R255">
            <v>948</v>
          </cell>
        </row>
        <row r="256">
          <cell r="A256" t="str">
            <v>P59</v>
          </cell>
          <cell r="B256" t="str">
            <v>Interest on long-term debt</v>
          </cell>
          <cell r="C256">
            <v>81020000</v>
          </cell>
          <cell r="D256" t="str">
            <v>Div Decl P/S w/ MRR</v>
          </cell>
          <cell r="E256" t="str">
            <v>437.</v>
          </cell>
          <cell r="F256">
            <v>15881</v>
          </cell>
          <cell r="G256">
            <v>15881</v>
          </cell>
          <cell r="H256">
            <v>15881</v>
          </cell>
          <cell r="I256">
            <v>15881</v>
          </cell>
          <cell r="J256">
            <v>15881</v>
          </cell>
          <cell r="K256">
            <v>15881</v>
          </cell>
          <cell r="L256">
            <v>0</v>
          </cell>
          <cell r="M256">
            <v>0</v>
          </cell>
          <cell r="N256">
            <v>0</v>
          </cell>
          <cell r="O256">
            <v>0</v>
          </cell>
          <cell r="P256">
            <v>0</v>
          </cell>
          <cell r="Q256">
            <v>0</v>
          </cell>
          <cell r="R256">
            <v>95286</v>
          </cell>
        </row>
        <row r="257">
          <cell r="A257" t="str">
            <v>P59 Total</v>
          </cell>
          <cell r="F257">
            <v>1071985</v>
          </cell>
          <cell r="G257">
            <v>1071985</v>
          </cell>
          <cell r="H257">
            <v>1071985</v>
          </cell>
          <cell r="I257">
            <v>1071985</v>
          </cell>
          <cell r="J257">
            <v>1071985</v>
          </cell>
          <cell r="K257">
            <v>1071985</v>
          </cell>
          <cell r="L257">
            <v>1044949</v>
          </cell>
          <cell r="M257">
            <v>1044949</v>
          </cell>
          <cell r="N257">
            <v>1044949</v>
          </cell>
          <cell r="O257">
            <v>1044949</v>
          </cell>
          <cell r="P257">
            <v>1066578</v>
          </cell>
          <cell r="Q257">
            <v>1088207</v>
          </cell>
          <cell r="R257">
            <v>12766491</v>
          </cell>
        </row>
        <row r="258">
          <cell r="A258" t="str">
            <v>P60</v>
          </cell>
          <cell r="B258" t="str">
            <v>Interest on short-term debt</v>
          </cell>
          <cell r="C258">
            <v>81315000</v>
          </cell>
          <cell r="D258" t="str">
            <v>Interest STD Interco</v>
          </cell>
          <cell r="E258" t="str">
            <v>427.2</v>
          </cell>
          <cell r="F258">
            <v>-1654</v>
          </cell>
          <cell r="G258">
            <v>-7624</v>
          </cell>
          <cell r="H258">
            <v>640</v>
          </cell>
          <cell r="I258">
            <v>-4560</v>
          </cell>
          <cell r="J258">
            <v>-5147</v>
          </cell>
          <cell r="K258">
            <v>24564</v>
          </cell>
          <cell r="L258">
            <v>22380</v>
          </cell>
          <cell r="M258">
            <v>17044</v>
          </cell>
          <cell r="N258">
            <v>19532</v>
          </cell>
          <cell r="O258">
            <v>23359</v>
          </cell>
          <cell r="P258">
            <v>-9345</v>
          </cell>
          <cell r="Q258">
            <v>5919</v>
          </cell>
          <cell r="R258">
            <v>85108</v>
          </cell>
        </row>
        <row r="259">
          <cell r="A259" t="str">
            <v>P60 Total</v>
          </cell>
          <cell r="F259">
            <v>-1654</v>
          </cell>
          <cell r="G259">
            <v>-7624</v>
          </cell>
          <cell r="H259">
            <v>640</v>
          </cell>
          <cell r="I259">
            <v>-4560</v>
          </cell>
          <cell r="J259">
            <v>-5147</v>
          </cell>
          <cell r="K259">
            <v>24564</v>
          </cell>
          <cell r="L259">
            <v>22380</v>
          </cell>
          <cell r="M259">
            <v>17044</v>
          </cell>
          <cell r="N259">
            <v>19532</v>
          </cell>
          <cell r="O259">
            <v>23359</v>
          </cell>
          <cell r="P259">
            <v>-9345</v>
          </cell>
          <cell r="Q259">
            <v>5919</v>
          </cell>
          <cell r="R259">
            <v>85108</v>
          </cell>
        </row>
        <row r="260">
          <cell r="A260" t="str">
            <v>P62</v>
          </cell>
          <cell r="B260" t="str">
            <v>Allowance for borrowed funds used during cons</v>
          </cell>
          <cell r="C260">
            <v>85000000</v>
          </cell>
          <cell r="D260" t="str">
            <v>AFUDC Debt</v>
          </cell>
          <cell r="E260" t="str">
            <v>420.</v>
          </cell>
          <cell r="F260">
            <v>-28002</v>
          </cell>
          <cell r="G260">
            <v>-31446</v>
          </cell>
          <cell r="H260">
            <v>-32277</v>
          </cell>
          <cell r="I260">
            <v>-33638</v>
          </cell>
          <cell r="J260">
            <v>-36747</v>
          </cell>
          <cell r="K260">
            <v>-39909</v>
          </cell>
          <cell r="L260">
            <v>-19105</v>
          </cell>
          <cell r="M260">
            <v>-20924</v>
          </cell>
          <cell r="N260">
            <v>-22770</v>
          </cell>
          <cell r="O260">
            <v>-24859</v>
          </cell>
          <cell r="P260">
            <v>-31272</v>
          </cell>
          <cell r="Q260">
            <v>-39943</v>
          </cell>
          <cell r="R260">
            <v>-360892</v>
          </cell>
        </row>
        <row r="261">
          <cell r="A261" t="str">
            <v>P62 Total</v>
          </cell>
          <cell r="F261">
            <v>-28002</v>
          </cell>
          <cell r="G261">
            <v>-31446</v>
          </cell>
          <cell r="H261">
            <v>-32277</v>
          </cell>
          <cell r="I261">
            <v>-33638</v>
          </cell>
          <cell r="J261">
            <v>-36747</v>
          </cell>
          <cell r="K261">
            <v>-39909</v>
          </cell>
          <cell r="L261">
            <v>-19105</v>
          </cell>
          <cell r="M261">
            <v>-20924</v>
          </cell>
          <cell r="N261">
            <v>-22770</v>
          </cell>
          <cell r="O261">
            <v>-24859</v>
          </cell>
          <cell r="P261">
            <v>-31272</v>
          </cell>
          <cell r="Q261">
            <v>-39943</v>
          </cell>
          <cell r="R261">
            <v>-360892</v>
          </cell>
        </row>
        <row r="262">
          <cell r="A262" t="str">
            <v>P63</v>
          </cell>
          <cell r="B262" t="str">
            <v>Amortization of debt expense</v>
          </cell>
          <cell r="C262">
            <v>82010000</v>
          </cell>
          <cell r="D262" t="str">
            <v>Amort Debt Disc&amp;Exp</v>
          </cell>
          <cell r="E262" t="str">
            <v>428.</v>
          </cell>
          <cell r="F262">
            <v>665</v>
          </cell>
          <cell r="G262">
            <v>665</v>
          </cell>
          <cell r="H262">
            <v>665</v>
          </cell>
          <cell r="I262">
            <v>665</v>
          </cell>
          <cell r="J262">
            <v>665</v>
          </cell>
          <cell r="K262">
            <v>665</v>
          </cell>
          <cell r="L262">
            <v>9021</v>
          </cell>
          <cell r="M262">
            <v>9021</v>
          </cell>
          <cell r="N262">
            <v>9021</v>
          </cell>
          <cell r="O262">
            <v>9021</v>
          </cell>
          <cell r="P262">
            <v>9595</v>
          </cell>
          <cell r="Q262">
            <v>10170</v>
          </cell>
          <cell r="R262">
            <v>59839</v>
          </cell>
        </row>
        <row r="263">
          <cell r="A263" t="str">
            <v>P63</v>
          </cell>
          <cell r="B263" t="str">
            <v>Amortization of debt expense</v>
          </cell>
          <cell r="C263">
            <v>82015000</v>
          </cell>
          <cell r="D263" t="str">
            <v>Amort Dbt Dsc&amp;Ex I/C</v>
          </cell>
          <cell r="E263" t="str">
            <v>428.</v>
          </cell>
          <cell r="F263">
            <v>9042</v>
          </cell>
          <cell r="G263">
            <v>9042</v>
          </cell>
          <cell r="H263">
            <v>9042</v>
          </cell>
          <cell r="I263">
            <v>9042</v>
          </cell>
          <cell r="J263">
            <v>9042</v>
          </cell>
          <cell r="K263">
            <v>9042</v>
          </cell>
          <cell r="L263">
            <v>0</v>
          </cell>
          <cell r="M263">
            <v>0</v>
          </cell>
          <cell r="N263">
            <v>0</v>
          </cell>
          <cell r="O263">
            <v>0</v>
          </cell>
          <cell r="P263">
            <v>0</v>
          </cell>
          <cell r="Q263">
            <v>0</v>
          </cell>
          <cell r="R263">
            <v>54252</v>
          </cell>
        </row>
        <row r="264">
          <cell r="C264">
            <v>82020000</v>
          </cell>
          <cell r="D264" t="str">
            <v>Amort P/S Exp w/ Mandatory Redemptn Requiremts</v>
          </cell>
          <cell r="F264">
            <v>32</v>
          </cell>
          <cell r="G264">
            <v>32</v>
          </cell>
          <cell r="H264">
            <v>32</v>
          </cell>
          <cell r="I264">
            <v>32</v>
          </cell>
          <cell r="J264">
            <v>32</v>
          </cell>
          <cell r="K264">
            <v>32</v>
          </cell>
          <cell r="L264">
            <v>0</v>
          </cell>
          <cell r="M264">
            <v>0</v>
          </cell>
          <cell r="N264">
            <v>0</v>
          </cell>
          <cell r="O264">
            <v>0</v>
          </cell>
          <cell r="P264">
            <v>0</v>
          </cell>
          <cell r="Q264">
            <v>0</v>
          </cell>
          <cell r="R264">
            <v>192</v>
          </cell>
        </row>
        <row r="265">
          <cell r="A265" t="str">
            <v>P63 Total</v>
          </cell>
          <cell r="F265">
            <v>9739</v>
          </cell>
          <cell r="G265">
            <v>9739</v>
          </cell>
          <cell r="H265">
            <v>9739</v>
          </cell>
          <cell r="I265">
            <v>9739</v>
          </cell>
          <cell r="J265">
            <v>9739</v>
          </cell>
          <cell r="K265">
            <v>9739</v>
          </cell>
          <cell r="L265">
            <v>9021</v>
          </cell>
          <cell r="M265">
            <v>9021</v>
          </cell>
          <cell r="N265">
            <v>9021</v>
          </cell>
          <cell r="O265">
            <v>9021</v>
          </cell>
          <cell r="P265">
            <v>9595</v>
          </cell>
          <cell r="Q265">
            <v>10170</v>
          </cell>
          <cell r="R265">
            <v>114283</v>
          </cell>
        </row>
        <row r="266">
          <cell r="A266" t="str">
            <v>P65</v>
          </cell>
          <cell r="B266" t="str">
            <v>Common Dividends</v>
          </cell>
          <cell r="C266">
            <v>86021500</v>
          </cell>
          <cell r="D266" t="str">
            <v>Div Decl Com Stk I/C</v>
          </cell>
          <cell r="E266" t="str">
            <v>438.</v>
          </cell>
          <cell r="F266">
            <v>0</v>
          </cell>
          <cell r="G266">
            <v>0</v>
          </cell>
          <cell r="H266">
            <v>3360749</v>
          </cell>
          <cell r="I266">
            <v>0</v>
          </cell>
          <cell r="J266">
            <v>0</v>
          </cell>
          <cell r="K266">
            <v>5664426</v>
          </cell>
          <cell r="L266">
            <v>0</v>
          </cell>
          <cell r="M266">
            <v>0</v>
          </cell>
          <cell r="N266">
            <v>4086806</v>
          </cell>
          <cell r="O266">
            <v>0</v>
          </cell>
          <cell r="P266">
            <v>0</v>
          </cell>
          <cell r="Q266">
            <v>2302460</v>
          </cell>
          <cell r="R266">
            <v>15414441</v>
          </cell>
        </row>
      </sheetData>
      <sheetData sheetId="5">
        <row r="8">
          <cell r="C8">
            <v>401</v>
          </cell>
        </row>
      </sheetData>
      <sheetData sheetId="6">
        <row r="5">
          <cell r="O5">
            <v>14320884.467466416</v>
          </cell>
        </row>
      </sheetData>
      <sheetData sheetId="7">
        <row r="14">
          <cell r="E14">
            <v>91956201</v>
          </cell>
        </row>
      </sheetData>
      <sheetData sheetId="8">
        <row r="8">
          <cell r="C8">
            <v>1096</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MSFR Inc Stmt by Acct - SCH C.2"/>
      <sheetName val="MSFR IS Adjust D.1"/>
      <sheetName val="MSFR IS Adjust Support D-2"/>
      <sheetName val="D-3"/>
    </sheetNames>
    <sheetDataSet>
      <sheetData sheetId="0"/>
      <sheetData sheetId="1">
        <row r="7">
          <cell r="B7">
            <v>91907987</v>
          </cell>
          <cell r="D7">
            <v>88518852</v>
          </cell>
        </row>
        <row r="10">
          <cell r="B10">
            <v>34285634</v>
          </cell>
          <cell r="D10">
            <v>37805850.987251282</v>
          </cell>
        </row>
        <row r="11">
          <cell r="B11">
            <v>16275109</v>
          </cell>
          <cell r="D11">
            <v>18316097.636319578</v>
          </cell>
        </row>
        <row r="12">
          <cell r="B12">
            <v>8556</v>
          </cell>
          <cell r="D12">
            <v>24566.75499999999</v>
          </cell>
        </row>
        <row r="13">
          <cell r="B13">
            <v>267920</v>
          </cell>
          <cell r="D13">
            <v>263437.74</v>
          </cell>
        </row>
        <row r="14">
          <cell r="B14">
            <v>990031.0164648511</v>
          </cell>
          <cell r="D14">
            <v>503709.51338142372</v>
          </cell>
        </row>
        <row r="15">
          <cell r="B15">
            <v>4152637.1293152855</v>
          </cell>
          <cell r="D15">
            <v>2218906.864778663</v>
          </cell>
        </row>
        <row r="16">
          <cell r="B16">
            <v>-78492</v>
          </cell>
          <cell r="D16">
            <v>-78492</v>
          </cell>
        </row>
        <row r="17">
          <cell r="B17">
            <v>7362427</v>
          </cell>
          <cell r="D17">
            <v>7814766</v>
          </cell>
        </row>
        <row r="18">
          <cell r="B18">
            <v>63263822.145780139</v>
          </cell>
          <cell r="D18">
            <v>66868843.496730939</v>
          </cell>
        </row>
        <row r="78">
          <cell r="B78">
            <v>6602753</v>
          </cell>
          <cell r="C78">
            <v>7032232</v>
          </cell>
        </row>
        <row r="79">
          <cell r="B79">
            <v>566558</v>
          </cell>
          <cell r="C79">
            <v>596010</v>
          </cell>
        </row>
        <row r="80">
          <cell r="B80">
            <v>186974</v>
          </cell>
          <cell r="C80">
            <v>175930</v>
          </cell>
        </row>
        <row r="83">
          <cell r="B83">
            <v>35622</v>
          </cell>
          <cell r="C83">
            <v>44775</v>
          </cell>
        </row>
        <row r="87">
          <cell r="B87">
            <v>-1668048</v>
          </cell>
          <cell r="C87">
            <v>-1748336.9401672476</v>
          </cell>
        </row>
        <row r="89">
          <cell r="C89">
            <v>3052002.8306124154</v>
          </cell>
        </row>
        <row r="90">
          <cell r="B90">
            <v>-560431</v>
          </cell>
          <cell r="C90">
            <v>-655418.26067137509</v>
          </cell>
        </row>
        <row r="92">
          <cell r="B92">
            <v>57084</v>
          </cell>
          <cell r="C92">
            <v>57085.98</v>
          </cell>
        </row>
        <row r="93">
          <cell r="C93">
            <v>24566.75499999999</v>
          </cell>
          <cell r="D93" t="str">
            <v xml:space="preserve">Requesting $0 in case.  </v>
          </cell>
        </row>
        <row r="95">
          <cell r="B95">
            <v>839228</v>
          </cell>
          <cell r="C95">
            <v>1091902</v>
          </cell>
        </row>
        <row r="103">
          <cell r="G103">
            <v>105346614.45756941</v>
          </cell>
        </row>
        <row r="104">
          <cell r="G104">
            <v>2483215</v>
          </cell>
        </row>
        <row r="105">
          <cell r="G105">
            <v>554026</v>
          </cell>
        </row>
        <row r="134">
          <cell r="G134">
            <v>37987440.672938131</v>
          </cell>
        </row>
        <row r="137">
          <cell r="G137">
            <v>18316097.636319578</v>
          </cell>
        </row>
        <row r="138">
          <cell r="G138">
            <v>24566.75499999999</v>
          </cell>
        </row>
        <row r="139">
          <cell r="G139">
            <v>263437.74</v>
          </cell>
        </row>
        <row r="142">
          <cell r="C142">
            <v>1042164.2999302045</v>
          </cell>
          <cell r="G142">
            <v>1721053.994621784</v>
          </cell>
        </row>
        <row r="143">
          <cell r="C143">
            <v>-52133.283465353408</v>
          </cell>
          <cell r="G143">
            <v>-235161.98440065194</v>
          </cell>
        </row>
        <row r="145">
          <cell r="C145">
            <v>4831489.9500022596</v>
          </cell>
          <cell r="G145">
            <v>7451800.3653027024</v>
          </cell>
        </row>
        <row r="146">
          <cell r="C146">
            <v>-678852.8206869741</v>
          </cell>
          <cell r="G146">
            <v>-1313978.0643013425</v>
          </cell>
        </row>
        <row r="147">
          <cell r="C147">
            <v>-78492</v>
          </cell>
          <cell r="G147">
            <v>-78492</v>
          </cell>
        </row>
        <row r="148">
          <cell r="G148">
            <v>7854495.4669164233</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inkin"/>
      <sheetName val="ACQ- Link In"/>
      <sheetName val="Link Out"/>
      <sheetName val="UPIS Bal + Activity to Aug 2018"/>
      <sheetName val="UPIS linkin"/>
      <sheetName val="Accum depr linkin"/>
      <sheetName val="Additions linkin"/>
      <sheetName val="Retire linkin"/>
      <sheetName val="Customer Adv linkin"/>
      <sheetName val="CIAC linkin"/>
      <sheetName val="Control"/>
      <sheetName val="Sch B-1"/>
      <sheetName val="Sch B-2"/>
      <sheetName val="Sch B-3"/>
      <sheetName val="Sch B-4"/>
      <sheetName val="Sch B-5"/>
      <sheetName val="Sch B-6"/>
      <sheetName val="Sch B-7"/>
      <sheetName val="Sch B-8"/>
      <sheetName val="Deferred Taxes"/>
      <sheetName val="Additions UPIS-ACQ linkin"/>
    </sheetNames>
    <sheetDataSet>
      <sheetData sheetId="0"/>
      <sheetData sheetId="1"/>
      <sheetData sheetId="2"/>
      <sheetData sheetId="3">
        <row r="3">
          <cell r="C3">
            <v>422336312</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540">
          <cell r="R540">
            <v>441122362.12330651</v>
          </cell>
        </row>
      </sheetData>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out"/>
      <sheetName val="Linkin"/>
      <sheetName val="Link In BS Projection"/>
      <sheetName val="Sch J-1"/>
      <sheetName val="Sch J-2"/>
      <sheetName val="Sch J-3"/>
      <sheetName val="Sch J-4"/>
      <sheetName val="Sch J-5"/>
      <sheetName val="Sch J WPs"/>
      <sheetName val="STD 2018 WP"/>
      <sheetName val="Unamort ITCs 2018 WP"/>
      <sheetName val="LTD Discount"/>
      <sheetName val="Notes"/>
    </sheetNames>
    <sheetDataSet>
      <sheetData sheetId="0">
        <row r="3">
          <cell r="C3">
            <v>8.1800000000000012E-2</v>
          </cell>
        </row>
        <row r="7">
          <cell r="C7">
            <v>2243111.34</v>
          </cell>
          <cell r="D7">
            <v>2243433.2400000002</v>
          </cell>
        </row>
        <row r="8">
          <cell r="C8">
            <v>204313965.86999997</v>
          </cell>
          <cell r="D8">
            <v>220061621.47666666</v>
          </cell>
        </row>
        <row r="9">
          <cell r="C9">
            <v>17105681.050704263</v>
          </cell>
          <cell r="D9">
            <v>6777501.4741245164</v>
          </cell>
        </row>
        <row r="12">
          <cell r="C12">
            <v>1.1000000000000001E-3</v>
          </cell>
          <cell r="D12">
            <v>5.0000000000000001E-4</v>
          </cell>
        </row>
        <row r="13">
          <cell r="C13">
            <v>2.8400000000000002E-2</v>
          </cell>
          <cell r="D13">
            <v>2.9100000000000001E-2</v>
          </cell>
        </row>
        <row r="15">
          <cell r="C15">
            <v>4.0000000000000002E-4</v>
          </cell>
          <cell r="D15">
            <v>4.0000000000000002E-4</v>
          </cell>
        </row>
        <row r="16">
          <cell r="C16">
            <v>5.9900000000000002E-2</v>
          </cell>
          <cell r="D16">
            <v>5.8999999999999997E-2</v>
          </cell>
        </row>
        <row r="17">
          <cell r="C17">
            <v>8.5099999999999995E-2</v>
          </cell>
          <cell r="D17">
            <v>8.5099999999999995E-2</v>
          </cell>
        </row>
        <row r="36">
          <cell r="C36">
            <v>2.8686581219739198E-2</v>
          </cell>
          <cell r="D36">
            <v>3.2738847995791229E-2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Notes"/>
      <sheetName val="Exhibit "/>
      <sheetName val="Summary by Account"/>
      <sheetName val="Tax Rates"/>
      <sheetName val="Def FIT SIT 2018"/>
      <sheetName val="Deferred Taxes UPIS"/>
      <sheetName val="BookBasis "/>
      <sheetName val="Tax Basis Federal"/>
      <sheetName val="Tax Basis State"/>
      <sheetName val="Equity Grossup"/>
      <sheetName val="Amort Reg Assets Liab"/>
      <sheetName val="Def Taxes Reg Asset Liab"/>
      <sheetName val="Amort RAL 2018"/>
      <sheetName val="Amort RAL 2019"/>
      <sheetName val="Amort RAL 2020"/>
      <sheetName val="Tax Depreciation==&gt;"/>
      <sheetName val="Linkin - Plant Adds"/>
      <sheetName val="Fed Tax Dep"/>
      <sheetName val="State Tax Dep"/>
      <sheetName val="Aug'18 TB"/>
      <sheetName val="Depr Rates"/>
      <sheetName val="UPIS Acct PP to SAP mapping"/>
      <sheetName val="V_Look UP Acc "/>
    </sheetNames>
    <sheetDataSet>
      <sheetData sheetId="0">
        <row r="110">
          <cell r="F110">
            <v>413560</v>
          </cell>
        </row>
      </sheetData>
      <sheetData sheetId="1">
        <row r="23">
          <cell r="C23">
            <v>54285</v>
          </cell>
        </row>
        <row r="24">
          <cell r="C24">
            <v>-353338</v>
          </cell>
        </row>
      </sheetData>
      <sheetData sheetId="2"/>
      <sheetData sheetId="3"/>
      <sheetData sheetId="4"/>
      <sheetData sheetId="5"/>
      <sheetData sheetId="6"/>
      <sheetData sheetId="7">
        <row r="9">
          <cell r="M9">
            <v>-557</v>
          </cell>
          <cell r="O9">
            <v>-57724</v>
          </cell>
        </row>
        <row r="10">
          <cell r="M10">
            <v>-3087</v>
          </cell>
          <cell r="O10">
            <v>-67819</v>
          </cell>
        </row>
        <row r="11">
          <cell r="M11">
            <v>-324</v>
          </cell>
          <cell r="O11">
            <v>-56794</v>
          </cell>
        </row>
        <row r="12">
          <cell r="M12">
            <v>-1169</v>
          </cell>
          <cell r="O12">
            <v>-60166</v>
          </cell>
        </row>
        <row r="13">
          <cell r="M13">
            <v>-25939</v>
          </cell>
          <cell r="O13">
            <v>-154071</v>
          </cell>
        </row>
        <row r="14">
          <cell r="M14">
            <v>-15897</v>
          </cell>
          <cell r="O14">
            <v>-114005</v>
          </cell>
        </row>
      </sheetData>
      <sheetData sheetId="8">
        <row r="10">
          <cell r="I10">
            <v>0.38</v>
          </cell>
          <cell r="K10">
            <v>-220170.63</v>
          </cell>
          <cell r="M10">
            <v>-11420618.5</v>
          </cell>
          <cell r="O10">
            <v>-69802031.480000019</v>
          </cell>
          <cell r="Q10">
            <v>-319405</v>
          </cell>
          <cell r="S10">
            <v>-45106517.456102148</v>
          </cell>
          <cell r="U10">
            <v>-178527.33333333334</v>
          </cell>
        </row>
        <row r="21">
          <cell r="Q21">
            <v>-247454</v>
          </cell>
        </row>
        <row r="32">
          <cell r="Q32">
            <v>-175503</v>
          </cell>
        </row>
      </sheetData>
      <sheetData sheetId="9">
        <row r="50">
          <cell r="I50">
            <v>-1126424.7829548649</v>
          </cell>
        </row>
        <row r="51">
          <cell r="I51">
            <v>-1126424.7829548649</v>
          </cell>
        </row>
        <row r="52">
          <cell r="I52">
            <v>-1126424.7829548649</v>
          </cell>
        </row>
        <row r="53">
          <cell r="I53">
            <v>-1126424.7829548649</v>
          </cell>
        </row>
        <row r="54">
          <cell r="I54">
            <v>-1126424.7829548649</v>
          </cell>
        </row>
        <row r="55">
          <cell r="I55">
            <v>-1126424.7829548649</v>
          </cell>
        </row>
        <row r="56">
          <cell r="I56">
            <v>-1178190.4957287516</v>
          </cell>
        </row>
        <row r="57">
          <cell r="I57">
            <v>-1178190.4957287516</v>
          </cell>
        </row>
        <row r="58">
          <cell r="I58">
            <v>-1178190.4957287516</v>
          </cell>
        </row>
        <row r="59">
          <cell r="I59">
            <v>-1178190.4957287516</v>
          </cell>
        </row>
        <row r="60">
          <cell r="I60">
            <v>-1178190.4957287516</v>
          </cell>
        </row>
        <row r="61">
          <cell r="I61">
            <v>-1178190.4957287516</v>
          </cell>
        </row>
      </sheetData>
      <sheetData sheetId="10">
        <row r="50">
          <cell r="I50">
            <v>-1367256.5329548647</v>
          </cell>
        </row>
        <row r="51">
          <cell r="I51">
            <v>-1367256.5329548647</v>
          </cell>
        </row>
        <row r="52">
          <cell r="I52">
            <v>-1367256.5329548647</v>
          </cell>
        </row>
        <row r="53">
          <cell r="I53">
            <v>-1367256.5329548647</v>
          </cell>
        </row>
        <row r="54">
          <cell r="I54">
            <v>-1367256.5329548647</v>
          </cell>
        </row>
        <row r="55">
          <cell r="I55">
            <v>-1367256.5329548647</v>
          </cell>
        </row>
        <row r="56">
          <cell r="I56">
            <v>-1389685.9123954182</v>
          </cell>
        </row>
        <row r="57">
          <cell r="I57">
            <v>-1389685.9123954182</v>
          </cell>
        </row>
        <row r="58">
          <cell r="I58">
            <v>-1389685.9123954182</v>
          </cell>
        </row>
        <row r="59">
          <cell r="I59">
            <v>-1389685.9123954182</v>
          </cell>
        </row>
        <row r="60">
          <cell r="I60">
            <v>-1389685.9123954182</v>
          </cell>
        </row>
        <row r="61">
          <cell r="I61">
            <v>-1389685.9123954182</v>
          </cell>
        </row>
      </sheetData>
      <sheetData sheetId="11">
        <row r="10">
          <cell r="G10">
            <v>5926188.7300000004</v>
          </cell>
        </row>
      </sheetData>
      <sheetData sheetId="12"/>
      <sheetData sheetId="13">
        <row r="30">
          <cell r="C30">
            <v>-62376</v>
          </cell>
          <cell r="E30">
            <v>-54620.331693548273</v>
          </cell>
        </row>
      </sheetData>
      <sheetData sheetId="14">
        <row r="54">
          <cell r="M54">
            <v>-5258</v>
          </cell>
          <cell r="O54">
            <v>-5258</v>
          </cell>
          <cell r="Q54">
            <v>-5258</v>
          </cell>
          <cell r="S54">
            <v>-5258</v>
          </cell>
          <cell r="U54">
            <v>-5258</v>
          </cell>
          <cell r="W54">
            <v>-5257</v>
          </cell>
          <cell r="Y54">
            <v>-5257</v>
          </cell>
          <cell r="AA54">
            <v>-5257</v>
          </cell>
          <cell r="AC54">
            <v>-5257</v>
          </cell>
          <cell r="AE54">
            <v>-5257</v>
          </cell>
        </row>
        <row r="60">
          <cell r="M60">
            <v>-5683.4443077956894</v>
          </cell>
          <cell r="O60">
            <v>-5683.4443077956894</v>
          </cell>
          <cell r="Q60">
            <v>-5683.4443077956894</v>
          </cell>
          <cell r="S60">
            <v>-5683.4443077956894</v>
          </cell>
          <cell r="U60">
            <v>-5683.4443077956894</v>
          </cell>
          <cell r="W60">
            <v>-5684.4443077956894</v>
          </cell>
          <cell r="Y60">
            <v>-5684.4443077956894</v>
          </cell>
          <cell r="AA60">
            <v>-5684.4443077956894</v>
          </cell>
          <cell r="AC60">
            <v>-5684.4443077956894</v>
          </cell>
          <cell r="AE60">
            <v>-5684.4443077956894</v>
          </cell>
        </row>
        <row r="62">
          <cell r="M62">
            <v>-6541</v>
          </cell>
          <cell r="O62">
            <v>-6541</v>
          </cell>
          <cell r="Q62">
            <v>-6541</v>
          </cell>
          <cell r="S62">
            <v>-6541</v>
          </cell>
          <cell r="U62">
            <v>-6541</v>
          </cell>
          <cell r="W62">
            <v>-6541</v>
          </cell>
          <cell r="Y62">
            <v>-6541</v>
          </cell>
          <cell r="AA62">
            <v>-6541</v>
          </cell>
          <cell r="AC62">
            <v>-6541</v>
          </cell>
          <cell r="AE62">
            <v>-6541</v>
          </cell>
        </row>
      </sheetData>
      <sheetData sheetId="15">
        <row r="54">
          <cell r="I54">
            <v>-5198</v>
          </cell>
          <cell r="K54">
            <v>-5198</v>
          </cell>
        </row>
        <row r="60">
          <cell r="I60">
            <v>-4551.6943077956894</v>
          </cell>
          <cell r="K60">
            <v>-4551.3609744623564</v>
          </cell>
        </row>
        <row r="62">
          <cell r="I62">
            <v>-6541</v>
          </cell>
          <cell r="K62">
            <v>-6541</v>
          </cell>
        </row>
      </sheetData>
      <sheetData sheetId="16"/>
      <sheetData sheetId="17"/>
      <sheetData sheetId="18"/>
      <sheetData sheetId="19">
        <row r="14">
          <cell r="H14">
            <v>-195953.20696558518</v>
          </cell>
        </row>
        <row r="15">
          <cell r="H15">
            <v>-277892.53805447224</v>
          </cell>
        </row>
        <row r="16">
          <cell r="H16">
            <v>-195621.73862259142</v>
          </cell>
        </row>
        <row r="17">
          <cell r="H17">
            <v>-114373.53112242615</v>
          </cell>
        </row>
        <row r="18">
          <cell r="H18">
            <v>-120346.09732309394</v>
          </cell>
        </row>
        <row r="19">
          <cell r="H19">
            <v>-144447.08233816078</v>
          </cell>
        </row>
        <row r="24">
          <cell r="H24">
            <v>-307778.93910676258</v>
          </cell>
        </row>
        <row r="25">
          <cell r="H25">
            <v>-339165.20514531265</v>
          </cell>
        </row>
        <row r="26">
          <cell r="H26">
            <v>-545460.17352090136</v>
          </cell>
        </row>
        <row r="27">
          <cell r="H27">
            <v>-303836.67504468339</v>
          </cell>
        </row>
        <row r="28">
          <cell r="H28">
            <v>-275337.57000954886</v>
          </cell>
        </row>
        <row r="29">
          <cell r="H29">
            <v>-257885.91570158908</v>
          </cell>
        </row>
        <row r="30">
          <cell r="H30">
            <v>-262851.21447451221</v>
          </cell>
        </row>
        <row r="31">
          <cell r="H31">
            <v>-258745.89807770005</v>
          </cell>
        </row>
        <row r="32">
          <cell r="H32">
            <v>-325525.18752142356</v>
          </cell>
        </row>
        <row r="33">
          <cell r="H33">
            <v>-323209.8738324194</v>
          </cell>
        </row>
        <row r="34">
          <cell r="H34">
            <v>-323874.28804354486</v>
          </cell>
        </row>
        <row r="35">
          <cell r="H35">
            <v>-337113.77909158252</v>
          </cell>
        </row>
        <row r="38">
          <cell r="M38">
            <v>1044757.5275834478</v>
          </cell>
          <cell r="N38">
            <v>1067819.4044297512</v>
          </cell>
          <cell r="O38">
            <v>1083236.3185935253</v>
          </cell>
          <cell r="P38">
            <v>1125518.5116710768</v>
          </cell>
          <cell r="Q38">
            <v>1126424.7829548649</v>
          </cell>
          <cell r="R38">
            <v>1126424.7829548649</v>
          </cell>
        </row>
      </sheetData>
      <sheetData sheetId="20">
        <row r="38">
          <cell r="M38">
            <v>1309044.9442501143</v>
          </cell>
          <cell r="N38">
            <v>1332106.8210964177</v>
          </cell>
          <cell r="O38">
            <v>1347523.7352601918</v>
          </cell>
          <cell r="P38">
            <v>1389805.9283377433</v>
          </cell>
          <cell r="Q38">
            <v>1367256.5329548647</v>
          </cell>
          <cell r="R38">
            <v>1367256.5329548647</v>
          </cell>
        </row>
      </sheetData>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Def Maint Detail"/>
      <sheetName val="Def Maint Bal"/>
      <sheetName val="Def Maint Amort"/>
      <sheetName val="Def Maint Expenditures"/>
    </sheetNames>
    <sheetDataSet>
      <sheetData sheetId="0" refreshError="1"/>
      <sheetData sheetId="1">
        <row r="5">
          <cell r="B5">
            <v>10368643</v>
          </cell>
        </row>
        <row r="23">
          <cell r="B23">
            <v>1500000</v>
          </cell>
        </row>
        <row r="25">
          <cell r="B25">
            <v>4371148.2799999993</v>
          </cell>
        </row>
      </sheetData>
      <sheetData sheetId="2" refreshError="1"/>
      <sheetData sheetId="3" refreshError="1"/>
      <sheetData sheetId="4" refreshError="1">
        <row r="16">
          <cell r="AM16">
            <v>8660331.2540000025</v>
          </cell>
        </row>
        <row r="28">
          <cell r="AM28">
            <v>10368643.493888887</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CWIP-RPs Link Out"/>
      <sheetName val="CWIP-IPs Link Out"/>
      <sheetName val="ACQ- Link Out"/>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nd Actv DevAdv"/>
      <sheetName val="Bal CIAC"/>
      <sheetName val="Bal AFUDC"/>
      <sheetName val="Actv CapExpend"/>
      <sheetName val="Actv PlacedInServc"/>
      <sheetName val="Actv Depr Exp"/>
      <sheetName val="Actv Retire"/>
      <sheetName val="Actv COR"/>
      <sheetName val="Actv CIAC"/>
      <sheetName val="AFUDC Activity"/>
      <sheetName val="AFUDC In-Service"/>
      <sheetName val="Data-Water SCEP by Acct"/>
      <sheetName val="Data Ret Salv COR"/>
      <sheetName val="Data-DevAdv"/>
      <sheetName val="Data CIAC"/>
      <sheetName val="Data-Depr Rates"/>
      <sheetName val="Data AFUDC Rate"/>
      <sheetName val="EXP 16 Depreciation and COR"/>
      <sheetName val="Summary Activity ACQ"/>
      <sheetName val="Activity ACQ1"/>
      <sheetName val="Data ACQ1"/>
      <sheetName val="ACQ1 Detail"/>
      <sheetName val="Activity ACQ2"/>
      <sheetName val="Data ACQ2"/>
      <sheetName val="Data % Capital Spread by Acct"/>
      <sheetName val="SCEP Rate Case Slippage"/>
      <sheetName val="SCEP Rate Case Total"/>
      <sheetName val="SCEP IP Project Info"/>
      <sheetName val="SCEP Rate Case CIAC-Cust Adv"/>
      <sheetName val="Data_DeprAdj_15_Study"/>
      <sheetName val="Data_Account List"/>
      <sheetName val="Data_UPIS COA"/>
      <sheetName val="SAP Acct"/>
      <sheetName val="1 JDE to SAP"/>
      <sheetName val="WS Not Used in Filing"/>
      <sheetName val="Activity UPIS-ACQ"/>
      <sheetName val="Data UPIS-By ACQ"/>
      <sheetName val="Activity Accum Reserve-ACQ"/>
      <sheetName val="Data Accum Reserve-By ACQ"/>
      <sheetName val="EXP 17 Amortization"/>
    </sheetNames>
    <sheetDataSet>
      <sheetData sheetId="0">
        <row r="352">
          <cell r="F352">
            <v>175477230.07999995</v>
          </cell>
        </row>
      </sheetData>
      <sheetData sheetId="1">
        <row r="6">
          <cell r="H6">
            <v>554026</v>
          </cell>
        </row>
        <row r="48">
          <cell r="L48">
            <v>21793</v>
          </cell>
          <cell r="M48">
            <v>10493</v>
          </cell>
          <cell r="N48">
            <v>8587</v>
          </cell>
          <cell r="O48">
            <v>7896</v>
          </cell>
          <cell r="P48">
            <v>8716</v>
          </cell>
          <cell r="Q48">
            <v>9957</v>
          </cell>
          <cell r="R48">
            <v>11101</v>
          </cell>
          <cell r="S48">
            <v>14806</v>
          </cell>
          <cell r="T48">
            <v>11621</v>
          </cell>
          <cell r="U48">
            <v>4044</v>
          </cell>
          <cell r="V48">
            <v>4198</v>
          </cell>
          <cell r="W48">
            <v>4352</v>
          </cell>
        </row>
        <row r="50">
          <cell r="B50">
            <v>1351177</v>
          </cell>
        </row>
        <row r="51">
          <cell r="B51">
            <v>-4563624</v>
          </cell>
        </row>
        <row r="52">
          <cell r="B52">
            <v>-2664890.1265822789</v>
          </cell>
        </row>
        <row r="199">
          <cell r="I199">
            <v>8037944.199487986</v>
          </cell>
          <cell r="L199">
            <v>17623539.990392938</v>
          </cell>
        </row>
        <row r="200">
          <cell r="L200">
            <v>60084.127882371431</v>
          </cell>
        </row>
        <row r="204">
          <cell r="I204">
            <v>2772596.0559626929</v>
          </cell>
        </row>
        <row r="207">
          <cell r="I207">
            <v>1283588.7275149901</v>
          </cell>
        </row>
      </sheetData>
      <sheetData sheetId="2">
        <row r="6">
          <cell r="A6" t="str">
            <v>D12-**01-P</v>
          </cell>
        </row>
      </sheetData>
      <sheetData sheetId="3">
        <row r="6">
          <cell r="A6" t="str">
            <v>I12-020037</v>
          </cell>
        </row>
      </sheetData>
      <sheetData sheetId="4">
        <row r="5">
          <cell r="B5">
            <v>2348828</v>
          </cell>
        </row>
      </sheetData>
      <sheetData sheetId="5"/>
      <sheetData sheetId="6"/>
      <sheetData sheetId="7"/>
      <sheetData sheetId="8"/>
      <sheetData sheetId="9"/>
      <sheetData sheetId="10"/>
      <sheetData sheetId="11"/>
      <sheetData sheetId="12"/>
      <sheetData sheetId="13">
        <row r="1">
          <cell r="B1" t="str">
            <v>Kentucky American Water Company</v>
          </cell>
        </row>
      </sheetData>
      <sheetData sheetId="14">
        <row r="1">
          <cell r="B1" t="str">
            <v>Kentucky American Water Company</v>
          </cell>
        </row>
      </sheetData>
      <sheetData sheetId="15"/>
      <sheetData sheetId="16">
        <row r="1">
          <cell r="B1" t="str">
            <v>Kentucky American Water Company</v>
          </cell>
        </row>
      </sheetData>
      <sheetData sheetId="17">
        <row r="1">
          <cell r="H1" t="str">
            <v>Kentucky American Water Company</v>
          </cell>
        </row>
      </sheetData>
      <sheetData sheetId="18"/>
      <sheetData sheetId="19"/>
      <sheetData sheetId="20">
        <row r="1">
          <cell r="B1" t="str">
            <v>Kentucky American Water Company</v>
          </cell>
        </row>
      </sheetData>
      <sheetData sheetId="21"/>
      <sheetData sheetId="22">
        <row r="1">
          <cell r="B1" t="str">
            <v>Kentucky American Water Company</v>
          </cell>
        </row>
      </sheetData>
      <sheetData sheetId="23"/>
      <sheetData sheetId="24"/>
      <sheetData sheetId="25"/>
      <sheetData sheetId="26"/>
      <sheetData sheetId="27"/>
      <sheetData sheetId="28"/>
      <sheetData sheetId="29"/>
      <sheetData sheetId="30">
        <row r="34">
          <cell r="I34">
            <v>-69802031.480000004</v>
          </cell>
        </row>
      </sheetData>
      <sheetData sheetId="31"/>
      <sheetData sheetId="32">
        <row r="13">
          <cell r="D13">
            <v>0.2495</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row r="24">
          <cell r="D24">
            <v>-221988.96</v>
          </cell>
        </row>
      </sheetData>
      <sheetData sheetId="46"/>
      <sheetData sheetId="47"/>
      <sheetData sheetId="48"/>
      <sheetData sheetId="49">
        <row r="2039">
          <cell r="B2039" t="str">
            <v>252120</v>
          </cell>
        </row>
      </sheetData>
      <sheetData sheetId="50"/>
      <sheetData sheetId="51">
        <row r="1">
          <cell r="B1" t="str">
            <v>Kentucky American Water Company</v>
          </cell>
        </row>
      </sheetData>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O265"/>
  <sheetViews>
    <sheetView zoomScale="70" zoomScaleNormal="70" workbookViewId="0"/>
  </sheetViews>
  <sheetFormatPr defaultColWidth="9.109375" defaultRowHeight="14.4"/>
  <cols>
    <col min="1" max="1" width="55.44140625" style="122" bestFit="1" customWidth="1"/>
    <col min="2" max="2" width="46.44140625" style="123" customWidth="1"/>
    <col min="3" max="3" width="51.6640625" style="122" bestFit="1" customWidth="1"/>
    <col min="4" max="4" width="35" style="122" bestFit="1" customWidth="1"/>
    <col min="5" max="5" width="21" style="122" bestFit="1" customWidth="1"/>
    <col min="6" max="6" width="19.44140625" style="122" bestFit="1" customWidth="1"/>
    <col min="7" max="7" width="15.44140625" style="122" customWidth="1"/>
    <col min="8" max="8" width="16.109375" style="122" bestFit="1" customWidth="1"/>
    <col min="9" max="9" width="22" style="122" bestFit="1" customWidth="1"/>
    <col min="10" max="10" width="16.5546875" style="122" bestFit="1" customWidth="1"/>
    <col min="11" max="11" width="9.109375" style="122"/>
    <col min="12" max="12" width="26.88671875" style="122" bestFit="1" customWidth="1"/>
    <col min="13" max="13" width="16.44140625" style="122" bestFit="1" customWidth="1"/>
    <col min="14" max="14" width="18.44140625" style="122" bestFit="1" customWidth="1"/>
    <col min="15" max="15" width="8.5546875" style="122" customWidth="1"/>
    <col min="16" max="16" width="17.44140625" style="122" bestFit="1" customWidth="1"/>
    <col min="17" max="17" width="1.5546875" style="122" customWidth="1"/>
    <col min="18" max="18" width="17.44140625" style="122" bestFit="1" customWidth="1"/>
    <col min="19" max="19" width="1.5546875" style="122" customWidth="1"/>
    <col min="20" max="20" width="17.44140625" style="122" bestFit="1" customWidth="1"/>
    <col min="21" max="21" width="1.5546875" style="122" customWidth="1"/>
    <col min="22" max="22" width="17.44140625" style="122" bestFit="1" customWidth="1"/>
    <col min="23" max="23" width="1.5546875" style="122" customWidth="1"/>
    <col min="24" max="24" width="17.44140625" style="122" bestFit="1" customWidth="1"/>
    <col min="25" max="25" width="1.5546875" style="122" customWidth="1"/>
    <col min="26" max="26" width="17.44140625" style="122" bestFit="1" customWidth="1"/>
    <col min="27" max="27" width="1.5546875" style="122" customWidth="1"/>
    <col min="28" max="28" width="17.44140625" style="122" bestFit="1" customWidth="1"/>
    <col min="29" max="29" width="1.5546875" style="122" customWidth="1"/>
    <col min="30" max="30" width="17.44140625" style="122" bestFit="1" customWidth="1"/>
    <col min="31" max="31" width="1.5546875" style="122" customWidth="1"/>
    <col min="32" max="32" width="17.44140625" style="122" bestFit="1" customWidth="1"/>
    <col min="33" max="33" width="1.5546875" style="122" customWidth="1"/>
    <col min="34" max="34" width="16.88671875" style="122" bestFit="1" customWidth="1"/>
    <col min="35" max="35" width="1.5546875" style="122" customWidth="1"/>
    <col min="36" max="36" width="17.44140625" style="122" bestFit="1" customWidth="1"/>
    <col min="37" max="37" width="1.5546875" style="122" customWidth="1"/>
    <col min="38" max="38" width="16.88671875" style="122" bestFit="1" customWidth="1"/>
    <col min="39" max="39" width="1.5546875" style="122" customWidth="1"/>
    <col min="40" max="40" width="18.44140625" style="122" bestFit="1" customWidth="1"/>
    <col min="41" max="16384" width="9.109375" style="122"/>
  </cols>
  <sheetData>
    <row r="1" spans="1:40">
      <c r="A1" s="122" t="str">
        <f>+'[1]Rate Case Constants'!$C9</f>
        <v>Kentucky American Water Company</v>
      </c>
    </row>
    <row r="2" spans="1:40">
      <c r="A2" s="303" t="str">
        <f>+'[1]Rate Case Constants'!$C10</f>
        <v>KENTUCKY AMERICAN WATER COMPANY</v>
      </c>
    </row>
    <row r="3" spans="1:40">
      <c r="A3" s="303" t="str">
        <f>+'[1]Rate Case Constants'!$C11</f>
        <v>Case No. 2018-00358</v>
      </c>
    </row>
    <row r="4" spans="1:40">
      <c r="A4" s="341">
        <f>+'[1]Rate Case Constants'!$C$12</f>
        <v>43524</v>
      </c>
      <c r="B4" s="124"/>
    </row>
    <row r="5" spans="1:40">
      <c r="A5" s="303" t="str">
        <f>+'[1]Rate Case Constants'!$C13</f>
        <v>June 30, 2020</v>
      </c>
      <c r="B5" s="125"/>
    </row>
    <row r="6" spans="1:40">
      <c r="A6" s="303" t="str">
        <f>+'[1]Rate Case Constants'!$C14</f>
        <v>For the 12 Months Ending June 30, 2020</v>
      </c>
      <c r="B6" s="125"/>
    </row>
    <row r="7" spans="1:40">
      <c r="A7" s="303" t="str">
        <f>+'[1]Rate Case Constants'!C15</f>
        <v>Base Year for the 12 Months Ended February 28, 2019</v>
      </c>
      <c r="B7" s="303" t="str">
        <f>+'[1]Rate Case Constants'!D15</f>
        <v>Base Year at 2/28/19</v>
      </c>
      <c r="C7" s="303" t="str">
        <f>+'[1]Rate Case Constants'!E15</f>
        <v>Base Year for the 12 Months Ended 2/28/19</v>
      </c>
    </row>
    <row r="8" spans="1:40">
      <c r="A8" s="303" t="str">
        <f>+'[1]Rate Case Constants'!$C16</f>
        <v>Base Year Adjustment</v>
      </c>
      <c r="C8" s="123"/>
    </row>
    <row r="9" spans="1:40">
      <c r="A9" s="303" t="str">
        <f>+'[1]Rate Case Constants'!$C17</f>
        <v>Forecast Year for the 12 Months Ended June 30, 2020</v>
      </c>
      <c r="B9" s="303" t="str">
        <f>+'[1]Rate Case Constants'!D17</f>
        <v>Forecast Year at 6/30/2020</v>
      </c>
      <c r="C9" s="303" t="str">
        <f>+'[1]Rate Case Constants'!E17</f>
        <v>Forecasted Year at Present Rates</v>
      </c>
      <c r="D9" s="303" t="str">
        <f>+'[1]Rate Case Constants'!F17</f>
        <v>Allocated Forecast Year at 6/30/2020</v>
      </c>
      <c r="K9" s="87" t="s">
        <v>131</v>
      </c>
      <c r="X9" s="126">
        <v>0</v>
      </c>
      <c r="Y9" s="126"/>
    </row>
    <row r="10" spans="1:40">
      <c r="A10" s="303" t="str">
        <f>+'[1]Rate Case Constants'!$C18</f>
        <v>Attrition Year Adjustment at Present Rates:</v>
      </c>
      <c r="K10" s="127" t="s">
        <v>132</v>
      </c>
      <c r="L10" s="127" t="s">
        <v>15</v>
      </c>
      <c r="M10" s="127" t="s">
        <v>16</v>
      </c>
      <c r="N10" s="127" t="s">
        <v>6</v>
      </c>
      <c r="O10" s="119" t="s">
        <v>17</v>
      </c>
      <c r="P10" s="128">
        <v>43160</v>
      </c>
      <c r="Q10" s="128"/>
      <c r="R10" s="128">
        <v>43191</v>
      </c>
      <c r="S10" s="128"/>
      <c r="T10" s="128">
        <v>43221</v>
      </c>
      <c r="U10" s="128"/>
      <c r="V10" s="128">
        <v>43252</v>
      </c>
      <c r="W10" s="128"/>
      <c r="X10" s="128">
        <v>43282</v>
      </c>
      <c r="Y10" s="128"/>
      <c r="Z10" s="128">
        <v>43313</v>
      </c>
      <c r="AA10" s="128"/>
      <c r="AB10" s="128">
        <v>43344</v>
      </c>
      <c r="AC10" s="128"/>
      <c r="AD10" s="128">
        <v>43374</v>
      </c>
      <c r="AE10" s="128"/>
      <c r="AF10" s="128">
        <v>43405</v>
      </c>
      <c r="AG10" s="128"/>
      <c r="AH10" s="128">
        <v>43435</v>
      </c>
      <c r="AI10" s="128"/>
      <c r="AJ10" s="128">
        <v>43466</v>
      </c>
      <c r="AK10" s="128"/>
      <c r="AL10" s="128">
        <v>43497</v>
      </c>
      <c r="AM10" s="128"/>
      <c r="AN10" s="127" t="s">
        <v>24</v>
      </c>
    </row>
    <row r="11" spans="1:40">
      <c r="A11" s="303" t="str">
        <f>+'[1]Rate Case Constants'!$C19</f>
        <v>Attrition Year at Present Rates</v>
      </c>
      <c r="B11" s="129"/>
    </row>
    <row r="12" spans="1:40">
      <c r="A12" s="303" t="str">
        <f>+'[1]Rate Case Constants'!$C20</f>
        <v>Adjustments for Proposed Rates:</v>
      </c>
      <c r="B12" s="129"/>
      <c r="M12" s="130"/>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spans="1:40">
      <c r="A13" s="303" t="str">
        <f>+'[1]Rate Case Constants'!$C21</f>
        <v>Attrition Year at Proposed Rates</v>
      </c>
      <c r="B13" s="129"/>
      <c r="M13" s="130"/>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row>
    <row r="14" spans="1:40">
      <c r="M14" s="130"/>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c r="A15" s="342" t="str">
        <f>+'[1]Rate Case Constants'!$C24</f>
        <v>Type of Filing: __X__ Original  _____ Updated  _____ Revised</v>
      </c>
      <c r="B15" s="132"/>
      <c r="M15" s="130"/>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row>
    <row r="16" spans="1:40">
      <c r="A16" s="342" t="str">
        <f>+'[1]Rate Case Constants'!$C25</f>
        <v>Type of Filing: _____ Original  __X__ Updated  _____ Revised</v>
      </c>
      <c r="B16" s="132"/>
      <c r="M16" s="130"/>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row>
    <row r="17" spans="1:40">
      <c r="A17" s="342" t="str">
        <f>+'[1]Rate Case Constants'!$C26</f>
        <v>Type of Filing: _____ Original  _____ Updated  __X__ Revised</v>
      </c>
      <c r="B17" s="132"/>
      <c r="M17" s="130"/>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row>
    <row r="19" spans="1:40" ht="14.25" customHeight="1">
      <c r="A19" s="131" t="str">
        <f>'[1]Rate Case Constants'!$A$30</f>
        <v>Witness Responsible:</v>
      </c>
      <c r="B19" s="132"/>
    </row>
    <row r="20" spans="1:40" s="123" customFormat="1">
      <c r="A20" s="123" t="str">
        <f>'[1]Rate Case Constants'!$C31</f>
        <v>Witness Responsible:   Ann Bulkley</v>
      </c>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row>
    <row r="21" spans="1:40" s="123" customFormat="1">
      <c r="A21" s="123" t="str">
        <f>'[1]Rate Case Constants'!$C32</f>
        <v>Witness Responsible:   Brent O'Neill</v>
      </c>
    </row>
    <row r="22" spans="1:40" s="123" customFormat="1">
      <c r="A22" s="123" t="str">
        <f>'[1]Rate Case Constants'!$C33</f>
        <v>Witness Responsible:   Chuck Rea</v>
      </c>
      <c r="B22" s="133"/>
    </row>
    <row r="23" spans="1:40" s="123" customFormat="1">
      <c r="A23" s="123" t="str">
        <f>'[1]Rate Case Constants'!$C34</f>
        <v>Witness Responsible:   Ed Spitznagel</v>
      </c>
      <c r="B23" s="133"/>
    </row>
    <row r="24" spans="1:40" s="123" customFormat="1">
      <c r="A24" s="123" t="str">
        <f>'[1]Rate Case Constants'!$C39</f>
        <v>Witness Responsible:   Melissa Schwarzell</v>
      </c>
      <c r="B24" s="133"/>
    </row>
    <row r="25" spans="1:40" s="123" customFormat="1">
      <c r="A25" s="123" t="str">
        <f>'[1]Rate Case Constants'!$C36</f>
        <v>Witness Responsible:   Kevin Rogers</v>
      </c>
      <c r="B25" s="133"/>
    </row>
    <row r="26" spans="1:40" s="123" customFormat="1">
      <c r="A26" s="123" t="str">
        <f>'[1]Rate Case Constants'!$C37</f>
        <v>Witness Responsible:   James Pellock</v>
      </c>
      <c r="B26" s="133"/>
    </row>
    <row r="27" spans="1:40" s="123" customFormat="1">
      <c r="A27" s="123" t="str">
        <f>'[1]Rate Case Constants'!$C38</f>
        <v>Witness Responsible:   Robert Mustich</v>
      </c>
      <c r="B27" s="133"/>
    </row>
    <row r="28" spans="1:40" s="123" customFormat="1">
      <c r="A28" s="123" t="str">
        <f>'[1]Rate Case Constants'!$C35</f>
        <v>Witness Responsible:   John Wilde</v>
      </c>
      <c r="B28" s="133"/>
    </row>
    <row r="29" spans="1:40" s="123" customFormat="1">
      <c r="A29" s="123" t="str">
        <f>'[1]Rate Case Constants'!$C40</f>
        <v>Witness Responsible:   Pat Baryenbruch</v>
      </c>
      <c r="B29" s="133"/>
    </row>
    <row r="30" spans="1:40" s="123" customFormat="1">
      <c r="A30" s="123" t="str">
        <f>'[1]Rate Case Constants'!$C41</f>
        <v>Witness Responsible:   Nick Rowe</v>
      </c>
      <c r="B30" s="133"/>
    </row>
    <row r="31" spans="1:40" s="123" customFormat="1">
      <c r="A31" s="123" t="str">
        <f>'[1]Rate Case Constants'!$C42</f>
        <v>Witness Responsible:   Scott Rungren</v>
      </c>
      <c r="B31" s="133"/>
    </row>
    <row r="32" spans="1:40" s="123" customFormat="1">
      <c r="B32" s="133"/>
    </row>
    <row r="33" spans="1:41" s="123" customFormat="1">
      <c r="A33" s="351" t="str">
        <f>+'[1]Link Out WP'!$D$78</f>
        <v>Federal and State Taxes</v>
      </c>
      <c r="B33" s="133"/>
    </row>
    <row r="34" spans="1:41" s="123" customFormat="1">
      <c r="A34" s="299" t="str">
        <f>CONCATENATE(A8, " ", A33)</f>
        <v>Base Year Adjustment Federal and State Taxes</v>
      </c>
      <c r="B34" s="133"/>
    </row>
    <row r="35" spans="1:41">
      <c r="A35" s="87"/>
      <c r="B35" s="133"/>
    </row>
    <row r="36" spans="1:41" s="303" customFormat="1">
      <c r="A36" s="299" t="str">
        <f>'[1]Link Out WP'!$F$78</f>
        <v>W/P - 6-1</v>
      </c>
      <c r="B36" s="133"/>
    </row>
    <row r="37" spans="1:41">
      <c r="A37" s="87" t="str">
        <f>'[1]Link Out Filing Exhibits'!$M$80</f>
        <v>Schedule D-2.3</v>
      </c>
      <c r="B37" s="133"/>
    </row>
    <row r="38" spans="1:41">
      <c r="A38" s="87"/>
      <c r="B38" s="133"/>
    </row>
    <row r="39" spans="1:41">
      <c r="A39" s="87" t="s">
        <v>14</v>
      </c>
      <c r="B39" s="133"/>
      <c r="K39" s="87" t="s">
        <v>133</v>
      </c>
      <c r="X39" s="126"/>
      <c r="Y39" s="126"/>
    </row>
    <row r="40" spans="1:41" hidden="1">
      <c r="A40" s="127" t="s">
        <v>7</v>
      </c>
      <c r="B40" s="127" t="s">
        <v>15</v>
      </c>
      <c r="C40" s="127" t="s">
        <v>16</v>
      </c>
      <c r="D40" s="134"/>
      <c r="E40" s="119" t="s">
        <v>6</v>
      </c>
      <c r="F40" s="134"/>
      <c r="G40" s="119" t="s">
        <v>17</v>
      </c>
      <c r="H40" s="134"/>
      <c r="I40" s="119" t="s">
        <v>8</v>
      </c>
      <c r="J40" s="134"/>
      <c r="K40" s="127" t="s">
        <v>132</v>
      </c>
      <c r="L40" s="127" t="s">
        <v>15</v>
      </c>
      <c r="M40" s="127" t="s">
        <v>16</v>
      </c>
      <c r="N40" s="127" t="s">
        <v>6</v>
      </c>
      <c r="O40" s="119" t="s">
        <v>17</v>
      </c>
      <c r="P40" s="128">
        <v>43647</v>
      </c>
      <c r="Q40" s="128"/>
      <c r="R40" s="128">
        <v>43678</v>
      </c>
      <c r="S40" s="128"/>
      <c r="T40" s="128">
        <v>43709</v>
      </c>
      <c r="U40" s="128"/>
      <c r="V40" s="128">
        <v>43739</v>
      </c>
      <c r="W40" s="128"/>
      <c r="X40" s="128">
        <v>43770</v>
      </c>
      <c r="Y40" s="128"/>
      <c r="Z40" s="128">
        <v>43800</v>
      </c>
      <c r="AA40" s="128"/>
      <c r="AB40" s="128">
        <v>43831</v>
      </c>
      <c r="AC40" s="128"/>
      <c r="AD40" s="128">
        <v>43862</v>
      </c>
      <c r="AE40" s="128"/>
      <c r="AF40" s="128">
        <v>43891</v>
      </c>
      <c r="AG40" s="128"/>
      <c r="AH40" s="128">
        <v>43922</v>
      </c>
      <c r="AI40" s="128"/>
      <c r="AJ40" s="128">
        <v>43952</v>
      </c>
      <c r="AK40" s="128"/>
      <c r="AL40" s="128">
        <v>43983</v>
      </c>
      <c r="AM40" s="128"/>
      <c r="AN40" s="127" t="s">
        <v>24</v>
      </c>
    </row>
    <row r="41" spans="1:41" hidden="1"/>
    <row r="42" spans="1:41" hidden="1">
      <c r="A42" s="303" t="str">
        <f>IFERROR(INDEX('[1]Link Out Monthly BY'!$A$7:$A$517,MATCH($C42,'[1]Link Out Monthly BY'!$C$7:$C$517,0),1),"")</f>
        <v>P02</v>
      </c>
      <c r="B42" s="122" t="str">
        <f>IFERROR(INDEX('[1]Link Out Monthly BY'!$B$7:$B$517,MATCH($C42,'[1]Link Out Monthly BY'!$C$7:$C$517,0),1),"")</f>
        <v>Water revenues - residential</v>
      </c>
      <c r="C42" s="173">
        <v>40111000</v>
      </c>
      <c r="E42" s="303" t="str">
        <f>IFERROR(INDEX('[1]Link Out Monthly BY'!$D$7:$D$517,MATCH($C42,'[1]Link Out Monthly BY'!$C$7:$C$517,0),1),"")</f>
        <v>Res Sales Billed</v>
      </c>
      <c r="G42" s="303" t="str">
        <f>IFERROR(INDEX('[1]Link Out Monthly BY'!$E$7:$E$517,MATCH($C42,'[1]Link Out Monthly BY'!$C$7:$C$517,0),1),"")</f>
        <v>461.1</v>
      </c>
      <c r="I42" s="335">
        <f>IFERROR(INDEX('[1]Link Out Monthly BY'!$R$7:$R$517,MATCH($C42,'[1]Link Out Monthly BY'!$C$7:$C$517,0),1),"")</f>
        <v>-49744539</v>
      </c>
      <c r="K42" s="303" t="str">
        <f>IFERROR(INDEX('[1]Link Out Forecast'!$A$6:$A$266,MATCH($M42,'[1]Link Out Forecast'!$C$6:$C$266,0),1),"")</f>
        <v>P02</v>
      </c>
      <c r="L42" s="122" t="str">
        <f>IFERROR(INDEX('[1]Link Out Forecast'!$B$6:$B$266,MATCH($M42,'[1]Link Out Forecast'!$C$6:$C$266,0),1),"")</f>
        <v>Water revenues - residential</v>
      </c>
      <c r="M42" s="344">
        <v>40111000</v>
      </c>
      <c r="N42" s="303" t="str">
        <f>IFERROR(INDEX('[1]Link Out Forecast'!$D$6:$D$266,MATCH($M42,'[1]Link Out Forecast'!$C$6:$C$266,0),1),"")</f>
        <v>Res Sales Billed</v>
      </c>
      <c r="O42" s="303" t="str">
        <f>IFERROR(INDEX('[1]Link Out Forecast'!$E$6:$E$266,MATCH($M42,'[1]Link Out Forecast'!$C$6:$C$266,0),1),"")</f>
        <v>461.1</v>
      </c>
      <c r="P42" s="347">
        <f>IFERROR(INDEX('[1]Link Out Forecast'!$F$6:$F$266,MATCH($M42,'[1]Link Out Forecast'!$C$6:$C$266,0),1),"")</f>
        <v>-4822203</v>
      </c>
      <c r="Q42" s="126"/>
      <c r="R42" s="347">
        <f>IFERROR(INDEX('[1]Link Out Forecast'!$G$6:$G$266,MATCH($M42,'[1]Link Out Forecast'!$C$6:$C$266,0),1),"")</f>
        <v>-4877443</v>
      </c>
      <c r="S42" s="126"/>
      <c r="T42" s="347">
        <f>IFERROR(INDEX('[1]Link Out Forecast'!$H$6:$H$266,MATCH($M42,'[1]Link Out Forecast'!$C$6:$C$266,0),1),"")</f>
        <v>-4804358</v>
      </c>
      <c r="U42" s="126"/>
      <c r="V42" s="347">
        <f>IFERROR(INDEX('[1]Link Out Forecast'!$I$6:$I$266,MATCH($M42,'[1]Link Out Forecast'!$C$6:$C$266,0),1),"")</f>
        <v>-4632996</v>
      </c>
      <c r="W42" s="126"/>
      <c r="X42" s="347">
        <f>IFERROR(INDEX('[1]Link Out Forecast'!$J$6:$J$266,MATCH($M42,'[1]Link Out Forecast'!$C$6:$C$266,0),1),"")</f>
        <v>-4253254</v>
      </c>
      <c r="Y42" s="126"/>
      <c r="Z42" s="347">
        <f>IFERROR(INDEX('[1]Link Out Forecast'!$K$6:$K$266,MATCH($M42,'[1]Link Out Forecast'!$C$6:$C$266,0),1),"")</f>
        <v>-4297301</v>
      </c>
      <c r="AA42" s="126"/>
      <c r="AB42" s="347">
        <f>IFERROR(INDEX('[1]Link Out Forecast'!$L$6:$L$266,MATCH($M42,'[1]Link Out Forecast'!$C$6:$C$266,0),1),"")</f>
        <v>-4004629</v>
      </c>
      <c r="AC42" s="126"/>
      <c r="AD42" s="347">
        <f>IFERROR(INDEX('[1]Link Out Forecast'!$M$6:$M$266,MATCH($M42,'[1]Link Out Forecast'!$C$6:$C$266,0),1),"")</f>
        <v>-3819181</v>
      </c>
      <c r="AE42" s="126"/>
      <c r="AF42" s="347">
        <f>IFERROR(INDEX('[1]Link Out Forecast'!$N$6:$N$266,MATCH($M42,'[1]Link Out Forecast'!$C$6:$C$266,0),1),"")</f>
        <v>-4033932</v>
      </c>
      <c r="AG42" s="126"/>
      <c r="AH42" s="347">
        <f>IFERROR(INDEX('[1]Link Out Forecast'!$O$6:$O$266,MATCH($M42,'[1]Link Out Forecast'!$C$6:$C$266,0),1),"")</f>
        <v>-4056701</v>
      </c>
      <c r="AI42" s="126"/>
      <c r="AJ42" s="347">
        <f>IFERROR(INDEX('[1]Link Out Forecast'!$P$6:$P$266,MATCH($M42,'[1]Link Out Forecast'!$C$6:$C$266,0),1),"")</f>
        <v>-4419826</v>
      </c>
      <c r="AK42" s="126"/>
      <c r="AL42" s="347">
        <f>IFERROR(INDEX('[1]Link Out Forecast'!$Q$6:$Q$266,MATCH($M42,'[1]Link Out Forecast'!$C$6:$C$266,0),1),"")</f>
        <v>-4593399</v>
      </c>
      <c r="AM42" s="126"/>
      <c r="AN42" s="347">
        <f>IFERROR(INDEX('[1]Link Out Forecast'!$R$6:$R$266,MATCH($M42,'[1]Link Out Forecast'!$C$6:$C$266,0),1),"")</f>
        <v>-52615223</v>
      </c>
      <c r="AO42" s="348">
        <f>SUM(P42:AL42)-AN42</f>
        <v>0</v>
      </c>
    </row>
    <row r="43" spans="1:41" hidden="1">
      <c r="A43" s="303" t="str">
        <f>IFERROR(INDEX('[1]Link Out Monthly BY'!$A$7:$A$517,MATCH($C43,'[1]Link Out Monthly BY'!$C$7:$C$517,0),1),"")</f>
        <v>P02</v>
      </c>
      <c r="B43" s="303" t="str">
        <f>IFERROR(INDEX('[1]Link Out Monthly BY'!$B$7:$B$517,MATCH($C43,'[1]Link Out Monthly BY'!$C$7:$C$517,0),1),"")</f>
        <v>Water revenues - residential</v>
      </c>
      <c r="C43" s="173">
        <v>40111100</v>
      </c>
      <c r="E43" s="303" t="str">
        <f>IFERROR(INDEX('[1]Link Out Monthly BY'!$D$7:$D$517,MATCH($C43,'[1]Link Out Monthly BY'!$C$7:$C$517,0),1),"")</f>
        <v>ResSls Billed Surch</v>
      </c>
      <c r="G43" s="303" t="str">
        <f>IFERROR(INDEX('[1]Link Out Monthly BY'!$E$7:$E$517,MATCH($C43,'[1]Link Out Monthly BY'!$C$7:$C$517,0),1),"")</f>
        <v>461.1</v>
      </c>
      <c r="I43" s="335">
        <f>IFERROR(INDEX('[1]Link Out Monthly BY'!$R$7:$R$517,MATCH($C43,'[1]Link Out Monthly BY'!$C$7:$C$517,0),1),"")</f>
        <v>518</v>
      </c>
      <c r="K43" s="303" t="str">
        <f>IFERROR(INDEX('[1]Link Out Forecast'!$A$6:$A$266,MATCH($M43,'[1]Link Out Forecast'!$C$6:$C$266,0),1),"")</f>
        <v>P03</v>
      </c>
      <c r="L43" s="303" t="str">
        <f>IFERROR(INDEX('[1]Link Out Forecast'!$B$6:$B$266,MATCH($M43,'[1]Link Out Forecast'!$C$6:$C$266,0),1),"")</f>
        <v>Water revenues - commercial</v>
      </c>
      <c r="M43" s="344">
        <v>40121000</v>
      </c>
      <c r="N43" s="303" t="str">
        <f>IFERROR(INDEX('[1]Link Out Forecast'!$D$6:$D$266,MATCH($M43,'[1]Link Out Forecast'!$C$6:$C$266,0),1),"")</f>
        <v>Com Sales Billed</v>
      </c>
      <c r="O43" s="303" t="str">
        <f>IFERROR(INDEX('[1]Link Out Forecast'!$E$6:$E$266,MATCH($M43,'[1]Link Out Forecast'!$C$6:$C$266,0),1),"")</f>
        <v>461.2</v>
      </c>
      <c r="P43" s="347">
        <f>IFERROR(INDEX('[1]Link Out Forecast'!$F$6:$F$266,MATCH($M43,'[1]Link Out Forecast'!$C$6:$C$266,0),1),"")</f>
        <v>-2320632</v>
      </c>
      <c r="Q43" s="126"/>
      <c r="R43" s="347">
        <f>IFERROR(INDEX('[1]Link Out Forecast'!$G$6:$G$266,MATCH($M43,'[1]Link Out Forecast'!$C$6:$C$266,0),1),"")</f>
        <v>-2357964</v>
      </c>
      <c r="S43" s="126"/>
      <c r="T43" s="347">
        <f>IFERROR(INDEX('[1]Link Out Forecast'!$H$6:$H$266,MATCH($M43,'[1]Link Out Forecast'!$C$6:$C$266,0),1),"")</f>
        <v>-2309420</v>
      </c>
      <c r="U43" s="126"/>
      <c r="V43" s="347">
        <f>IFERROR(INDEX('[1]Link Out Forecast'!$I$6:$I$266,MATCH($M43,'[1]Link Out Forecast'!$C$6:$C$266,0),1),"")</f>
        <v>-2228630</v>
      </c>
      <c r="W43" s="126"/>
      <c r="X43" s="347">
        <f>IFERROR(INDEX('[1]Link Out Forecast'!$J$6:$J$266,MATCH($M43,'[1]Link Out Forecast'!$C$6:$C$266,0),1),"")</f>
        <v>-1907030</v>
      </c>
      <c r="Y43" s="126"/>
      <c r="Z43" s="347">
        <f>IFERROR(INDEX('[1]Link Out Forecast'!$K$6:$K$266,MATCH($M43,'[1]Link Out Forecast'!$C$6:$C$266,0),1),"")</f>
        <v>-1826160</v>
      </c>
      <c r="AA43" s="126"/>
      <c r="AB43" s="347">
        <f>IFERROR(INDEX('[1]Link Out Forecast'!$L$6:$L$266,MATCH($M43,'[1]Link Out Forecast'!$C$6:$C$266,0),1),"")</f>
        <v>-1873018</v>
      </c>
      <c r="AC43" s="126"/>
      <c r="AD43" s="347">
        <f>IFERROR(INDEX('[1]Link Out Forecast'!$M$6:$M$266,MATCH($M43,'[1]Link Out Forecast'!$C$6:$C$266,0),1),"")</f>
        <v>-1786281</v>
      </c>
      <c r="AE43" s="126"/>
      <c r="AF43" s="347">
        <f>IFERROR(INDEX('[1]Link Out Forecast'!$N$6:$N$266,MATCH($M43,'[1]Link Out Forecast'!$C$6:$C$266,0),1),"")</f>
        <v>-1886723</v>
      </c>
      <c r="AG43" s="126"/>
      <c r="AH43" s="347">
        <f>IFERROR(INDEX('[1]Link Out Forecast'!$O$6:$O$266,MATCH($M43,'[1]Link Out Forecast'!$C$6:$C$266,0),1),"")</f>
        <v>-1897373</v>
      </c>
      <c r="AI43" s="126"/>
      <c r="AJ43" s="347">
        <f>IFERROR(INDEX('[1]Link Out Forecast'!$P$6:$P$266,MATCH($M43,'[1]Link Out Forecast'!$C$6:$C$266,0),1),"")</f>
        <v>-2067211</v>
      </c>
      <c r="AK43" s="126"/>
      <c r="AL43" s="347">
        <f>IFERROR(INDEX('[1]Link Out Forecast'!$Q$6:$Q$266,MATCH($M43,'[1]Link Out Forecast'!$C$6:$C$266,0),1),"")</f>
        <v>-2148393</v>
      </c>
      <c r="AM43" s="126"/>
      <c r="AN43" s="347">
        <f>IFERROR(INDEX('[1]Link Out Forecast'!$R$6:$R$266,MATCH($M43,'[1]Link Out Forecast'!$C$6:$C$266,0),1),"")</f>
        <v>-24608835</v>
      </c>
      <c r="AO43" s="348">
        <f t="shared" ref="AO43:AO49" si="0">SUM(P43:AL43)-AN43</f>
        <v>0</v>
      </c>
    </row>
    <row r="44" spans="1:41" hidden="1">
      <c r="A44" s="303" t="str">
        <f>IFERROR(INDEX('[1]Link Out Monthly BY'!$A$7:$A$517,MATCH($C44,'[1]Link Out Monthly BY'!$C$7:$C$517,0),1),"")</f>
        <v>P02</v>
      </c>
      <c r="B44" s="303" t="str">
        <f>IFERROR(INDEX('[1]Link Out Monthly BY'!$B$7:$B$517,MATCH($C44,'[1]Link Out Monthly BY'!$C$7:$C$517,0),1),"")</f>
        <v>Water revenues - residential</v>
      </c>
      <c r="C44" s="173">
        <v>40111200</v>
      </c>
      <c r="E44" s="303" t="str">
        <f>IFERROR(INDEX('[1]Link Out Monthly BY'!$D$7:$D$517,MATCH($C44,'[1]Link Out Monthly BY'!$C$7:$C$517,0),1),"")</f>
        <v>ResSls Billed DSIC</v>
      </c>
      <c r="G44" s="303" t="str">
        <f>IFERROR(INDEX('[1]Link Out Monthly BY'!$E$7:$E$517,MATCH($C44,'[1]Link Out Monthly BY'!$C$7:$C$517,0),1),"")</f>
        <v>461.1</v>
      </c>
      <c r="I44" s="335">
        <f>IFERROR(INDEX('[1]Link Out Monthly BY'!$R$7:$R$517,MATCH($C44,'[1]Link Out Monthly BY'!$C$7:$C$517,0),1),"")</f>
        <v>456</v>
      </c>
      <c r="K44" s="303" t="str">
        <f>IFERROR(INDEX('[1]Link Out Forecast'!$A$6:$A$266,MATCH($M44,'[1]Link Out Forecast'!$C$6:$C$266,0),1),"")</f>
        <v>P04</v>
      </c>
      <c r="L44" s="303" t="str">
        <f>IFERROR(INDEX('[1]Link Out Forecast'!$B$6:$B$266,MATCH($M44,'[1]Link Out Forecast'!$C$6:$C$266,0),1),"")</f>
        <v>Water revenues - industrial</v>
      </c>
      <c r="M44" s="344">
        <v>40131000</v>
      </c>
      <c r="N44" s="303" t="str">
        <f>IFERROR(INDEX('[1]Link Out Forecast'!$D$6:$D$266,MATCH($M44,'[1]Link Out Forecast'!$C$6:$C$266,0),1),"")</f>
        <v>Ind Sales Billed</v>
      </c>
      <c r="O44" s="303" t="str">
        <f>IFERROR(INDEX('[1]Link Out Forecast'!$E$6:$E$266,MATCH($M44,'[1]Link Out Forecast'!$C$6:$C$266,0),1),"")</f>
        <v>461.3</v>
      </c>
      <c r="P44" s="347">
        <f>IFERROR(INDEX('[1]Link Out Forecast'!$F$6:$F$266,MATCH($M44,'[1]Link Out Forecast'!$C$6:$C$266,0),1),"")</f>
        <v>-256653</v>
      </c>
      <c r="Q44" s="126"/>
      <c r="R44" s="347">
        <f>IFERROR(INDEX('[1]Link Out Forecast'!$G$6:$G$266,MATCH($M44,'[1]Link Out Forecast'!$C$6:$C$266,0),1),"")</f>
        <v>-268543</v>
      </c>
      <c r="S44" s="126"/>
      <c r="T44" s="347">
        <f>IFERROR(INDEX('[1]Link Out Forecast'!$H$6:$H$266,MATCH($M44,'[1]Link Out Forecast'!$C$6:$C$266,0),1),"")</f>
        <v>-249030</v>
      </c>
      <c r="U44" s="126"/>
      <c r="V44" s="347">
        <f>IFERROR(INDEX('[1]Link Out Forecast'!$I$6:$I$266,MATCH($M44,'[1]Link Out Forecast'!$C$6:$C$266,0),1),"")</f>
        <v>-247186</v>
      </c>
      <c r="W44" s="126"/>
      <c r="X44" s="347">
        <f>IFERROR(INDEX('[1]Link Out Forecast'!$J$6:$J$266,MATCH($M44,'[1]Link Out Forecast'!$C$6:$C$266,0),1),"")</f>
        <v>-211977</v>
      </c>
      <c r="Y44" s="126"/>
      <c r="Z44" s="347">
        <f>IFERROR(INDEX('[1]Link Out Forecast'!$K$6:$K$266,MATCH($M44,'[1]Link Out Forecast'!$C$6:$C$266,0),1),"")</f>
        <v>-192847</v>
      </c>
      <c r="AA44" s="126"/>
      <c r="AB44" s="347">
        <f>IFERROR(INDEX('[1]Link Out Forecast'!$L$6:$L$266,MATCH($M44,'[1]Link Out Forecast'!$C$6:$C$266,0),1),"")</f>
        <v>-206286</v>
      </c>
      <c r="AC44" s="126"/>
      <c r="AD44" s="347">
        <f>IFERROR(INDEX('[1]Link Out Forecast'!$M$6:$M$266,MATCH($M44,'[1]Link Out Forecast'!$C$6:$C$266,0),1),"")</f>
        <v>-196733</v>
      </c>
      <c r="AE44" s="126"/>
      <c r="AF44" s="347">
        <f>IFERROR(INDEX('[1]Link Out Forecast'!$N$6:$N$266,MATCH($M44,'[1]Link Out Forecast'!$C$6:$C$266,0),1),"")</f>
        <v>-207795</v>
      </c>
      <c r="AG44" s="126"/>
      <c r="AH44" s="347">
        <f>IFERROR(INDEX('[1]Link Out Forecast'!$O$6:$O$266,MATCH($M44,'[1]Link Out Forecast'!$C$6:$C$266,0),1),"")</f>
        <v>-208968</v>
      </c>
      <c r="AI44" s="126"/>
      <c r="AJ44" s="347">
        <f>IFERROR(INDEX('[1]Link Out Forecast'!$P$6:$P$266,MATCH($M44,'[1]Link Out Forecast'!$C$6:$C$266,0),1),"")</f>
        <v>-227673</v>
      </c>
      <c r="AK44" s="126"/>
      <c r="AL44" s="347">
        <f>IFERROR(INDEX('[1]Link Out Forecast'!$Q$6:$Q$266,MATCH($M44,'[1]Link Out Forecast'!$C$6:$C$266,0),1),"")</f>
        <v>-236614</v>
      </c>
      <c r="AM44" s="126"/>
      <c r="AN44" s="347">
        <f>IFERROR(INDEX('[1]Link Out Forecast'!$R$6:$R$266,MATCH($M44,'[1]Link Out Forecast'!$C$6:$C$266,0),1),"")</f>
        <v>-2710305</v>
      </c>
      <c r="AO44" s="348">
        <f t="shared" si="0"/>
        <v>0</v>
      </c>
    </row>
    <row r="45" spans="1:41" hidden="1">
      <c r="A45" s="303" t="str">
        <f>IFERROR(INDEX('[1]Link Out Monthly BY'!$A$7:$A$517,MATCH($C45,'[1]Link Out Monthly BY'!$C$7:$C$517,0),1),"")</f>
        <v>P02</v>
      </c>
      <c r="B45" s="303" t="str">
        <f>IFERROR(INDEX('[1]Link Out Monthly BY'!$B$7:$B$517,MATCH($C45,'[1]Link Out Monthly BY'!$C$7:$C$517,0),1),"")</f>
        <v>Water revenues - residential</v>
      </c>
      <c r="C45" s="173">
        <v>40112000</v>
      </c>
      <c r="E45" s="303" t="str">
        <f>IFERROR(INDEX('[1]Link Out Monthly BY'!$D$7:$D$517,MATCH($C45,'[1]Link Out Monthly BY'!$C$7:$C$517,0),1),"")</f>
        <v>Res Sales Unbilled</v>
      </c>
      <c r="G45" s="303" t="str">
        <f>IFERROR(INDEX('[1]Link Out Monthly BY'!$E$7:$E$517,MATCH($C45,'[1]Link Out Monthly BY'!$C$7:$C$517,0),1),"")</f>
        <v>461.1</v>
      </c>
      <c r="I45" s="335">
        <f>IFERROR(INDEX('[1]Link Out Monthly BY'!$R$7:$R$517,MATCH($C45,'[1]Link Out Monthly BY'!$C$7:$C$517,0),1),"")</f>
        <v>-416113</v>
      </c>
      <c r="K45" s="303" t="str">
        <f>IFERROR(INDEX('[1]Link Out Forecast'!$A$6:$A$266,MATCH($M45,'[1]Link Out Forecast'!$C$6:$C$266,0),1),"")</f>
        <v>P05</v>
      </c>
      <c r="L45" s="303" t="str">
        <f>IFERROR(INDEX('[1]Link Out Forecast'!$B$6:$B$266,MATCH($M45,'[1]Link Out Forecast'!$C$6:$C$266,0),1),"")</f>
        <v>Water revenues - public fire</v>
      </c>
      <c r="M45" s="344">
        <v>40141000</v>
      </c>
      <c r="N45" s="303" t="str">
        <f>IFERROR(INDEX('[1]Link Out Forecast'!$D$6:$D$266,MATCH($M45,'[1]Link Out Forecast'!$C$6:$C$266,0),1),"")</f>
        <v>Publ Fire Billed</v>
      </c>
      <c r="O45" s="303" t="str">
        <f>IFERROR(INDEX('[1]Link Out Forecast'!$E$6:$E$266,MATCH($M45,'[1]Link Out Forecast'!$C$6:$C$266,0),1),"")</f>
        <v>462.1</v>
      </c>
      <c r="P45" s="347">
        <f>IFERROR(INDEX('[1]Link Out Forecast'!$F$6:$F$266,MATCH($M45,'[1]Link Out Forecast'!$C$6:$C$266,0),1),"")</f>
        <v>-362815</v>
      </c>
      <c r="Q45" s="126"/>
      <c r="R45" s="347">
        <f>IFERROR(INDEX('[1]Link Out Forecast'!$G$6:$G$266,MATCH($M45,'[1]Link Out Forecast'!$C$6:$C$266,0),1),"")</f>
        <v>-362635</v>
      </c>
      <c r="S45" s="126"/>
      <c r="T45" s="347">
        <f>IFERROR(INDEX('[1]Link Out Forecast'!$H$6:$H$266,MATCH($M45,'[1]Link Out Forecast'!$C$6:$C$266,0),1),"")</f>
        <v>-362635</v>
      </c>
      <c r="U45" s="126"/>
      <c r="V45" s="347">
        <f>IFERROR(INDEX('[1]Link Out Forecast'!$I$6:$I$266,MATCH($M45,'[1]Link Out Forecast'!$C$6:$C$266,0),1),"")</f>
        <v>-362995</v>
      </c>
      <c r="W45" s="126"/>
      <c r="X45" s="347">
        <f>IFERROR(INDEX('[1]Link Out Forecast'!$J$6:$J$266,MATCH($M45,'[1]Link Out Forecast'!$C$6:$C$266,0),1),"")</f>
        <v>-363309</v>
      </c>
      <c r="Y45" s="126"/>
      <c r="Z45" s="347">
        <f>IFERROR(INDEX('[1]Link Out Forecast'!$K$6:$K$266,MATCH($M45,'[1]Link Out Forecast'!$C$6:$C$266,0),1),"")</f>
        <v>-363264</v>
      </c>
      <c r="AA45" s="126"/>
      <c r="AB45" s="347">
        <f>IFERROR(INDEX('[1]Link Out Forecast'!$L$6:$L$266,MATCH($M45,'[1]Link Out Forecast'!$C$6:$C$266,0),1),"")</f>
        <v>-314968</v>
      </c>
      <c r="AC45" s="126"/>
      <c r="AD45" s="347">
        <f>IFERROR(INDEX('[1]Link Out Forecast'!$M$6:$M$266,MATCH($M45,'[1]Link Out Forecast'!$C$6:$C$266,0),1),"")</f>
        <v>-300382</v>
      </c>
      <c r="AE45" s="126"/>
      <c r="AF45" s="347">
        <f>IFERROR(INDEX('[1]Link Out Forecast'!$N$6:$N$266,MATCH($M45,'[1]Link Out Forecast'!$C$6:$C$266,0),1),"")</f>
        <v>-317273</v>
      </c>
      <c r="AG45" s="126"/>
      <c r="AH45" s="347">
        <f>IFERROR(INDEX('[1]Link Out Forecast'!$O$6:$O$266,MATCH($M45,'[1]Link Out Forecast'!$C$6:$C$266,0),1),"")</f>
        <v>-319064</v>
      </c>
      <c r="AI45" s="126"/>
      <c r="AJ45" s="347">
        <f>IFERROR(INDEX('[1]Link Out Forecast'!$P$6:$P$266,MATCH($M45,'[1]Link Out Forecast'!$C$6:$C$266,0),1),"")</f>
        <v>-347624</v>
      </c>
      <c r="AK45" s="126"/>
      <c r="AL45" s="347">
        <f>IFERROR(INDEX('[1]Link Out Forecast'!$Q$6:$Q$266,MATCH($M45,'[1]Link Out Forecast'!$C$6:$C$266,0),1),"")</f>
        <v>-361275</v>
      </c>
      <c r="AM45" s="126"/>
      <c r="AN45" s="347">
        <f>IFERROR(INDEX('[1]Link Out Forecast'!$R$6:$R$266,MATCH($M45,'[1]Link Out Forecast'!$C$6:$C$266,0),1),"")</f>
        <v>-4138239</v>
      </c>
      <c r="AO45" s="348">
        <f t="shared" si="0"/>
        <v>0</v>
      </c>
    </row>
    <row r="46" spans="1:41" hidden="1">
      <c r="A46" s="303" t="str">
        <f>IFERROR(INDEX('[1]Link Out Monthly BY'!$A$7:$A$517,MATCH($C46,'[1]Link Out Monthly BY'!$C$7:$C$517,0),1),"")</f>
        <v>P03</v>
      </c>
      <c r="B46" s="303" t="str">
        <f>IFERROR(INDEX('[1]Link Out Monthly BY'!$B$7:$B$517,MATCH($C46,'[1]Link Out Monthly BY'!$C$7:$C$517,0),1),"")</f>
        <v>Water revenues - commercial</v>
      </c>
      <c r="C46" s="344">
        <v>40121000</v>
      </c>
      <c r="E46" s="303" t="str">
        <f>IFERROR(INDEX('[1]Link Out Monthly BY'!$D$7:$D$517,MATCH($C46,'[1]Link Out Monthly BY'!$C$7:$C$517,0),1),"")</f>
        <v>Com Sales Billed</v>
      </c>
      <c r="G46" s="303" t="str">
        <f>IFERROR(INDEX('[1]Link Out Monthly BY'!$E$7:$E$517,MATCH($C46,'[1]Link Out Monthly BY'!$C$7:$C$517,0),1),"")</f>
        <v>461.2</v>
      </c>
      <c r="I46" s="335">
        <f>IFERROR(INDEX('[1]Link Out Monthly BY'!$R$7:$R$517,MATCH($C46,'[1]Link Out Monthly BY'!$C$7:$C$517,0),1),"")</f>
        <v>-22628762</v>
      </c>
      <c r="K46" s="303" t="str">
        <f>IFERROR(INDEX('[1]Link Out Forecast'!$A$6:$A$266,MATCH($M46,'[1]Link Out Forecast'!$C$6:$C$266,0),1),"")</f>
        <v>P06</v>
      </c>
      <c r="L46" s="303" t="str">
        <f>IFERROR(INDEX('[1]Link Out Forecast'!$B$6:$B$266,MATCH($M46,'[1]Link Out Forecast'!$C$6:$C$266,0),1),"")</f>
        <v>Water revenues - private fire</v>
      </c>
      <c r="M46" s="344">
        <v>40145000</v>
      </c>
      <c r="N46" s="303" t="str">
        <f>IFERROR(INDEX('[1]Link Out Forecast'!$D$6:$D$266,MATCH($M46,'[1]Link Out Forecast'!$C$6:$C$266,0),1),"")</f>
        <v>Priv Fire Billed</v>
      </c>
      <c r="O46" s="303" t="str">
        <f>IFERROR(INDEX('[1]Link Out Forecast'!$E$6:$E$266,MATCH($M46,'[1]Link Out Forecast'!$C$6:$C$266,0),1),"")</f>
        <v>462.2</v>
      </c>
      <c r="P46" s="347">
        <f>IFERROR(INDEX('[1]Link Out Forecast'!$F$6:$F$266,MATCH($M46,'[1]Link Out Forecast'!$C$6:$C$266,0),1),"")</f>
        <v>-240530</v>
      </c>
      <c r="Q46" s="126"/>
      <c r="R46" s="347">
        <f>IFERROR(INDEX('[1]Link Out Forecast'!$G$6:$G$266,MATCH($M46,'[1]Link Out Forecast'!$C$6:$C$266,0),1),"")</f>
        <v>-240530</v>
      </c>
      <c r="S46" s="126"/>
      <c r="T46" s="347">
        <f>IFERROR(INDEX('[1]Link Out Forecast'!$H$6:$H$266,MATCH($M46,'[1]Link Out Forecast'!$C$6:$C$266,0),1),"")</f>
        <v>-240530</v>
      </c>
      <c r="U46" s="126"/>
      <c r="V46" s="347">
        <f>IFERROR(INDEX('[1]Link Out Forecast'!$I$6:$I$266,MATCH($M46,'[1]Link Out Forecast'!$C$6:$C$266,0),1),"")</f>
        <v>-240530</v>
      </c>
      <c r="W46" s="126"/>
      <c r="X46" s="347">
        <f>IFERROR(INDEX('[1]Link Out Forecast'!$J$6:$J$266,MATCH($M46,'[1]Link Out Forecast'!$C$6:$C$266,0),1),"")</f>
        <v>-240530</v>
      </c>
      <c r="Y46" s="126"/>
      <c r="Z46" s="347">
        <f>IFERROR(INDEX('[1]Link Out Forecast'!$K$6:$K$266,MATCH($M46,'[1]Link Out Forecast'!$C$6:$C$266,0),1),"")</f>
        <v>-240530</v>
      </c>
      <c r="AA46" s="126"/>
      <c r="AB46" s="347">
        <f>IFERROR(INDEX('[1]Link Out Forecast'!$L$6:$L$266,MATCH($M46,'[1]Link Out Forecast'!$C$6:$C$266,0),1),"")</f>
        <v>-208736</v>
      </c>
      <c r="AC46" s="126"/>
      <c r="AD46" s="347">
        <f>IFERROR(INDEX('[1]Link Out Forecast'!$M$6:$M$266,MATCH($M46,'[1]Link Out Forecast'!$C$6:$C$266,0),1),"")</f>
        <v>-199070</v>
      </c>
      <c r="AE46" s="126"/>
      <c r="AF46" s="347">
        <f>IFERROR(INDEX('[1]Link Out Forecast'!$N$6:$N$266,MATCH($M46,'[1]Link Out Forecast'!$C$6:$C$266,0),1),"")</f>
        <v>-210264</v>
      </c>
      <c r="AG46" s="126"/>
      <c r="AH46" s="347">
        <f>IFERROR(INDEX('[1]Link Out Forecast'!$O$6:$O$266,MATCH($M46,'[1]Link Out Forecast'!$C$6:$C$266,0),1),"")</f>
        <v>-211451</v>
      </c>
      <c r="AI46" s="126"/>
      <c r="AJ46" s="347">
        <f>IFERROR(INDEX('[1]Link Out Forecast'!$P$6:$P$266,MATCH($M46,'[1]Link Out Forecast'!$C$6:$C$266,0),1),"")</f>
        <v>-230378</v>
      </c>
      <c r="AK46" s="126"/>
      <c r="AL46" s="347">
        <f>IFERROR(INDEX('[1]Link Out Forecast'!$Q$6:$Q$266,MATCH($M46,'[1]Link Out Forecast'!$C$6:$C$266,0),1),"")</f>
        <v>-239425</v>
      </c>
      <c r="AM46" s="126"/>
      <c r="AN46" s="347">
        <f>IFERROR(INDEX('[1]Link Out Forecast'!$R$6:$R$266,MATCH($M46,'[1]Link Out Forecast'!$C$6:$C$266,0),1),"")</f>
        <v>-2742504</v>
      </c>
      <c r="AO46" s="348">
        <f t="shared" si="0"/>
        <v>0</v>
      </c>
    </row>
    <row r="47" spans="1:41" hidden="1">
      <c r="A47" s="303" t="str">
        <f>IFERROR(INDEX('[1]Link Out Monthly BY'!$A$7:$A$517,MATCH($C47,'[1]Link Out Monthly BY'!$C$7:$C$517,0),1),"")</f>
        <v>P03</v>
      </c>
      <c r="B47" s="303" t="str">
        <f>IFERROR(INDEX('[1]Link Out Monthly BY'!$B$7:$B$517,MATCH($C47,'[1]Link Out Monthly BY'!$C$7:$C$517,0),1),"")</f>
        <v>Water revenues - commercial</v>
      </c>
      <c r="C47" s="344">
        <v>40122000</v>
      </c>
      <c r="E47" s="303" t="str">
        <f>IFERROR(INDEX('[1]Link Out Monthly BY'!$D$7:$D$517,MATCH($C47,'[1]Link Out Monthly BY'!$C$7:$C$517,0),1),"")</f>
        <v>Com Sales Unbilled</v>
      </c>
      <c r="G47" s="303" t="str">
        <f>IFERROR(INDEX('[1]Link Out Monthly BY'!$E$7:$E$517,MATCH($C47,'[1]Link Out Monthly BY'!$C$7:$C$517,0),1),"")</f>
        <v>461.2</v>
      </c>
      <c r="I47" s="335">
        <f>IFERROR(INDEX('[1]Link Out Monthly BY'!$R$7:$R$517,MATCH($C47,'[1]Link Out Monthly BY'!$C$7:$C$517,0),1),"")</f>
        <v>-427146</v>
      </c>
      <c r="K47" s="303" t="str">
        <f>IFERROR(INDEX('[1]Link Out Forecast'!$A$6:$A$266,MATCH($M47,'[1]Link Out Forecast'!$C$6:$C$266,0),1),"")</f>
        <v>P07</v>
      </c>
      <c r="L47" s="303" t="str">
        <f>IFERROR(INDEX('[1]Link Out Forecast'!$B$6:$B$266,MATCH($M47,'[1]Link Out Forecast'!$C$6:$C$266,0),1),"")</f>
        <v>Water revenues - public authority</v>
      </c>
      <c r="M47" s="344">
        <v>40151000</v>
      </c>
      <c r="N47" s="303" t="str">
        <f>IFERROR(INDEX('[1]Link Out Forecast'!$D$6:$D$266,MATCH($M47,'[1]Link Out Forecast'!$C$6:$C$266,0),1),"")</f>
        <v>Publ Auth Billed</v>
      </c>
      <c r="O47" s="303" t="str">
        <f>IFERROR(INDEX('[1]Link Out Forecast'!$E$6:$E$266,MATCH($M47,'[1]Link Out Forecast'!$C$6:$C$266,0),1),"")</f>
        <v>461.4</v>
      </c>
      <c r="P47" s="347">
        <f>IFERROR(INDEX('[1]Link Out Forecast'!$F$6:$F$266,MATCH($M47,'[1]Link Out Forecast'!$C$6:$C$266,0),1),"")</f>
        <v>-711082</v>
      </c>
      <c r="Q47" s="126"/>
      <c r="R47" s="347">
        <f>IFERROR(INDEX('[1]Link Out Forecast'!$G$6:$G$266,MATCH($M47,'[1]Link Out Forecast'!$C$6:$C$266,0),1),"")</f>
        <v>-734310</v>
      </c>
      <c r="S47" s="126"/>
      <c r="T47" s="347">
        <f>IFERROR(INDEX('[1]Link Out Forecast'!$H$6:$H$266,MATCH($M47,'[1]Link Out Forecast'!$C$6:$C$266,0),1),"")</f>
        <v>-664796</v>
      </c>
      <c r="U47" s="126"/>
      <c r="V47" s="347">
        <f>IFERROR(INDEX('[1]Link Out Forecast'!$I$6:$I$266,MATCH($M47,'[1]Link Out Forecast'!$C$6:$C$266,0),1),"")</f>
        <v>-588305</v>
      </c>
      <c r="W47" s="126"/>
      <c r="X47" s="347">
        <f>IFERROR(INDEX('[1]Link Out Forecast'!$J$6:$J$266,MATCH($M47,'[1]Link Out Forecast'!$C$6:$C$266,0),1),"")</f>
        <v>-478566</v>
      </c>
      <c r="Y47" s="126"/>
      <c r="Z47" s="347">
        <f>IFERROR(INDEX('[1]Link Out Forecast'!$K$6:$K$266,MATCH($M47,'[1]Link Out Forecast'!$C$6:$C$266,0),1),"")</f>
        <v>-440578</v>
      </c>
      <c r="AA47" s="126"/>
      <c r="AB47" s="347">
        <f>IFERROR(INDEX('[1]Link Out Forecast'!$L$6:$L$266,MATCH($M47,'[1]Link Out Forecast'!$C$6:$C$266,0),1),"")</f>
        <v>-523242</v>
      </c>
      <c r="AC47" s="126"/>
      <c r="AD47" s="347">
        <f>IFERROR(INDEX('[1]Link Out Forecast'!$M$6:$M$266,MATCH($M47,'[1]Link Out Forecast'!$C$6:$C$266,0),1),"")</f>
        <v>-499011</v>
      </c>
      <c r="AE47" s="126"/>
      <c r="AF47" s="347">
        <f>IFERROR(INDEX('[1]Link Out Forecast'!$N$6:$N$266,MATCH($M47,'[1]Link Out Forecast'!$C$6:$C$266,0),1),"")</f>
        <v>-527071</v>
      </c>
      <c r="AG47" s="126"/>
      <c r="AH47" s="347">
        <f>IFERROR(INDEX('[1]Link Out Forecast'!$O$6:$O$266,MATCH($M47,'[1]Link Out Forecast'!$C$6:$C$266,0),1),"")</f>
        <v>-530046</v>
      </c>
      <c r="AI47" s="126"/>
      <c r="AJ47" s="347">
        <f>IFERROR(INDEX('[1]Link Out Forecast'!$P$6:$P$266,MATCH($M47,'[1]Link Out Forecast'!$C$6:$C$266,0),1),"")</f>
        <v>-577492</v>
      </c>
      <c r="AK47" s="126"/>
      <c r="AL47" s="347">
        <f>IFERROR(INDEX('[1]Link Out Forecast'!$Q$6:$Q$266,MATCH($M47,'[1]Link Out Forecast'!$C$6:$C$266,0),1),"")</f>
        <v>-600170</v>
      </c>
      <c r="AM47" s="126"/>
      <c r="AN47" s="347">
        <f>IFERROR(INDEX('[1]Link Out Forecast'!$R$6:$R$266,MATCH($M47,'[1]Link Out Forecast'!$C$6:$C$266,0),1),"")</f>
        <v>-6874669</v>
      </c>
      <c r="AO47" s="348">
        <f t="shared" si="0"/>
        <v>0</v>
      </c>
    </row>
    <row r="48" spans="1:41" hidden="1">
      <c r="A48" s="303" t="str">
        <f>IFERROR(INDEX('[1]Link Out Monthly BY'!$A$7:$A$517,MATCH($C48,'[1]Link Out Monthly BY'!$C$7:$C$517,0),1),"")</f>
        <v>P04</v>
      </c>
      <c r="B48" s="303" t="str">
        <f>IFERROR(INDEX('[1]Link Out Monthly BY'!$B$7:$B$517,MATCH($C48,'[1]Link Out Monthly BY'!$C$7:$C$517,0),1),"")</f>
        <v>Water revenues - industrial</v>
      </c>
      <c r="C48" s="344">
        <v>40131000</v>
      </c>
      <c r="E48" s="303" t="str">
        <f>IFERROR(INDEX('[1]Link Out Monthly BY'!$D$7:$D$517,MATCH($C48,'[1]Link Out Monthly BY'!$C$7:$C$517,0),1),"")</f>
        <v>Ind Sales Billed</v>
      </c>
      <c r="G48" s="303" t="str">
        <f>IFERROR(INDEX('[1]Link Out Monthly BY'!$E$7:$E$517,MATCH($C48,'[1]Link Out Monthly BY'!$C$7:$C$517,0),1),"")</f>
        <v>461.3</v>
      </c>
      <c r="I48" s="335">
        <f>IFERROR(INDEX('[1]Link Out Monthly BY'!$R$7:$R$517,MATCH($C48,'[1]Link Out Monthly BY'!$C$7:$C$517,0),1),"")</f>
        <v>-2813213</v>
      </c>
      <c r="K48" s="303" t="str">
        <f>IFERROR(INDEX('[1]Link Out Forecast'!$A$6:$A$266,MATCH($M48,'[1]Link Out Forecast'!$C$6:$C$266,0),1),"")</f>
        <v>P08</v>
      </c>
      <c r="L48" s="303" t="str">
        <f>IFERROR(INDEX('[1]Link Out Forecast'!$B$6:$B$266,MATCH($M48,'[1]Link Out Forecast'!$C$6:$C$266,0),1),"")</f>
        <v>Water revenues - sales for resale</v>
      </c>
      <c r="M48" s="344">
        <v>40161000</v>
      </c>
      <c r="N48" s="303" t="str">
        <f>IFERROR(INDEX('[1]Link Out Forecast'!$D$6:$D$266,MATCH($M48,'[1]Link Out Forecast'!$C$6:$C$266,0),1),"")</f>
        <v>Sls/Rsle Billed</v>
      </c>
      <c r="O48" s="303" t="str">
        <f>IFERROR(INDEX('[1]Link Out Forecast'!$E$6:$E$266,MATCH($M48,'[1]Link Out Forecast'!$C$6:$C$266,0),1),"")</f>
        <v>466.</v>
      </c>
      <c r="P48" s="347">
        <f>IFERROR(INDEX('[1]Link Out Forecast'!$F$6:$F$266,MATCH($M48,'[1]Link Out Forecast'!$C$6:$C$266,0),1),"")</f>
        <v>-211217</v>
      </c>
      <c r="Q48" s="135"/>
      <c r="R48" s="347">
        <f>IFERROR(INDEX('[1]Link Out Forecast'!$G$6:$G$266,MATCH($M48,'[1]Link Out Forecast'!$C$6:$C$266,0),1),"")</f>
        <v>-220411</v>
      </c>
      <c r="S48" s="135"/>
      <c r="T48" s="347">
        <f>IFERROR(INDEX('[1]Link Out Forecast'!$H$6:$H$266,MATCH($M48,'[1]Link Out Forecast'!$C$6:$C$266,0),1),"")</f>
        <v>-209597</v>
      </c>
      <c r="U48" s="135"/>
      <c r="V48" s="347">
        <f>IFERROR(INDEX('[1]Link Out Forecast'!$I$6:$I$266,MATCH($M48,'[1]Link Out Forecast'!$C$6:$C$266,0),1),"")</f>
        <v>-191003</v>
      </c>
      <c r="W48" s="135"/>
      <c r="X48" s="347">
        <f>IFERROR(INDEX('[1]Link Out Forecast'!$J$6:$J$266,MATCH($M48,'[1]Link Out Forecast'!$C$6:$C$266,0),1),"")</f>
        <v>-156868</v>
      </c>
      <c r="Y48" s="135"/>
      <c r="Z48" s="347">
        <f>IFERROR(INDEX('[1]Link Out Forecast'!$K$6:$K$266,MATCH($M48,'[1]Link Out Forecast'!$C$6:$C$266,0),1),"")</f>
        <v>-156497</v>
      </c>
      <c r="AA48" s="135"/>
      <c r="AB48" s="347">
        <f>IFERROR(INDEX('[1]Link Out Forecast'!$L$6:$L$266,MATCH($M48,'[1]Link Out Forecast'!$C$6:$C$266,0),1),"")</f>
        <v>-165694</v>
      </c>
      <c r="AC48" s="135"/>
      <c r="AD48" s="347">
        <f>IFERROR(INDEX('[1]Link Out Forecast'!$M$6:$M$266,MATCH($M48,'[1]Link Out Forecast'!$C$6:$C$266,0),1),"")</f>
        <v>-158021</v>
      </c>
      <c r="AE48" s="135"/>
      <c r="AF48" s="347">
        <f>IFERROR(INDEX('[1]Link Out Forecast'!$N$6:$N$266,MATCH($M48,'[1]Link Out Forecast'!$C$6:$C$266,0),1),"")</f>
        <v>-166907</v>
      </c>
      <c r="AG48" s="135"/>
      <c r="AH48" s="347">
        <f>IFERROR(INDEX('[1]Link Out Forecast'!$O$6:$O$266,MATCH($M48,'[1]Link Out Forecast'!$C$6:$C$266,0),1),"")</f>
        <v>-167849</v>
      </c>
      <c r="AI48" s="135"/>
      <c r="AJ48" s="347">
        <f>IFERROR(INDEX('[1]Link Out Forecast'!$P$6:$P$266,MATCH($M48,'[1]Link Out Forecast'!$C$6:$C$266,0),1),"")</f>
        <v>-182874</v>
      </c>
      <c r="AK48" s="135"/>
      <c r="AL48" s="347">
        <f>IFERROR(INDEX('[1]Link Out Forecast'!$Q$6:$Q$266,MATCH($M48,'[1]Link Out Forecast'!$C$6:$C$266,0),1),"")</f>
        <v>-190055</v>
      </c>
      <c r="AM48" s="135"/>
      <c r="AN48" s="347">
        <f>IFERROR(INDEX('[1]Link Out Forecast'!$R$6:$R$266,MATCH($M48,'[1]Link Out Forecast'!$C$6:$C$266,0),1),"")</f>
        <v>-2176993</v>
      </c>
      <c r="AO48" s="348">
        <f t="shared" si="0"/>
        <v>0</v>
      </c>
    </row>
    <row r="49" spans="1:41" hidden="1">
      <c r="A49" s="303" t="str">
        <f>IFERROR(INDEX('[1]Link Out Monthly BY'!$A$7:$A$517,MATCH($C49,'[1]Link Out Monthly BY'!$C$7:$C$517,0),1),"")</f>
        <v>P04</v>
      </c>
      <c r="B49" s="303" t="str">
        <f>IFERROR(INDEX('[1]Link Out Monthly BY'!$B$7:$B$517,MATCH($C49,'[1]Link Out Monthly BY'!$C$7:$C$517,0),1),"")</f>
        <v>Water revenues - industrial</v>
      </c>
      <c r="C49" s="344">
        <v>40132000</v>
      </c>
      <c r="E49" s="303" t="str">
        <f>IFERROR(INDEX('[1]Link Out Monthly BY'!$D$7:$D$517,MATCH($C49,'[1]Link Out Monthly BY'!$C$7:$C$517,0),1),"")</f>
        <v>Ind Sales Unbilled</v>
      </c>
      <c r="G49" s="303" t="str">
        <f>IFERROR(INDEX('[1]Link Out Monthly BY'!$E$7:$E$517,MATCH($C49,'[1]Link Out Monthly BY'!$C$7:$C$517,0),1),"")</f>
        <v>461.3</v>
      </c>
      <c r="I49" s="335">
        <f>IFERROR(INDEX('[1]Link Out Monthly BY'!$R$7:$R$517,MATCH($C49,'[1]Link Out Monthly BY'!$C$7:$C$517,0),1),"")</f>
        <v>-28117</v>
      </c>
      <c r="K49" s="303" t="str">
        <f>IFERROR(INDEX('[1]Link Out Forecast'!$A$6:$A$266,MATCH($M49,'[1]Link Out Forecast'!$C$6:$C$266,0),1),"")</f>
        <v>P09</v>
      </c>
      <c r="L49" s="303" t="str">
        <f>IFERROR(INDEX('[1]Link Out Forecast'!$B$6:$B$266,MATCH($M49,'[1]Link Out Forecast'!$C$6:$C$266,0),1),"")</f>
        <v>Water revenues - other</v>
      </c>
      <c r="M49" s="344">
        <v>40171000</v>
      </c>
      <c r="N49" s="303" t="str">
        <f>IFERROR(INDEX('[1]Link Out Forecast'!$D$6:$D$266,MATCH($M49,'[1]Link Out Forecast'!$C$6:$C$266,0),1),"")</f>
        <v>Misc Sales Billed</v>
      </c>
      <c r="O49" s="303" t="str">
        <f>IFERROR(INDEX('[1]Link Out Forecast'!$E$6:$E$266,MATCH($M49,'[1]Link Out Forecast'!$C$6:$C$266,0),1),"")</f>
        <v>474.</v>
      </c>
      <c r="P49" s="347">
        <f>IFERROR(INDEX('[1]Link Out Forecast'!$F$6:$F$266,MATCH($M49,'[1]Link Out Forecast'!$C$6:$C$266,0),1),"")</f>
        <v>-7443</v>
      </c>
      <c r="Q49" s="135"/>
      <c r="R49" s="347">
        <f>IFERROR(INDEX('[1]Link Out Forecast'!$G$6:$G$266,MATCH($M49,'[1]Link Out Forecast'!$C$6:$C$266,0),1),"")</f>
        <v>-12099</v>
      </c>
      <c r="S49" s="135"/>
      <c r="T49" s="347">
        <f>IFERROR(INDEX('[1]Link Out Forecast'!$H$6:$H$266,MATCH($M49,'[1]Link Out Forecast'!$C$6:$C$266,0),1),"")</f>
        <v>-6072</v>
      </c>
      <c r="U49" s="135"/>
      <c r="V49" s="347">
        <f>IFERROR(INDEX('[1]Link Out Forecast'!$I$6:$I$266,MATCH($M49,'[1]Link Out Forecast'!$C$6:$C$266,0),1),"")</f>
        <v>-9838</v>
      </c>
      <c r="W49" s="135"/>
      <c r="X49" s="347">
        <f>IFERROR(INDEX('[1]Link Out Forecast'!$J$6:$J$266,MATCH($M49,'[1]Link Out Forecast'!$C$6:$C$266,0),1),"")</f>
        <v>-5643</v>
      </c>
      <c r="Y49" s="135"/>
      <c r="Z49" s="347">
        <f>IFERROR(INDEX('[1]Link Out Forecast'!$K$6:$K$266,MATCH($M49,'[1]Link Out Forecast'!$C$6:$C$266,0),1),"")</f>
        <v>-5180</v>
      </c>
      <c r="AA49" s="135"/>
      <c r="AB49" s="347">
        <f>IFERROR(INDEX('[1]Link Out Forecast'!$L$6:$L$266,MATCH($M49,'[1]Link Out Forecast'!$C$6:$C$266,0),1),"")</f>
        <v>-6693</v>
      </c>
      <c r="AC49" s="135"/>
      <c r="AD49" s="347">
        <f>IFERROR(INDEX('[1]Link Out Forecast'!$M$6:$M$266,MATCH($M49,'[1]Link Out Forecast'!$C$6:$C$266,0),1),"")</f>
        <v>-6383</v>
      </c>
      <c r="AE49" s="135"/>
      <c r="AF49" s="347">
        <f>IFERROR(INDEX('[1]Link Out Forecast'!$N$6:$N$266,MATCH($M49,'[1]Link Out Forecast'!$C$6:$C$266,0),1),"")</f>
        <v>-6742</v>
      </c>
      <c r="AG49" s="135"/>
      <c r="AH49" s="347">
        <f>IFERROR(INDEX('[1]Link Out Forecast'!$O$6:$O$266,MATCH($M49,'[1]Link Out Forecast'!$C$6:$C$266,0),1),"")</f>
        <v>-6780</v>
      </c>
      <c r="AI49" s="135"/>
      <c r="AJ49" s="347">
        <f>IFERROR(INDEX('[1]Link Out Forecast'!$P$6:$P$266,MATCH($M49,'[1]Link Out Forecast'!$C$6:$C$266,0),1),"")</f>
        <v>-7387</v>
      </c>
      <c r="AK49" s="135"/>
      <c r="AL49" s="347">
        <f>IFERROR(INDEX('[1]Link Out Forecast'!$Q$6:$Q$266,MATCH($M49,'[1]Link Out Forecast'!$C$6:$C$266,0),1),"")</f>
        <v>-7677</v>
      </c>
      <c r="AM49" s="135"/>
      <c r="AN49" s="347">
        <f>IFERROR(INDEX('[1]Link Out Forecast'!$R$6:$R$266,MATCH($M49,'[1]Link Out Forecast'!$C$6:$C$266,0),1),"")</f>
        <v>-87937</v>
      </c>
      <c r="AO49" s="348">
        <f t="shared" si="0"/>
        <v>0</v>
      </c>
    </row>
    <row r="50" spans="1:41" hidden="1">
      <c r="A50" s="303" t="str">
        <f>IFERROR(INDEX('[1]Link Out Monthly BY'!$A$7:$A$517,MATCH($C50,'[1]Link Out Monthly BY'!$C$7:$C$517,0),1),"")</f>
        <v>P05</v>
      </c>
      <c r="B50" s="303" t="str">
        <f>IFERROR(INDEX('[1]Link Out Monthly BY'!$B$7:$B$517,MATCH($C50,'[1]Link Out Monthly BY'!$C$7:$C$517,0),1),"")</f>
        <v>Water revenues - public fire</v>
      </c>
      <c r="C50" s="173">
        <v>40141000</v>
      </c>
      <c r="E50" s="303" t="str">
        <f>IFERROR(INDEX('[1]Link Out Monthly BY'!$D$7:$D$517,MATCH($C50,'[1]Link Out Monthly BY'!$C$7:$C$517,0),1),"")</f>
        <v>Publ Fire Billed</v>
      </c>
      <c r="G50" s="303" t="str">
        <f>IFERROR(INDEX('[1]Link Out Monthly BY'!$E$7:$E$517,MATCH($C50,'[1]Link Out Monthly BY'!$C$7:$C$517,0),1),"")</f>
        <v>462.1</v>
      </c>
      <c r="I50" s="335">
        <f>IFERROR(INDEX('[1]Link Out Monthly BY'!$R$7:$R$517,MATCH($C50,'[1]Link Out Monthly BY'!$C$7:$C$517,0),1),"")</f>
        <v>-3807205</v>
      </c>
      <c r="K50" s="303"/>
      <c r="L50" s="303"/>
      <c r="M50" s="344"/>
      <c r="N50" s="303"/>
      <c r="O50" s="303"/>
      <c r="P50" s="347"/>
      <c r="Q50" s="135"/>
      <c r="R50" s="347"/>
      <c r="S50" s="135"/>
      <c r="T50" s="347"/>
      <c r="U50" s="135"/>
      <c r="V50" s="347"/>
      <c r="W50" s="135"/>
      <c r="X50" s="347"/>
      <c r="Y50" s="135"/>
      <c r="Z50" s="347"/>
      <c r="AA50" s="135"/>
      <c r="AB50" s="347"/>
      <c r="AC50" s="135"/>
      <c r="AD50" s="347"/>
      <c r="AE50" s="135"/>
      <c r="AF50" s="347"/>
      <c r="AG50" s="135"/>
      <c r="AH50" s="347"/>
      <c r="AI50" s="135"/>
      <c r="AJ50" s="347"/>
      <c r="AK50" s="135"/>
      <c r="AL50" s="347"/>
      <c r="AM50" s="135"/>
      <c r="AN50" s="347"/>
      <c r="AO50" s="348"/>
    </row>
    <row r="51" spans="1:41" hidden="1">
      <c r="A51" s="303" t="str">
        <f>IFERROR(INDEX('[1]Link Out Monthly BY'!$A$7:$A$517,MATCH($C51,'[1]Link Out Monthly BY'!$C$7:$C$517,0),1),"")</f>
        <v>P05</v>
      </c>
      <c r="B51" s="303" t="str">
        <f>IFERROR(INDEX('[1]Link Out Monthly BY'!$B$7:$B$517,MATCH($C51,'[1]Link Out Monthly BY'!$C$7:$C$517,0),1),"")</f>
        <v>Water revenues - public fire</v>
      </c>
      <c r="C51" s="173">
        <v>40142000</v>
      </c>
      <c r="E51" s="303" t="str">
        <f>IFERROR(INDEX('[1]Link Out Monthly BY'!$D$7:$D$517,MATCH($C51,'[1]Link Out Monthly BY'!$C$7:$C$517,0),1),"")</f>
        <v>Publ Fire Unbilled</v>
      </c>
      <c r="G51" s="303" t="str">
        <f>IFERROR(INDEX('[1]Link Out Monthly BY'!$E$7:$E$517,MATCH($C51,'[1]Link Out Monthly BY'!$C$7:$C$517,0),1),"")</f>
        <v>462.1</v>
      </c>
      <c r="I51" s="335">
        <f>IFERROR(INDEX('[1]Link Out Monthly BY'!$R$7:$R$517,MATCH($C51,'[1]Link Out Monthly BY'!$C$7:$C$517,0),1),"")</f>
        <v>6</v>
      </c>
      <c r="K51" s="303"/>
      <c r="L51" s="303"/>
      <c r="M51" s="344"/>
      <c r="N51" s="303"/>
      <c r="O51" s="303"/>
      <c r="P51" s="347"/>
      <c r="Q51" s="135"/>
      <c r="R51" s="347"/>
      <c r="S51" s="135"/>
      <c r="T51" s="347"/>
      <c r="U51" s="135"/>
      <c r="V51" s="347"/>
      <c r="W51" s="135"/>
      <c r="X51" s="347"/>
      <c r="Y51" s="135"/>
      <c r="Z51" s="347"/>
      <c r="AA51" s="135"/>
      <c r="AB51" s="347"/>
      <c r="AC51" s="135"/>
      <c r="AD51" s="347"/>
      <c r="AE51" s="135"/>
      <c r="AF51" s="347"/>
      <c r="AG51" s="135"/>
      <c r="AH51" s="347"/>
      <c r="AI51" s="135"/>
      <c r="AJ51" s="347"/>
      <c r="AK51" s="135"/>
      <c r="AL51" s="347"/>
      <c r="AM51" s="135"/>
      <c r="AN51" s="347"/>
      <c r="AO51" s="348"/>
    </row>
    <row r="52" spans="1:41" hidden="1">
      <c r="A52" s="303" t="str">
        <f>IFERROR(INDEX('[1]Link Out Monthly BY'!$A$7:$A$517,MATCH($C52,'[1]Link Out Monthly BY'!$C$7:$C$517,0),1),"")</f>
        <v>P06</v>
      </c>
      <c r="B52" s="303" t="str">
        <f>IFERROR(INDEX('[1]Link Out Monthly BY'!$B$7:$B$517,MATCH($C52,'[1]Link Out Monthly BY'!$C$7:$C$517,0),1),"")</f>
        <v>Water revenues - private fire</v>
      </c>
      <c r="C52" s="344">
        <v>40145000</v>
      </c>
      <c r="E52" s="303" t="str">
        <f>IFERROR(INDEX('[1]Link Out Monthly BY'!$D$7:$D$517,MATCH($C52,'[1]Link Out Monthly BY'!$C$7:$C$517,0),1),"")</f>
        <v>Priv Fire Billed</v>
      </c>
      <c r="G52" s="303" t="str">
        <f>IFERROR(INDEX('[1]Link Out Monthly BY'!$E$7:$E$517,MATCH($C52,'[1]Link Out Monthly BY'!$C$7:$C$517,0),1),"")</f>
        <v>462.2</v>
      </c>
      <c r="I52" s="335">
        <f>IFERROR(INDEX('[1]Link Out Monthly BY'!$R$7:$R$517,MATCH($C52,'[1]Link Out Monthly BY'!$C$7:$C$517,0),1),"")</f>
        <v>-2801452</v>
      </c>
      <c r="K52" s="303"/>
      <c r="L52" s="303"/>
      <c r="M52" s="344"/>
      <c r="N52" s="303"/>
      <c r="O52" s="303"/>
      <c r="P52" s="347"/>
      <c r="Q52" s="126"/>
      <c r="R52" s="347"/>
      <c r="S52" s="126"/>
      <c r="T52" s="347"/>
      <c r="U52" s="126"/>
      <c r="V52" s="347"/>
      <c r="W52" s="126"/>
      <c r="X52" s="347"/>
      <c r="Y52" s="126"/>
      <c r="Z52" s="347"/>
      <c r="AA52" s="126"/>
      <c r="AB52" s="347"/>
      <c r="AC52" s="126"/>
      <c r="AD52" s="347"/>
      <c r="AE52" s="126"/>
      <c r="AF52" s="347"/>
      <c r="AG52" s="126"/>
      <c r="AH52" s="347"/>
      <c r="AI52" s="126"/>
      <c r="AJ52" s="347"/>
      <c r="AK52" s="126"/>
      <c r="AL52" s="347"/>
      <c r="AM52" s="126"/>
      <c r="AN52" s="347"/>
      <c r="AO52" s="348"/>
    </row>
    <row r="53" spans="1:41" hidden="1">
      <c r="A53" s="303">
        <f>IFERROR(INDEX('[1]Link Out Monthly BY'!$A$7:$A$517,MATCH($C53,'[1]Link Out Monthly BY'!$C$7:$C$517,0),1),"")</f>
        <v>0</v>
      </c>
      <c r="B53" s="303">
        <f>IFERROR(INDEX('[1]Link Out Monthly BY'!$B$7:$B$517,MATCH($C53,'[1]Link Out Monthly BY'!$C$7:$C$517,0),1),"")</f>
        <v>0</v>
      </c>
      <c r="C53" s="344">
        <v>40145100</v>
      </c>
      <c r="E53" s="303" t="str">
        <f>IFERROR(INDEX('[1]Link Out Monthly BY'!$D$7:$D$517,MATCH($C53,'[1]Link Out Monthly BY'!$C$7:$C$517,0),1),"")</f>
        <v>Priv Fire Billed Sur</v>
      </c>
      <c r="G53" s="303" t="str">
        <f>IFERROR(INDEX('[1]Link Out Monthly BY'!$E$7:$E$517,MATCH($C53,'[1]Link Out Monthly BY'!$C$7:$C$517,0),1),"")</f>
        <v>462.2</v>
      </c>
      <c r="I53" s="335">
        <f>IFERROR(INDEX('[1]Link Out Monthly BY'!$R$7:$R$517,MATCH($C53,'[1]Link Out Monthly BY'!$C$7:$C$517,0),1),"")</f>
        <v>0</v>
      </c>
      <c r="K53" s="303"/>
      <c r="L53" s="303"/>
      <c r="M53" s="344"/>
      <c r="N53" s="303"/>
      <c r="O53" s="303"/>
      <c r="P53" s="347"/>
      <c r="Q53" s="126"/>
      <c r="R53" s="347"/>
      <c r="S53" s="126"/>
      <c r="T53" s="347"/>
      <c r="U53" s="126"/>
      <c r="V53" s="347"/>
      <c r="W53" s="126"/>
      <c r="X53" s="347"/>
      <c r="Y53" s="126"/>
      <c r="Z53" s="347"/>
      <c r="AA53" s="126"/>
      <c r="AB53" s="347"/>
      <c r="AC53" s="126"/>
      <c r="AD53" s="347"/>
      <c r="AE53" s="126"/>
      <c r="AF53" s="347"/>
      <c r="AG53" s="126"/>
      <c r="AH53" s="347"/>
      <c r="AI53" s="126"/>
      <c r="AJ53" s="347"/>
      <c r="AK53" s="126"/>
      <c r="AL53" s="347"/>
      <c r="AM53" s="126"/>
      <c r="AN53" s="347"/>
      <c r="AO53" s="348"/>
    </row>
    <row r="54" spans="1:41" hidden="1">
      <c r="A54" s="303" t="str">
        <f>IFERROR(INDEX('[1]Link Out Monthly BY'!$A$7:$A$517,MATCH($C54,'[1]Link Out Monthly BY'!$C$7:$C$517,0),1),"")</f>
        <v>P06</v>
      </c>
      <c r="B54" s="303" t="str">
        <f>IFERROR(INDEX('[1]Link Out Monthly BY'!$B$7:$B$517,MATCH($C54,'[1]Link Out Monthly BY'!$C$7:$C$517,0),1),"")</f>
        <v>Water revenues - private fire</v>
      </c>
      <c r="C54" s="344">
        <v>40146000</v>
      </c>
      <c r="E54" s="303" t="str">
        <f>IFERROR(INDEX('[1]Link Out Monthly BY'!$D$7:$D$517,MATCH($C54,'[1]Link Out Monthly BY'!$C$7:$C$517,0),1),"")</f>
        <v>Priv Fire Unbilled</v>
      </c>
      <c r="G54" s="303" t="str">
        <f>IFERROR(INDEX('[1]Link Out Monthly BY'!$E$7:$E$517,MATCH($C54,'[1]Link Out Monthly BY'!$C$7:$C$517,0),1),"")</f>
        <v>462.2</v>
      </c>
      <c r="I54" s="335">
        <f>IFERROR(INDEX('[1]Link Out Monthly BY'!$R$7:$R$517,MATCH($C54,'[1]Link Out Monthly BY'!$C$7:$C$517,0),1),"")</f>
        <v>-11165</v>
      </c>
      <c r="K54" s="303"/>
      <c r="L54" s="303"/>
      <c r="M54" s="344"/>
      <c r="N54" s="303"/>
      <c r="O54" s="303"/>
      <c r="P54" s="347"/>
      <c r="Q54" s="126"/>
      <c r="R54" s="347"/>
      <c r="S54" s="126"/>
      <c r="T54" s="347"/>
      <c r="U54" s="126"/>
      <c r="V54" s="347"/>
      <c r="W54" s="126"/>
      <c r="X54" s="347"/>
      <c r="Y54" s="126"/>
      <c r="Z54" s="347"/>
      <c r="AA54" s="126"/>
      <c r="AB54" s="347"/>
      <c r="AC54" s="126"/>
      <c r="AD54" s="347"/>
      <c r="AE54" s="126"/>
      <c r="AF54" s="347"/>
      <c r="AG54" s="126"/>
      <c r="AH54" s="347"/>
      <c r="AI54" s="126"/>
      <c r="AJ54" s="347"/>
      <c r="AK54" s="126"/>
      <c r="AL54" s="347"/>
      <c r="AM54" s="126"/>
      <c r="AN54" s="347"/>
      <c r="AO54" s="348"/>
    </row>
    <row r="55" spans="1:41" hidden="1">
      <c r="A55" s="303" t="str">
        <f>IFERROR(INDEX('[1]Link Out Monthly BY'!$A$7:$A$517,MATCH($C55,'[1]Link Out Monthly BY'!$C$7:$C$517,0),1),"")</f>
        <v>P07</v>
      </c>
      <c r="B55" s="303" t="str">
        <f>IFERROR(INDEX('[1]Link Out Monthly BY'!$B$7:$B$517,MATCH($C55,'[1]Link Out Monthly BY'!$C$7:$C$517,0),1),"")</f>
        <v>Water revenues - public authority</v>
      </c>
      <c r="C55" s="344">
        <v>40151000</v>
      </c>
      <c r="E55" s="303" t="str">
        <f>IFERROR(INDEX('[1]Link Out Monthly BY'!$D$7:$D$517,MATCH($C55,'[1]Link Out Monthly BY'!$C$7:$C$517,0),1),"")</f>
        <v>Publ Auth Billed</v>
      </c>
      <c r="G55" s="303" t="str">
        <f>IFERROR(INDEX('[1]Link Out Monthly BY'!$E$7:$E$517,MATCH($C55,'[1]Link Out Monthly BY'!$C$7:$C$517,0),1),"")</f>
        <v>461.4</v>
      </c>
      <c r="I55" s="335">
        <f>IFERROR(INDEX('[1]Link Out Monthly BY'!$R$7:$R$517,MATCH($C55,'[1]Link Out Monthly BY'!$C$7:$C$517,0),1),"")</f>
        <v>-5785621</v>
      </c>
      <c r="K55" s="303"/>
      <c r="L55" s="303"/>
      <c r="M55" s="344"/>
      <c r="N55" s="303"/>
      <c r="O55" s="303"/>
      <c r="P55" s="347"/>
      <c r="Q55" s="126"/>
      <c r="R55" s="347"/>
      <c r="S55" s="126"/>
      <c r="T55" s="347"/>
      <c r="U55" s="126"/>
      <c r="V55" s="347"/>
      <c r="W55" s="126"/>
      <c r="X55" s="347"/>
      <c r="Y55" s="126"/>
      <c r="Z55" s="347"/>
      <c r="AA55" s="126"/>
      <c r="AB55" s="347"/>
      <c r="AC55" s="126"/>
      <c r="AD55" s="347"/>
      <c r="AE55" s="126"/>
      <c r="AF55" s="347"/>
      <c r="AG55" s="126"/>
      <c r="AH55" s="347"/>
      <c r="AI55" s="126"/>
      <c r="AJ55" s="347"/>
      <c r="AK55" s="126"/>
      <c r="AL55" s="347"/>
      <c r="AM55" s="126"/>
      <c r="AN55" s="347"/>
      <c r="AO55" s="348"/>
    </row>
    <row r="56" spans="1:41" hidden="1">
      <c r="A56" s="303" t="str">
        <f>IFERROR(INDEX('[1]Link Out Monthly BY'!$A$7:$A$517,MATCH($C56,'[1]Link Out Monthly BY'!$C$7:$C$517,0),1),"")</f>
        <v>P07</v>
      </c>
      <c r="B56" s="303" t="str">
        <f>IFERROR(INDEX('[1]Link Out Monthly BY'!$B$7:$B$517,MATCH($C56,'[1]Link Out Monthly BY'!$C$7:$C$517,0),1),"")</f>
        <v>Water revenues - public authority</v>
      </c>
      <c r="C56" s="344">
        <v>40152000</v>
      </c>
      <c r="E56" s="303" t="str">
        <f>IFERROR(INDEX('[1]Link Out Monthly BY'!$D$7:$D$517,MATCH($C56,'[1]Link Out Monthly BY'!$C$7:$C$517,0),1),"")</f>
        <v>Publ Auth Unbilled</v>
      </c>
      <c r="G56" s="303" t="str">
        <f>IFERROR(INDEX('[1]Link Out Monthly BY'!$E$7:$E$517,MATCH($C56,'[1]Link Out Monthly BY'!$C$7:$C$517,0),1),"")</f>
        <v>461.4</v>
      </c>
      <c r="I56" s="335">
        <f>IFERROR(INDEX('[1]Link Out Monthly BY'!$R$7:$R$517,MATCH($C56,'[1]Link Out Monthly BY'!$C$7:$C$517,0),1),"")</f>
        <v>-271611</v>
      </c>
      <c r="K56" s="303"/>
      <c r="L56" s="303"/>
      <c r="M56" s="344"/>
      <c r="N56" s="303"/>
      <c r="O56" s="303"/>
      <c r="P56" s="347"/>
      <c r="Q56" s="126"/>
      <c r="R56" s="347"/>
      <c r="S56" s="126"/>
      <c r="T56" s="347"/>
      <c r="U56" s="126"/>
      <c r="V56" s="347"/>
      <c r="W56" s="126"/>
      <c r="X56" s="347"/>
      <c r="Y56" s="126"/>
      <c r="Z56" s="347"/>
      <c r="AA56" s="126"/>
      <c r="AB56" s="347"/>
      <c r="AC56" s="126"/>
      <c r="AD56" s="347"/>
      <c r="AE56" s="126"/>
      <c r="AF56" s="347"/>
      <c r="AG56" s="126"/>
      <c r="AH56" s="347"/>
      <c r="AI56" s="126"/>
      <c r="AJ56" s="347"/>
      <c r="AK56" s="126"/>
      <c r="AL56" s="347"/>
      <c r="AM56" s="126"/>
      <c r="AN56" s="347"/>
      <c r="AO56" s="348"/>
    </row>
    <row r="57" spans="1:41" hidden="1">
      <c r="A57" s="303" t="str">
        <f>IFERROR(INDEX('[1]Link Out Monthly BY'!$A$7:$A$517,MATCH($C57,'[1]Link Out Monthly BY'!$C$7:$C$517,0),1),"")</f>
        <v>P08</v>
      </c>
      <c r="B57" s="303" t="str">
        <f>IFERROR(INDEX('[1]Link Out Monthly BY'!$B$7:$B$517,MATCH($C57,'[1]Link Out Monthly BY'!$C$7:$C$517,0),1),"")</f>
        <v>Water revenues - sales for resale</v>
      </c>
      <c r="C57" s="344">
        <v>40161000</v>
      </c>
      <c r="E57" s="303" t="str">
        <f>IFERROR(INDEX('[1]Link Out Monthly BY'!$D$7:$D$517,MATCH($C57,'[1]Link Out Monthly BY'!$C$7:$C$517,0),1),"")</f>
        <v>Sls/Rsle Billed</v>
      </c>
      <c r="G57" s="303" t="str">
        <f>IFERROR(INDEX('[1]Link Out Monthly BY'!$E$7:$E$517,MATCH($C57,'[1]Link Out Monthly BY'!$C$7:$C$517,0),1),"")</f>
        <v>466.</v>
      </c>
      <c r="I57" s="335">
        <f>IFERROR(INDEX('[1]Link Out Monthly BY'!$R$7:$R$517,MATCH($C57,'[1]Link Out Monthly BY'!$C$7:$C$517,0),1),"")</f>
        <v>-1882705</v>
      </c>
      <c r="K57" s="303"/>
      <c r="L57" s="303"/>
      <c r="M57" s="344"/>
      <c r="N57" s="303"/>
      <c r="O57" s="303"/>
      <c r="P57" s="347"/>
      <c r="Q57" s="126"/>
      <c r="R57" s="347"/>
      <c r="S57" s="126"/>
      <c r="T57" s="347"/>
      <c r="U57" s="126"/>
      <c r="V57" s="347"/>
      <c r="W57" s="126"/>
      <c r="X57" s="347"/>
      <c r="Y57" s="126"/>
      <c r="Z57" s="347"/>
      <c r="AA57" s="126"/>
      <c r="AB57" s="347"/>
      <c r="AC57" s="126"/>
      <c r="AD57" s="347"/>
      <c r="AE57" s="126"/>
      <c r="AF57" s="347"/>
      <c r="AG57" s="126"/>
      <c r="AH57" s="347"/>
      <c r="AI57" s="126"/>
      <c r="AJ57" s="347"/>
      <c r="AK57" s="126"/>
      <c r="AL57" s="347"/>
      <c r="AM57" s="126"/>
      <c r="AN57" s="347"/>
      <c r="AO57" s="348"/>
    </row>
    <row r="58" spans="1:41" hidden="1">
      <c r="A58" s="303" t="str">
        <f>IFERROR(INDEX('[1]Link Out Monthly BY'!$A$7:$A$517,MATCH($C58,'[1]Link Out Monthly BY'!$C$7:$C$517,0),1),"")</f>
        <v>P08</v>
      </c>
      <c r="B58" s="303" t="str">
        <f>IFERROR(INDEX('[1]Link Out Monthly BY'!$B$7:$B$517,MATCH($C58,'[1]Link Out Monthly BY'!$C$7:$C$517,0),1),"")</f>
        <v>Water revenues - sales for resale</v>
      </c>
      <c r="C58" s="344">
        <v>40161050</v>
      </c>
      <c r="E58" s="303" t="str">
        <f>IFERROR(INDEX('[1]Link Out Monthly BY'!$D$7:$D$517,MATCH($C58,'[1]Link Out Monthly BY'!$C$7:$C$517,0),1),"")</f>
        <v>Sls/Rsle Billed I/C</v>
      </c>
      <c r="G58" s="303" t="str">
        <f>IFERROR(INDEX('[1]Link Out Monthly BY'!$E$7:$E$517,MATCH($C58,'[1]Link Out Monthly BY'!$C$7:$C$517,0),1),"")</f>
        <v>467.</v>
      </c>
      <c r="I58" s="335">
        <f>IFERROR(INDEX('[1]Link Out Monthly BY'!$R$7:$R$517,MATCH($C58,'[1]Link Out Monthly BY'!$C$7:$C$517,0),1),"")</f>
        <v>-15096</v>
      </c>
      <c r="K58" s="303"/>
      <c r="L58" s="303"/>
      <c r="M58" s="344"/>
      <c r="N58" s="303"/>
      <c r="O58" s="303"/>
      <c r="P58" s="347"/>
      <c r="Q58" s="126"/>
      <c r="R58" s="347"/>
      <c r="S58" s="126"/>
      <c r="T58" s="347"/>
      <c r="U58" s="126"/>
      <c r="V58" s="347"/>
      <c r="W58" s="126"/>
      <c r="X58" s="347"/>
      <c r="Y58" s="126"/>
      <c r="Z58" s="347"/>
      <c r="AA58" s="126"/>
      <c r="AB58" s="347"/>
      <c r="AC58" s="126"/>
      <c r="AD58" s="347"/>
      <c r="AE58" s="126"/>
      <c r="AF58" s="347"/>
      <c r="AG58" s="126"/>
      <c r="AH58" s="347"/>
      <c r="AI58" s="126"/>
      <c r="AJ58" s="347"/>
      <c r="AK58" s="126"/>
      <c r="AL58" s="347"/>
      <c r="AM58" s="126"/>
      <c r="AN58" s="347"/>
      <c r="AO58" s="348"/>
    </row>
    <row r="59" spans="1:41" hidden="1">
      <c r="A59" s="303" t="str">
        <f>IFERROR(INDEX('[1]Link Out Monthly BY'!$A$7:$A$517,MATCH($C59,'[1]Link Out Monthly BY'!$C$7:$C$517,0),1),"")</f>
        <v>P08</v>
      </c>
      <c r="B59" s="303" t="str">
        <f>IFERROR(INDEX('[1]Link Out Monthly BY'!$B$7:$B$517,MATCH($C59,'[1]Link Out Monthly BY'!$C$7:$C$517,0),1),"")</f>
        <v>Water revenues - sales for resale</v>
      </c>
      <c r="C59" s="344">
        <v>40162000</v>
      </c>
      <c r="E59" s="303" t="str">
        <f>IFERROR(INDEX('[1]Link Out Monthly BY'!$D$7:$D$517,MATCH($C59,'[1]Link Out Monthly BY'!$C$7:$C$517,0),1),"")</f>
        <v>SalesforRsle Unbilld</v>
      </c>
      <c r="G59" s="303" t="str">
        <f>IFERROR(INDEX('[1]Link Out Monthly BY'!$E$7:$E$517,MATCH($C59,'[1]Link Out Monthly BY'!$C$7:$C$517,0),1),"")</f>
        <v>466.</v>
      </c>
      <c r="I59" s="335">
        <f>IFERROR(INDEX('[1]Link Out Monthly BY'!$R$7:$R$517,MATCH($C59,'[1]Link Out Monthly BY'!$C$7:$C$517,0),1),"")</f>
        <v>-39606</v>
      </c>
      <c r="K59" s="303"/>
      <c r="L59" s="303"/>
      <c r="M59" s="344"/>
      <c r="N59" s="303"/>
      <c r="O59" s="303"/>
      <c r="P59" s="347"/>
      <c r="Q59" s="126"/>
      <c r="R59" s="347"/>
      <c r="S59" s="126"/>
      <c r="T59" s="347"/>
      <c r="U59" s="126"/>
      <c r="V59" s="347"/>
      <c r="W59" s="126"/>
      <c r="X59" s="347"/>
      <c r="Y59" s="126"/>
      <c r="Z59" s="347"/>
      <c r="AA59" s="126"/>
      <c r="AB59" s="347"/>
      <c r="AC59" s="126"/>
      <c r="AD59" s="347"/>
      <c r="AE59" s="126"/>
      <c r="AF59" s="347"/>
      <c r="AG59" s="126"/>
      <c r="AH59" s="347"/>
      <c r="AI59" s="126"/>
      <c r="AJ59" s="347"/>
      <c r="AK59" s="126"/>
      <c r="AL59" s="347"/>
      <c r="AM59" s="126"/>
      <c r="AN59" s="347"/>
      <c r="AO59" s="348"/>
    </row>
    <row r="60" spans="1:41" hidden="1">
      <c r="A60" s="303" t="str">
        <f>IFERROR(INDEX('[1]Link Out Monthly BY'!$A$7:$A$517,MATCH($C60,'[1]Link Out Monthly BY'!$C$7:$C$517,0),1),"")</f>
        <v>P09</v>
      </c>
      <c r="B60" s="303" t="str">
        <f>IFERROR(INDEX('[1]Link Out Monthly BY'!$B$7:$B$517,MATCH($C60,'[1]Link Out Monthly BY'!$C$7:$C$517,0),1),"")</f>
        <v>Water revenues - other</v>
      </c>
      <c r="C60" s="344">
        <v>40171000</v>
      </c>
      <c r="E60" s="303" t="str">
        <f>IFERROR(INDEX('[1]Link Out Monthly BY'!$D$7:$D$517,MATCH($C60,'[1]Link Out Monthly BY'!$C$7:$C$517,0),1),"")</f>
        <v>Misc Sales Billed</v>
      </c>
      <c r="G60" s="303" t="str">
        <f>IFERROR(INDEX('[1]Link Out Monthly BY'!$E$7:$E$517,MATCH($C60,'[1]Link Out Monthly BY'!$C$7:$C$517,0),1),"")</f>
        <v>474.</v>
      </c>
      <c r="I60" s="335">
        <f>IFERROR(INDEX('[1]Link Out Monthly BY'!$R$7:$R$517,MATCH($C60,'[1]Link Out Monthly BY'!$C$7:$C$517,0),1),"")</f>
        <v>-80697</v>
      </c>
      <c r="K60" s="303"/>
      <c r="L60" s="303"/>
      <c r="M60" s="344"/>
      <c r="N60" s="303"/>
      <c r="O60" s="303"/>
      <c r="P60" s="347"/>
      <c r="Q60" s="126"/>
      <c r="R60" s="347"/>
      <c r="S60" s="126"/>
      <c r="T60" s="347"/>
      <c r="U60" s="126"/>
      <c r="V60" s="347"/>
      <c r="W60" s="126"/>
      <c r="X60" s="347"/>
      <c r="Y60" s="126"/>
      <c r="Z60" s="347"/>
      <c r="AA60" s="126"/>
      <c r="AB60" s="347"/>
      <c r="AC60" s="126"/>
      <c r="AD60" s="347"/>
      <c r="AE60" s="126"/>
      <c r="AF60" s="347"/>
      <c r="AG60" s="126"/>
      <c r="AH60" s="347"/>
      <c r="AI60" s="126"/>
      <c r="AJ60" s="347"/>
      <c r="AK60" s="126"/>
      <c r="AL60" s="347"/>
      <c r="AM60" s="126"/>
      <c r="AN60" s="347"/>
      <c r="AO60" s="348"/>
    </row>
    <row r="61" spans="1:41" hidden="1">
      <c r="A61" s="303" t="str">
        <f>IFERROR(INDEX('[1]Link Out Monthly BY'!$A$7:$A$517,MATCH($C61,'[1]Link Out Monthly BY'!$C$7:$C$517,0),1),"")</f>
        <v>P09</v>
      </c>
      <c r="B61" s="303" t="str">
        <f>IFERROR(INDEX('[1]Link Out Monthly BY'!$B$7:$B$517,MATCH($C61,'[1]Link Out Monthly BY'!$C$7:$C$517,0),1),"")</f>
        <v>Water revenues - other</v>
      </c>
      <c r="C61" s="344">
        <v>40171300</v>
      </c>
      <c r="E61" s="303" t="str">
        <f>IFERROR(INDEX('[1]Link Out Monthly BY'!$D$7:$D$517,MATCH($C61,'[1]Link Out Monthly BY'!$C$7:$C$517,0),1),"")</f>
        <v>MiscSls Bill Unmtrd</v>
      </c>
      <c r="G61" s="303" t="str">
        <f>IFERROR(INDEX('[1]Link Out Monthly BY'!$E$7:$E$517,MATCH($C61,'[1]Link Out Monthly BY'!$C$7:$C$517,0),1),"")</f>
        <v>474.</v>
      </c>
      <c r="I61" s="335">
        <f>IFERROR(INDEX('[1]Link Out Monthly BY'!$R$7:$R$517,MATCH($C61,'[1]Link Out Monthly BY'!$C$7:$C$517,0),1),"")</f>
        <v>-150</v>
      </c>
      <c r="K61" s="303"/>
      <c r="L61" s="303"/>
      <c r="M61" s="344"/>
      <c r="N61" s="303"/>
      <c r="O61" s="303"/>
      <c r="P61" s="347"/>
      <c r="Q61" s="126"/>
      <c r="R61" s="347"/>
      <c r="S61" s="126"/>
      <c r="T61" s="347"/>
      <c r="U61" s="126"/>
      <c r="V61" s="347"/>
      <c r="W61" s="126"/>
      <c r="X61" s="347"/>
      <c r="Y61" s="126"/>
      <c r="Z61" s="347"/>
      <c r="AA61" s="126"/>
      <c r="AB61" s="347"/>
      <c r="AC61" s="126"/>
      <c r="AD61" s="347"/>
      <c r="AE61" s="126"/>
      <c r="AF61" s="347"/>
      <c r="AG61" s="126"/>
      <c r="AH61" s="347"/>
      <c r="AI61" s="126"/>
      <c r="AJ61" s="347"/>
      <c r="AK61" s="126"/>
      <c r="AL61" s="347"/>
      <c r="AM61" s="126"/>
      <c r="AN61" s="347"/>
      <c r="AO61" s="348"/>
    </row>
    <row r="62" spans="1:41" hidden="1">
      <c r="A62" s="303" t="str">
        <f>IFERROR(INDEX('[1]Link Out Monthly BY'!$A$7:$A$517,MATCH($C62,'[1]Link Out Monthly BY'!$C$7:$C$517,0),1),"")</f>
        <v>P09</v>
      </c>
      <c r="B62" s="303" t="str">
        <f>IFERROR(INDEX('[1]Link Out Monthly BY'!$B$7:$B$517,MATCH($C62,'[1]Link Out Monthly BY'!$C$7:$C$517,0),1),"")</f>
        <v>Water revenues - other</v>
      </c>
      <c r="C62" s="344">
        <v>40172000</v>
      </c>
      <c r="E62" s="303" t="str">
        <f>IFERROR(INDEX('[1]Link Out Monthly BY'!$D$7:$D$517,MATCH($C62,'[1]Link Out Monthly BY'!$C$7:$C$517,0),1),"")</f>
        <v>Misc Sales Unbilled</v>
      </c>
      <c r="G62" s="303" t="str">
        <f>IFERROR(INDEX('[1]Link Out Monthly BY'!$E$7:$E$517,MATCH($C62,'[1]Link Out Monthly BY'!$C$7:$C$517,0),1),"")</f>
        <v>474.</v>
      </c>
      <c r="I62" s="335">
        <f>IFERROR(INDEX('[1]Link Out Monthly BY'!$R$7:$R$517,MATCH($C62,'[1]Link Out Monthly BY'!$C$7:$C$517,0),1),"")</f>
        <v>1430</v>
      </c>
      <c r="K62" s="303"/>
      <c r="L62" s="303"/>
      <c r="M62" s="344"/>
      <c r="N62" s="303"/>
      <c r="O62" s="303"/>
      <c r="P62" s="347"/>
      <c r="Q62" s="126"/>
      <c r="R62" s="347"/>
      <c r="S62" s="126"/>
      <c r="T62" s="347"/>
      <c r="U62" s="126"/>
      <c r="V62" s="347"/>
      <c r="W62" s="126"/>
      <c r="X62" s="347"/>
      <c r="Y62" s="126"/>
      <c r="Z62" s="347"/>
      <c r="AA62" s="126"/>
      <c r="AB62" s="347"/>
      <c r="AC62" s="126"/>
      <c r="AD62" s="347"/>
      <c r="AE62" s="126"/>
      <c r="AF62" s="347"/>
      <c r="AG62" s="126"/>
      <c r="AH62" s="347"/>
      <c r="AI62" s="126"/>
      <c r="AJ62" s="347"/>
      <c r="AK62" s="126"/>
      <c r="AL62" s="347"/>
      <c r="AM62" s="126"/>
      <c r="AN62" s="347"/>
      <c r="AO62" s="348"/>
    </row>
    <row r="63" spans="1:41" ht="15" hidden="1" thickBot="1">
      <c r="A63" s="303" t="str">
        <f>IFERROR(INDEX('[1]Link Out Monthly BY'!$A$7:$A$517,MATCH($C63,'[1]Link Out Monthly BY'!$C$7:$C$517,0),1),"")</f>
        <v>P09</v>
      </c>
      <c r="B63" s="303" t="str">
        <f>IFERROR(INDEX('[1]Link Out Monthly BY'!$B$7:$B$517,MATCH($C63,'[1]Link Out Monthly BY'!$C$7:$C$517,0),1),"")</f>
        <v>Water revenues - other</v>
      </c>
      <c r="C63" s="344">
        <v>40180100</v>
      </c>
      <c r="E63" s="303" t="str">
        <f>IFERROR(INDEX('[1]Link Out Monthly BY'!$D$7:$D$517,MATCH($C63,'[1]Link Out Monthly BY'!$C$7:$C$517,0),1),"")</f>
        <v>Oth Wtr Rev-Temp Svc</v>
      </c>
      <c r="G63" s="303" t="str">
        <f>IFERROR(INDEX('[1]Link Out Monthly BY'!$E$7:$E$517,MATCH($C63,'[1]Link Out Monthly BY'!$C$7:$C$517,0),1),"")</f>
        <v>471.</v>
      </c>
      <c r="I63" s="335">
        <f>IFERROR(INDEX('[1]Link Out Monthly BY'!$R$7:$R$517,MATCH($C63,'[1]Link Out Monthly BY'!$C$7:$C$517,0),1),"")</f>
        <v>-15</v>
      </c>
      <c r="N63" s="299" t="s">
        <v>24</v>
      </c>
      <c r="O63" s="299"/>
      <c r="P63" s="345">
        <f>SUM(P42:P62)</f>
        <v>-8932575</v>
      </c>
      <c r="Q63" s="345"/>
      <c r="R63" s="345">
        <f>SUM(R42:R62)</f>
        <v>-9073935</v>
      </c>
      <c r="S63" s="345"/>
      <c r="T63" s="345">
        <f>SUM(T42:T62)</f>
        <v>-8846438</v>
      </c>
      <c r="U63" s="345"/>
      <c r="V63" s="345">
        <f>SUM(V42:V62)</f>
        <v>-8501483</v>
      </c>
      <c r="W63" s="345"/>
      <c r="X63" s="345">
        <f>SUM(X42:X62)</f>
        <v>-7617177</v>
      </c>
      <c r="Y63" s="345"/>
      <c r="Z63" s="345">
        <f>SUM(Z42:Z62)</f>
        <v>-7522357</v>
      </c>
      <c r="AA63" s="345"/>
      <c r="AB63" s="345">
        <f>SUM(AB42:AB62)</f>
        <v>-7303266</v>
      </c>
      <c r="AC63" s="345"/>
      <c r="AD63" s="345">
        <f>SUM(AD42:AD62)</f>
        <v>-6965062</v>
      </c>
      <c r="AE63" s="345"/>
      <c r="AF63" s="345">
        <f>SUM(AF42:AF62)</f>
        <v>-7356707</v>
      </c>
      <c r="AG63" s="345"/>
      <c r="AH63" s="345">
        <f>SUM(AH42:AH62)</f>
        <v>-7398232</v>
      </c>
      <c r="AI63" s="345"/>
      <c r="AJ63" s="345">
        <f>SUM(AJ42:AJ62)</f>
        <v>-8060465</v>
      </c>
      <c r="AK63" s="345"/>
      <c r="AL63" s="345">
        <f>SUM(AL42:AL62)</f>
        <v>-8377008</v>
      </c>
      <c r="AM63" s="345"/>
      <c r="AN63" s="345">
        <f>SUM(AN42:AN62)</f>
        <v>-95954705</v>
      </c>
    </row>
    <row r="64" spans="1:41" ht="15" hidden="1" thickTop="1">
      <c r="A64" s="303" t="str">
        <f>IFERROR(INDEX('[1]Link Out Monthly BY'!$A$7:$A$517,MATCH($C64,'[1]Link Out Monthly BY'!$C$7:$C$517,0),1),"")</f>
        <v>P09</v>
      </c>
      <c r="B64" s="303" t="str">
        <f>IFERROR(INDEX('[1]Link Out Monthly BY'!$B$7:$B$517,MATCH($C64,'[1]Link Out Monthly BY'!$C$7:$C$517,0),1),"")</f>
        <v>Water revenues - other</v>
      </c>
      <c r="C64" s="344">
        <v>40189900</v>
      </c>
      <c r="E64" s="303" t="str">
        <f>IFERROR(INDEX('[1]Link Out Monthly BY'!$D$7:$D$517,MATCH($C64,'[1]Link Out Monthly BY'!$C$7:$C$517,0),1),"")</f>
        <v>Other Water Revenue</v>
      </c>
      <c r="G64" s="303" t="str">
        <f>IFERROR(INDEX('[1]Link Out Monthly BY'!$E$7:$E$517,MATCH($C64,'[1]Link Out Monthly BY'!$C$7:$C$517,0),1),"")</f>
        <v>474.</v>
      </c>
      <c r="I64" s="335">
        <f>IFERROR(INDEX('[1]Link Out Monthly BY'!$R$7:$R$517,MATCH($C64,'[1]Link Out Monthly BY'!$C$7:$C$517,0),1),"")</f>
        <v>1363581</v>
      </c>
    </row>
    <row r="65" spans="1:41" s="303" customFormat="1" ht="15" hidden="1" thickBot="1">
      <c r="B65" s="123"/>
      <c r="C65" s="344"/>
      <c r="E65" s="299" t="s">
        <v>24</v>
      </c>
      <c r="F65" s="299"/>
      <c r="G65" s="299"/>
      <c r="H65" s="299"/>
      <c r="I65" s="345">
        <f>SUM(I42:I62)</f>
        <v>-90750788</v>
      </c>
    </row>
    <row r="66" spans="1:41" ht="15" hidden="1" thickTop="1"/>
    <row r="67" spans="1:41" hidden="1">
      <c r="A67" s="303" t="str">
        <f>IFERROR(INDEX('[1]Link Out Monthly BY'!$A$7:$A$517,MATCH($C67,'[1]Link Out Monthly BY'!$C$7:$C$517,0),1),"")</f>
        <v>P11</v>
      </c>
      <c r="B67" s="303" t="str">
        <f>IFERROR(INDEX('[1]Link Out Monthly BY'!$B$7:$B$517,MATCH($C67,'[1]Link Out Monthly BY'!$C$7:$C$517,0),1),"")</f>
        <v>Other revenues</v>
      </c>
      <c r="C67" s="344">
        <v>40310100</v>
      </c>
      <c r="E67" s="303" t="str">
        <f>IFERROR(INDEX('[1]Link Out Monthly BY'!$D$7:$D$517,MATCH($C67,'[1]Link Out Monthly BY'!$C$7:$C$517,0),1),"")</f>
        <v>OthRev-Late Pymt Fee</v>
      </c>
      <c r="G67" s="303" t="str">
        <f>IFERROR(INDEX('[1]Link Out Monthly BY'!$E$7:$E$517,MATCH($C67,'[1]Link Out Monthly BY'!$C$7:$C$517,0),1),"")</f>
        <v>470.</v>
      </c>
      <c r="I67" s="335">
        <f>IFERROR(INDEX('[1]Link Out Monthly BY'!$R$7:$R$517,MATCH($C67,'[1]Link Out Monthly BY'!$C$7:$C$517,0),1),"")</f>
        <v>-837881</v>
      </c>
      <c r="K67" s="303" t="str">
        <f>IFERROR(INDEX('[1]Link Out Forecast'!$A$6:$A$266,MATCH($M67,'[1]Link Out Forecast'!$C$6:$C$266,0),1),"")</f>
        <v>P10</v>
      </c>
      <c r="L67" s="303" t="str">
        <f>IFERROR(INDEX('[1]Link Out Forecast'!$B$6:$B$266,MATCH($M67,'[1]Link Out Forecast'!$C$6:$C$266,0),1),"")</f>
        <v>Sewer revenues</v>
      </c>
      <c r="M67" s="344">
        <v>40211000</v>
      </c>
      <c r="N67" s="303" t="str">
        <f>IFERROR(INDEX('[1]Link Out Forecast'!$D$6:$D$266,MATCH($M67,'[1]Link Out Forecast'!$C$6:$C$266,0),1),"")</f>
        <v>Dom WW Svc Billed</v>
      </c>
      <c r="O67" s="303" t="str">
        <f>IFERROR(INDEX('[1]Link Out Forecast'!$E$6:$E$266,MATCH($M67,'[1]Link Out Forecast'!$C$6:$C$266,0),1),"")</f>
        <v>522.1</v>
      </c>
      <c r="P67" s="347">
        <f>IFERROR(INDEX('[1]Link Out Forecast'!$F$6:$F$266,MATCH($M67,'[1]Link Out Forecast'!$C$6:$C$266,0),1),"")</f>
        <v>0</v>
      </c>
      <c r="Q67" s="135"/>
      <c r="R67" s="347">
        <f>IFERROR(INDEX('[1]Link Out Forecast'!$G$6:$G$266,MATCH($M67,'[1]Link Out Forecast'!$C$6:$C$266,0),1),"")</f>
        <v>0</v>
      </c>
      <c r="S67" s="135"/>
      <c r="T67" s="347">
        <f>IFERROR(INDEX('[1]Link Out Forecast'!$H$6:$H$266,MATCH($M67,'[1]Link Out Forecast'!$C$6:$C$266,0),1),"")</f>
        <v>0</v>
      </c>
      <c r="U67" s="135"/>
      <c r="V67" s="347">
        <f>IFERROR(INDEX('[1]Link Out Forecast'!$I$6:$I$266,MATCH($M67,'[1]Link Out Forecast'!$C$6:$C$266,0),1),"")</f>
        <v>0</v>
      </c>
      <c r="W67" s="135"/>
      <c r="X67" s="347">
        <f>IFERROR(INDEX('[1]Link Out Forecast'!$J$6:$J$266,MATCH($M67,'[1]Link Out Forecast'!$C$6:$C$266,0),1),"")</f>
        <v>0</v>
      </c>
      <c r="Y67" s="135"/>
      <c r="Z67" s="347">
        <f>IFERROR(INDEX('[1]Link Out Forecast'!$K$6:$K$266,MATCH($M67,'[1]Link Out Forecast'!$C$6:$C$266,0),1),"")</f>
        <v>0</v>
      </c>
      <c r="AA67" s="135"/>
      <c r="AB67" s="347">
        <f>IFERROR(INDEX('[1]Link Out Forecast'!$L$6:$L$266,MATCH($M67,'[1]Link Out Forecast'!$C$6:$C$266,0),1),"")</f>
        <v>0</v>
      </c>
      <c r="AC67" s="135"/>
      <c r="AD67" s="347">
        <f>IFERROR(INDEX('[1]Link Out Forecast'!$M$6:$M$266,MATCH($M67,'[1]Link Out Forecast'!$C$6:$C$266,0),1),"")</f>
        <v>0</v>
      </c>
      <c r="AE67" s="135"/>
      <c r="AF67" s="347">
        <f>IFERROR(INDEX('[1]Link Out Forecast'!$N$6:$N$266,MATCH($M67,'[1]Link Out Forecast'!$C$6:$C$266,0),1),"")</f>
        <v>0</v>
      </c>
      <c r="AG67" s="135"/>
      <c r="AH67" s="347">
        <f>IFERROR(INDEX('[1]Link Out Forecast'!$O$6:$O$266,MATCH($M67,'[1]Link Out Forecast'!$C$6:$C$266,0),1),"")</f>
        <v>0</v>
      </c>
      <c r="AI67" s="135"/>
      <c r="AJ67" s="347">
        <f>IFERROR(INDEX('[1]Link Out Forecast'!$P$6:$P$266,MATCH($M67,'[1]Link Out Forecast'!$C$6:$C$266,0),1),"")</f>
        <v>0</v>
      </c>
      <c r="AK67" s="135"/>
      <c r="AL67" s="347">
        <f>IFERROR(INDEX('[1]Link Out Forecast'!$Q$6:$Q$266,MATCH($M67,'[1]Link Out Forecast'!$C$6:$C$266,0),1),"")</f>
        <v>0</v>
      </c>
      <c r="AM67" s="135"/>
      <c r="AN67" s="347">
        <f>IFERROR(INDEX('[1]Link Out Forecast'!$R$6:$R$266,MATCH($M67,'[1]Link Out Forecast'!$C$6:$C$266,0),1),"")</f>
        <v>0</v>
      </c>
      <c r="AO67" s="348">
        <f t="shared" ref="AO67:AO79" si="1">SUM(P67:AL67)-AN67</f>
        <v>0</v>
      </c>
    </row>
    <row r="68" spans="1:41" hidden="1">
      <c r="A68" s="303" t="str">
        <f>IFERROR(INDEX('[1]Link Out Monthly BY'!$A$7:$A$517,MATCH($C68,'[1]Link Out Monthly BY'!$C$7:$C$517,0),1),"")</f>
        <v>P11</v>
      </c>
      <c r="B68" s="303" t="str">
        <f>IFERROR(INDEX('[1]Link Out Monthly BY'!$B$7:$B$517,MATCH($C68,'[1]Link Out Monthly BY'!$C$7:$C$517,0),1),"")</f>
        <v>Other revenues</v>
      </c>
      <c r="C68" s="344">
        <v>40310200</v>
      </c>
      <c r="E68" s="303" t="str">
        <f>IFERROR(INDEX('[1]Link Out Monthly BY'!$D$7:$D$517,MATCH($C68,'[1]Link Out Monthly BY'!$C$7:$C$517,0),1),"")</f>
        <v>OthRev-Rent</v>
      </c>
      <c r="G68" s="303" t="str">
        <f>IFERROR(INDEX('[1]Link Out Monthly BY'!$E$7:$E$517,MATCH($C68,'[1]Link Out Monthly BY'!$C$7:$C$517,0),1),"")</f>
        <v>472.</v>
      </c>
      <c r="I68" s="335">
        <f>IFERROR(INDEX('[1]Link Out Monthly BY'!$R$7:$R$517,MATCH($C68,'[1]Link Out Monthly BY'!$C$7:$C$517,0),1),"")</f>
        <v>-95656</v>
      </c>
      <c r="K68" s="303" t="str">
        <f>IFERROR(INDEX('[1]Link Out Forecast'!$A$6:$A$266,MATCH($M68,'[1]Link Out Forecast'!$C$6:$C$266,0),1),"")</f>
        <v>P10</v>
      </c>
      <c r="L68" s="303" t="str">
        <f>IFERROR(INDEX('[1]Link Out Forecast'!$B$6:$B$266,MATCH($M68,'[1]Link Out Forecast'!$C$6:$C$266,0),1),"")</f>
        <v>Sewer revenues</v>
      </c>
      <c r="M68" s="344">
        <v>40221000</v>
      </c>
      <c r="N68" s="303" t="str">
        <f>IFERROR(INDEX('[1]Link Out Forecast'!$D$6:$D$266,MATCH($M68,'[1]Link Out Forecast'!$C$6:$C$266,0),1),"")</f>
        <v>Com WW Svc Billed</v>
      </c>
      <c r="O68" s="303" t="str">
        <f>IFERROR(INDEX('[1]Link Out Forecast'!$E$6:$E$266,MATCH($M68,'[1]Link Out Forecast'!$C$6:$C$266,0),1),"")</f>
        <v>522.2</v>
      </c>
      <c r="P68" s="347">
        <f>IFERROR(INDEX('[1]Link Out Forecast'!$F$6:$F$266,MATCH($M68,'[1]Link Out Forecast'!$C$6:$C$266,0),1),"")</f>
        <v>0</v>
      </c>
      <c r="Q68" s="135"/>
      <c r="R68" s="347">
        <f>IFERROR(INDEX('[1]Link Out Forecast'!$G$6:$G$266,MATCH($M68,'[1]Link Out Forecast'!$C$6:$C$266,0),1),"")</f>
        <v>0</v>
      </c>
      <c r="S68" s="135"/>
      <c r="T68" s="347">
        <f>IFERROR(INDEX('[1]Link Out Forecast'!$H$6:$H$266,MATCH($M68,'[1]Link Out Forecast'!$C$6:$C$266,0),1),"")</f>
        <v>0</v>
      </c>
      <c r="U68" s="135"/>
      <c r="V68" s="347">
        <f>IFERROR(INDEX('[1]Link Out Forecast'!$I$6:$I$266,MATCH($M68,'[1]Link Out Forecast'!$C$6:$C$266,0),1),"")</f>
        <v>0</v>
      </c>
      <c r="W68" s="135"/>
      <c r="X68" s="347">
        <f>IFERROR(INDEX('[1]Link Out Forecast'!$J$6:$J$266,MATCH($M68,'[1]Link Out Forecast'!$C$6:$C$266,0),1),"")</f>
        <v>0</v>
      </c>
      <c r="Y68" s="135"/>
      <c r="Z68" s="347">
        <f>IFERROR(INDEX('[1]Link Out Forecast'!$K$6:$K$266,MATCH($M68,'[1]Link Out Forecast'!$C$6:$C$266,0),1),"")</f>
        <v>0</v>
      </c>
      <c r="AA68" s="135"/>
      <c r="AB68" s="347">
        <f>IFERROR(INDEX('[1]Link Out Forecast'!$L$6:$L$266,MATCH($M68,'[1]Link Out Forecast'!$C$6:$C$266,0),1),"")</f>
        <v>0</v>
      </c>
      <c r="AC68" s="135"/>
      <c r="AD68" s="347">
        <f>IFERROR(INDEX('[1]Link Out Forecast'!$M$6:$M$266,MATCH($M68,'[1]Link Out Forecast'!$C$6:$C$266,0),1),"")</f>
        <v>0</v>
      </c>
      <c r="AE68" s="135"/>
      <c r="AF68" s="347">
        <f>IFERROR(INDEX('[1]Link Out Forecast'!$N$6:$N$266,MATCH($M68,'[1]Link Out Forecast'!$C$6:$C$266,0),1),"")</f>
        <v>0</v>
      </c>
      <c r="AG68" s="135"/>
      <c r="AH68" s="347">
        <f>IFERROR(INDEX('[1]Link Out Forecast'!$O$6:$O$266,MATCH($M68,'[1]Link Out Forecast'!$C$6:$C$266,0),1),"")</f>
        <v>0</v>
      </c>
      <c r="AI68" s="135"/>
      <c r="AJ68" s="347">
        <f>IFERROR(INDEX('[1]Link Out Forecast'!$P$6:$P$266,MATCH($M68,'[1]Link Out Forecast'!$C$6:$C$266,0),1),"")</f>
        <v>0</v>
      </c>
      <c r="AK68" s="135"/>
      <c r="AL68" s="347">
        <f>IFERROR(INDEX('[1]Link Out Forecast'!$Q$6:$Q$266,MATCH($M68,'[1]Link Out Forecast'!$C$6:$C$266,0),1),"")</f>
        <v>0</v>
      </c>
      <c r="AM68" s="135"/>
      <c r="AN68" s="347">
        <f>IFERROR(INDEX('[1]Link Out Forecast'!$R$6:$R$266,MATCH($M68,'[1]Link Out Forecast'!$C$6:$C$266,0),1),"")</f>
        <v>0</v>
      </c>
      <c r="AO68" s="348">
        <f t="shared" si="1"/>
        <v>0</v>
      </c>
    </row>
    <row r="69" spans="1:41" hidden="1">
      <c r="A69" s="303" t="str">
        <f>IFERROR(INDEX('[1]Link Out Monthly BY'!$A$7:$A$517,MATCH($C69,'[1]Link Out Monthly BY'!$C$7:$C$517,0),1),"")</f>
        <v>P11</v>
      </c>
      <c r="B69" s="303" t="str">
        <f>IFERROR(INDEX('[1]Link Out Monthly BY'!$B$7:$B$517,MATCH($C69,'[1]Link Out Monthly BY'!$C$7:$C$517,0),1),"")</f>
        <v>Other revenues</v>
      </c>
      <c r="C69" s="344">
        <v>40310250</v>
      </c>
      <c r="E69" s="303" t="str">
        <f>IFERROR(INDEX('[1]Link Out Monthly BY'!$D$7:$D$517,MATCH($C69,'[1]Link Out Monthly BY'!$C$7:$C$517,0),1),"")</f>
        <v>OthRev-Rent I/C</v>
      </c>
      <c r="G69" s="303" t="str">
        <f>IFERROR(INDEX('[1]Link Out Monthly BY'!$E$7:$E$517,MATCH($C69,'[1]Link Out Monthly BY'!$C$7:$C$517,0),1),"")</f>
        <v>473.</v>
      </c>
      <c r="I69" s="335">
        <f>IFERROR(INDEX('[1]Link Out Monthly BY'!$R$7:$R$517,MATCH($C69,'[1]Link Out Monthly BY'!$C$7:$C$517,0),1),"")</f>
        <v>-154932</v>
      </c>
      <c r="K69" s="303" t="str">
        <f>IFERROR(INDEX('[1]Link Out Forecast'!$A$6:$A$266,MATCH($M69,'[1]Link Out Forecast'!$C$6:$C$266,0),1),"")</f>
        <v>P10</v>
      </c>
      <c r="L69" s="303" t="str">
        <f>IFERROR(INDEX('[1]Link Out Forecast'!$B$6:$B$266,MATCH($M69,'[1]Link Out Forecast'!$C$6:$C$266,0),1),"")</f>
        <v>Sewer revenues</v>
      </c>
      <c r="M69" s="344">
        <v>40231000</v>
      </c>
      <c r="N69" s="303" t="str">
        <f>IFERROR(INDEX('[1]Link Out Forecast'!$D$6:$D$266,MATCH($M69,'[1]Link Out Forecast'!$C$6:$C$266,0),1),"")</f>
        <v>Ind WW Svc Billed</v>
      </c>
      <c r="O69" s="303" t="str">
        <f>IFERROR(INDEX('[1]Link Out Forecast'!$E$6:$E$266,MATCH($M69,'[1]Link Out Forecast'!$C$6:$C$266,0),1),"")</f>
        <v>522.3</v>
      </c>
      <c r="P69" s="347">
        <f>IFERROR(INDEX('[1]Link Out Forecast'!$F$6:$F$266,MATCH($M69,'[1]Link Out Forecast'!$C$6:$C$266,0),1),"")</f>
        <v>0</v>
      </c>
      <c r="Q69" s="126"/>
      <c r="R69" s="347">
        <f>IFERROR(INDEX('[1]Link Out Forecast'!$G$6:$G$266,MATCH($M69,'[1]Link Out Forecast'!$C$6:$C$266,0),1),"")</f>
        <v>0</v>
      </c>
      <c r="S69" s="126"/>
      <c r="T69" s="347">
        <f>IFERROR(INDEX('[1]Link Out Forecast'!$H$6:$H$266,MATCH($M69,'[1]Link Out Forecast'!$C$6:$C$266,0),1),"")</f>
        <v>0</v>
      </c>
      <c r="U69" s="126"/>
      <c r="V69" s="347">
        <f>IFERROR(INDEX('[1]Link Out Forecast'!$I$6:$I$266,MATCH($M69,'[1]Link Out Forecast'!$C$6:$C$266,0),1),"")</f>
        <v>0</v>
      </c>
      <c r="W69" s="126"/>
      <c r="X69" s="347">
        <f>IFERROR(INDEX('[1]Link Out Forecast'!$J$6:$J$266,MATCH($M69,'[1]Link Out Forecast'!$C$6:$C$266,0),1),"")</f>
        <v>0</v>
      </c>
      <c r="Y69" s="126"/>
      <c r="Z69" s="347">
        <f>IFERROR(INDEX('[1]Link Out Forecast'!$K$6:$K$266,MATCH($M69,'[1]Link Out Forecast'!$C$6:$C$266,0),1),"")</f>
        <v>0</v>
      </c>
      <c r="AA69" s="126"/>
      <c r="AB69" s="347">
        <f>IFERROR(INDEX('[1]Link Out Forecast'!$L$6:$L$266,MATCH($M69,'[1]Link Out Forecast'!$C$6:$C$266,0),1),"")</f>
        <v>0</v>
      </c>
      <c r="AC69" s="126"/>
      <c r="AD69" s="347">
        <f>IFERROR(INDEX('[1]Link Out Forecast'!$M$6:$M$266,MATCH($M69,'[1]Link Out Forecast'!$C$6:$C$266,0),1),"")</f>
        <v>0</v>
      </c>
      <c r="AE69" s="126"/>
      <c r="AF69" s="347">
        <f>IFERROR(INDEX('[1]Link Out Forecast'!$N$6:$N$266,MATCH($M69,'[1]Link Out Forecast'!$C$6:$C$266,0),1),"")</f>
        <v>0</v>
      </c>
      <c r="AG69" s="126"/>
      <c r="AH69" s="347">
        <f>IFERROR(INDEX('[1]Link Out Forecast'!$O$6:$O$266,MATCH($M69,'[1]Link Out Forecast'!$C$6:$C$266,0),1),"")</f>
        <v>0</v>
      </c>
      <c r="AI69" s="126"/>
      <c r="AJ69" s="347">
        <f>IFERROR(INDEX('[1]Link Out Forecast'!$P$6:$P$266,MATCH($M69,'[1]Link Out Forecast'!$C$6:$C$266,0),1),"")</f>
        <v>0</v>
      </c>
      <c r="AK69" s="126"/>
      <c r="AL69" s="347">
        <f>IFERROR(INDEX('[1]Link Out Forecast'!$Q$6:$Q$266,MATCH($M69,'[1]Link Out Forecast'!$C$6:$C$266,0),1),"")</f>
        <v>0</v>
      </c>
      <c r="AM69" s="126"/>
      <c r="AN69" s="347">
        <f>IFERROR(INDEX('[1]Link Out Forecast'!$R$6:$R$266,MATCH($M69,'[1]Link Out Forecast'!$C$6:$C$266,0),1),"")</f>
        <v>0</v>
      </c>
      <c r="AO69" s="348">
        <f t="shared" si="1"/>
        <v>0</v>
      </c>
    </row>
    <row r="70" spans="1:41" hidden="1">
      <c r="A70" s="303" t="str">
        <f>IFERROR(INDEX('[1]Link Out Monthly BY'!$A$7:$A$517,MATCH($C70,'[1]Link Out Monthly BY'!$C$7:$C$517,0),1),"")</f>
        <v>P11</v>
      </c>
      <c r="B70" s="303" t="str">
        <f>IFERROR(INDEX('[1]Link Out Monthly BY'!$B$7:$B$517,MATCH($C70,'[1]Link Out Monthly BY'!$C$7:$C$517,0),1),"")</f>
        <v>Other revenues</v>
      </c>
      <c r="C70" s="344">
        <v>40310300</v>
      </c>
      <c r="E70" s="303" t="str">
        <f>IFERROR(INDEX('[1]Link Out Monthly BY'!$D$7:$D$517,MATCH($C70,'[1]Link Out Monthly BY'!$C$7:$C$517,0),1),"")</f>
        <v>OthRev-CFO</v>
      </c>
      <c r="G70" s="303" t="str">
        <f>IFERROR(INDEX('[1]Link Out Monthly BY'!$E$7:$E$517,MATCH($C70,'[1]Link Out Monthly BY'!$C$7:$C$517,0),1),"")</f>
        <v>471.</v>
      </c>
      <c r="I70" s="335">
        <f>IFERROR(INDEX('[1]Link Out Monthly BY'!$R$7:$R$517,MATCH($C70,'[1]Link Out Monthly BY'!$C$7:$C$517,0),1),"")</f>
        <v>0</v>
      </c>
      <c r="K70" s="303" t="str">
        <f>IFERROR(INDEX('[1]Link Out Forecast'!$A$6:$A$266,MATCH($M70,'[1]Link Out Forecast'!$C$6:$C$266,0),1),"")</f>
        <v>P10</v>
      </c>
      <c r="L70" s="303" t="str">
        <f>IFERROR(INDEX('[1]Link Out Forecast'!$B$6:$B$266,MATCH($M70,'[1]Link Out Forecast'!$C$6:$C$266,0),1),"")</f>
        <v>Sewer revenues</v>
      </c>
      <c r="M70" s="344">
        <v>40251000</v>
      </c>
      <c r="N70" s="303" t="str">
        <f>IFERROR(INDEX('[1]Link Out Forecast'!$D$6:$D$266,MATCH($M70,'[1]Link Out Forecast'!$C$6:$C$266,0),1),"")</f>
        <v>PubAuth WW Billed</v>
      </c>
      <c r="O70" s="303" t="str">
        <f>IFERROR(INDEX('[1]Link Out Forecast'!$E$6:$E$266,MATCH($M70,'[1]Link Out Forecast'!$C$6:$C$266,0),1),"")</f>
        <v>522.4</v>
      </c>
      <c r="P70" s="347">
        <f>IFERROR(INDEX('[1]Link Out Forecast'!$F$6:$F$266,MATCH($M70,'[1]Link Out Forecast'!$C$6:$C$266,0),1),"")</f>
        <v>0</v>
      </c>
      <c r="Q70" s="126"/>
      <c r="R70" s="347">
        <f>IFERROR(INDEX('[1]Link Out Forecast'!$G$6:$G$266,MATCH($M70,'[1]Link Out Forecast'!$C$6:$C$266,0),1),"")</f>
        <v>0</v>
      </c>
      <c r="S70" s="126"/>
      <c r="T70" s="347">
        <f>IFERROR(INDEX('[1]Link Out Forecast'!$H$6:$H$266,MATCH($M70,'[1]Link Out Forecast'!$C$6:$C$266,0),1),"")</f>
        <v>0</v>
      </c>
      <c r="U70" s="126"/>
      <c r="V70" s="347">
        <f>IFERROR(INDEX('[1]Link Out Forecast'!$I$6:$I$266,MATCH($M70,'[1]Link Out Forecast'!$C$6:$C$266,0),1),"")</f>
        <v>0</v>
      </c>
      <c r="W70" s="126"/>
      <c r="X70" s="347">
        <f>IFERROR(INDEX('[1]Link Out Forecast'!$J$6:$J$266,MATCH($M70,'[1]Link Out Forecast'!$C$6:$C$266,0),1),"")</f>
        <v>0</v>
      </c>
      <c r="Y70" s="126"/>
      <c r="Z70" s="347">
        <f>IFERROR(INDEX('[1]Link Out Forecast'!$K$6:$K$266,MATCH($M70,'[1]Link Out Forecast'!$C$6:$C$266,0),1),"")</f>
        <v>0</v>
      </c>
      <c r="AA70" s="126"/>
      <c r="AB70" s="347">
        <f>IFERROR(INDEX('[1]Link Out Forecast'!$L$6:$L$266,MATCH($M70,'[1]Link Out Forecast'!$C$6:$C$266,0),1),"")</f>
        <v>0</v>
      </c>
      <c r="AC70" s="126"/>
      <c r="AD70" s="347">
        <f>IFERROR(INDEX('[1]Link Out Forecast'!$M$6:$M$266,MATCH($M70,'[1]Link Out Forecast'!$C$6:$C$266,0),1),"")</f>
        <v>0</v>
      </c>
      <c r="AE70" s="126"/>
      <c r="AF70" s="347">
        <f>IFERROR(INDEX('[1]Link Out Forecast'!$N$6:$N$266,MATCH($M70,'[1]Link Out Forecast'!$C$6:$C$266,0),1),"")</f>
        <v>0</v>
      </c>
      <c r="AG70" s="126"/>
      <c r="AH70" s="347">
        <f>IFERROR(INDEX('[1]Link Out Forecast'!$O$6:$O$266,MATCH($M70,'[1]Link Out Forecast'!$C$6:$C$266,0),1),"")</f>
        <v>0</v>
      </c>
      <c r="AI70" s="126"/>
      <c r="AJ70" s="347">
        <f>IFERROR(INDEX('[1]Link Out Forecast'!$P$6:$P$266,MATCH($M70,'[1]Link Out Forecast'!$C$6:$C$266,0),1),"")</f>
        <v>0</v>
      </c>
      <c r="AK70" s="126"/>
      <c r="AL70" s="347">
        <f>IFERROR(INDEX('[1]Link Out Forecast'!$Q$6:$Q$266,MATCH($M70,'[1]Link Out Forecast'!$C$6:$C$266,0),1),"")</f>
        <v>0</v>
      </c>
      <c r="AM70" s="126"/>
      <c r="AN70" s="347">
        <f>IFERROR(INDEX('[1]Link Out Forecast'!$R$6:$R$266,MATCH($M70,'[1]Link Out Forecast'!$C$6:$C$266,0),1),"")</f>
        <v>0</v>
      </c>
      <c r="AO70" s="348">
        <f t="shared" si="1"/>
        <v>0</v>
      </c>
    </row>
    <row r="71" spans="1:41" hidden="1">
      <c r="A71" s="303" t="str">
        <f>IFERROR(INDEX('[1]Link Out Monthly BY'!$A$7:$A$517,MATCH($C71,'[1]Link Out Monthly BY'!$C$7:$C$517,0),1),"")</f>
        <v>P11</v>
      </c>
      <c r="B71" s="303" t="str">
        <f>IFERROR(INDEX('[1]Link Out Monthly BY'!$B$7:$B$517,MATCH($C71,'[1]Link Out Monthly BY'!$C$7:$C$517,0),1),"")</f>
        <v>Other revenues</v>
      </c>
      <c r="C71" s="344">
        <v>40310400</v>
      </c>
      <c r="E71" s="303" t="str">
        <f>IFERROR(INDEX('[1]Link Out Monthly BY'!$D$7:$D$517,MATCH($C71,'[1]Link Out Monthly BY'!$C$7:$C$517,0),1),"")</f>
        <v>OthRev-NSF Ck Chrg</v>
      </c>
      <c r="G71" s="303" t="str">
        <f>IFERROR(INDEX('[1]Link Out Monthly BY'!$E$7:$E$517,MATCH($C71,'[1]Link Out Monthly BY'!$C$7:$C$517,0),1),"")</f>
        <v>471.</v>
      </c>
      <c r="I71" s="335">
        <f>IFERROR(INDEX('[1]Link Out Monthly BY'!$R$7:$R$517,MATCH($C71,'[1]Link Out Monthly BY'!$C$7:$C$517,0),1),"")</f>
        <v>-30420</v>
      </c>
      <c r="K71" s="303" t="str">
        <f>IFERROR(INDEX('[1]Link Out Forecast'!$A$6:$A$266,MATCH($M71,'[1]Link Out Forecast'!$C$6:$C$266,0),1),"")</f>
        <v>P11</v>
      </c>
      <c r="L71" s="303" t="str">
        <f>IFERROR(INDEX('[1]Link Out Forecast'!$B$6:$B$266,MATCH($M71,'[1]Link Out Forecast'!$C$6:$C$266,0),1),"")</f>
        <v>Other revenues</v>
      </c>
      <c r="M71" s="344">
        <v>40310100</v>
      </c>
      <c r="N71" s="303" t="str">
        <f>IFERROR(INDEX('[1]Link Out Forecast'!$D$6:$D$266,MATCH($M71,'[1]Link Out Forecast'!$C$6:$C$266,0),1),"")</f>
        <v>OthRev-Late Pymt Fee</v>
      </c>
      <c r="O71" s="303" t="str">
        <f>IFERROR(INDEX('[1]Link Out Forecast'!$E$6:$E$266,MATCH($M71,'[1]Link Out Forecast'!$C$6:$C$266,0),1),"")</f>
        <v>470.</v>
      </c>
      <c r="P71" s="347">
        <f>IFERROR(INDEX('[1]Link Out Forecast'!$F$6:$F$266,MATCH($M71,'[1]Link Out Forecast'!$C$6:$C$266,0),1),"")</f>
        <v>-73916</v>
      </c>
      <c r="Q71" s="126"/>
      <c r="R71" s="347">
        <f>IFERROR(INDEX('[1]Link Out Forecast'!$G$6:$G$266,MATCH($M71,'[1]Link Out Forecast'!$C$6:$C$266,0),1),"")</f>
        <v>-84582</v>
      </c>
      <c r="S71" s="126"/>
      <c r="T71" s="347">
        <f>IFERROR(INDEX('[1]Link Out Forecast'!$H$6:$H$266,MATCH($M71,'[1]Link Out Forecast'!$C$6:$C$266,0),1),"")</f>
        <v>-76592</v>
      </c>
      <c r="U71" s="126"/>
      <c r="V71" s="347">
        <f>IFERROR(INDEX('[1]Link Out Forecast'!$I$6:$I$266,MATCH($M71,'[1]Link Out Forecast'!$C$6:$C$266,0),1),"")</f>
        <v>-78318</v>
      </c>
      <c r="W71" s="126"/>
      <c r="X71" s="347">
        <f>IFERROR(INDEX('[1]Link Out Forecast'!$J$6:$J$266,MATCH($M71,'[1]Link Out Forecast'!$C$6:$C$266,0),1),"")</f>
        <v>-71824</v>
      </c>
      <c r="Y71" s="126"/>
      <c r="Z71" s="347">
        <f>IFERROR(INDEX('[1]Link Out Forecast'!$K$6:$K$266,MATCH($M71,'[1]Link Out Forecast'!$C$6:$C$266,0),1),"")</f>
        <v>-71924</v>
      </c>
      <c r="AA71" s="126"/>
      <c r="AB71" s="347">
        <f>IFERROR(INDEX('[1]Link Out Forecast'!$L$6:$L$266,MATCH($M71,'[1]Link Out Forecast'!$C$6:$C$266,0),1),"")</f>
        <v>-68363</v>
      </c>
      <c r="AC71" s="126"/>
      <c r="AD71" s="347">
        <f>IFERROR(INDEX('[1]Link Out Forecast'!$M$6:$M$266,MATCH($M71,'[1]Link Out Forecast'!$C$6:$C$266,0),1),"")</f>
        <v>-68063</v>
      </c>
      <c r="AE71" s="126"/>
      <c r="AF71" s="347">
        <f>IFERROR(INDEX('[1]Link Out Forecast'!$N$6:$N$266,MATCH($M71,'[1]Link Out Forecast'!$C$6:$C$266,0),1),"")</f>
        <v>-69462</v>
      </c>
      <c r="AG71" s="126"/>
      <c r="AH71" s="347">
        <f>IFERROR(INDEX('[1]Link Out Forecast'!$O$6:$O$266,MATCH($M71,'[1]Link Out Forecast'!$C$6:$C$266,0),1),"")</f>
        <v>-68489</v>
      </c>
      <c r="AI71" s="126"/>
      <c r="AJ71" s="347">
        <f>IFERROR(INDEX('[1]Link Out Forecast'!$P$6:$P$266,MATCH($M71,'[1]Link Out Forecast'!$C$6:$C$266,0),1),"")</f>
        <v>-77846</v>
      </c>
      <c r="AK71" s="126"/>
      <c r="AL71" s="347">
        <f>IFERROR(INDEX('[1]Link Out Forecast'!$Q$6:$Q$266,MATCH($M71,'[1]Link Out Forecast'!$C$6:$C$266,0),1),"")</f>
        <v>-80081</v>
      </c>
      <c r="AM71" s="126"/>
      <c r="AN71" s="347">
        <f>IFERROR(INDEX('[1]Link Out Forecast'!$R$6:$R$266,MATCH($M71,'[1]Link Out Forecast'!$C$6:$C$266,0),1),"")</f>
        <v>-889460</v>
      </c>
      <c r="AO71" s="348">
        <f t="shared" si="1"/>
        <v>0</v>
      </c>
    </row>
    <row r="72" spans="1:41" hidden="1">
      <c r="A72" s="303" t="str">
        <f>IFERROR(INDEX('[1]Link Out Monthly BY'!$A$7:$A$517,MATCH($C72,'[1]Link Out Monthly BY'!$C$7:$C$517,0),1),"")</f>
        <v>P11</v>
      </c>
      <c r="B72" s="303" t="str">
        <f>IFERROR(INDEX('[1]Link Out Monthly BY'!$B$7:$B$517,MATCH($C72,'[1]Link Out Monthly BY'!$C$7:$C$517,0),1),"")</f>
        <v>Other revenues</v>
      </c>
      <c r="C72" s="344">
        <v>40310500</v>
      </c>
      <c r="E72" s="303" t="str">
        <f>IFERROR(INDEX('[1]Link Out Monthly BY'!$D$7:$D$517,MATCH($C72,'[1]Link Out Monthly BY'!$C$7:$C$517,0),1),"")</f>
        <v>OthRev-Appl/InitFee</v>
      </c>
      <c r="G72" s="303" t="str">
        <f>IFERROR(INDEX('[1]Link Out Monthly BY'!$E$7:$E$517,MATCH($C72,'[1]Link Out Monthly BY'!$C$7:$C$517,0),1),"")</f>
        <v>471.</v>
      </c>
      <c r="I72" s="335">
        <f>IFERROR(INDEX('[1]Link Out Monthly BY'!$R$7:$R$517,MATCH($C72,'[1]Link Out Monthly BY'!$C$7:$C$517,0),1),"")</f>
        <v>-776520</v>
      </c>
      <c r="K72" s="303" t="str">
        <f>IFERROR(INDEX('[1]Link Out Forecast'!$A$6:$A$266,MATCH($M72,'[1]Link Out Forecast'!$C$6:$C$266,0),1),"")</f>
        <v>P11</v>
      </c>
      <c r="L72" s="303" t="str">
        <f>IFERROR(INDEX('[1]Link Out Forecast'!$B$6:$B$266,MATCH($M72,'[1]Link Out Forecast'!$C$6:$C$266,0),1),"")</f>
        <v>Other revenues</v>
      </c>
      <c r="M72" s="344">
        <v>40310200</v>
      </c>
      <c r="N72" s="303" t="str">
        <f>IFERROR(INDEX('[1]Link Out Forecast'!$D$6:$D$266,MATCH($M72,'[1]Link Out Forecast'!$C$6:$C$266,0),1),"")</f>
        <v>OthRev-Rent</v>
      </c>
      <c r="O72" s="303" t="str">
        <f>IFERROR(INDEX('[1]Link Out Forecast'!$E$6:$E$266,MATCH($M72,'[1]Link Out Forecast'!$C$6:$C$266,0),1),"")</f>
        <v>472.</v>
      </c>
      <c r="P72" s="347">
        <f>IFERROR(INDEX('[1]Link Out Forecast'!$F$6:$F$266,MATCH($M72,'[1]Link Out Forecast'!$C$6:$C$266,0),1),"")</f>
        <v>-7643</v>
      </c>
      <c r="Q72" s="126"/>
      <c r="R72" s="347">
        <f>IFERROR(INDEX('[1]Link Out Forecast'!$G$6:$G$266,MATCH($M72,'[1]Link Out Forecast'!$C$6:$C$266,0),1),"")</f>
        <v>-8017</v>
      </c>
      <c r="S72" s="126"/>
      <c r="T72" s="347">
        <f>IFERROR(INDEX('[1]Link Out Forecast'!$H$6:$H$266,MATCH($M72,'[1]Link Out Forecast'!$C$6:$C$266,0),1),"")</f>
        <v>-7948</v>
      </c>
      <c r="U72" s="126"/>
      <c r="V72" s="347">
        <f>IFERROR(INDEX('[1]Link Out Forecast'!$I$6:$I$266,MATCH($M72,'[1]Link Out Forecast'!$C$6:$C$266,0),1),"")</f>
        <v>-7948</v>
      </c>
      <c r="W72" s="126"/>
      <c r="X72" s="347">
        <f>IFERROR(INDEX('[1]Link Out Forecast'!$J$6:$J$266,MATCH($M72,'[1]Link Out Forecast'!$C$6:$C$266,0),1),"")</f>
        <v>-7948</v>
      </c>
      <c r="Y72" s="126"/>
      <c r="Z72" s="347">
        <f>IFERROR(INDEX('[1]Link Out Forecast'!$K$6:$K$266,MATCH($M72,'[1]Link Out Forecast'!$C$6:$C$266,0),1),"")</f>
        <v>-7948</v>
      </c>
      <c r="AA72" s="126"/>
      <c r="AB72" s="347">
        <f>IFERROR(INDEX('[1]Link Out Forecast'!$L$6:$L$266,MATCH($M72,'[1]Link Out Forecast'!$C$6:$C$266,0),1),"")</f>
        <v>-7096</v>
      </c>
      <c r="AC72" s="126"/>
      <c r="AD72" s="347">
        <f>IFERROR(INDEX('[1]Link Out Forecast'!$M$6:$M$266,MATCH($M72,'[1]Link Out Forecast'!$C$6:$C$266,0),1),"")</f>
        <v>-7065</v>
      </c>
      <c r="AE72" s="126"/>
      <c r="AF72" s="347">
        <f>IFERROR(INDEX('[1]Link Out Forecast'!$N$6:$N$266,MATCH($M72,'[1]Link Out Forecast'!$C$6:$C$266,0),1),"")</f>
        <v>-7210</v>
      </c>
      <c r="AG72" s="126"/>
      <c r="AH72" s="347">
        <f>IFERROR(INDEX('[1]Link Out Forecast'!$O$6:$O$266,MATCH($M72,'[1]Link Out Forecast'!$C$6:$C$266,0),1),"")</f>
        <v>-7109</v>
      </c>
      <c r="AI72" s="126"/>
      <c r="AJ72" s="347">
        <f>IFERROR(INDEX('[1]Link Out Forecast'!$P$6:$P$266,MATCH($M72,'[1]Link Out Forecast'!$C$6:$C$266,0),1),"")</f>
        <v>-8080</v>
      </c>
      <c r="AK72" s="126"/>
      <c r="AL72" s="347">
        <f>IFERROR(INDEX('[1]Link Out Forecast'!$Q$6:$Q$266,MATCH($M72,'[1]Link Out Forecast'!$C$6:$C$266,0),1),"")</f>
        <v>-8312</v>
      </c>
      <c r="AM72" s="126"/>
      <c r="AN72" s="347">
        <f>IFERROR(INDEX('[1]Link Out Forecast'!$R$6:$R$266,MATCH($M72,'[1]Link Out Forecast'!$C$6:$C$266,0),1),"")</f>
        <v>-92324</v>
      </c>
      <c r="AO72" s="348">
        <f t="shared" si="1"/>
        <v>0</v>
      </c>
    </row>
    <row r="73" spans="1:41" hidden="1">
      <c r="A73" s="303" t="str">
        <f>IFERROR(INDEX('[1]Link Out Monthly BY'!$A$7:$A$517,MATCH($C73,'[1]Link Out Monthly BY'!$C$7:$C$517,0),1),"")</f>
        <v>P11</v>
      </c>
      <c r="B73" s="303" t="str">
        <f>IFERROR(INDEX('[1]Link Out Monthly BY'!$B$7:$B$517,MATCH($C73,'[1]Link Out Monthly BY'!$C$7:$C$517,0),1),"")</f>
        <v>Other revenues</v>
      </c>
      <c r="C73" s="344">
        <v>40310600</v>
      </c>
      <c r="E73" s="303" t="str">
        <f>IFERROR(INDEX('[1]Link Out Monthly BY'!$D$7:$D$517,MATCH($C73,'[1]Link Out Monthly BY'!$C$7:$C$517,0),1),"")</f>
        <v>OthRev-Usage Data</v>
      </c>
      <c r="G73" s="303" t="str">
        <f>IFERROR(INDEX('[1]Link Out Monthly BY'!$E$7:$E$517,MATCH($C73,'[1]Link Out Monthly BY'!$C$7:$C$517,0),1),"")</f>
        <v>471.</v>
      </c>
      <c r="I73" s="335">
        <f>IFERROR(INDEX('[1]Link Out Monthly BY'!$R$7:$R$517,MATCH($C73,'[1]Link Out Monthly BY'!$C$7:$C$517,0),1),"")</f>
        <v>-51797</v>
      </c>
      <c r="K73" s="303" t="str">
        <f>IFERROR(INDEX('[1]Link Out Forecast'!$A$6:$A$266,MATCH($M73,'[1]Link Out Forecast'!$C$6:$C$266,0),1),"")</f>
        <v>P11</v>
      </c>
      <c r="L73" s="303" t="str">
        <f>IFERROR(INDEX('[1]Link Out Forecast'!$B$6:$B$266,MATCH($M73,'[1]Link Out Forecast'!$C$6:$C$266,0),1),"")</f>
        <v>Other revenues</v>
      </c>
      <c r="M73" s="344">
        <v>40310250</v>
      </c>
      <c r="N73" s="303" t="str">
        <f>IFERROR(INDEX('[1]Link Out Forecast'!$D$6:$D$266,MATCH($M73,'[1]Link Out Forecast'!$C$6:$C$266,0),1),"")</f>
        <v>OthRev-Rent I/C</v>
      </c>
      <c r="O73" s="303" t="str">
        <f>IFERROR(INDEX('[1]Link Out Forecast'!$E$6:$E$266,MATCH($M73,'[1]Link Out Forecast'!$C$6:$C$266,0),1),"")</f>
        <v>473.</v>
      </c>
      <c r="P73" s="347">
        <f>IFERROR(INDEX('[1]Link Out Forecast'!$F$6:$F$266,MATCH($M73,'[1]Link Out Forecast'!$C$6:$C$266,0),1),"")</f>
        <v>-12911</v>
      </c>
      <c r="Q73" s="126"/>
      <c r="R73" s="347">
        <f>IFERROR(INDEX('[1]Link Out Forecast'!$G$6:$G$266,MATCH($M73,'[1]Link Out Forecast'!$C$6:$C$266,0),1),"")</f>
        <v>-12911</v>
      </c>
      <c r="S73" s="126"/>
      <c r="T73" s="347">
        <f>IFERROR(INDEX('[1]Link Out Forecast'!$H$6:$H$266,MATCH($M73,'[1]Link Out Forecast'!$C$6:$C$266,0),1),"")</f>
        <v>-12911</v>
      </c>
      <c r="U73" s="126"/>
      <c r="V73" s="347">
        <f>IFERROR(INDEX('[1]Link Out Forecast'!$I$6:$I$266,MATCH($M73,'[1]Link Out Forecast'!$C$6:$C$266,0),1),"")</f>
        <v>-12911</v>
      </c>
      <c r="W73" s="126"/>
      <c r="X73" s="347">
        <f>IFERROR(INDEX('[1]Link Out Forecast'!$J$6:$J$266,MATCH($M73,'[1]Link Out Forecast'!$C$6:$C$266,0),1),"")</f>
        <v>-12911</v>
      </c>
      <c r="Y73" s="126"/>
      <c r="Z73" s="347">
        <f>IFERROR(INDEX('[1]Link Out Forecast'!$K$6:$K$266,MATCH($M73,'[1]Link Out Forecast'!$C$6:$C$266,0),1),"")</f>
        <v>-12911</v>
      </c>
      <c r="AA73" s="126"/>
      <c r="AB73" s="347">
        <f>IFERROR(INDEX('[1]Link Out Forecast'!$L$6:$L$266,MATCH($M73,'[1]Link Out Forecast'!$C$6:$C$266,0),1),"")</f>
        <v>-11584</v>
      </c>
      <c r="AC73" s="126"/>
      <c r="AD73" s="347">
        <f>IFERROR(INDEX('[1]Link Out Forecast'!$M$6:$M$266,MATCH($M73,'[1]Link Out Forecast'!$C$6:$C$266,0),1),"")</f>
        <v>-11534</v>
      </c>
      <c r="AE73" s="126"/>
      <c r="AF73" s="347">
        <f>IFERROR(INDEX('[1]Link Out Forecast'!$N$6:$N$266,MATCH($M73,'[1]Link Out Forecast'!$C$6:$C$266,0),1),"")</f>
        <v>-11771</v>
      </c>
      <c r="AG73" s="126"/>
      <c r="AH73" s="347">
        <f>IFERROR(INDEX('[1]Link Out Forecast'!$O$6:$O$266,MATCH($M73,'[1]Link Out Forecast'!$C$6:$C$266,0),1),"")</f>
        <v>-11606</v>
      </c>
      <c r="AI73" s="126"/>
      <c r="AJ73" s="347">
        <f>IFERROR(INDEX('[1]Link Out Forecast'!$P$6:$P$266,MATCH($M73,'[1]Link Out Forecast'!$C$6:$C$266,0),1),"")</f>
        <v>-13191</v>
      </c>
      <c r="AK73" s="126"/>
      <c r="AL73" s="347">
        <f>IFERROR(INDEX('[1]Link Out Forecast'!$Q$6:$Q$266,MATCH($M73,'[1]Link Out Forecast'!$C$6:$C$266,0),1),"")</f>
        <v>-13570</v>
      </c>
      <c r="AM73" s="126"/>
      <c r="AN73" s="347">
        <f>IFERROR(INDEX('[1]Link Out Forecast'!$R$6:$R$266,MATCH($M73,'[1]Link Out Forecast'!$C$6:$C$266,0),1),"")</f>
        <v>-150722</v>
      </c>
      <c r="AO73" s="348">
        <f t="shared" si="1"/>
        <v>0</v>
      </c>
    </row>
    <row r="74" spans="1:41" hidden="1">
      <c r="A74" s="303" t="str">
        <f>IFERROR(INDEX('[1]Link Out Monthly BY'!$A$7:$A$517,MATCH($C74,'[1]Link Out Monthly BY'!$C$7:$C$517,0),1),"")</f>
        <v>P11</v>
      </c>
      <c r="B74" s="303" t="str">
        <f>IFERROR(INDEX('[1]Link Out Monthly BY'!$B$7:$B$517,MATCH($C74,'[1]Link Out Monthly BY'!$C$7:$C$517,0),1),"")</f>
        <v>Other revenues</v>
      </c>
      <c r="C74" s="344">
        <v>40310700</v>
      </c>
      <c r="E74" s="303" t="str">
        <f>IFERROR(INDEX('[1]Link Out Monthly BY'!$D$7:$D$517,MATCH($C74,'[1]Link Out Monthly BY'!$C$7:$C$517,0),1),"")</f>
        <v>OthRev-Reconnct Fee</v>
      </c>
      <c r="G74" s="303" t="str">
        <f>IFERROR(INDEX('[1]Link Out Monthly BY'!$E$7:$E$517,MATCH($C74,'[1]Link Out Monthly BY'!$C$7:$C$517,0),1),"")</f>
        <v>471.</v>
      </c>
      <c r="I74" s="335">
        <f>IFERROR(INDEX('[1]Link Out Monthly BY'!$R$7:$R$517,MATCH($C74,'[1]Link Out Monthly BY'!$C$7:$C$517,0),1),"")</f>
        <v>-573394</v>
      </c>
      <c r="K74" s="303" t="str">
        <f>IFERROR(INDEX('[1]Link Out Forecast'!$A$6:$A$266,MATCH($M74,'[1]Link Out Forecast'!$C$6:$C$266,0),1),"")</f>
        <v>P11</v>
      </c>
      <c r="L74" s="303" t="str">
        <f>IFERROR(INDEX('[1]Link Out Forecast'!$B$6:$B$266,MATCH($M74,'[1]Link Out Forecast'!$C$6:$C$266,0),1),"")</f>
        <v>Other revenues</v>
      </c>
      <c r="M74" s="344">
        <v>40310300</v>
      </c>
      <c r="N74" s="303" t="str">
        <f>IFERROR(INDEX('[1]Link Out Forecast'!$D$6:$D$266,MATCH($M74,'[1]Link Out Forecast'!$C$6:$C$266,0),1),"")</f>
        <v>OthRev-CFO</v>
      </c>
      <c r="O74" s="303" t="str">
        <f>IFERROR(INDEX('[1]Link Out Forecast'!$E$6:$E$266,MATCH($M74,'[1]Link Out Forecast'!$C$6:$C$266,0),1),"")</f>
        <v>471.</v>
      </c>
      <c r="P74" s="347">
        <f>IFERROR(INDEX('[1]Link Out Forecast'!$F$6:$F$266,MATCH($M74,'[1]Link Out Forecast'!$C$6:$C$266,0),1),"")</f>
        <v>0</v>
      </c>
      <c r="Q74" s="126"/>
      <c r="R74" s="347">
        <f>IFERROR(INDEX('[1]Link Out Forecast'!$G$6:$G$266,MATCH($M74,'[1]Link Out Forecast'!$C$6:$C$266,0),1),"")</f>
        <v>0</v>
      </c>
      <c r="S74" s="126"/>
      <c r="T74" s="347">
        <f>IFERROR(INDEX('[1]Link Out Forecast'!$H$6:$H$266,MATCH($M74,'[1]Link Out Forecast'!$C$6:$C$266,0),1),"")</f>
        <v>0</v>
      </c>
      <c r="U74" s="126"/>
      <c r="V74" s="347">
        <f>IFERROR(INDEX('[1]Link Out Forecast'!$I$6:$I$266,MATCH($M74,'[1]Link Out Forecast'!$C$6:$C$266,0),1),"")</f>
        <v>0</v>
      </c>
      <c r="W74" s="126"/>
      <c r="X74" s="347">
        <f>IFERROR(INDEX('[1]Link Out Forecast'!$J$6:$J$266,MATCH($M74,'[1]Link Out Forecast'!$C$6:$C$266,0),1),"")</f>
        <v>0</v>
      </c>
      <c r="Y74" s="126"/>
      <c r="Z74" s="347">
        <f>IFERROR(INDEX('[1]Link Out Forecast'!$K$6:$K$266,MATCH($M74,'[1]Link Out Forecast'!$C$6:$C$266,0),1),"")</f>
        <v>0</v>
      </c>
      <c r="AA74" s="126"/>
      <c r="AB74" s="347">
        <f>IFERROR(INDEX('[1]Link Out Forecast'!$L$6:$L$266,MATCH($M74,'[1]Link Out Forecast'!$C$6:$C$266,0),1),"")</f>
        <v>0</v>
      </c>
      <c r="AC74" s="126"/>
      <c r="AD74" s="347">
        <f>IFERROR(INDEX('[1]Link Out Forecast'!$M$6:$M$266,MATCH($M74,'[1]Link Out Forecast'!$C$6:$C$266,0),1),"")</f>
        <v>0</v>
      </c>
      <c r="AE74" s="126"/>
      <c r="AF74" s="347">
        <f>IFERROR(INDEX('[1]Link Out Forecast'!$N$6:$N$266,MATCH($M74,'[1]Link Out Forecast'!$C$6:$C$266,0),1),"")</f>
        <v>0</v>
      </c>
      <c r="AG74" s="126"/>
      <c r="AH74" s="347">
        <f>IFERROR(INDEX('[1]Link Out Forecast'!$O$6:$O$266,MATCH($M74,'[1]Link Out Forecast'!$C$6:$C$266,0),1),"")</f>
        <v>0</v>
      </c>
      <c r="AI74" s="126"/>
      <c r="AJ74" s="347">
        <f>IFERROR(INDEX('[1]Link Out Forecast'!$P$6:$P$266,MATCH($M74,'[1]Link Out Forecast'!$C$6:$C$266,0),1),"")</f>
        <v>0</v>
      </c>
      <c r="AK74" s="126"/>
      <c r="AL74" s="347">
        <f>IFERROR(INDEX('[1]Link Out Forecast'!$Q$6:$Q$266,MATCH($M74,'[1]Link Out Forecast'!$C$6:$C$266,0),1),"")</f>
        <v>0</v>
      </c>
      <c r="AM74" s="126"/>
      <c r="AN74" s="347">
        <f>IFERROR(INDEX('[1]Link Out Forecast'!$R$6:$R$266,MATCH($M74,'[1]Link Out Forecast'!$C$6:$C$266,0),1),"")</f>
        <v>0</v>
      </c>
      <c r="AO74" s="348">
        <f t="shared" si="1"/>
        <v>0</v>
      </c>
    </row>
    <row r="75" spans="1:41" hidden="1">
      <c r="A75" s="303" t="str">
        <f>IFERROR(INDEX('[1]Link Out Monthly BY'!$A$7:$A$517,MATCH($C75,'[1]Link Out Monthly BY'!$C$7:$C$517,0),1),"")</f>
        <v>P11</v>
      </c>
      <c r="B75" s="303" t="str">
        <f>IFERROR(INDEX('[1]Link Out Monthly BY'!$B$7:$B$517,MATCH($C75,'[1]Link Out Monthly BY'!$C$7:$C$517,0),1),"")</f>
        <v>Other revenues</v>
      </c>
      <c r="C75" s="344">
        <v>40310800</v>
      </c>
      <c r="E75" s="303" t="str">
        <f>IFERROR(INDEX('[1]Link Out Monthly BY'!$D$7:$D$517,MATCH($C75,'[1]Link Out Monthly BY'!$C$7:$C$517,0),1),"")</f>
        <v>OthRev-Frozen Mtr</v>
      </c>
      <c r="G75" s="303" t="str">
        <f>IFERROR(INDEX('[1]Link Out Monthly BY'!$E$7:$E$517,MATCH($C75,'[1]Link Out Monthly BY'!$C$7:$C$517,0),1),"")</f>
        <v>471.</v>
      </c>
      <c r="I75" s="335">
        <f>IFERROR(INDEX('[1]Link Out Monthly BY'!$R$7:$R$517,MATCH($C75,'[1]Link Out Monthly BY'!$C$7:$C$517,0),1),"")</f>
        <v>0</v>
      </c>
      <c r="K75" s="303" t="str">
        <f>IFERROR(INDEX('[1]Link Out Forecast'!$A$6:$A$266,MATCH($M75,'[1]Link Out Forecast'!$C$6:$C$266,0),1),"")</f>
        <v>P11</v>
      </c>
      <c r="L75" s="303" t="str">
        <f>IFERROR(INDEX('[1]Link Out Forecast'!$B$6:$B$266,MATCH($M75,'[1]Link Out Forecast'!$C$6:$C$266,0),1),"")</f>
        <v>Other revenues</v>
      </c>
      <c r="M75" s="344">
        <v>40310400</v>
      </c>
      <c r="N75" s="303" t="str">
        <f>IFERROR(INDEX('[1]Link Out Forecast'!$D$6:$D$266,MATCH($M75,'[1]Link Out Forecast'!$C$6:$C$266,0),1),"")</f>
        <v>OthRev-NSF Ck Chrg</v>
      </c>
      <c r="O75" s="303" t="str">
        <f>IFERROR(INDEX('[1]Link Out Forecast'!$E$6:$E$266,MATCH($M75,'[1]Link Out Forecast'!$C$6:$C$266,0),1),"")</f>
        <v>471.</v>
      </c>
      <c r="P75" s="347">
        <f>IFERROR(INDEX('[1]Link Out Forecast'!$F$6:$F$266,MATCH($M75,'[1]Link Out Forecast'!$C$6:$C$266,0),1),"")</f>
        <v>-1644</v>
      </c>
      <c r="Q75" s="126"/>
      <c r="R75" s="347">
        <f>IFERROR(INDEX('[1]Link Out Forecast'!$G$6:$G$266,MATCH($M75,'[1]Link Out Forecast'!$C$6:$C$266,0),1),"")</f>
        <v>-3348</v>
      </c>
      <c r="S75" s="126"/>
      <c r="T75" s="347">
        <f>IFERROR(INDEX('[1]Link Out Forecast'!$H$6:$H$266,MATCH($M75,'[1]Link Out Forecast'!$C$6:$C$266,0),1),"")</f>
        <v>-2688</v>
      </c>
      <c r="U75" s="126"/>
      <c r="V75" s="347">
        <f>IFERROR(INDEX('[1]Link Out Forecast'!$I$6:$I$266,MATCH($M75,'[1]Link Out Forecast'!$C$6:$C$266,0),1),"")</f>
        <v>-2280</v>
      </c>
      <c r="W75" s="126"/>
      <c r="X75" s="347">
        <f>IFERROR(INDEX('[1]Link Out Forecast'!$J$6:$J$266,MATCH($M75,'[1]Link Out Forecast'!$C$6:$C$266,0),1),"")</f>
        <v>-2172</v>
      </c>
      <c r="Y75" s="126"/>
      <c r="Z75" s="347">
        <f>IFERROR(INDEX('[1]Link Out Forecast'!$K$6:$K$266,MATCH($M75,'[1]Link Out Forecast'!$C$6:$C$266,0),1),"")</f>
        <v>-2424</v>
      </c>
      <c r="AA75" s="126"/>
      <c r="AB75" s="347">
        <f>IFERROR(INDEX('[1]Link Out Forecast'!$L$6:$L$266,MATCH($M75,'[1]Link Out Forecast'!$C$6:$C$266,0),1),"")</f>
        <v>-2177</v>
      </c>
      <c r="AC75" s="126"/>
      <c r="AD75" s="347">
        <f>IFERROR(INDEX('[1]Link Out Forecast'!$M$6:$M$266,MATCH($M75,'[1]Link Out Forecast'!$C$6:$C$266,0),1),"")</f>
        <v>-2167</v>
      </c>
      <c r="AE75" s="126"/>
      <c r="AF75" s="347">
        <f>IFERROR(INDEX('[1]Link Out Forecast'!$N$6:$N$266,MATCH($M75,'[1]Link Out Forecast'!$C$6:$C$266,0),1),"")</f>
        <v>-2212</v>
      </c>
      <c r="AG75" s="126"/>
      <c r="AH75" s="347">
        <f>IFERROR(INDEX('[1]Link Out Forecast'!$O$6:$O$266,MATCH($M75,'[1]Link Out Forecast'!$C$6:$C$266,0),1),"")</f>
        <v>-2181</v>
      </c>
      <c r="AI75" s="126"/>
      <c r="AJ75" s="347">
        <f>IFERROR(INDEX('[1]Link Out Forecast'!$P$6:$P$266,MATCH($M75,'[1]Link Out Forecast'!$C$6:$C$266,0),1),"")</f>
        <v>-2479</v>
      </c>
      <c r="AK75" s="126"/>
      <c r="AL75" s="347">
        <f>IFERROR(INDEX('[1]Link Out Forecast'!$Q$6:$Q$266,MATCH($M75,'[1]Link Out Forecast'!$C$6:$C$266,0),1),"")</f>
        <v>-2550</v>
      </c>
      <c r="AM75" s="126"/>
      <c r="AN75" s="347">
        <f>IFERROR(INDEX('[1]Link Out Forecast'!$R$6:$R$266,MATCH($M75,'[1]Link Out Forecast'!$C$6:$C$266,0),1),"")</f>
        <v>-28322</v>
      </c>
      <c r="AO75" s="348">
        <f t="shared" si="1"/>
        <v>0</v>
      </c>
    </row>
    <row r="76" spans="1:41" hidden="1">
      <c r="A76" s="303" t="str">
        <f>IFERROR(INDEX('[1]Link Out Monthly BY'!$A$7:$A$517,MATCH($C76,'[1]Link Out Monthly BY'!$C$7:$C$517,0),1),"")</f>
        <v>P11</v>
      </c>
      <c r="B76" s="303" t="str">
        <f>IFERROR(INDEX('[1]Link Out Monthly BY'!$B$7:$B$517,MATCH($C76,'[1]Link Out Monthly BY'!$C$7:$C$517,0),1),"")</f>
        <v>Other revenues</v>
      </c>
      <c r="C76" s="344">
        <v>40319900</v>
      </c>
      <c r="E76" s="303" t="str">
        <f>IFERROR(INDEX('[1]Link Out Monthly BY'!$D$7:$D$517,MATCH($C76,'[1]Link Out Monthly BY'!$C$7:$C$517,0),1),"")</f>
        <v>OthRev-Misc Svc</v>
      </c>
      <c r="G76" s="303" t="str">
        <f>IFERROR(INDEX('[1]Link Out Monthly BY'!$E$7:$E$517,MATCH($C76,'[1]Link Out Monthly BY'!$C$7:$C$517,0),1),"")</f>
        <v>471.</v>
      </c>
      <c r="I76" s="335">
        <f>IFERROR(INDEX('[1]Link Out Monthly BY'!$R$7:$R$517,MATCH($C76,'[1]Link Out Monthly BY'!$C$7:$C$517,0),1),"")</f>
        <v>-165</v>
      </c>
      <c r="K76" s="303" t="str">
        <f>IFERROR(INDEX('[1]Link Out Forecast'!$A$6:$A$266,MATCH($M76,'[1]Link Out Forecast'!$C$6:$C$266,0),1),"")</f>
        <v>P11</v>
      </c>
      <c r="L76" s="303" t="str">
        <f>IFERROR(INDEX('[1]Link Out Forecast'!$B$6:$B$266,MATCH($M76,'[1]Link Out Forecast'!$C$6:$C$266,0),1),"")</f>
        <v>Other revenues</v>
      </c>
      <c r="M76" s="344">
        <v>40310500</v>
      </c>
      <c r="N76" s="303" t="str">
        <f>IFERROR(INDEX('[1]Link Out Forecast'!$D$6:$D$266,MATCH($M76,'[1]Link Out Forecast'!$C$6:$C$266,0),1),"")</f>
        <v>OthRev-Appl/InitFee</v>
      </c>
      <c r="O76" s="303" t="str">
        <f>IFERROR(INDEX('[1]Link Out Forecast'!$E$6:$E$266,MATCH($M76,'[1]Link Out Forecast'!$C$6:$C$266,0),1),"")</f>
        <v>471.</v>
      </c>
      <c r="P76" s="347">
        <f>IFERROR(INDEX('[1]Link Out Forecast'!$F$6:$F$266,MATCH($M76,'[1]Link Out Forecast'!$C$6:$C$266,0),1),"")</f>
        <v>-82822</v>
      </c>
      <c r="Q76" s="126"/>
      <c r="R76" s="347">
        <f>IFERROR(INDEX('[1]Link Out Forecast'!$G$6:$G$266,MATCH($M76,'[1]Link Out Forecast'!$C$6:$C$266,0),1),"")</f>
        <v>-111048</v>
      </c>
      <c r="S76" s="126"/>
      <c r="T76" s="347">
        <f>IFERROR(INDEX('[1]Link Out Forecast'!$H$6:$H$266,MATCH($M76,'[1]Link Out Forecast'!$C$6:$C$266,0),1),"")</f>
        <v>-68796</v>
      </c>
      <c r="U76" s="126"/>
      <c r="V76" s="347">
        <f>IFERROR(INDEX('[1]Link Out Forecast'!$I$6:$I$266,MATCH($M76,'[1]Link Out Forecast'!$C$6:$C$266,0),1),"")</f>
        <v>-61742</v>
      </c>
      <c r="W76" s="126"/>
      <c r="X76" s="347">
        <f>IFERROR(INDEX('[1]Link Out Forecast'!$J$6:$J$266,MATCH($M76,'[1]Link Out Forecast'!$C$6:$C$266,0),1),"")</f>
        <v>-49973</v>
      </c>
      <c r="Y76" s="126"/>
      <c r="Z76" s="347">
        <f>IFERROR(INDEX('[1]Link Out Forecast'!$K$6:$K$266,MATCH($M76,'[1]Link Out Forecast'!$C$6:$C$266,0),1),"")</f>
        <v>-49346</v>
      </c>
      <c r="AA76" s="126"/>
      <c r="AB76" s="347">
        <f>IFERROR(INDEX('[1]Link Out Forecast'!$L$6:$L$266,MATCH($M76,'[1]Link Out Forecast'!$C$6:$C$266,0),1),"")</f>
        <v>-63363</v>
      </c>
      <c r="AC76" s="126"/>
      <c r="AD76" s="347">
        <f>IFERROR(INDEX('[1]Link Out Forecast'!$M$6:$M$266,MATCH($M76,'[1]Link Out Forecast'!$C$6:$C$266,0),1),"")</f>
        <v>-63087</v>
      </c>
      <c r="AE76" s="126"/>
      <c r="AF76" s="347">
        <f>IFERROR(INDEX('[1]Link Out Forecast'!$N$6:$N$266,MATCH($M76,'[1]Link Out Forecast'!$C$6:$C$266,0),1),"")</f>
        <v>-64383</v>
      </c>
      <c r="AG76" s="126"/>
      <c r="AH76" s="347">
        <f>IFERROR(INDEX('[1]Link Out Forecast'!$O$6:$O$266,MATCH($M76,'[1]Link Out Forecast'!$C$6:$C$266,0),1),"")</f>
        <v>-63482</v>
      </c>
      <c r="AI76" s="126"/>
      <c r="AJ76" s="347">
        <f>IFERROR(INDEX('[1]Link Out Forecast'!$P$6:$P$266,MATCH($M76,'[1]Link Out Forecast'!$C$6:$C$266,0),1),"")</f>
        <v>-72153</v>
      </c>
      <c r="AK76" s="126"/>
      <c r="AL76" s="347">
        <f>IFERROR(INDEX('[1]Link Out Forecast'!$Q$6:$Q$266,MATCH($M76,'[1]Link Out Forecast'!$C$6:$C$266,0),1),"")</f>
        <v>-74226</v>
      </c>
      <c r="AM76" s="126"/>
      <c r="AN76" s="347">
        <f>IFERROR(INDEX('[1]Link Out Forecast'!$R$6:$R$266,MATCH($M76,'[1]Link Out Forecast'!$C$6:$C$266,0),1),"")</f>
        <v>-824421</v>
      </c>
      <c r="AO76" s="348">
        <f t="shared" si="1"/>
        <v>0</v>
      </c>
    </row>
    <row r="77" spans="1:41" hidden="1">
      <c r="B77" s="122"/>
      <c r="C77" s="173"/>
      <c r="I77" s="126"/>
      <c r="K77" s="303" t="str">
        <f>IFERROR(INDEX('[1]Link Out Forecast'!$A$6:$A$266,MATCH($M77,'[1]Link Out Forecast'!$C$6:$C$266,0),1),"")</f>
        <v>P11</v>
      </c>
      <c r="L77" s="303" t="str">
        <f>IFERROR(INDEX('[1]Link Out Forecast'!$B$6:$B$266,MATCH($M77,'[1]Link Out Forecast'!$C$6:$C$266,0),1),"")</f>
        <v>Other revenues</v>
      </c>
      <c r="M77" s="344">
        <v>40310600</v>
      </c>
      <c r="N77" s="303" t="str">
        <f>IFERROR(INDEX('[1]Link Out Forecast'!$D$6:$D$266,MATCH($M77,'[1]Link Out Forecast'!$C$6:$C$266,0),1),"")</f>
        <v>OthRev-Usage Data</v>
      </c>
      <c r="O77" s="303" t="str">
        <f>IFERROR(INDEX('[1]Link Out Forecast'!$E$6:$E$266,MATCH($M77,'[1]Link Out Forecast'!$C$6:$C$266,0),1),"")</f>
        <v>471.</v>
      </c>
      <c r="P77" s="347">
        <f>IFERROR(INDEX('[1]Link Out Forecast'!$F$6:$F$266,MATCH($M77,'[1]Link Out Forecast'!$C$6:$C$266,0),1),"")</f>
        <v>-4285</v>
      </c>
      <c r="Q77" s="126"/>
      <c r="R77" s="347">
        <f>IFERROR(INDEX('[1]Link Out Forecast'!$G$6:$G$266,MATCH($M77,'[1]Link Out Forecast'!$C$6:$C$266,0),1),"")</f>
        <v>-4158</v>
      </c>
      <c r="S77" s="126"/>
      <c r="T77" s="347">
        <f>IFERROR(INDEX('[1]Link Out Forecast'!$H$6:$H$266,MATCH($M77,'[1]Link Out Forecast'!$C$6:$C$266,0),1),"")</f>
        <v>-4424</v>
      </c>
      <c r="U77" s="126"/>
      <c r="V77" s="347">
        <f>IFERROR(INDEX('[1]Link Out Forecast'!$I$6:$I$266,MATCH($M77,'[1]Link Out Forecast'!$C$6:$C$266,0),1),"")</f>
        <v>-4168</v>
      </c>
      <c r="W77" s="126"/>
      <c r="X77" s="347">
        <f>IFERROR(INDEX('[1]Link Out Forecast'!$J$6:$J$266,MATCH($M77,'[1]Link Out Forecast'!$C$6:$C$266,0),1),"")</f>
        <v>-2302</v>
      </c>
      <c r="Y77" s="126"/>
      <c r="Z77" s="347">
        <f>IFERROR(INDEX('[1]Link Out Forecast'!$K$6:$K$266,MATCH($M77,'[1]Link Out Forecast'!$C$6:$C$266,0),1),"")</f>
        <v>-4003</v>
      </c>
      <c r="AA77" s="126"/>
      <c r="AB77" s="347">
        <f>IFERROR(INDEX('[1]Link Out Forecast'!$L$6:$L$266,MATCH($M77,'[1]Link Out Forecast'!$C$6:$C$266,0),1),"")</f>
        <v>-3490</v>
      </c>
      <c r="AC77" s="126"/>
      <c r="AD77" s="347">
        <f>IFERROR(INDEX('[1]Link Out Forecast'!$M$6:$M$266,MATCH($M77,'[1]Link Out Forecast'!$C$6:$C$266,0),1),"")</f>
        <v>-3475</v>
      </c>
      <c r="AE77" s="126"/>
      <c r="AF77" s="347">
        <f>IFERROR(INDEX('[1]Link Out Forecast'!$N$6:$N$266,MATCH($M77,'[1]Link Out Forecast'!$C$6:$C$266,0),1),"")</f>
        <v>-3546</v>
      </c>
      <c r="AG77" s="126"/>
      <c r="AH77" s="347">
        <f>IFERROR(INDEX('[1]Link Out Forecast'!$O$6:$O$266,MATCH($M77,'[1]Link Out Forecast'!$C$6:$C$266,0),1),"")</f>
        <v>-3497</v>
      </c>
      <c r="AI77" s="126"/>
      <c r="AJ77" s="347">
        <f>IFERROR(INDEX('[1]Link Out Forecast'!$P$6:$P$266,MATCH($M77,'[1]Link Out Forecast'!$C$6:$C$266,0),1),"")</f>
        <v>-3974</v>
      </c>
      <c r="AK77" s="126"/>
      <c r="AL77" s="347">
        <f>IFERROR(INDEX('[1]Link Out Forecast'!$Q$6:$Q$266,MATCH($M77,'[1]Link Out Forecast'!$C$6:$C$266,0),1),"")</f>
        <v>-4089</v>
      </c>
      <c r="AM77" s="126"/>
      <c r="AN77" s="347">
        <f>IFERROR(INDEX('[1]Link Out Forecast'!$R$6:$R$266,MATCH($M77,'[1]Link Out Forecast'!$C$6:$C$266,0),1),"")</f>
        <v>-45411</v>
      </c>
      <c r="AO77" s="348">
        <f t="shared" si="1"/>
        <v>0</v>
      </c>
    </row>
    <row r="78" spans="1:41" hidden="1">
      <c r="B78" s="122"/>
      <c r="C78" s="173"/>
      <c r="I78" s="126"/>
      <c r="K78" s="303" t="str">
        <f>IFERROR(INDEX('[1]Link Out Forecast'!$A$6:$A$266,MATCH($M78,'[1]Link Out Forecast'!$C$6:$C$266,0),1),"")</f>
        <v>P11</v>
      </c>
      <c r="L78" s="303" t="str">
        <f>IFERROR(INDEX('[1]Link Out Forecast'!$B$6:$B$266,MATCH($M78,'[1]Link Out Forecast'!$C$6:$C$266,0),1),"")</f>
        <v>Other revenues</v>
      </c>
      <c r="M78" s="344">
        <v>40310700</v>
      </c>
      <c r="N78" s="303" t="str">
        <f>IFERROR(INDEX('[1]Link Out Forecast'!$D$6:$D$266,MATCH($M78,'[1]Link Out Forecast'!$C$6:$C$266,0),1),"")</f>
        <v>OthRev-Reconnct Fee</v>
      </c>
      <c r="O78" s="303" t="str">
        <f>IFERROR(INDEX('[1]Link Out Forecast'!$E$6:$E$266,MATCH($M78,'[1]Link Out Forecast'!$C$6:$C$266,0),1),"")</f>
        <v>471.</v>
      </c>
      <c r="P78" s="347">
        <f>IFERROR(INDEX('[1]Link Out Forecast'!$F$6:$F$266,MATCH($M78,'[1]Link Out Forecast'!$C$6:$C$266,0),1),"")</f>
        <v>-44122</v>
      </c>
      <c r="Q78" s="126"/>
      <c r="R78" s="347">
        <f>IFERROR(INDEX('[1]Link Out Forecast'!$G$6:$G$266,MATCH($M78,'[1]Link Out Forecast'!$C$6:$C$266,0),1),"")</f>
        <v>-56285</v>
      </c>
      <c r="S78" s="126"/>
      <c r="T78" s="347">
        <f>IFERROR(INDEX('[1]Link Out Forecast'!$H$6:$H$266,MATCH($M78,'[1]Link Out Forecast'!$C$6:$C$266,0),1),"")</f>
        <v>-53984</v>
      </c>
      <c r="U78" s="126"/>
      <c r="V78" s="347">
        <f>IFERROR(INDEX('[1]Link Out Forecast'!$I$6:$I$266,MATCH($M78,'[1]Link Out Forecast'!$C$6:$C$266,0),1),"")</f>
        <v>-56337</v>
      </c>
      <c r="W78" s="126"/>
      <c r="X78" s="347">
        <f>IFERROR(INDEX('[1]Link Out Forecast'!$J$6:$J$266,MATCH($M78,'[1]Link Out Forecast'!$C$6:$C$266,0),1),"")</f>
        <v>-53638</v>
      </c>
      <c r="Y78" s="126"/>
      <c r="Z78" s="347">
        <f>IFERROR(INDEX('[1]Link Out Forecast'!$K$6:$K$266,MATCH($M78,'[1]Link Out Forecast'!$C$6:$C$266,0),1),"")</f>
        <v>-40817</v>
      </c>
      <c r="AA78" s="126"/>
      <c r="AB78" s="347">
        <f>IFERROR(INDEX('[1]Link Out Forecast'!$L$6:$L$266,MATCH($M78,'[1]Link Out Forecast'!$C$6:$C$266,0),1),"")</f>
        <v>-45636</v>
      </c>
      <c r="AC78" s="126"/>
      <c r="AD78" s="347">
        <f>IFERROR(INDEX('[1]Link Out Forecast'!$M$6:$M$266,MATCH($M78,'[1]Link Out Forecast'!$C$6:$C$266,0),1),"")</f>
        <v>-45437</v>
      </c>
      <c r="AE78" s="126"/>
      <c r="AF78" s="347">
        <f>IFERROR(INDEX('[1]Link Out Forecast'!$N$6:$N$266,MATCH($M78,'[1]Link Out Forecast'!$C$6:$C$266,0),1),"")</f>
        <v>-46371</v>
      </c>
      <c r="AG78" s="126"/>
      <c r="AH78" s="347">
        <f>IFERROR(INDEX('[1]Link Out Forecast'!$O$6:$O$266,MATCH($M78,'[1]Link Out Forecast'!$C$6:$C$266,0),1),"")</f>
        <v>-45722</v>
      </c>
      <c r="AI78" s="126"/>
      <c r="AJ78" s="347">
        <f>IFERROR(INDEX('[1]Link Out Forecast'!$P$6:$P$266,MATCH($M78,'[1]Link Out Forecast'!$C$6:$C$266,0),1),"")</f>
        <v>-51967</v>
      </c>
      <c r="AK78" s="126"/>
      <c r="AL78" s="347">
        <f>IFERROR(INDEX('[1]Link Out Forecast'!$Q$6:$Q$266,MATCH($M78,'[1]Link Out Forecast'!$C$6:$C$266,0),1),"")</f>
        <v>-53460</v>
      </c>
      <c r="AM78" s="126"/>
      <c r="AN78" s="347">
        <f>IFERROR(INDEX('[1]Link Out Forecast'!$R$6:$R$266,MATCH($M78,'[1]Link Out Forecast'!$C$6:$C$266,0),1),"")</f>
        <v>-593776</v>
      </c>
      <c r="AO78" s="348">
        <f t="shared" si="1"/>
        <v>0</v>
      </c>
    </row>
    <row r="79" spans="1:41" hidden="1">
      <c r="A79" s="303" t="str">
        <f>IFERROR(INDEX('[1]Link Out Monthly BY'!$A$7:$A$517,MATCH($C79,'[1]Link Out Monthly BY'!$C$7:$C$517,0),1),"")</f>
        <v>P43</v>
      </c>
      <c r="B79" s="303" t="str">
        <f>IFERROR(INDEX('[1]Link Out Monthly BY'!$B$7:$B$517,MATCH($C79,'[1]Link Out Monthly BY'!$C$7:$C$517,0),1),"")</f>
        <v>Current federal income taxes - operating</v>
      </c>
      <c r="C79" s="344">
        <v>69011000</v>
      </c>
      <c r="E79" s="303" t="str">
        <f>IFERROR(INDEX('[1]Link Out Monthly BY'!$D$7:$D$517,MATCH($C79,'[1]Link Out Monthly BY'!$C$7:$C$517,0),1),"")</f>
        <v>FIT-Current</v>
      </c>
      <c r="F79" s="303"/>
      <c r="G79" s="303" t="str">
        <f>IFERROR(INDEX('[1]Link Out Monthly BY'!$E$7:$E$517,MATCH($C79,'[1]Link Out Monthly BY'!$C$7:$C$517,0),1),"")</f>
        <v>409.10</v>
      </c>
      <c r="I79" s="334">
        <f>IFERROR(INDEX('[1]Link Out Monthly BY'!$R$7:$R$517,MATCH($C79,'[1]Link Out Monthly BY'!$C$7:$C$517,0),1),"")</f>
        <v>4831489.9500022596</v>
      </c>
      <c r="J79" s="357"/>
      <c r="K79" s="303" t="str">
        <f>IFERROR(INDEX('[1]Link Out Forecast'!$A$6:$A$266,MATCH($M79,'[1]Link Out Forecast'!$C$6:$C$266,0),1),"")</f>
        <v>P11</v>
      </c>
      <c r="L79" s="303" t="str">
        <f>IFERROR(INDEX('[1]Link Out Forecast'!$B$6:$B$266,MATCH($M79,'[1]Link Out Forecast'!$C$6:$C$266,0),1),"")</f>
        <v>Other revenues</v>
      </c>
      <c r="M79" s="344">
        <v>40319900</v>
      </c>
      <c r="N79" s="303" t="str">
        <f>IFERROR(INDEX('[1]Link Out Forecast'!$D$6:$D$266,MATCH($M79,'[1]Link Out Forecast'!$C$6:$C$266,0),1),"")</f>
        <v>OthRev-Misc Svc</v>
      </c>
      <c r="O79" s="303" t="str">
        <f>IFERROR(INDEX('[1]Link Out Forecast'!$E$6:$E$266,MATCH($M79,'[1]Link Out Forecast'!$C$6:$C$266,0),1),"")</f>
        <v>471.</v>
      </c>
      <c r="P79" s="347">
        <f>IFERROR(INDEX('[1]Link Out Forecast'!$F$6:$F$266,MATCH($M79,'[1]Link Out Forecast'!$C$6:$C$266,0),1),"")</f>
        <v>0</v>
      </c>
      <c r="Q79" s="126"/>
      <c r="R79" s="347">
        <f>IFERROR(INDEX('[1]Link Out Forecast'!$G$6:$G$266,MATCH($M79,'[1]Link Out Forecast'!$C$6:$C$266,0),1),"")</f>
        <v>0</v>
      </c>
      <c r="S79" s="126"/>
      <c r="T79" s="347">
        <f>IFERROR(INDEX('[1]Link Out Forecast'!$H$6:$H$266,MATCH($M79,'[1]Link Out Forecast'!$C$6:$C$266,0),1),"")</f>
        <v>0</v>
      </c>
      <c r="U79" s="126"/>
      <c r="V79" s="347">
        <f>IFERROR(INDEX('[1]Link Out Forecast'!$I$6:$I$266,MATCH($M79,'[1]Link Out Forecast'!$C$6:$C$266,0),1),"")</f>
        <v>0</v>
      </c>
      <c r="W79" s="126"/>
      <c r="X79" s="347">
        <f>IFERROR(INDEX('[1]Link Out Forecast'!$J$6:$J$266,MATCH($M79,'[1]Link Out Forecast'!$C$6:$C$266,0),1),"")</f>
        <v>0</v>
      </c>
      <c r="Y79" s="126"/>
      <c r="Z79" s="347">
        <f>IFERROR(INDEX('[1]Link Out Forecast'!$K$6:$K$266,MATCH($M79,'[1]Link Out Forecast'!$C$6:$C$266,0),1),"")</f>
        <v>0</v>
      </c>
      <c r="AA79" s="126"/>
      <c r="AB79" s="347">
        <f>IFERROR(INDEX('[1]Link Out Forecast'!$L$6:$L$266,MATCH($M79,'[1]Link Out Forecast'!$C$6:$C$266,0),1),"")</f>
        <v>0</v>
      </c>
      <c r="AC79" s="126"/>
      <c r="AD79" s="347">
        <f>IFERROR(INDEX('[1]Link Out Forecast'!$M$6:$M$266,MATCH($M79,'[1]Link Out Forecast'!$C$6:$C$266,0),1),"")</f>
        <v>0</v>
      </c>
      <c r="AE79" s="126"/>
      <c r="AF79" s="347">
        <f>IFERROR(INDEX('[1]Link Out Forecast'!$N$6:$N$266,MATCH($M79,'[1]Link Out Forecast'!$C$6:$C$266,0),1),"")</f>
        <v>0</v>
      </c>
      <c r="AG79" s="126"/>
      <c r="AH79" s="347">
        <f>IFERROR(INDEX('[1]Link Out Forecast'!$O$6:$O$266,MATCH($M79,'[1]Link Out Forecast'!$C$6:$C$266,0),1),"")</f>
        <v>0</v>
      </c>
      <c r="AI79" s="126"/>
      <c r="AJ79" s="347">
        <f>IFERROR(INDEX('[1]Link Out Forecast'!$P$6:$P$266,MATCH($M79,'[1]Link Out Forecast'!$C$6:$C$266,0),1),"")</f>
        <v>0</v>
      </c>
      <c r="AK79" s="126"/>
      <c r="AL79" s="347">
        <f>IFERROR(INDEX('[1]Link Out Forecast'!$Q$6:$Q$266,MATCH($M79,'[1]Link Out Forecast'!$C$6:$C$266,0),1),"")</f>
        <v>0</v>
      </c>
      <c r="AM79" s="126"/>
      <c r="AN79" s="347">
        <f>IFERROR(INDEX('[1]Link Out Forecast'!$R$6:$R$266,MATCH($M79,'[1]Link Out Forecast'!$C$6:$C$266,0),1),"")</f>
        <v>0</v>
      </c>
      <c r="AO79" s="348">
        <f t="shared" si="1"/>
        <v>0</v>
      </c>
    </row>
    <row r="80" spans="1:41" hidden="1">
      <c r="A80" s="303" t="str">
        <f>IFERROR(INDEX('[1]Link Out Monthly BY'!$A$7:$A$517,MATCH($C80,'[1]Link Out Monthly BY'!$C$7:$C$517,0),1),"")</f>
        <v>P43</v>
      </c>
      <c r="B80" s="303" t="str">
        <f>IFERROR(INDEX('[1]Link Out Monthly BY'!$B$7:$B$517,MATCH($C80,'[1]Link Out Monthly BY'!$C$7:$C$517,0),1),"")</f>
        <v>Current federal income taxes - operating</v>
      </c>
      <c r="C80" s="344">
        <v>69012000</v>
      </c>
      <c r="E80" s="303" t="str">
        <f>IFERROR(INDEX('[1]Link Out Monthly BY'!$D$7:$D$517,MATCH($C80,'[1]Link Out Monthly BY'!$C$7:$C$517,0),1),"")</f>
        <v>FIT-Prior Year Adj</v>
      </c>
      <c r="F80" s="303"/>
      <c r="G80" s="303" t="str">
        <f>IFERROR(INDEX('[1]Link Out Monthly BY'!$E$7:$E$517,MATCH($C80,'[1]Link Out Monthly BY'!$C$7:$C$517,0),1),"")</f>
        <v>409.10</v>
      </c>
      <c r="I80" s="335">
        <f>IFERROR(INDEX('[1]Link Out Monthly BY'!$R$7:$R$517,MATCH($C80,'[1]Link Out Monthly BY'!$C$7:$C$517,0),1),"")</f>
        <v>0</v>
      </c>
      <c r="M80" s="173"/>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idden="1">
      <c r="A81" s="303" t="str">
        <f>IFERROR(INDEX('[1]Link Out Monthly BY'!$A$7:$A$517,MATCH($C81,'[1]Link Out Monthly BY'!$C$7:$C$517,0),1),"")</f>
        <v>P44</v>
      </c>
      <c r="B81" s="303" t="str">
        <f>IFERROR(INDEX('[1]Link Out Monthly BY'!$B$7:$B$517,MATCH($C81,'[1]Link Out Monthly BY'!$C$7:$C$517,0),1),"")</f>
        <v>Current state income taxes - operating</v>
      </c>
      <c r="C81" s="173">
        <v>69021000</v>
      </c>
      <c r="E81" s="303" t="str">
        <f>IFERROR(INDEX('[1]Link Out Monthly BY'!$D$7:$D$517,MATCH($C81,'[1]Link Out Monthly BY'!$C$7:$C$517,0),1),"")</f>
        <v>SIT-Current</v>
      </c>
      <c r="F81" s="303"/>
      <c r="G81" s="303" t="str">
        <f>IFERROR(INDEX('[1]Link Out Monthly BY'!$E$7:$E$517,MATCH($C81,'[1]Link Out Monthly BY'!$C$7:$C$517,0),1),"")</f>
        <v>409.11</v>
      </c>
      <c r="I81" s="335">
        <f>IFERROR(INDEX('[1]Link Out Monthly BY'!$R$7:$R$517,MATCH($C81,'[1]Link Out Monthly BY'!$C$7:$C$517,0),1),"")</f>
        <v>1042164.2999302045</v>
      </c>
      <c r="M81" s="173"/>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idden="1">
      <c r="A82" s="303" t="str">
        <f>IFERROR(INDEX('[1]Link Out Monthly BY'!$A$7:$A$517,MATCH($C82,'[1]Link Out Monthly BY'!$C$7:$C$517,0),1),"")</f>
        <v>P44</v>
      </c>
      <c r="B82" s="303" t="str">
        <f>IFERROR(INDEX('[1]Link Out Monthly BY'!$B$7:$B$517,MATCH($C82,'[1]Link Out Monthly BY'!$C$7:$C$517,0),1),"")</f>
        <v>Current state income taxes - operating</v>
      </c>
      <c r="C82" s="173">
        <v>69022000</v>
      </c>
      <c r="E82" s="303" t="str">
        <f>IFERROR(INDEX('[1]Link Out Monthly BY'!$D$7:$D$517,MATCH($C82,'[1]Link Out Monthly BY'!$C$7:$C$517,0),1),"")</f>
        <v>SIT-Prior Year Adj</v>
      </c>
      <c r="F82" s="303"/>
      <c r="G82" s="303" t="str">
        <f>IFERROR(INDEX('[1]Link Out Monthly BY'!$E$7:$E$517,MATCH($C82,'[1]Link Out Monthly BY'!$C$7:$C$517,0),1),"")</f>
        <v>409.11</v>
      </c>
      <c r="I82" s="335">
        <f>IFERROR(INDEX('[1]Link Out Monthly BY'!$R$7:$R$517,MATCH($C82,'[1]Link Out Monthly BY'!$C$7:$C$517,0),1),"")</f>
        <v>0</v>
      </c>
      <c r="M82" s="173"/>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idden="1">
      <c r="A83" s="303" t="str">
        <f>IFERROR(INDEX('[1]Link Out Monthly BY'!$A$7:$A$517,MATCH($C83,'[1]Link Out Monthly BY'!$C$7:$C$517,0),1),"")</f>
        <v>P45</v>
      </c>
      <c r="B83" s="303" t="str">
        <f>IFERROR(INDEX('[1]Link Out Monthly BY'!$B$7:$B$517,MATCH($C83,'[1]Link Out Monthly BY'!$C$7:$C$517,0),1),"")</f>
        <v>Deferred federal income tax expense</v>
      </c>
      <c r="C83" s="344">
        <v>69061000</v>
      </c>
      <c r="E83" s="303" t="str">
        <f>IFERROR(INDEX('[1]Link Out Monthly BY'!$D$7:$D$517,MATCH($C83,'[1]Link Out Monthly BY'!$C$7:$C$517,0),1),"")</f>
        <v>Def FIT-Current Year</v>
      </c>
      <c r="F83" s="303"/>
      <c r="G83" s="303" t="str">
        <f>IFERROR(INDEX('[1]Link Out Monthly BY'!$E$7:$E$517,MATCH($C83,'[1]Link Out Monthly BY'!$C$7:$C$517,0),1),"")</f>
        <v>410.10</v>
      </c>
      <c r="I83" s="335">
        <f>IFERROR(INDEX('[1]Link Out Monthly BY'!$R$7:$R$517,MATCH($C83,'[1]Link Out Monthly BY'!$C$7:$C$517,0),1),"")</f>
        <v>0</v>
      </c>
      <c r="M83" s="173"/>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idden="1">
      <c r="A84" s="303" t="str">
        <f>IFERROR(INDEX('[1]Link Out Monthly BY'!$A$7:$A$517,MATCH($C84,'[1]Link Out Monthly BY'!$C$7:$C$517,0),1),"")</f>
        <v>P45</v>
      </c>
      <c r="B84" s="303" t="str">
        <f>IFERROR(INDEX('[1]Link Out Monthly BY'!$B$7:$B$517,MATCH($C84,'[1]Link Out Monthly BY'!$C$7:$C$517,0),1),"")</f>
        <v>Deferred federal income tax expense</v>
      </c>
      <c r="C84" s="344">
        <v>69062000</v>
      </c>
      <c r="E84" s="303" t="str">
        <f>IFERROR(INDEX('[1]Link Out Monthly BY'!$D$7:$D$517,MATCH($C84,'[1]Link Out Monthly BY'!$C$7:$C$517,0),1),"")</f>
        <v>Def FIT-Pr Yr Adj</v>
      </c>
      <c r="F84" s="303"/>
      <c r="G84" s="303" t="str">
        <f>IFERROR(INDEX('[1]Link Out Monthly BY'!$E$7:$E$517,MATCH($C84,'[1]Link Out Monthly BY'!$C$7:$C$517,0),1),"")</f>
        <v>410.10</v>
      </c>
      <c r="I84" s="335">
        <f>IFERROR(INDEX('[1]Link Out Monthly BY'!$R$7:$R$517,MATCH($C84,'[1]Link Out Monthly BY'!$C$7:$C$517,0),1),"")</f>
        <v>0</v>
      </c>
      <c r="M84" s="173"/>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idden="1">
      <c r="A85" s="303" t="str">
        <f>IFERROR(INDEX('[1]Link Out Monthly BY'!$A$7:$A$517,MATCH($C85,'[1]Link Out Monthly BY'!$C$7:$C$517,0),1),"")</f>
        <v>P45</v>
      </c>
      <c r="B85" s="303" t="str">
        <f>IFERROR(INDEX('[1]Link Out Monthly BY'!$B$7:$B$517,MATCH($C85,'[1]Link Out Monthly BY'!$C$7:$C$517,0),1),"")</f>
        <v>Deferred federal income tax expense</v>
      </c>
      <c r="C85" s="344">
        <v>69063000</v>
      </c>
      <c r="D85" s="181"/>
      <c r="E85" s="303" t="str">
        <f>IFERROR(INDEX('[1]Link Out Monthly BY'!$D$7:$D$517,MATCH($C85,'[1]Link Out Monthly BY'!$C$7:$C$517,0),1),"")</f>
        <v>Def FIT-RegAsst/Liab</v>
      </c>
      <c r="F85" s="303"/>
      <c r="G85" s="303" t="str">
        <f>IFERROR(INDEX('[1]Link Out Monthly BY'!$E$7:$E$517,MATCH($C85,'[1]Link Out Monthly BY'!$C$7:$C$517,0),1),"")</f>
        <v>410.10</v>
      </c>
      <c r="H85" s="181"/>
      <c r="I85" s="335">
        <f>IFERROR(INDEX('[1]Link Out Monthly BY'!$R$7:$R$517,MATCH($C85,'[1]Link Out Monthly BY'!$C$7:$C$517,0),1),"")</f>
        <v>-65942.498360214944</v>
      </c>
      <c r="M85" s="173"/>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s="181" customFormat="1" hidden="1">
      <c r="A86" s="303" t="str">
        <f>IFERROR(INDEX('[1]Link Out Monthly BY'!$A$7:$A$517,MATCH($C86,'[1]Link Out Monthly BY'!$C$7:$C$517,0),1),"")</f>
        <v>P45</v>
      </c>
      <c r="B86" s="303" t="str">
        <f>IFERROR(INDEX('[1]Link Out Monthly BY'!$B$7:$B$517,MATCH($C86,'[1]Link Out Monthly BY'!$C$7:$C$517,0),1),"")</f>
        <v>Deferred federal income tax expense</v>
      </c>
      <c r="C86" s="344">
        <v>69063200</v>
      </c>
      <c r="E86" s="303" t="str">
        <f>IFERROR(INDEX('[1]Link Out Monthly BY'!$D$7:$D$517,MATCH($C86,'[1]Link Out Monthly BY'!$C$7:$C$517,0),1),"")</f>
        <v>Def FIT-Reg Liability</v>
      </c>
      <c r="F86" s="303"/>
      <c r="G86" s="303" t="str">
        <f>IFERROR(INDEX('[1]Link Out Monthly BY'!$E$7:$E$517,MATCH($C86,'[1]Link Out Monthly BY'!$C$7:$C$517,0),1),"")</f>
        <v>410.10</v>
      </c>
      <c r="I86" s="335">
        <f>IFERROR(INDEX('[1]Link Out Monthly BY'!$R$7:$R$517,MATCH($C86,'[1]Link Out Monthly BY'!$C$7:$C$517,0),1),"")</f>
        <v>0</v>
      </c>
      <c r="M86" s="173"/>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s="181" customFormat="1" hidden="1">
      <c r="A87" s="303" t="str">
        <f>IFERROR(INDEX('[1]Link Out Monthly BY'!$A$7:$A$517,MATCH($C87,'[1]Link Out Monthly BY'!$C$7:$C$517,0),1),"")</f>
        <v>P45</v>
      </c>
      <c r="B87" s="303" t="str">
        <f>IFERROR(INDEX('[1]Link Out Monthly BY'!$B$7:$B$517,MATCH($C87,'[1]Link Out Monthly BY'!$C$7:$C$517,0),1),"")</f>
        <v>Deferred federal income tax expense</v>
      </c>
      <c r="C87" s="344">
        <v>69065000</v>
      </c>
      <c r="E87" s="303" t="str">
        <f>IFERROR(INDEX('[1]Link Out Monthly BY'!$D$7:$D$517,MATCH($C87,'[1]Link Out Monthly BY'!$C$7:$C$517,0),1),"")</f>
        <v>Def FIT-Other</v>
      </c>
      <c r="F87" s="303"/>
      <c r="G87" s="303" t="str">
        <f>IFERROR(INDEX('[1]Link Out Monthly BY'!$E$7:$E$517,MATCH($C87,'[1]Link Out Monthly BY'!$C$7:$C$517,0),1),"")</f>
        <v>410.10</v>
      </c>
      <c r="I87" s="335">
        <f>IFERROR(INDEX('[1]Link Out Monthly BY'!$R$7:$R$517,MATCH($C87,'[1]Link Out Monthly BY'!$C$7:$C$517,0),1),"")</f>
        <v>-612910.32232675899</v>
      </c>
      <c r="M87" s="173"/>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s="181" customFormat="1" hidden="1">
      <c r="A88" s="303" t="str">
        <f>IFERROR(INDEX('[1]Link Out Monthly BY'!$A$7:$A$517,MATCH($C88,'[1]Link Out Monthly BY'!$C$7:$C$517,0),1),"")</f>
        <v>P46</v>
      </c>
      <c r="B88" s="303" t="str">
        <f>IFERROR(INDEX('[1]Link Out Monthly BY'!$B$7:$B$517,MATCH($C88,'[1]Link Out Monthly BY'!$C$7:$C$517,0),1),"")</f>
        <v>Deferred state income tax expense</v>
      </c>
      <c r="C88" s="344">
        <v>69071000</v>
      </c>
      <c r="E88" s="303" t="str">
        <f>IFERROR(INDEX('[1]Link Out Monthly BY'!$D$7:$D$517,MATCH($C88,'[1]Link Out Monthly BY'!$C$7:$C$517,0),1),"")</f>
        <v>Def SIT-Current Year</v>
      </c>
      <c r="F88" s="303"/>
      <c r="G88" s="303" t="str">
        <f>IFERROR(INDEX('[1]Link Out Monthly BY'!$E$7:$E$517,MATCH($C88,'[1]Link Out Monthly BY'!$C$7:$C$517,0),1),"")</f>
        <v>410.11</v>
      </c>
      <c r="I88" s="335">
        <f>IFERROR(INDEX('[1]Link Out Monthly BY'!$R$7:$R$517,MATCH($C88,'[1]Link Out Monthly BY'!$C$7:$C$517,0),1),"")</f>
        <v>0</v>
      </c>
      <c r="M88" s="173"/>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s="181" customFormat="1" hidden="1">
      <c r="A89" s="303" t="str">
        <f>IFERROR(INDEX('[1]Link Out Monthly BY'!$A$7:$A$517,MATCH($C89,'[1]Link Out Monthly BY'!$C$7:$C$517,0),1),"")</f>
        <v>P46</v>
      </c>
      <c r="B89" s="303" t="str">
        <f>IFERROR(INDEX('[1]Link Out Monthly BY'!$B$7:$B$517,MATCH($C89,'[1]Link Out Monthly BY'!$C$7:$C$517,0),1),"")</f>
        <v>Deferred state income tax expense</v>
      </c>
      <c r="C89" s="344">
        <v>69072000</v>
      </c>
      <c r="E89" s="303" t="str">
        <f>IFERROR(INDEX('[1]Link Out Monthly BY'!$D$7:$D$517,MATCH($C89,'[1]Link Out Monthly BY'!$C$7:$C$517,0),1),"")</f>
        <v>Def SIT-Pr Yr Adj</v>
      </c>
      <c r="F89" s="303"/>
      <c r="G89" s="303" t="str">
        <f>IFERROR(INDEX('[1]Link Out Monthly BY'!$E$7:$E$517,MATCH($C89,'[1]Link Out Monthly BY'!$C$7:$C$517,0),1),"")</f>
        <v>410.11</v>
      </c>
      <c r="I89" s="335">
        <f>IFERROR(INDEX('[1]Link Out Monthly BY'!$R$7:$R$517,MATCH($C89,'[1]Link Out Monthly BY'!$C$7:$C$517,0),1),"")</f>
        <v>0</v>
      </c>
      <c r="M89" s="173"/>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s="181" customFormat="1" hidden="1">
      <c r="A90" s="303" t="str">
        <f>IFERROR(INDEX('[1]Link Out Monthly BY'!$A$7:$A$517,MATCH($C90,'[1]Link Out Monthly BY'!$C$7:$C$517,0),1),"")</f>
        <v>P46</v>
      </c>
      <c r="B90" s="303" t="str">
        <f>IFERROR(INDEX('[1]Link Out Monthly BY'!$B$7:$B$517,MATCH($C90,'[1]Link Out Monthly BY'!$C$7:$C$517,0),1),"")</f>
        <v>Deferred state income tax expense</v>
      </c>
      <c r="C90" s="344">
        <v>69073000</v>
      </c>
      <c r="E90" s="303" t="str">
        <f>IFERROR(INDEX('[1]Link Out Monthly BY'!$D$7:$D$517,MATCH($C90,'[1]Link Out Monthly BY'!$C$7:$C$517,0),1),"")</f>
        <v>Def SIT-RegAsst/Liab</v>
      </c>
      <c r="F90" s="303"/>
      <c r="G90" s="303" t="str">
        <f>IFERROR(INDEX('[1]Link Out Monthly BY'!$E$7:$E$517,MATCH($C90,'[1]Link Out Monthly BY'!$C$7:$C$517,0),1),"")</f>
        <v>410.11</v>
      </c>
      <c r="I90" s="335">
        <f>IFERROR(INDEX('[1]Link Out Monthly BY'!$R$7:$R$517,MATCH($C90,'[1]Link Out Monthly BY'!$C$7:$C$517,0),1),"")</f>
        <v>-62970.999999999993</v>
      </c>
      <c r="M90" s="173"/>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s="181" customFormat="1" hidden="1">
      <c r="A91" s="303" t="str">
        <f>IFERROR(INDEX('[1]Link Out Monthly BY'!$A$7:$A$517,MATCH($C91,'[1]Link Out Monthly BY'!$C$7:$C$517,0),1),"")</f>
        <v>P46</v>
      </c>
      <c r="B91" s="303" t="str">
        <f>IFERROR(INDEX('[1]Link Out Monthly BY'!$B$7:$B$517,MATCH($C91,'[1]Link Out Monthly BY'!$C$7:$C$517,0),1),"")</f>
        <v>Deferred state income tax expense</v>
      </c>
      <c r="C91" s="344">
        <v>69073200</v>
      </c>
      <c r="E91" s="303" t="str">
        <f>IFERROR(INDEX('[1]Link Out Monthly BY'!$D$7:$D$517,MATCH($C91,'[1]Link Out Monthly BY'!$C$7:$C$517,0),1),"")</f>
        <v>Def SIT-Reg Liability</v>
      </c>
      <c r="F91" s="303"/>
      <c r="G91" s="303" t="str">
        <f>IFERROR(INDEX('[1]Link Out Monthly BY'!$E$7:$E$517,MATCH($C91,'[1]Link Out Monthly BY'!$C$7:$C$517,0),1),"")</f>
        <v>410.11</v>
      </c>
      <c r="I91" s="335">
        <f>IFERROR(INDEX('[1]Link Out Monthly BY'!$R$7:$R$517,MATCH($C91,'[1]Link Out Monthly BY'!$C$7:$C$517,0),1),"")</f>
        <v>0</v>
      </c>
      <c r="M91" s="173"/>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s="181" customFormat="1" hidden="1">
      <c r="A92" s="303" t="str">
        <f>IFERROR(INDEX('[1]Link Out Monthly BY'!$A$7:$A$517,MATCH($C92,'[1]Link Out Monthly BY'!$C$7:$C$517,0),1),"")</f>
        <v>P46</v>
      </c>
      <c r="B92" s="303" t="str">
        <f>IFERROR(INDEX('[1]Link Out Monthly BY'!$B$7:$B$517,MATCH($C92,'[1]Link Out Monthly BY'!$C$7:$C$517,0),1),"")</f>
        <v>Deferred state income tax expense</v>
      </c>
      <c r="C92" s="344">
        <v>69073500</v>
      </c>
      <c r="E92" s="303" t="str">
        <f>IFERROR(INDEX('[1]Link Out Monthly BY'!$D$7:$D$517,MATCH($C92,'[1]Link Out Monthly BY'!$C$7:$C$517,0),1),"")</f>
        <v>Def SIT-Other</v>
      </c>
      <c r="F92" s="303"/>
      <c r="G92" s="303" t="str">
        <f>IFERROR(INDEX('[1]Link Out Monthly BY'!$E$7:$E$517,MATCH($C92,'[1]Link Out Monthly BY'!$C$7:$C$517,0),1),"")</f>
        <v>410.11</v>
      </c>
      <c r="I92" s="335">
        <f>IFERROR(INDEX('[1]Link Out Monthly BY'!$R$7:$R$517,MATCH($C92,'[1]Link Out Monthly BY'!$C$7:$C$517,0),1),"")</f>
        <v>10837.716534646548</v>
      </c>
      <c r="M92" s="173"/>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idden="1">
      <c r="A93" s="181"/>
      <c r="B93" s="181"/>
      <c r="C93" s="173"/>
      <c r="D93" s="181"/>
      <c r="E93" s="181"/>
      <c r="F93" s="181"/>
      <c r="G93" s="181"/>
      <c r="H93" s="181"/>
      <c r="I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s="299" customFormat="1" ht="15" hidden="1" thickBot="1">
      <c r="B94" s="133"/>
      <c r="C94" s="349"/>
      <c r="E94" s="299" t="s">
        <v>24</v>
      </c>
      <c r="I94" s="345">
        <f>SUM(I67:I93)</f>
        <v>2621903.1457801373</v>
      </c>
      <c r="N94" s="299" t="s">
        <v>24</v>
      </c>
      <c r="P94" s="345">
        <f>SUM(P67:P93)</f>
        <v>-227343</v>
      </c>
      <c r="Q94" s="345"/>
      <c r="R94" s="345">
        <f>SUM(R67:R93)</f>
        <v>-280349</v>
      </c>
      <c r="S94" s="345"/>
      <c r="T94" s="345">
        <f>SUM(T67:T93)</f>
        <v>-227343</v>
      </c>
      <c r="U94" s="345"/>
      <c r="V94" s="345">
        <f>SUM(V67:V93)</f>
        <v>-223704</v>
      </c>
      <c r="W94" s="345"/>
      <c r="X94" s="345">
        <f>SUM(X67:X93)</f>
        <v>-200768</v>
      </c>
      <c r="Y94" s="345"/>
      <c r="Z94" s="345">
        <f>SUM(Z67:Z93)</f>
        <v>-189373</v>
      </c>
      <c r="AA94" s="345"/>
      <c r="AB94" s="345">
        <f>SUM(AB67:AB93)</f>
        <v>-201709</v>
      </c>
      <c r="AC94" s="345"/>
      <c r="AD94" s="345">
        <f>SUM(AD67:AD93)</f>
        <v>-200828</v>
      </c>
      <c r="AE94" s="345"/>
      <c r="AF94" s="345">
        <f>SUM(AF67:AF93)</f>
        <v>-204955</v>
      </c>
      <c r="AG94" s="345"/>
      <c r="AH94" s="345">
        <f>SUM(AH67:AH93)</f>
        <v>-202086</v>
      </c>
      <c r="AI94" s="345"/>
      <c r="AJ94" s="345">
        <f>SUM(AJ67:AJ93)</f>
        <v>-229690</v>
      </c>
      <c r="AK94" s="345"/>
      <c r="AL94" s="345">
        <f>SUM(AL67:AL93)</f>
        <v>-236288</v>
      </c>
      <c r="AM94" s="345"/>
      <c r="AN94" s="345">
        <f>SUM(AN67:AN93)</f>
        <v>-2624436</v>
      </c>
    </row>
    <row r="95" spans="1:40">
      <c r="B95" s="173"/>
      <c r="C95" s="183"/>
    </row>
    <row r="96" spans="1:40">
      <c r="B96" s="173"/>
    </row>
    <row r="97" spans="1:6">
      <c r="B97" s="196" t="s">
        <v>113</v>
      </c>
      <c r="C97" s="191"/>
      <c r="D97" s="192" t="s">
        <v>151</v>
      </c>
      <c r="E97" s="191"/>
      <c r="F97" s="191" t="s">
        <v>152</v>
      </c>
    </row>
    <row r="98" spans="1:6">
      <c r="A98" s="122" t="s">
        <v>305</v>
      </c>
      <c r="B98" s="400">
        <f>+'[2]Link Out'!$B$7</f>
        <v>91907987</v>
      </c>
      <c r="C98" s="400"/>
      <c r="D98" s="400">
        <f>+'[2]Link Out'!$D$7</f>
        <v>88518852</v>
      </c>
      <c r="E98" s="400"/>
      <c r="F98" s="400">
        <f>SUM('[2]Link Out'!$G$103:$G$105)</f>
        <v>108383855.45756941</v>
      </c>
    </row>
    <row r="99" spans="1:6">
      <c r="B99" s="173"/>
    </row>
    <row r="100" spans="1:6">
      <c r="B100" s="173"/>
    </row>
    <row r="101" spans="1:6">
      <c r="B101" s="175" t="s">
        <v>113</v>
      </c>
      <c r="C101" s="80"/>
      <c r="D101" s="80" t="s">
        <v>151</v>
      </c>
      <c r="F101" s="181" t="s">
        <v>152</v>
      </c>
    </row>
    <row r="102" spans="1:6">
      <c r="A102" s="203" t="s">
        <v>262</v>
      </c>
      <c r="B102" s="173"/>
    </row>
    <row r="103" spans="1:6">
      <c r="A103" s="122" t="s">
        <v>263</v>
      </c>
      <c r="B103" s="397">
        <f>+'[2]Link Out'!$B10</f>
        <v>34285634</v>
      </c>
      <c r="C103" s="117"/>
      <c r="D103" s="397">
        <f>+'[2]Link Out'!$D10</f>
        <v>37805850.987251282</v>
      </c>
      <c r="E103" s="397"/>
      <c r="F103" s="397">
        <f>+'[2]Link Out'!$G$134</f>
        <v>37987440.672938131</v>
      </c>
    </row>
    <row r="104" spans="1:6">
      <c r="A104" s="303" t="s">
        <v>264</v>
      </c>
      <c r="B104" s="397">
        <f>+'[2]Link Out'!$B11</f>
        <v>16275109</v>
      </c>
      <c r="C104" s="117"/>
      <c r="D104" s="397">
        <f>+'[2]Link Out'!$D11</f>
        <v>18316097.636319578</v>
      </c>
      <c r="E104" s="397"/>
      <c r="F104" s="397">
        <f>+'[2]Link Out'!$G$137</f>
        <v>18316097.636319578</v>
      </c>
    </row>
    <row r="105" spans="1:6">
      <c r="A105" s="303" t="s">
        <v>265</v>
      </c>
      <c r="B105" s="397">
        <f>+'[2]Link Out'!$B12</f>
        <v>8556</v>
      </c>
      <c r="C105" s="117"/>
      <c r="D105" s="397">
        <f>+'[2]Link Out'!$D12</f>
        <v>24566.75499999999</v>
      </c>
      <c r="E105" s="397"/>
      <c r="F105" s="397">
        <f>+'[2]Link Out'!$G$138</f>
        <v>24566.75499999999</v>
      </c>
    </row>
    <row r="106" spans="1:6">
      <c r="A106" s="303" t="s">
        <v>266</v>
      </c>
      <c r="B106" s="397">
        <f>+'[2]Link Out'!$B13</f>
        <v>267920</v>
      </c>
      <c r="C106" s="117"/>
      <c r="D106" s="397">
        <f>+'[2]Link Out'!$D13</f>
        <v>263437.74</v>
      </c>
      <c r="E106" s="397"/>
      <c r="F106" s="397">
        <f>+'[2]Link Out'!$G$139</f>
        <v>263437.74</v>
      </c>
    </row>
    <row r="107" spans="1:6">
      <c r="A107" s="303" t="s">
        <v>267</v>
      </c>
      <c r="B107" s="397"/>
      <c r="C107" s="280" t="s">
        <v>261</v>
      </c>
      <c r="D107" s="397"/>
      <c r="E107" s="397"/>
      <c r="F107" s="397">
        <v>0</v>
      </c>
    </row>
    <row r="108" spans="1:6">
      <c r="A108" s="303" t="s">
        <v>268</v>
      </c>
      <c r="B108" s="397">
        <f>+'[2]Link Out'!$B14</f>
        <v>990031.0164648511</v>
      </c>
      <c r="C108" s="117"/>
      <c r="D108" s="397">
        <f>+'[2]Link Out'!$D14</f>
        <v>503709.51338142372</v>
      </c>
      <c r="E108" s="397"/>
      <c r="F108" s="397">
        <f>SUM('[2]Link Out'!$G$142:$G$143)</f>
        <v>1485892.0102211321</v>
      </c>
    </row>
    <row r="109" spans="1:6">
      <c r="A109" s="303" t="s">
        <v>269</v>
      </c>
      <c r="B109" s="397">
        <f>+'[2]Link Out'!$B15</f>
        <v>4152637.1293152855</v>
      </c>
      <c r="C109" s="117"/>
      <c r="D109" s="397">
        <f>+'[2]Link Out'!$D15</f>
        <v>2218906.864778663</v>
      </c>
      <c r="E109" s="397"/>
      <c r="F109" s="397">
        <f>SUM('[2]Link Out'!$G$145:$G$146)</f>
        <v>6137822.3010013597</v>
      </c>
    </row>
    <row r="110" spans="1:6">
      <c r="A110" s="303" t="s">
        <v>270</v>
      </c>
      <c r="B110" s="397">
        <f>+'[2]Link Out'!$B16</f>
        <v>-78492</v>
      </c>
      <c r="C110" s="117"/>
      <c r="D110" s="397">
        <f>+'[2]Link Out'!$D16</f>
        <v>-78492</v>
      </c>
      <c r="E110" s="397"/>
      <c r="F110" s="397">
        <f>+'[2]Link Out'!$G$147</f>
        <v>-78492</v>
      </c>
    </row>
    <row r="111" spans="1:6">
      <c r="A111" s="303" t="s">
        <v>271</v>
      </c>
      <c r="B111" s="399">
        <f>+'[2]Link Out'!$B17</f>
        <v>7362427</v>
      </c>
      <c r="C111" s="117"/>
      <c r="D111" s="399">
        <f>+'[2]Link Out'!$D17</f>
        <v>7814766</v>
      </c>
      <c r="E111" s="397"/>
      <c r="F111" s="399">
        <f>+'[2]Link Out'!$G$148</f>
        <v>7854495.4669164233</v>
      </c>
    </row>
    <row r="112" spans="1:6">
      <c r="A112" s="299" t="s">
        <v>272</v>
      </c>
      <c r="B112" s="398">
        <f>+'[2]Link Out'!$B$18</f>
        <v>63263822.145780139</v>
      </c>
      <c r="C112" s="346"/>
      <c r="D112" s="398">
        <f>+'[2]Link Out'!$D$18</f>
        <v>66868843.496730939</v>
      </c>
      <c r="E112" s="398"/>
      <c r="F112" s="398">
        <f>SUM(F103:F111)</f>
        <v>71991260.582396626</v>
      </c>
    </row>
    <row r="113" spans="1:12" s="249" customFormat="1" ht="15" thickBot="1">
      <c r="B113" s="266"/>
      <c r="C113" s="259"/>
      <c r="D113" s="266"/>
      <c r="F113" s="248"/>
    </row>
    <row r="114" spans="1:12" s="193" customFormat="1" ht="15" thickBot="1">
      <c r="B114" s="190"/>
      <c r="C114" s="394" t="s">
        <v>300</v>
      </c>
      <c r="D114" s="404" t="s">
        <v>243</v>
      </c>
      <c r="E114" s="404"/>
      <c r="F114" s="404"/>
      <c r="G114" s="405"/>
      <c r="I114" s="401" t="s">
        <v>244</v>
      </c>
      <c r="J114" s="402"/>
      <c r="K114" s="402"/>
      <c r="L114" s="403"/>
    </row>
    <row r="115" spans="1:12" s="193" customFormat="1">
      <c r="A115" s="203" t="s">
        <v>48</v>
      </c>
      <c r="B115" s="364" t="s">
        <v>113</v>
      </c>
      <c r="C115" s="294" t="s">
        <v>134</v>
      </c>
      <c r="D115" s="237"/>
      <c r="E115" s="229" t="s">
        <v>167</v>
      </c>
      <c r="F115" s="229" t="s">
        <v>168</v>
      </c>
      <c r="G115" s="267" t="s">
        <v>169</v>
      </c>
      <c r="I115" s="231"/>
      <c r="J115" s="262" t="s">
        <v>167</v>
      </c>
      <c r="K115" s="262" t="s">
        <v>168</v>
      </c>
      <c r="L115" s="254" t="s">
        <v>169</v>
      </c>
    </row>
    <row r="116" spans="1:12" s="193" customFormat="1">
      <c r="A116" s="201" t="s">
        <v>163</v>
      </c>
      <c r="B116" s="400">
        <f>'[3]Link Out'!$C$3</f>
        <v>422336312</v>
      </c>
      <c r="C116" s="395">
        <f>'[3]Sch B-5'!$R$540</f>
        <v>441122362.12330651</v>
      </c>
      <c r="D116" s="246" t="s">
        <v>170</v>
      </c>
      <c r="E116" s="171">
        <f>+[4]Linkout!$D$9</f>
        <v>6777501.4741245164</v>
      </c>
      <c r="F116" s="250">
        <f>+[4]Linkout!$D$36</f>
        <v>3.2738847995791229E-2</v>
      </c>
      <c r="G116" s="268">
        <f>E116*F116</f>
        <v>221887.59055261352</v>
      </c>
      <c r="I116" s="246" t="s">
        <v>170</v>
      </c>
      <c r="J116" s="253">
        <f>+[4]Linkout!$C$9</f>
        <v>17105681.050704263</v>
      </c>
      <c r="K116" s="252">
        <f>+[4]Linkout!$C$36</f>
        <v>2.8686581219739198E-2</v>
      </c>
      <c r="L116" s="268">
        <f>SUM(J116*K116)</f>
        <v>490703.50877998158</v>
      </c>
    </row>
    <row r="117" spans="1:12" s="193" customFormat="1">
      <c r="A117" s="201" t="s">
        <v>164</v>
      </c>
      <c r="B117" s="393">
        <f>[4]Linkout!$C$12+[4]Linkout!$C$13</f>
        <v>2.9500000000000002E-2</v>
      </c>
      <c r="C117" s="393">
        <f>[4]Linkout!$D$12+[4]Linkout!$D$13</f>
        <v>2.9600000000000001E-2</v>
      </c>
      <c r="D117" s="246" t="s">
        <v>171</v>
      </c>
      <c r="E117" s="171">
        <f>+[4]Linkout!$D$8</f>
        <v>220061621.47666666</v>
      </c>
      <c r="F117" s="250">
        <f>+[4]Linkout!$D$16</f>
        <v>5.8999999999999997E-2</v>
      </c>
      <c r="G117" s="268">
        <f>E117*F117</f>
        <v>12983635.667123333</v>
      </c>
      <c r="I117" s="246" t="s">
        <v>171</v>
      </c>
      <c r="J117" s="253">
        <f>+[4]Linkout!$C$8</f>
        <v>204313965.86999997</v>
      </c>
      <c r="K117" s="252">
        <f>+[4]Linkout!$C$16</f>
        <v>5.9900000000000002E-2</v>
      </c>
      <c r="L117" s="268">
        <f>SUM(J117*K117)</f>
        <v>12238406.555612998</v>
      </c>
    </row>
    <row r="118" spans="1:12" s="193" customFormat="1">
      <c r="A118" s="201" t="s">
        <v>165</v>
      </c>
      <c r="B118" s="393">
        <f>[4]Linkout!$C$15</f>
        <v>4.0000000000000002E-4</v>
      </c>
      <c r="C118" s="393">
        <f>[4]Linkout!$D$15</f>
        <v>4.0000000000000002E-4</v>
      </c>
      <c r="D118" s="246" t="s">
        <v>172</v>
      </c>
      <c r="E118" s="171">
        <f>+[4]Linkout!$D$7</f>
        <v>2243433.2400000002</v>
      </c>
      <c r="F118" s="250">
        <f>+[4]Linkout!$D$17</f>
        <v>8.5099999999999995E-2</v>
      </c>
      <c r="G118" s="268">
        <f>E118*F118</f>
        <v>190916.16872400002</v>
      </c>
      <c r="I118" s="246" t="s">
        <v>172</v>
      </c>
      <c r="J118" s="253">
        <f>+[4]Linkout!$C$7</f>
        <v>2243111.34</v>
      </c>
      <c r="K118" s="252">
        <f>+[4]Linkout!$C$17</f>
        <v>8.5099999999999995E-2</v>
      </c>
      <c r="L118" s="268">
        <f>SUM(J118*K118)</f>
        <v>190888.77503399996</v>
      </c>
    </row>
    <row r="119" spans="1:12" s="193" customFormat="1" ht="15" thickBot="1">
      <c r="A119" s="201" t="s">
        <v>48</v>
      </c>
      <c r="B119" s="397">
        <f>ROUND(B116*(B118+B117),0)</f>
        <v>12627856</v>
      </c>
      <c r="C119" s="397">
        <f>ROUND(C116*(C118+C117),0)</f>
        <v>13233671</v>
      </c>
      <c r="D119" s="247"/>
      <c r="E119" s="248"/>
      <c r="F119" s="249" t="s">
        <v>195</v>
      </c>
      <c r="G119" s="255">
        <f>SUM(G116:G118)</f>
        <v>13396439.426399946</v>
      </c>
      <c r="I119" s="251"/>
      <c r="J119" s="244"/>
      <c r="K119" s="244"/>
      <c r="L119" s="255">
        <f>SUM(L116:L118)</f>
        <v>12919998.839426979</v>
      </c>
    </row>
    <row r="120" spans="1:12" s="193" customFormat="1">
      <c r="A120" s="201" t="s">
        <v>166</v>
      </c>
      <c r="B120" s="397">
        <f>ROUND(B116*B118,0)</f>
        <v>168935</v>
      </c>
      <c r="C120" s="397">
        <f>ROUND(C116*C118,0)</f>
        <v>176449</v>
      </c>
      <c r="D120" s="190"/>
      <c r="F120" s="194"/>
    </row>
    <row r="121" spans="1:12">
      <c r="B121" s="336"/>
      <c r="C121" s="363"/>
    </row>
    <row r="122" spans="1:12">
      <c r="A122" s="203" t="s">
        <v>173</v>
      </c>
      <c r="B122" s="364" t="s">
        <v>113</v>
      </c>
      <c r="C122" s="294" t="s">
        <v>134</v>
      </c>
      <c r="D122" s="80"/>
    </row>
    <row r="123" spans="1:12">
      <c r="A123" s="122" t="s">
        <v>302</v>
      </c>
      <c r="B123" s="280"/>
      <c r="C123" s="280"/>
      <c r="D123" s="122" t="s">
        <v>260</v>
      </c>
    </row>
    <row r="124" spans="1:12">
      <c r="A124" s="122" t="s">
        <v>303</v>
      </c>
      <c r="B124" s="397">
        <f>+'[2]Link Out'!$B$83</f>
        <v>35622</v>
      </c>
      <c r="C124" s="397">
        <f>+'[2]Link Out'!$C$83</f>
        <v>44775</v>
      </c>
    </row>
    <row r="125" spans="1:12" s="204" customFormat="1">
      <c r="B125" s="397"/>
      <c r="C125" s="397"/>
    </row>
    <row r="126" spans="1:12" s="204" customFormat="1">
      <c r="A126" s="203" t="s">
        <v>174</v>
      </c>
      <c r="B126" s="397"/>
      <c r="C126" s="397"/>
    </row>
    <row r="127" spans="1:12">
      <c r="A127" s="186" t="s">
        <v>153</v>
      </c>
      <c r="B127" s="397">
        <f>C194</f>
        <v>15794080.626613848</v>
      </c>
      <c r="C127" s="397">
        <f>-SUM('[5]Tax Basis State'!$I$50:$I$61)</f>
        <v>16541654.672101693</v>
      </c>
    </row>
    <row r="128" spans="1:12">
      <c r="A128" s="187" t="s">
        <v>154</v>
      </c>
      <c r="B128" s="397">
        <f>B194</f>
        <v>12669543.429947186</v>
      </c>
      <c r="C128" s="397">
        <f>-SUM('[5]Tax Basis Federal'!$I$50:$I$61)</f>
        <v>13827691.672101699</v>
      </c>
    </row>
    <row r="129" spans="1:4">
      <c r="A129" s="122" t="s">
        <v>175</v>
      </c>
      <c r="B129" s="397">
        <f>B188</f>
        <v>15770655.199487986</v>
      </c>
      <c r="C129" s="397">
        <f>D188</f>
        <v>17683624.118275311</v>
      </c>
    </row>
    <row r="130" spans="1:4">
      <c r="A130" s="187" t="s">
        <v>155</v>
      </c>
      <c r="B130" s="397"/>
      <c r="C130" s="397"/>
      <c r="D130" s="122" t="s">
        <v>161</v>
      </c>
    </row>
    <row r="131" spans="1:4" s="204" customFormat="1">
      <c r="A131" s="122" t="s">
        <v>162</v>
      </c>
      <c r="B131" s="397">
        <f>+'[2]Link Out'!$B$92</f>
        <v>57084</v>
      </c>
      <c r="C131" s="397">
        <f>+'[2]Link Out'!$C$92</f>
        <v>57085.98</v>
      </c>
    </row>
    <row r="132" spans="1:4" s="204" customFormat="1">
      <c r="A132" s="122" t="s">
        <v>265</v>
      </c>
      <c r="B132" s="397">
        <f>+'[2]Link Out'!$B$93</f>
        <v>0</v>
      </c>
      <c r="C132" s="397">
        <f>+'[2]Link Out'!$C$93</f>
        <v>24566.75499999999</v>
      </c>
      <c r="D132" s="204" t="str">
        <f>+'[2]Link Out'!$D$93</f>
        <v xml:space="preserve">Requesting $0 in case.  </v>
      </c>
    </row>
    <row r="133" spans="1:4" s="223" customFormat="1">
      <c r="A133" s="225" t="s">
        <v>194</v>
      </c>
      <c r="B133" s="397">
        <f>+'[2]Link Out'!$B$95</f>
        <v>839228</v>
      </c>
      <c r="C133" s="397">
        <f>+'[2]Link Out'!$C$95</f>
        <v>1091902</v>
      </c>
    </row>
    <row r="134" spans="1:4" s="204" customFormat="1">
      <c r="A134" s="226" t="s">
        <v>156</v>
      </c>
      <c r="B134" s="397">
        <f>+'[6]Link Out'!$B$25*0+'[6]Def Maint Bal'!$AM$28-'[6]Def Maint Bal'!$AM$16+B133</f>
        <v>2547540.2398888841</v>
      </c>
      <c r="C134" s="397">
        <f>+'[6]Link Out'!$B$23</f>
        <v>1500000</v>
      </c>
    </row>
    <row r="135" spans="1:4" s="204" customFormat="1">
      <c r="A135" s="205" t="s">
        <v>157</v>
      </c>
      <c r="B135" s="397"/>
      <c r="C135" s="397"/>
    </row>
    <row r="136" spans="1:4">
      <c r="A136" s="188" t="s">
        <v>158</v>
      </c>
      <c r="B136" s="397">
        <v>0</v>
      </c>
      <c r="C136" s="397">
        <f>SUM('[7]Link Out'!$L$48:$W$48)</f>
        <v>117564</v>
      </c>
    </row>
    <row r="137" spans="1:4" s="204" customFormat="1">
      <c r="A137" s="206" t="s">
        <v>159</v>
      </c>
      <c r="B137" s="397">
        <f>+'[2]Link Out'!$B$87+'[2]Link Out'!$B$90</f>
        <v>-2228479</v>
      </c>
      <c r="C137" s="397">
        <f>+'[2]Link Out'!$C$87+'[2]Link Out'!$C$90</f>
        <v>-2403755.2008386226</v>
      </c>
    </row>
    <row r="138" spans="1:4">
      <c r="A138" s="189" t="s">
        <v>299</v>
      </c>
      <c r="B138" s="397">
        <f>B206</f>
        <v>7125783.4434776828</v>
      </c>
      <c r="C138" s="397">
        <f>-'[7]Link Out'!$B$51-'[7]Link Out'!$B$52</f>
        <v>7228514.1265822789</v>
      </c>
      <c r="D138" s="123"/>
    </row>
    <row r="139" spans="1:4">
      <c r="A139" s="189" t="s">
        <v>160</v>
      </c>
      <c r="B139" s="397">
        <f>B199</f>
        <v>4833628.8188225348</v>
      </c>
      <c r="C139" s="397">
        <f>-SUM('[5]Fed Tax Dep'!$H$24:$H$35)</f>
        <v>3860784.7195699811</v>
      </c>
    </row>
    <row r="140" spans="1:4">
      <c r="A140" s="207" t="s">
        <v>89</v>
      </c>
      <c r="B140" s="397">
        <v>2841122</v>
      </c>
      <c r="C140" s="397">
        <f>+'[2]Link Out'!$C$89</f>
        <v>3052002.8306124154</v>
      </c>
    </row>
    <row r="141" spans="1:4">
      <c r="A141" s="208" t="s">
        <v>66</v>
      </c>
      <c r="B141" s="397">
        <f>B212</f>
        <v>1446898.2883333336</v>
      </c>
      <c r="C141" s="397">
        <f>+'[7]Link Out'!$B$50</f>
        <v>1351177</v>
      </c>
    </row>
    <row r="142" spans="1:4" s="209" customFormat="1">
      <c r="A142" s="208"/>
      <c r="B142" s="397"/>
      <c r="C142" s="397"/>
    </row>
    <row r="143" spans="1:4">
      <c r="A143" s="210" t="s">
        <v>176</v>
      </c>
      <c r="B143" s="397">
        <f>C218</f>
        <v>-296452.61623524502</v>
      </c>
      <c r="C143" s="397">
        <f>'[5]Link Out'!$C$23</f>
        <v>54285</v>
      </c>
    </row>
    <row r="144" spans="1:4">
      <c r="A144" s="210" t="s">
        <v>177</v>
      </c>
      <c r="B144" s="397">
        <f>B218</f>
        <v>-1421014.0570286273</v>
      </c>
      <c r="C144" s="397">
        <f>'[5]Link Out'!$C$24</f>
        <v>-353338</v>
      </c>
    </row>
    <row r="145" spans="1:3" s="211" customFormat="1">
      <c r="A145" s="210"/>
      <c r="B145" s="397"/>
      <c r="C145" s="397"/>
    </row>
    <row r="146" spans="1:3" s="211" customFormat="1">
      <c r="A146" s="212" t="s">
        <v>178</v>
      </c>
      <c r="B146" s="397">
        <f>I92</f>
        <v>10837.716534646548</v>
      </c>
      <c r="C146" s="397">
        <f>+'[5]Def Taxes Reg Asset Liab'!$C$30</f>
        <v>-62376</v>
      </c>
    </row>
    <row r="147" spans="1:3" s="211" customFormat="1">
      <c r="A147" s="212" t="s">
        <v>179</v>
      </c>
      <c r="B147" s="397">
        <f>I91</f>
        <v>0</v>
      </c>
      <c r="C147" s="397">
        <f>+'[5]Def Taxes Reg Asset Liab'!$E$30</f>
        <v>-54620.331693548273</v>
      </c>
    </row>
    <row r="148" spans="1:3" s="211" customFormat="1">
      <c r="A148" s="210"/>
      <c r="B148" s="397"/>
      <c r="C148" s="397"/>
    </row>
    <row r="149" spans="1:3">
      <c r="A149" s="182" t="s">
        <v>150</v>
      </c>
      <c r="B149" s="397">
        <f>-'[2]Link Out'!$C$147</f>
        <v>78492</v>
      </c>
      <c r="C149" s="397">
        <f>'[5]BookBasis '!$Q$32-'[5]BookBasis '!$Q$21</f>
        <v>71951</v>
      </c>
    </row>
    <row r="150" spans="1:3" s="211" customFormat="1">
      <c r="A150" s="210"/>
      <c r="B150" s="397"/>
      <c r="C150" s="397"/>
    </row>
    <row r="151" spans="1:3">
      <c r="A151" s="122" t="s">
        <v>273</v>
      </c>
      <c r="B151" s="397">
        <f>+'[2]Link Out'!$B$78</f>
        <v>6602753</v>
      </c>
      <c r="C151" s="397">
        <f>+'[2]Link Out'!$C$78</f>
        <v>7032232</v>
      </c>
    </row>
    <row r="152" spans="1:3">
      <c r="A152" s="122" t="s">
        <v>274</v>
      </c>
      <c r="B152" s="397">
        <f>+'[2]Link Out'!$B$79</f>
        <v>566558</v>
      </c>
      <c r="C152" s="397">
        <f>+'[2]Link Out'!$C$79</f>
        <v>596010</v>
      </c>
    </row>
    <row r="153" spans="1:3">
      <c r="A153" s="122" t="s">
        <v>275</v>
      </c>
      <c r="B153" s="397">
        <f>+'[2]Link Out'!$B$80</f>
        <v>186974</v>
      </c>
      <c r="C153" s="397">
        <f>+'[2]Link Out'!$C$80</f>
        <v>175930</v>
      </c>
    </row>
    <row r="154" spans="1:3">
      <c r="B154" s="397"/>
      <c r="C154" s="397"/>
    </row>
    <row r="155" spans="1:3" s="213" customFormat="1">
      <c r="B155" s="397"/>
      <c r="C155" s="397"/>
    </row>
    <row r="156" spans="1:3" s="213" customFormat="1">
      <c r="A156" s="215" t="s">
        <v>180</v>
      </c>
      <c r="B156" s="397"/>
      <c r="C156" s="397"/>
    </row>
    <row r="157" spans="1:3" s="213" customFormat="1">
      <c r="A157" s="216" t="s">
        <v>47</v>
      </c>
      <c r="B157" s="397">
        <f>+'[2]Link Out'!$C$142</f>
        <v>1042164.2999302045</v>
      </c>
      <c r="C157" s="397"/>
    </row>
    <row r="158" spans="1:3" s="213" customFormat="1">
      <c r="A158" s="216" t="s">
        <v>144</v>
      </c>
      <c r="B158" s="397">
        <f>+'[2]Link Out'!$C$143</f>
        <v>-52133.283465353408</v>
      </c>
      <c r="C158" s="397"/>
    </row>
    <row r="159" spans="1:3" s="213" customFormat="1">
      <c r="A159" s="217"/>
      <c r="B159" s="397"/>
      <c r="C159" s="397"/>
    </row>
    <row r="160" spans="1:3" s="213" customFormat="1">
      <c r="A160" s="215" t="s">
        <v>181</v>
      </c>
      <c r="B160" s="397"/>
      <c r="C160" s="397"/>
    </row>
    <row r="161" spans="1:8" s="213" customFormat="1">
      <c r="A161" s="216" t="s">
        <v>182</v>
      </c>
      <c r="B161" s="397">
        <f>+'[2]Link Out'!$C$145</f>
        <v>4831489.9500022596</v>
      </c>
      <c r="C161" s="397"/>
    </row>
    <row r="162" spans="1:8" s="213" customFormat="1">
      <c r="A162" s="216" t="s">
        <v>145</v>
      </c>
      <c r="B162" s="397">
        <f>+'[2]Link Out'!$C$146</f>
        <v>-678852.8206869741</v>
      </c>
      <c r="C162" s="397"/>
    </row>
    <row r="163" spans="1:8" s="213" customFormat="1">
      <c r="A163" s="218" t="s">
        <v>183</v>
      </c>
      <c r="B163" s="397">
        <v>-78492</v>
      </c>
      <c r="C163" s="397"/>
    </row>
    <row r="164" spans="1:8" s="213" customFormat="1">
      <c r="B164" s="397"/>
      <c r="C164" s="397"/>
    </row>
    <row r="165" spans="1:8" s="213" customFormat="1">
      <c r="A165" s="178" t="s">
        <v>142</v>
      </c>
      <c r="B165" s="397"/>
      <c r="C165" s="397"/>
    </row>
    <row r="166" spans="1:8" s="213" customFormat="1">
      <c r="A166" s="177" t="s">
        <v>138</v>
      </c>
      <c r="B166" s="397">
        <f>I80</f>
        <v>0</v>
      </c>
    </row>
    <row r="167" spans="1:8" s="213" customFormat="1">
      <c r="A167" s="177" t="s">
        <v>139</v>
      </c>
      <c r="B167" s="397">
        <f>I82</f>
        <v>0</v>
      </c>
    </row>
    <row r="168" spans="1:8">
      <c r="A168" s="177" t="s">
        <v>140</v>
      </c>
      <c r="B168" s="397">
        <f>I84</f>
        <v>0</v>
      </c>
    </row>
    <row r="169" spans="1:8">
      <c r="A169" s="177" t="s">
        <v>141</v>
      </c>
      <c r="B169" s="397">
        <f>I89</f>
        <v>0</v>
      </c>
      <c r="D169" s="356"/>
      <c r="E169" s="356"/>
      <c r="F169" s="356"/>
      <c r="G169" s="356"/>
      <c r="H169" s="356"/>
    </row>
    <row r="170" spans="1:8" s="219" customFormat="1" ht="15" thickBot="1">
      <c r="A170" s="214"/>
      <c r="B170" s="176"/>
      <c r="C170" s="123"/>
    </row>
    <row r="171" spans="1:8" s="219" customFormat="1">
      <c r="A171" s="200" t="s">
        <v>143</v>
      </c>
      <c r="B171" s="199">
        <f>I81</f>
        <v>1042164.2999302045</v>
      </c>
      <c r="C171" s="198"/>
      <c r="D171" s="197" t="s">
        <v>135</v>
      </c>
      <c r="E171" s="202">
        <f>I79</f>
        <v>4831489.9500022596</v>
      </c>
    </row>
    <row r="172" spans="1:8" s="219" customFormat="1">
      <c r="A172" s="231" t="s">
        <v>136</v>
      </c>
      <c r="B172" s="305">
        <f>'E-1.2 State Inc Tax Base'!G54</f>
        <v>1042164.2999302045</v>
      </c>
      <c r="C172" s="232"/>
      <c r="D172" s="227" t="s">
        <v>136</v>
      </c>
      <c r="E172" s="306">
        <f>'E-1.1 Federal Inc Tax Base'!G55</f>
        <v>4831489.9500022596</v>
      </c>
    </row>
    <row r="173" spans="1:8" s="219" customFormat="1">
      <c r="A173" s="234" t="s">
        <v>137</v>
      </c>
      <c r="B173" s="232">
        <f>B172-B171</f>
        <v>0</v>
      </c>
      <c r="C173" s="170"/>
      <c r="D173" s="228" t="s">
        <v>137</v>
      </c>
      <c r="E173" s="233">
        <f>E172-E171</f>
        <v>0</v>
      </c>
    </row>
    <row r="174" spans="1:8" s="219" customFormat="1">
      <c r="A174" s="231"/>
      <c r="B174" s="235"/>
      <c r="C174" s="170"/>
      <c r="D174" s="170"/>
      <c r="E174" s="236"/>
    </row>
    <row r="175" spans="1:8" s="219" customFormat="1">
      <c r="A175" s="231"/>
      <c r="B175" s="235"/>
      <c r="C175" s="170"/>
      <c r="D175" s="170"/>
      <c r="E175" s="236"/>
    </row>
    <row r="176" spans="1:8">
      <c r="A176" s="237"/>
      <c r="B176" s="238"/>
      <c r="C176" s="170"/>
      <c r="D176" s="170"/>
      <c r="E176" s="236"/>
    </row>
    <row r="177" spans="1:10">
      <c r="A177" s="231" t="s">
        <v>144</v>
      </c>
      <c r="B177" s="227"/>
      <c r="C177" s="227"/>
      <c r="D177" s="227" t="s">
        <v>145</v>
      </c>
      <c r="E177" s="239"/>
      <c r="F177" s="179"/>
    </row>
    <row r="178" spans="1:10">
      <c r="A178" s="240" t="s">
        <v>146</v>
      </c>
      <c r="B178" s="327">
        <f>I85</f>
        <v>-65942.498360214944</v>
      </c>
      <c r="C178" s="227"/>
      <c r="D178" s="241" t="s">
        <v>240</v>
      </c>
      <c r="E178" s="330">
        <f>I88</f>
        <v>0</v>
      </c>
      <c r="F178" s="179"/>
    </row>
    <row r="179" spans="1:10">
      <c r="A179" s="240" t="s">
        <v>147</v>
      </c>
      <c r="B179" s="327">
        <f>I84</f>
        <v>0</v>
      </c>
      <c r="C179" s="227"/>
      <c r="D179" s="241" t="s">
        <v>241</v>
      </c>
      <c r="E179" s="330">
        <f>I89</f>
        <v>0</v>
      </c>
      <c r="F179" s="179"/>
    </row>
    <row r="180" spans="1:10">
      <c r="A180" s="242" t="s">
        <v>148</v>
      </c>
      <c r="B180" s="327">
        <f>I87</f>
        <v>-612910.32232675899</v>
      </c>
      <c r="C180" s="227"/>
      <c r="D180" s="230" t="s">
        <v>242</v>
      </c>
      <c r="E180" s="330">
        <f>I90</f>
        <v>-62970.999999999993</v>
      </c>
      <c r="F180" s="179"/>
    </row>
    <row r="181" spans="1:10" ht="15" thickBot="1">
      <c r="A181" s="240" t="s">
        <v>24</v>
      </c>
      <c r="B181" s="328">
        <f>SUM(B178:B180)</f>
        <v>-678852.82068697398</v>
      </c>
      <c r="C181" s="227"/>
      <c r="D181" s="241" t="s">
        <v>24</v>
      </c>
      <c r="E181" s="331">
        <f>SUM(E178:E180)</f>
        <v>-62970.999999999993</v>
      </c>
      <c r="F181" s="179"/>
    </row>
    <row r="182" spans="1:10" ht="15" thickTop="1">
      <c r="A182" s="231" t="s">
        <v>149</v>
      </c>
      <c r="B182" s="327">
        <f>'E-1.2 State Inc Tax Base'!G66</f>
        <v>10837.716534646592</v>
      </c>
      <c r="C182" s="227"/>
      <c r="D182" s="227" t="s">
        <v>149</v>
      </c>
      <c r="E182" s="330">
        <f>'E-1.1 Federal Inc Tax Base'!G67</f>
        <v>-612910.32232675911</v>
      </c>
      <c r="F182" s="179"/>
    </row>
    <row r="183" spans="1:10" ht="15" thickBot="1">
      <c r="A183" s="243" t="s">
        <v>137</v>
      </c>
      <c r="B183" s="329">
        <f>B182-B181</f>
        <v>689690.53722162056</v>
      </c>
      <c r="C183" s="244"/>
      <c r="D183" s="245" t="s">
        <v>137</v>
      </c>
      <c r="E183" s="332">
        <f>SUM(E182-E181)</f>
        <v>-549939.32232675911</v>
      </c>
      <c r="F183" s="179"/>
    </row>
    <row r="185" spans="1:10" s="303" customFormat="1">
      <c r="A185" s="299" t="s">
        <v>291</v>
      </c>
      <c r="B185" s="298" t="s">
        <v>284</v>
      </c>
      <c r="C185" s="385"/>
      <c r="D185" s="298" t="s">
        <v>292</v>
      </c>
    </row>
    <row r="186" spans="1:10" s="303" customFormat="1">
      <c r="A186" s="123" t="s">
        <v>293</v>
      </c>
      <c r="B186" s="384">
        <f>SUM('[1]Link Out Monthly BY'!$F$422:$K$422)</f>
        <v>7732711</v>
      </c>
      <c r="C186" s="359"/>
      <c r="D186" s="156">
        <f>+'[7]Link Out'!$L$199</f>
        <v>17623539.990392938</v>
      </c>
      <c r="E186" s="123" t="s">
        <v>285</v>
      </c>
      <c r="F186" s="123"/>
      <c r="G186" s="123"/>
      <c r="H186" s="123"/>
      <c r="I186" s="123"/>
      <c r="J186" s="123"/>
    </row>
    <row r="187" spans="1:10" s="303" customFormat="1">
      <c r="A187" s="123" t="s">
        <v>245</v>
      </c>
      <c r="B187" s="323">
        <f>'[7]Link Out'!$I$199</f>
        <v>8037944.199487986</v>
      </c>
      <c r="C187" s="359"/>
      <c r="D187" s="300">
        <f>+'[7]Link Out'!$L$200</f>
        <v>60084.127882371431</v>
      </c>
      <c r="E187" s="123" t="s">
        <v>294</v>
      </c>
      <c r="F187" s="123"/>
      <c r="G187" s="123"/>
      <c r="H187" s="123"/>
      <c r="I187" s="123"/>
      <c r="J187" s="123"/>
    </row>
    <row r="188" spans="1:10" s="303" customFormat="1" ht="15" thickBot="1">
      <c r="A188" s="295"/>
      <c r="B188" s="296">
        <f>SUM(B186:B187)</f>
        <v>15770655.199487986</v>
      </c>
      <c r="C188" s="359"/>
      <c r="D188" s="296">
        <f>SUM(D186:D187)</f>
        <v>17683624.118275311</v>
      </c>
      <c r="E188" s="123"/>
      <c r="F188" s="123"/>
      <c r="G188" s="123"/>
      <c r="H188" s="123"/>
      <c r="I188" s="123"/>
      <c r="J188" s="123"/>
    </row>
    <row r="189" spans="1:10">
      <c r="C189" s="170"/>
    </row>
    <row r="191" spans="1:10">
      <c r="A191" s="203" t="s">
        <v>204</v>
      </c>
      <c r="B191" s="298" t="s">
        <v>205</v>
      </c>
      <c r="C191" s="297" t="s">
        <v>206</v>
      </c>
    </row>
    <row r="192" spans="1:10">
      <c r="A192" s="123" t="s">
        <v>248</v>
      </c>
      <c r="B192" s="195">
        <v>6095362.1017596545</v>
      </c>
      <c r="C192" s="195">
        <v>7681086.1317596538</v>
      </c>
      <c r="D192" s="123"/>
      <c r="E192" s="123"/>
      <c r="F192" s="123"/>
      <c r="G192" s="123"/>
      <c r="H192" s="123"/>
      <c r="I192" s="123"/>
      <c r="J192" s="123"/>
    </row>
    <row r="193" spans="1:10">
      <c r="A193" s="123" t="s">
        <v>245</v>
      </c>
      <c r="B193" s="195">
        <f>SUM('[5]Fed Tax Dep'!$M$38:$R$38)</f>
        <v>6574181.3281875309</v>
      </c>
      <c r="C193" s="195">
        <f>SUM('[5]State Tax Dep'!$M$38:$R$38)</f>
        <v>8112994.494854195</v>
      </c>
      <c r="D193" s="123"/>
      <c r="E193" s="123"/>
      <c r="F193" s="123"/>
      <c r="G193" s="123"/>
      <c r="H193" s="123"/>
      <c r="I193" s="123"/>
      <c r="J193" s="123"/>
    </row>
    <row r="194" spans="1:10" ht="15" thickBot="1">
      <c r="A194" s="295"/>
      <c r="B194" s="296">
        <f>SUM(B192:B193)</f>
        <v>12669543.429947186</v>
      </c>
      <c r="C194" s="296">
        <f>SUM(C192:C193)</f>
        <v>15794080.626613848</v>
      </c>
      <c r="D194" s="123"/>
      <c r="E194" s="123"/>
      <c r="F194" s="123"/>
      <c r="G194" s="123"/>
      <c r="H194" s="123"/>
      <c r="I194" s="123"/>
      <c r="J194" s="123"/>
    </row>
    <row r="195" spans="1:10">
      <c r="A195" s="123"/>
      <c r="C195" s="123"/>
      <c r="D195" s="123"/>
      <c r="E195" s="123"/>
      <c r="F195" s="123"/>
      <c r="G195" s="123"/>
      <c r="H195" s="123"/>
      <c r="I195" s="123"/>
      <c r="J195" s="123"/>
    </row>
    <row r="196" spans="1:10">
      <c r="A196" s="133" t="s">
        <v>207</v>
      </c>
      <c r="C196" s="123"/>
      <c r="D196" s="123"/>
      <c r="E196" s="123"/>
      <c r="F196" s="123"/>
      <c r="G196" s="123"/>
      <c r="H196" s="123"/>
      <c r="I196" s="123"/>
      <c r="J196" s="123"/>
    </row>
    <row r="197" spans="1:10">
      <c r="A197" s="123" t="s">
        <v>248</v>
      </c>
      <c r="B197" s="195">
        <v>3784994.6243962054</v>
      </c>
      <c r="C197" s="123"/>
      <c r="D197" s="123"/>
      <c r="E197" s="123"/>
      <c r="F197" s="123"/>
      <c r="G197" s="123"/>
      <c r="H197" s="123"/>
      <c r="I197" s="123"/>
      <c r="J197" s="123"/>
    </row>
    <row r="198" spans="1:10">
      <c r="A198" s="123" t="s">
        <v>245</v>
      </c>
      <c r="B198" s="195">
        <f>-SUM('[5]Fed Tax Dep'!$H$14:$H$19)</f>
        <v>1048634.1944263298</v>
      </c>
      <c r="C198" s="123"/>
      <c r="D198" s="123"/>
      <c r="E198" s="123"/>
      <c r="F198" s="123"/>
      <c r="G198" s="123"/>
      <c r="H198" s="123"/>
      <c r="I198" s="123"/>
      <c r="J198" s="123"/>
    </row>
    <row r="199" spans="1:10" ht="15" thickBot="1">
      <c r="A199" s="123"/>
      <c r="B199" s="296">
        <f>SUM(B197+B198)</f>
        <v>4833628.8188225348</v>
      </c>
      <c r="C199" s="123"/>
      <c r="D199" s="123"/>
      <c r="E199" s="123"/>
      <c r="F199" s="123"/>
      <c r="G199" s="123"/>
      <c r="H199" s="123"/>
      <c r="I199" s="123"/>
      <c r="J199" s="123"/>
    </row>
    <row r="200" spans="1:10" ht="15.6" thickTop="1" thickBot="1">
      <c r="A200" s="295"/>
      <c r="B200" s="295"/>
      <c r="C200" s="295"/>
      <c r="D200" s="123"/>
      <c r="E200" s="123"/>
      <c r="F200" s="123"/>
      <c r="G200" s="123"/>
      <c r="H200" s="123"/>
      <c r="I200" s="123"/>
      <c r="J200" s="123"/>
    </row>
    <row r="201" spans="1:10">
      <c r="A201" s="123"/>
      <c r="C201" s="123"/>
      <c r="D201" s="123"/>
      <c r="E201" s="123"/>
      <c r="F201" s="123"/>
      <c r="G201" s="123"/>
      <c r="H201" s="123"/>
      <c r="I201" s="123"/>
      <c r="J201" s="123"/>
    </row>
    <row r="202" spans="1:10">
      <c r="A202" s="336" t="s">
        <v>295</v>
      </c>
      <c r="C202" s="123"/>
      <c r="D202" s="123"/>
      <c r="E202" s="123"/>
      <c r="F202" s="123"/>
      <c r="G202" s="123"/>
      <c r="H202" s="123"/>
      <c r="I202" s="123"/>
      <c r="J202" s="123"/>
    </row>
    <row r="203" spans="1:10">
      <c r="A203" s="123" t="s">
        <v>287</v>
      </c>
      <c r="B203" s="383">
        <v>3069598.66</v>
      </c>
      <c r="C203" s="123" t="s">
        <v>286</v>
      </c>
      <c r="D203" s="123"/>
      <c r="E203" s="123"/>
      <c r="F203" s="123"/>
      <c r="G203" s="123"/>
      <c r="H203" s="123"/>
      <c r="I203" s="123"/>
      <c r="J203" s="123"/>
    </row>
    <row r="204" spans="1:10" s="303" customFormat="1">
      <c r="A204" s="123" t="s">
        <v>298</v>
      </c>
      <c r="B204" s="383">
        <f>+'[7]Link Out'!$I$207</f>
        <v>1283588.7275149901</v>
      </c>
      <c r="C204" s="123" t="s">
        <v>285</v>
      </c>
      <c r="D204" s="123"/>
      <c r="E204" s="123"/>
      <c r="F204" s="123"/>
      <c r="G204" s="123"/>
      <c r="H204" s="123"/>
      <c r="I204" s="123"/>
      <c r="J204" s="123"/>
    </row>
    <row r="205" spans="1:10">
      <c r="A205" s="123" t="s">
        <v>297</v>
      </c>
      <c r="B205" s="174">
        <f>'[7]Link Out'!$I$204</f>
        <v>2772596.0559626929</v>
      </c>
      <c r="C205" s="123" t="s">
        <v>285</v>
      </c>
      <c r="D205" s="123"/>
      <c r="E205" s="123"/>
      <c r="F205" s="123"/>
      <c r="G205" s="123"/>
      <c r="H205" s="123"/>
      <c r="I205" s="123"/>
      <c r="J205" s="123"/>
    </row>
    <row r="206" spans="1:10" ht="15" thickBot="1">
      <c r="A206" s="123"/>
      <c r="B206" s="296">
        <f>SUM(B203:B205)</f>
        <v>7125783.4434776828</v>
      </c>
      <c r="C206" s="123"/>
      <c r="D206" s="123"/>
      <c r="E206" s="123"/>
      <c r="F206" s="123"/>
      <c r="G206" s="123"/>
      <c r="H206" s="123"/>
      <c r="I206" s="123"/>
      <c r="J206" s="123"/>
    </row>
    <row r="207" spans="1:10" ht="15.6" thickTop="1" thickBot="1">
      <c r="A207" s="295"/>
      <c r="B207" s="295"/>
      <c r="C207" s="295"/>
      <c r="D207" s="123"/>
      <c r="E207" s="123"/>
      <c r="F207" s="123"/>
      <c r="G207" s="123"/>
      <c r="H207" s="123"/>
      <c r="I207" s="123"/>
      <c r="J207" s="123"/>
    </row>
    <row r="208" spans="1:10">
      <c r="A208" s="123"/>
      <c r="C208" s="123"/>
      <c r="D208" s="123"/>
      <c r="E208" s="123"/>
      <c r="F208" s="123"/>
      <c r="G208" s="123"/>
      <c r="H208" s="123"/>
      <c r="I208" s="123"/>
      <c r="J208" s="123"/>
    </row>
    <row r="209" spans="1:10">
      <c r="A209" s="133" t="s">
        <v>208</v>
      </c>
      <c r="C209" s="123"/>
      <c r="D209" s="123"/>
      <c r="E209" s="123"/>
      <c r="F209" s="123"/>
      <c r="G209" s="123"/>
      <c r="H209" s="123"/>
      <c r="I209" s="123"/>
      <c r="J209" s="123"/>
    </row>
    <row r="210" spans="1:10">
      <c r="A210" s="123" t="s">
        <v>246</v>
      </c>
      <c r="B210" s="383">
        <v>843842</v>
      </c>
      <c r="C210" s="123" t="s">
        <v>277</v>
      </c>
      <c r="D210" s="123"/>
      <c r="E210" s="123"/>
      <c r="F210" s="123"/>
      <c r="G210" s="123"/>
      <c r="H210" s="123"/>
      <c r="I210" s="123"/>
      <c r="J210" s="123"/>
    </row>
    <row r="211" spans="1:10">
      <c r="A211" s="123" t="s">
        <v>245</v>
      </c>
      <c r="B211" s="195">
        <v>603056.28833333356</v>
      </c>
      <c r="C211" s="123" t="s">
        <v>278</v>
      </c>
      <c r="D211" s="123"/>
      <c r="E211" s="123"/>
      <c r="F211" s="123"/>
      <c r="G211" s="123"/>
      <c r="H211" s="123"/>
      <c r="I211" s="123"/>
      <c r="J211" s="123"/>
    </row>
    <row r="212" spans="1:10" ht="15" thickBot="1">
      <c r="A212" s="123"/>
      <c r="B212" s="296">
        <f>SUM(B210:B211)</f>
        <v>1446898.2883333336</v>
      </c>
      <c r="C212" s="123"/>
      <c r="D212" s="123"/>
      <c r="E212" s="123"/>
      <c r="F212" s="123"/>
      <c r="G212" s="123"/>
      <c r="H212" s="123"/>
      <c r="I212" s="123"/>
      <c r="J212" s="123"/>
    </row>
    <row r="213" spans="1:10" ht="15.6" thickTop="1" thickBot="1">
      <c r="A213" s="295"/>
      <c r="B213" s="295"/>
      <c r="C213" s="295"/>
      <c r="D213" s="123"/>
      <c r="E213" s="123"/>
      <c r="F213" s="123"/>
      <c r="G213" s="123"/>
      <c r="H213" s="123"/>
      <c r="I213" s="123"/>
      <c r="J213" s="123"/>
    </row>
    <row r="214" spans="1:10">
      <c r="A214" s="123"/>
      <c r="C214" s="123"/>
      <c r="D214" s="123"/>
      <c r="E214" s="123"/>
      <c r="F214" s="123"/>
      <c r="G214" s="123"/>
      <c r="H214" s="123"/>
      <c r="I214" s="123"/>
      <c r="J214" s="123"/>
    </row>
    <row r="215" spans="1:10">
      <c r="A215" s="133" t="s">
        <v>209</v>
      </c>
      <c r="B215" s="298" t="s">
        <v>210</v>
      </c>
      <c r="C215" s="298" t="s">
        <v>211</v>
      </c>
      <c r="D215" s="123"/>
      <c r="E215" s="123"/>
      <c r="F215" s="123"/>
      <c r="G215" s="123"/>
      <c r="H215" s="123"/>
      <c r="I215" s="123"/>
      <c r="J215" s="123"/>
    </row>
    <row r="216" spans="1:10">
      <c r="A216" s="123" t="s">
        <v>246</v>
      </c>
      <c r="B216" s="359">
        <f>-B234</f>
        <v>-910435.05702862726</v>
      </c>
      <c r="C216" s="359">
        <f>-C234</f>
        <v>-249479.61623524499</v>
      </c>
      <c r="D216" s="123"/>
      <c r="E216" s="195">
        <f>+B188-B194-B199+B206+B212</f>
        <v>6840164.6825292818</v>
      </c>
      <c r="F216" s="123"/>
      <c r="G216" s="123"/>
      <c r="H216" s="123"/>
      <c r="I216" s="123"/>
      <c r="J216" s="123"/>
    </row>
    <row r="217" spans="1:10">
      <c r="A217" s="123" t="s">
        <v>245</v>
      </c>
      <c r="B217" s="300">
        <f>SUM('[5]Deferred Taxes UPIS'!$O$9:$O$14)</f>
        <v>-510579</v>
      </c>
      <c r="C217" s="300">
        <f>SUM('[5]Deferred Taxes UPIS'!$M$9:$M$14)</f>
        <v>-46973</v>
      </c>
      <c r="D217" s="123"/>
      <c r="E217" s="123"/>
      <c r="F217" s="123"/>
      <c r="G217" s="123"/>
      <c r="H217" s="123"/>
      <c r="I217" s="123"/>
      <c r="J217" s="123"/>
    </row>
    <row r="218" spans="1:10">
      <c r="A218" s="123"/>
      <c r="B218" s="300">
        <f>SUM(B216:B217)</f>
        <v>-1421014.0570286273</v>
      </c>
      <c r="C218" s="300">
        <f>SUM(C216:C217)</f>
        <v>-296452.61623524502</v>
      </c>
      <c r="D218" s="123"/>
      <c r="E218" s="123"/>
      <c r="F218" s="123"/>
      <c r="G218" s="123"/>
      <c r="H218" s="123"/>
      <c r="I218" s="123"/>
      <c r="J218" s="123"/>
    </row>
    <row r="219" spans="1:10">
      <c r="A219" s="123"/>
      <c r="C219" s="123"/>
      <c r="D219" s="123"/>
      <c r="E219" s="123"/>
      <c r="F219" s="123"/>
      <c r="G219" s="123"/>
      <c r="H219" s="123"/>
      <c r="I219" s="123"/>
      <c r="J219" s="123"/>
    </row>
    <row r="220" spans="1:10" ht="16.2">
      <c r="A220" s="337" t="s">
        <v>249</v>
      </c>
      <c r="B220" s="338" t="s">
        <v>210</v>
      </c>
      <c r="C220" s="338" t="s">
        <v>211</v>
      </c>
      <c r="D220" s="123"/>
      <c r="E220" s="123"/>
      <c r="F220" s="123"/>
      <c r="G220" s="123"/>
      <c r="H220" s="123"/>
      <c r="I220" s="123"/>
      <c r="J220" s="123"/>
    </row>
    <row r="221" spans="1:10">
      <c r="A221" s="257" t="s">
        <v>212</v>
      </c>
      <c r="B221" s="174">
        <v>36047336.716039985</v>
      </c>
      <c r="C221" s="174">
        <f>B221</f>
        <v>36047336.716039985</v>
      </c>
      <c r="D221" s="123"/>
      <c r="E221" s="123"/>
      <c r="F221" s="123"/>
      <c r="G221" s="123"/>
      <c r="H221" s="123"/>
      <c r="I221" s="123"/>
      <c r="J221" s="123"/>
    </row>
    <row r="222" spans="1:10">
      <c r="A222" s="257" t="s">
        <v>213</v>
      </c>
      <c r="B222" s="300">
        <v>14817184.2643208</v>
      </c>
      <c r="C222" s="300">
        <v>15626599.6143208</v>
      </c>
      <c r="D222" s="123"/>
      <c r="E222" s="123"/>
      <c r="F222" s="123"/>
      <c r="G222" s="123"/>
      <c r="H222" s="123"/>
      <c r="I222" s="123"/>
      <c r="J222" s="123"/>
    </row>
    <row r="223" spans="1:10">
      <c r="A223" s="257"/>
      <c r="B223" s="195">
        <f>+B221-B222</f>
        <v>21230152.451719187</v>
      </c>
      <c r="C223" s="195">
        <f>+C221-C222</f>
        <v>20420737.101719186</v>
      </c>
      <c r="D223" s="123"/>
      <c r="E223" s="123"/>
      <c r="F223" s="123"/>
      <c r="G223" s="123"/>
      <c r="H223" s="123"/>
      <c r="I223" s="123"/>
      <c r="J223" s="123"/>
    </row>
    <row r="224" spans="1:10">
      <c r="A224" s="257"/>
      <c r="C224" s="123"/>
      <c r="D224" s="123"/>
      <c r="E224" s="123"/>
      <c r="F224" s="123"/>
      <c r="G224" s="123"/>
      <c r="H224" s="123"/>
      <c r="I224" s="123"/>
      <c r="J224" s="123"/>
    </row>
    <row r="225" spans="1:10">
      <c r="A225" s="257" t="s">
        <v>214</v>
      </c>
      <c r="B225" s="174">
        <v>41877837.230000004</v>
      </c>
      <c r="C225" s="174">
        <f>+B225</f>
        <v>41877837.230000004</v>
      </c>
      <c r="D225" s="123"/>
      <c r="E225" s="123"/>
      <c r="F225" s="123"/>
      <c r="G225" s="123"/>
      <c r="H225" s="123"/>
      <c r="I225" s="123"/>
      <c r="J225" s="123"/>
    </row>
    <row r="226" spans="1:10">
      <c r="A226" s="257" t="s">
        <v>215</v>
      </c>
      <c r="B226" s="300">
        <v>10487197.76</v>
      </c>
      <c r="C226" s="352">
        <f>+B226</f>
        <v>10487197.76</v>
      </c>
      <c r="D226" s="123"/>
      <c r="E226" s="123"/>
      <c r="F226" s="123"/>
      <c r="G226" s="123"/>
      <c r="H226" s="123"/>
      <c r="I226" s="123"/>
      <c r="J226" s="123"/>
    </row>
    <row r="227" spans="1:10">
      <c r="A227" s="257"/>
      <c r="B227" s="195">
        <f>+B225-B226</f>
        <v>31390639.470000006</v>
      </c>
      <c r="C227" s="195">
        <f>+C225-C226</f>
        <v>31390639.470000006</v>
      </c>
      <c r="D227" s="123"/>
      <c r="E227" s="123"/>
      <c r="F227" s="123"/>
      <c r="G227" s="123"/>
      <c r="H227" s="123"/>
      <c r="I227" s="123"/>
      <c r="J227" s="123"/>
    </row>
    <row r="228" spans="1:10">
      <c r="A228" s="340" t="s">
        <v>235</v>
      </c>
      <c r="B228" s="195">
        <f>+J247</f>
        <v>-495358.85943551071</v>
      </c>
      <c r="C228" s="195">
        <f>+B228</f>
        <v>-495358.85943551071</v>
      </c>
      <c r="D228" s="123"/>
      <c r="E228" s="123"/>
      <c r="F228" s="123"/>
      <c r="G228" s="123"/>
      <c r="H228" s="123"/>
      <c r="I228" s="123"/>
      <c r="J228" s="123"/>
    </row>
    <row r="229" spans="1:10">
      <c r="A229" s="257"/>
      <c r="C229" s="123"/>
      <c r="D229" s="123"/>
      <c r="E229" s="123"/>
      <c r="F229" s="123"/>
      <c r="G229" s="123"/>
      <c r="H229" s="123"/>
      <c r="I229" s="123"/>
      <c r="J229" s="123"/>
    </row>
    <row r="230" spans="1:10">
      <c r="A230" s="257" t="s">
        <v>216</v>
      </c>
      <c r="B230" s="195">
        <f>+(B227-B223)/2+B228</f>
        <v>4584884.6497048987</v>
      </c>
      <c r="C230" s="195">
        <f>+(C227-C223)/2+C228</f>
        <v>4989592.3247048995</v>
      </c>
      <c r="D230" s="123"/>
      <c r="E230" s="123"/>
      <c r="F230" s="123"/>
      <c r="G230" s="123"/>
      <c r="H230" s="123"/>
      <c r="I230" s="123"/>
      <c r="J230" s="123"/>
    </row>
    <row r="231" spans="1:10">
      <c r="A231" s="257"/>
      <c r="B231" s="195"/>
      <c r="C231" s="195"/>
      <c r="D231" s="123"/>
      <c r="E231" s="123"/>
      <c r="F231" s="123"/>
      <c r="G231" s="123"/>
      <c r="H231" s="123"/>
      <c r="I231" s="123"/>
      <c r="J231" s="123"/>
    </row>
    <row r="232" spans="1:10">
      <c r="A232" s="257" t="s">
        <v>217</v>
      </c>
      <c r="B232" s="195"/>
      <c r="C232" s="195">
        <f>+C230*0.05</f>
        <v>249479.61623524499</v>
      </c>
      <c r="D232" s="123"/>
      <c r="E232" s="123"/>
      <c r="F232" s="123"/>
      <c r="G232" s="123"/>
      <c r="H232" s="123"/>
      <c r="I232" s="123"/>
      <c r="J232" s="123"/>
    </row>
    <row r="233" spans="1:10">
      <c r="A233" s="257" t="s">
        <v>218</v>
      </c>
      <c r="B233" s="300">
        <f>(+B230-C232)*0.21</f>
        <v>910435.05702862726</v>
      </c>
      <c r="C233" s="300"/>
      <c r="D233" s="123"/>
      <c r="E233" s="123"/>
      <c r="F233" s="123"/>
      <c r="G233" s="123"/>
      <c r="H233" s="123"/>
      <c r="I233" s="123"/>
      <c r="J233" s="123"/>
    </row>
    <row r="234" spans="1:10">
      <c r="A234" s="257" t="s">
        <v>250</v>
      </c>
      <c r="B234" s="195">
        <f>SUM(B232:B233)</f>
        <v>910435.05702862726</v>
      </c>
      <c r="C234" s="195">
        <f>SUM(C232:C233)</f>
        <v>249479.61623524499</v>
      </c>
      <c r="D234" s="123"/>
      <c r="E234" s="123"/>
      <c r="F234" s="123"/>
      <c r="G234" s="123"/>
      <c r="H234" s="123"/>
      <c r="I234" s="123"/>
      <c r="J234" s="123"/>
    </row>
    <row r="235" spans="1:10">
      <c r="A235" s="257"/>
      <c r="B235" s="195"/>
      <c r="C235" s="195"/>
      <c r="D235" s="123"/>
      <c r="E235" s="123"/>
      <c r="F235" s="123"/>
      <c r="G235" s="123"/>
      <c r="H235" s="123"/>
      <c r="I235" s="123"/>
      <c r="J235" s="123"/>
    </row>
    <row r="236" spans="1:10">
      <c r="A236" s="257"/>
      <c r="B236" s="195"/>
      <c r="C236" s="195"/>
      <c r="D236" s="123"/>
      <c r="E236" s="123"/>
      <c r="F236" s="123"/>
      <c r="G236" s="123"/>
      <c r="H236" s="123"/>
      <c r="I236" s="123"/>
      <c r="J236" s="123"/>
    </row>
    <row r="237" spans="1:10">
      <c r="A237" s="123"/>
      <c r="C237" s="123"/>
      <c r="D237" s="123"/>
      <c r="E237" s="123"/>
      <c r="F237" s="123"/>
      <c r="G237" s="123"/>
      <c r="H237" s="123"/>
      <c r="I237" s="123"/>
      <c r="J237" s="123"/>
    </row>
    <row r="238" spans="1:10" ht="15" thickBot="1">
      <c r="A238" s="295"/>
      <c r="B238" s="295"/>
      <c r="C238" s="295"/>
      <c r="D238" s="295"/>
      <c r="E238" s="295"/>
      <c r="F238" s="295"/>
      <c r="G238" s="295"/>
      <c r="H238" s="295"/>
      <c r="I238" s="295"/>
      <c r="J238" s="123"/>
    </row>
    <row r="239" spans="1:10">
      <c r="A239" s="123"/>
      <c r="C239" s="123"/>
      <c r="D239" s="123"/>
      <c r="E239" s="123"/>
      <c r="F239" s="123"/>
      <c r="G239" s="123"/>
      <c r="H239" s="123"/>
      <c r="I239" s="123"/>
      <c r="J239" s="123"/>
    </row>
    <row r="240" spans="1:10">
      <c r="A240" s="123"/>
      <c r="B240" s="353" t="s">
        <v>219</v>
      </c>
      <c r="C240" s="353" t="s">
        <v>220</v>
      </c>
      <c r="D240" s="353"/>
      <c r="E240" s="353" t="s">
        <v>221</v>
      </c>
      <c r="F240" s="353"/>
      <c r="G240" s="353"/>
      <c r="H240" s="353" t="s">
        <v>222</v>
      </c>
      <c r="I240" s="353" t="s">
        <v>223</v>
      </c>
      <c r="J240" s="123"/>
    </row>
    <row r="241" spans="1:11">
      <c r="A241" s="123"/>
      <c r="B241" s="353" t="s">
        <v>224</v>
      </c>
      <c r="C241" s="353" t="s">
        <v>225</v>
      </c>
      <c r="D241" s="353" t="s">
        <v>226</v>
      </c>
      <c r="E241" s="353" t="s">
        <v>227</v>
      </c>
      <c r="F241" s="353" t="s">
        <v>228</v>
      </c>
      <c r="G241" s="353" t="s">
        <v>229</v>
      </c>
      <c r="H241" s="353" t="s">
        <v>230</v>
      </c>
      <c r="I241" s="353" t="s">
        <v>229</v>
      </c>
      <c r="J241" s="123"/>
      <c r="K241" s="303"/>
    </row>
    <row r="242" spans="1:11" ht="57.6">
      <c r="A242" s="123"/>
      <c r="B242" s="354" t="s">
        <v>253</v>
      </c>
      <c r="C242" s="354">
        <v>18504000</v>
      </c>
      <c r="D242" s="354">
        <v>18504500</v>
      </c>
      <c r="E242" s="354">
        <v>25211000</v>
      </c>
      <c r="F242" s="355" t="s">
        <v>254</v>
      </c>
      <c r="G242" s="355" t="s">
        <v>255</v>
      </c>
      <c r="H242" s="355" t="s">
        <v>256</v>
      </c>
      <c r="I242" s="355" t="s">
        <v>257</v>
      </c>
      <c r="J242" s="123"/>
      <c r="K242" s="303"/>
    </row>
    <row r="243" spans="1:11">
      <c r="A243" s="123" t="s">
        <v>251</v>
      </c>
      <c r="B243" s="158">
        <v>5925193.5700000003</v>
      </c>
      <c r="C243" s="158">
        <v>0.38</v>
      </c>
      <c r="D243" s="158">
        <v>-232220.61</v>
      </c>
      <c r="E243" s="158">
        <v>-11673136.700000001</v>
      </c>
      <c r="F243" s="158">
        <v>-68961694.979999989</v>
      </c>
      <c r="G243" s="158">
        <v>-358651.09</v>
      </c>
      <c r="H243" s="158">
        <v>-45124578.719999999</v>
      </c>
      <c r="I243" s="158">
        <v>-200634.28</v>
      </c>
      <c r="J243" s="123"/>
    </row>
    <row r="244" spans="1:11">
      <c r="A244" s="123"/>
      <c r="C244" s="123"/>
      <c r="D244" s="123"/>
      <c r="E244" s="123"/>
      <c r="F244" s="123"/>
      <c r="G244" s="123"/>
      <c r="H244" s="123"/>
      <c r="I244" s="123"/>
      <c r="J244" s="123"/>
    </row>
    <row r="245" spans="1:11">
      <c r="A245" s="123" t="s">
        <v>252</v>
      </c>
      <c r="B245" s="158">
        <f>'[5]Equity Grossup'!$G$10</f>
        <v>5926188.7300000004</v>
      </c>
      <c r="C245" s="158">
        <f>'[5]BookBasis '!$I$10</f>
        <v>0.38</v>
      </c>
      <c r="D245" s="158">
        <f>'[5]BookBasis '!$K$10</f>
        <v>-220170.63</v>
      </c>
      <c r="E245" s="158">
        <f>'[5]BookBasis '!$M$10</f>
        <v>-11420618.5</v>
      </c>
      <c r="F245" s="158">
        <f>'[5]BookBasis '!$O$10</f>
        <v>-69802031.480000019</v>
      </c>
      <c r="G245" s="158">
        <f>'[5]BookBasis '!$Q$10</f>
        <v>-319405</v>
      </c>
      <c r="H245" s="158">
        <f>'[5]BookBasis '!$S$10</f>
        <v>-45106517.456102148</v>
      </c>
      <c r="I245" s="158">
        <f>'[5]BookBasis '!$U$10</f>
        <v>-178527.33333333334</v>
      </c>
      <c r="J245" s="123"/>
    </row>
    <row r="246" spans="1:11">
      <c r="A246" s="123"/>
      <c r="B246" s="339"/>
      <c r="C246" s="339"/>
      <c r="D246" s="339"/>
      <c r="E246" s="339"/>
      <c r="F246" s="339"/>
      <c r="G246" s="339"/>
      <c r="H246" s="339"/>
      <c r="I246" s="339"/>
      <c r="J246" s="123"/>
    </row>
    <row r="247" spans="1:11">
      <c r="A247" s="123" t="s">
        <v>234</v>
      </c>
      <c r="B247" s="174">
        <f>+B245-B243</f>
        <v>995.16000000014901</v>
      </c>
      <c r="C247" s="174">
        <f t="shared" ref="C247:I247" si="2">+C245-C243</f>
        <v>0</v>
      </c>
      <c r="D247" s="174">
        <f t="shared" si="2"/>
        <v>12049.979999999981</v>
      </c>
      <c r="E247" s="174">
        <f t="shared" si="2"/>
        <v>252518.20000000112</v>
      </c>
      <c r="F247" s="174">
        <f t="shared" si="2"/>
        <v>-840336.5000000298</v>
      </c>
      <c r="G247" s="174">
        <f t="shared" si="2"/>
        <v>39246.090000000026</v>
      </c>
      <c r="H247" s="174">
        <f t="shared" si="2"/>
        <v>18061.26389785111</v>
      </c>
      <c r="I247" s="174">
        <f t="shared" si="2"/>
        <v>22106.946666666656</v>
      </c>
      <c r="J247" s="174">
        <f>SUM(B247:I247)</f>
        <v>-495358.85943551071</v>
      </c>
    </row>
    <row r="248" spans="1:11">
      <c r="A248" s="123"/>
      <c r="C248" s="123"/>
      <c r="D248" s="123"/>
      <c r="E248" s="123"/>
      <c r="F248" s="123"/>
      <c r="G248" s="123"/>
      <c r="H248" s="123"/>
      <c r="I248" s="123"/>
      <c r="J248" s="123"/>
    </row>
    <row r="249" spans="1:11">
      <c r="H249" s="160"/>
    </row>
    <row r="253" spans="1:11" ht="15" thickBot="1">
      <c r="A253" s="249"/>
      <c r="B253" s="295"/>
      <c r="C253" s="249"/>
      <c r="D253" s="249"/>
      <c r="E253" s="249"/>
      <c r="F253" s="249"/>
      <c r="G253" s="249"/>
      <c r="H253" s="249"/>
      <c r="I253" s="249"/>
    </row>
    <row r="255" spans="1:11">
      <c r="A255" s="122" t="s">
        <v>231</v>
      </c>
    </row>
    <row r="256" spans="1:11">
      <c r="B256" s="339" t="s">
        <v>259</v>
      </c>
      <c r="C256" s="169" t="s">
        <v>258</v>
      </c>
      <c r="D256" s="169" t="str">
        <f>C7</f>
        <v>Base Year for the 12 Months Ended 2/28/19</v>
      </c>
      <c r="F256" s="169" t="s">
        <v>289</v>
      </c>
      <c r="G256" s="169" t="s">
        <v>288</v>
      </c>
      <c r="H256" s="169" t="s">
        <v>290</v>
      </c>
    </row>
    <row r="257" spans="1:8">
      <c r="A257" s="301" t="s">
        <v>236</v>
      </c>
      <c r="B257" s="359">
        <f>SUM('[5]Amort RAL 2018'!$M$60:$AE$60)</f>
        <v>-56839.443077956894</v>
      </c>
      <c r="C257" s="171">
        <f>SUM('[5]Amort RAL 2019'!$I$60:$K$60)</f>
        <v>-9103.0552822580466</v>
      </c>
      <c r="D257" s="151">
        <f>SUM(B257:C257)</f>
        <v>-65942.498360214944</v>
      </c>
      <c r="F257" s="335">
        <v>-27311.110220440882</v>
      </c>
      <c r="G257" s="335">
        <v>-27311.110220440882</v>
      </c>
      <c r="H257" s="335">
        <f>SUM(F257:G257)</f>
        <v>-54622.220440881763</v>
      </c>
    </row>
    <row r="258" spans="1:8">
      <c r="A258" s="301" t="s">
        <v>237</v>
      </c>
      <c r="B258" s="300">
        <f>SUM('[5]Amort RAL 2018'!$M$54:$AE$54)</f>
        <v>-52575</v>
      </c>
      <c r="C258" s="304">
        <f>SUM('[5]Amort RAL 2019'!$I$54:$K$54)</f>
        <v>-10396</v>
      </c>
      <c r="D258" s="304">
        <f>SUM(B258:C258)</f>
        <v>-62971</v>
      </c>
      <c r="F258" s="382">
        <v>-31187.055626333255</v>
      </c>
      <c r="G258" s="382">
        <v>-31187.055626333255</v>
      </c>
      <c r="H258" s="382">
        <f>SUM(F258:G258)</f>
        <v>-62374.111252666509</v>
      </c>
    </row>
    <row r="259" spans="1:8">
      <c r="B259" s="195">
        <f>SUM(B257:B258)</f>
        <v>-109414.44307795689</v>
      </c>
      <c r="C259" s="151">
        <f>SUM(C257:C258)</f>
        <v>-19499.055282258047</v>
      </c>
      <c r="D259" s="151">
        <f>SUM(B259:C259)</f>
        <v>-128913.49836021494</v>
      </c>
      <c r="F259" s="151">
        <f t="shared" ref="F259:H259" si="3">SUM(D259:E259)</f>
        <v>-128913.49836021494</v>
      </c>
      <c r="G259" s="151">
        <f t="shared" si="3"/>
        <v>-128913.49836021494</v>
      </c>
      <c r="H259" s="151">
        <f t="shared" si="3"/>
        <v>-257826.99672042989</v>
      </c>
    </row>
    <row r="260" spans="1:8">
      <c r="D260" s="303"/>
    </row>
    <row r="261" spans="1:8" ht="15" thickBot="1">
      <c r="A261" s="249"/>
      <c r="B261" s="295"/>
      <c r="C261" s="249"/>
      <c r="D261" s="249"/>
    </row>
    <row r="262" spans="1:8">
      <c r="D262" s="303"/>
    </row>
    <row r="263" spans="1:8">
      <c r="A263" s="122" t="s">
        <v>232</v>
      </c>
      <c r="B263" s="238"/>
      <c r="C263" s="170"/>
      <c r="D263" s="170"/>
    </row>
    <row r="264" spans="1:8">
      <c r="B264" s="339" t="str">
        <f>B256</f>
        <v>March - Dec 2018</v>
      </c>
      <c r="C264" s="169" t="str">
        <f>C256</f>
        <v>Jan - Feb 2019</v>
      </c>
      <c r="D264" s="169" t="str">
        <f>D256</f>
        <v>Base Year for the 12 Months Ended 2/28/19</v>
      </c>
      <c r="F264" s="169" t="s">
        <v>289</v>
      </c>
      <c r="G264" s="169" t="s">
        <v>288</v>
      </c>
      <c r="H264" s="169" t="s">
        <v>290</v>
      </c>
    </row>
    <row r="265" spans="1:8">
      <c r="A265" s="302" t="s">
        <v>233</v>
      </c>
      <c r="B265" s="359">
        <f>SUM('[5]Amort RAL 2018'!$M$62:$AE$62)</f>
        <v>-65410</v>
      </c>
      <c r="C265" s="171">
        <f>SUM('[5]Amort RAL 2019'!$I$62:$K$62)</f>
        <v>-13082</v>
      </c>
      <c r="D265" s="171">
        <f>SUM(B265:C265)</f>
        <v>-78492</v>
      </c>
      <c r="F265" s="335">
        <v>-39246</v>
      </c>
      <c r="G265" s="335">
        <v>-39246</v>
      </c>
      <c r="H265" s="335">
        <f>SUM(F265:G265)</f>
        <v>-78492</v>
      </c>
    </row>
  </sheetData>
  <mergeCells count="2">
    <mergeCell ref="I114:L114"/>
    <mergeCell ref="D114:G114"/>
  </mergeCells>
  <printOptions horizontalCentered="1" verticalCentered="1"/>
  <pageMargins left="0.75" right="0.75" top="0.75" bottom="0.75" header="0.3" footer="0.3"/>
  <pageSetup scale="37" fitToHeight="3" orientation="landscape" r:id="rId1"/>
  <customProperties>
    <customPr name="_pios_id" r:id="rId2"/>
  </customProperties>
  <ignoredErrors>
    <ignoredError sqref="B179 C227" formula="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workbookViewId="0"/>
  </sheetViews>
  <sheetFormatPr defaultRowHeight="14.4"/>
  <cols>
    <col min="1" max="1" width="5.21875" customWidth="1"/>
    <col min="2" max="2" width="1.5546875" customWidth="1"/>
    <col min="4" max="4" width="1.5546875" customWidth="1"/>
    <col min="6" max="6" width="1.5546875" customWidth="1"/>
    <col min="7" max="7" width="27" bestFit="1" customWidth="1"/>
    <col min="8" max="8" width="1.5546875" customWidth="1"/>
    <col min="9" max="9" width="15.5546875" bestFit="1" customWidth="1"/>
    <col min="10" max="10" width="1.5546875" customWidth="1"/>
    <col min="11" max="11" width="13.44140625" bestFit="1" customWidth="1"/>
    <col min="12" max="12" width="1.5546875" customWidth="1"/>
    <col min="13" max="13" width="13.5546875"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 min="34" max="34" width="1.5546875" customWidth="1"/>
    <col min="36" max="36" width="1.5546875" customWidth="1"/>
    <col min="38" max="38" width="1.5546875" customWidth="1"/>
    <col min="40" max="40" width="1.5546875" customWidth="1"/>
  </cols>
  <sheetData>
    <row r="1" spans="1:15">
      <c r="A1" s="145" t="s">
        <v>11</v>
      </c>
      <c r="B1" s="145"/>
      <c r="C1" s="145"/>
      <c r="D1" s="145"/>
      <c r="E1" s="145"/>
      <c r="F1" s="145"/>
      <c r="G1" s="145"/>
      <c r="H1" s="145"/>
      <c r="I1" s="122"/>
      <c r="J1" s="122"/>
      <c r="K1" s="145"/>
      <c r="L1" s="91"/>
      <c r="M1" s="91" t="s">
        <v>202</v>
      </c>
      <c r="O1" s="91"/>
    </row>
    <row r="2" spans="1:15">
      <c r="A2" s="145" t="s">
        <v>12</v>
      </c>
      <c r="B2" s="145"/>
      <c r="C2" s="145"/>
      <c r="D2" s="145"/>
      <c r="E2" s="145"/>
      <c r="F2" s="145"/>
      <c r="G2" s="145"/>
      <c r="H2" s="145"/>
      <c r="I2" s="122"/>
      <c r="J2" s="122"/>
      <c r="K2" s="145"/>
      <c r="L2" s="146"/>
      <c r="M2" s="146" t="str">
        <f ca="1">RIGHT(CELL("filename",$A$1),LEN(CELL("filename",$A$1))-SEARCH("\Taxes",CELL("filename",$A$1),1))</f>
        <v>Taxes\[KAWC 2018 Rate Case - Income Tax Exhibit.xlsx]E-1.5 Summary of Income Tax Adj</v>
      </c>
      <c r="O2" s="146"/>
    </row>
    <row r="3" spans="1:15">
      <c r="A3" s="122"/>
      <c r="B3" s="122"/>
      <c r="C3" s="122"/>
      <c r="D3" s="122"/>
      <c r="E3" s="122"/>
      <c r="F3" s="122"/>
      <c r="G3" s="122"/>
      <c r="H3" s="122"/>
      <c r="I3" s="122"/>
      <c r="J3" s="122"/>
      <c r="K3" s="122"/>
      <c r="L3" s="122"/>
      <c r="M3" s="116"/>
    </row>
    <row r="4" spans="1:15">
      <c r="A4" s="406" t="str">
        <f>'Link In'!A1</f>
        <v>Kentucky American Water Company</v>
      </c>
      <c r="B4" s="406"/>
      <c r="C4" s="406"/>
      <c r="D4" s="406"/>
      <c r="E4" s="406"/>
      <c r="F4" s="406"/>
      <c r="G4" s="406"/>
      <c r="H4" s="406"/>
      <c r="I4" s="406"/>
      <c r="J4" s="406"/>
      <c r="K4" s="406"/>
      <c r="L4" s="122"/>
      <c r="M4" s="116"/>
    </row>
    <row r="5" spans="1:15">
      <c r="A5" s="406" t="str">
        <f>'Link In'!A3</f>
        <v>Case No. 2018-00358</v>
      </c>
      <c r="B5" s="406"/>
      <c r="C5" s="406"/>
      <c r="D5" s="406"/>
      <c r="E5" s="406"/>
      <c r="F5" s="406"/>
      <c r="G5" s="406"/>
      <c r="H5" s="406"/>
      <c r="I5" s="406"/>
      <c r="J5" s="406"/>
      <c r="K5" s="406"/>
      <c r="L5" s="134"/>
      <c r="M5" s="116"/>
    </row>
    <row r="6" spans="1:15">
      <c r="A6" s="406" t="str">
        <f>'Link In'!A34</f>
        <v>Base Year Adjustment Federal and State Taxes</v>
      </c>
      <c r="B6" s="406"/>
      <c r="C6" s="406"/>
      <c r="D6" s="406"/>
      <c r="E6" s="406"/>
      <c r="F6" s="406"/>
      <c r="G6" s="406"/>
      <c r="H6" s="406"/>
      <c r="I6" s="406"/>
      <c r="J6" s="406"/>
      <c r="K6" s="406"/>
      <c r="L6" s="134"/>
      <c r="M6" s="116"/>
    </row>
    <row r="7" spans="1:15">
      <c r="A7" s="406" t="s">
        <v>247</v>
      </c>
      <c r="B7" s="406"/>
      <c r="C7" s="406"/>
      <c r="D7" s="406"/>
      <c r="E7" s="406"/>
      <c r="F7" s="406"/>
      <c r="G7" s="406"/>
      <c r="H7" s="406"/>
      <c r="I7" s="406"/>
      <c r="J7" s="406"/>
      <c r="K7" s="406"/>
      <c r="L7" s="134"/>
      <c r="M7" s="116"/>
    </row>
    <row r="8" spans="1:15">
      <c r="A8" s="122"/>
      <c r="B8" s="122"/>
      <c r="C8" s="122"/>
      <c r="D8" s="122"/>
      <c r="E8" s="122"/>
      <c r="F8" s="122"/>
      <c r="G8" s="122"/>
      <c r="H8" s="122"/>
      <c r="I8" s="122"/>
      <c r="J8" s="122"/>
      <c r="K8" s="122"/>
      <c r="L8" s="134"/>
      <c r="M8" s="116"/>
    </row>
    <row r="9" spans="1:15">
      <c r="A9" s="299" t="str">
        <f>'Link In'!A28</f>
        <v>Witness Responsible:   John Wilde</v>
      </c>
      <c r="B9" s="122"/>
      <c r="C9" s="122"/>
      <c r="D9" s="122"/>
      <c r="E9" s="122"/>
      <c r="F9" s="122"/>
      <c r="G9" s="122"/>
      <c r="H9" s="122"/>
      <c r="I9" s="122"/>
      <c r="J9" s="122"/>
      <c r="K9" s="122"/>
      <c r="L9" s="134"/>
      <c r="M9" s="299" t="str">
        <f>'Link In'!A36</f>
        <v>W/P - 6-1</v>
      </c>
    </row>
    <row r="10" spans="1:15">
      <c r="A10" s="299" t="str">
        <f>'Link In'!A15</f>
        <v>Type of Filing: __X__ Original  _____ Updated  _____ Revised</v>
      </c>
      <c r="B10" s="122"/>
      <c r="C10" s="122"/>
      <c r="D10" s="122"/>
      <c r="E10" s="122"/>
      <c r="F10" s="122"/>
      <c r="G10" s="122"/>
      <c r="H10" s="122"/>
      <c r="I10" s="122"/>
      <c r="J10" s="122"/>
      <c r="K10" s="122"/>
      <c r="L10" s="122"/>
      <c r="M10" s="116"/>
    </row>
    <row r="13" spans="1:15">
      <c r="A13" s="120"/>
      <c r="B13" s="120"/>
      <c r="C13" s="120" t="s">
        <v>2</v>
      </c>
      <c r="D13" s="120"/>
      <c r="E13" s="120" t="s">
        <v>2</v>
      </c>
      <c r="F13" s="120"/>
      <c r="G13" s="120"/>
      <c r="H13" s="120"/>
      <c r="I13" s="120" t="s">
        <v>111</v>
      </c>
      <c r="J13" s="120"/>
      <c r="K13" s="120" t="s">
        <v>112</v>
      </c>
      <c r="L13" s="120"/>
      <c r="M13" s="120"/>
    </row>
    <row r="14" spans="1:15">
      <c r="A14" s="120"/>
      <c r="B14" s="120"/>
      <c r="C14" s="120" t="s">
        <v>113</v>
      </c>
      <c r="D14" s="120"/>
      <c r="E14" s="120" t="s">
        <v>114</v>
      </c>
      <c r="F14" s="120"/>
      <c r="G14" s="120"/>
      <c r="H14" s="120"/>
      <c r="I14" s="120" t="s">
        <v>113</v>
      </c>
      <c r="J14" s="120"/>
      <c r="K14" s="120" t="s">
        <v>114</v>
      </c>
      <c r="L14" s="120"/>
      <c r="M14" s="120"/>
    </row>
    <row r="15" spans="1:15">
      <c r="A15" s="119" t="s">
        <v>7</v>
      </c>
      <c r="B15" s="120"/>
      <c r="C15" s="119" t="s">
        <v>115</v>
      </c>
      <c r="D15" s="120"/>
      <c r="E15" s="119" t="s">
        <v>115</v>
      </c>
      <c r="F15" s="120"/>
      <c r="G15" s="119" t="s">
        <v>1</v>
      </c>
      <c r="H15" s="120"/>
      <c r="I15" s="119" t="s">
        <v>116</v>
      </c>
      <c r="J15" s="120"/>
      <c r="K15" s="119" t="s">
        <v>116</v>
      </c>
      <c r="L15" s="120"/>
      <c r="M15" s="119" t="s">
        <v>117</v>
      </c>
    </row>
    <row r="16" spans="1:15">
      <c r="A16" s="121">
        <v>1</v>
      </c>
      <c r="B16" s="116"/>
      <c r="C16" s="116"/>
      <c r="D16" s="116"/>
      <c r="E16" s="116"/>
      <c r="F16" s="116"/>
      <c r="G16" s="116"/>
      <c r="H16" s="116"/>
      <c r="I16" s="116"/>
      <c r="J16" s="116"/>
      <c r="K16" s="116"/>
      <c r="L16" s="116"/>
      <c r="M16" s="116"/>
    </row>
    <row r="17" spans="1:13">
      <c r="A17" s="121">
        <v>2</v>
      </c>
      <c r="B17" s="116"/>
      <c r="C17" s="116"/>
      <c r="D17" s="116"/>
      <c r="E17" s="116"/>
      <c r="F17" s="116"/>
      <c r="G17" s="116"/>
      <c r="H17" s="116"/>
      <c r="I17" s="116"/>
      <c r="J17" s="116"/>
      <c r="K17" s="116"/>
      <c r="L17" s="116"/>
      <c r="M17" s="116"/>
    </row>
    <row r="18" spans="1:13">
      <c r="A18" s="121">
        <v>3</v>
      </c>
      <c r="B18" s="116"/>
      <c r="C18" s="116"/>
      <c r="D18" s="116"/>
      <c r="E18" s="116"/>
      <c r="F18" s="116"/>
      <c r="G18" s="118" t="s">
        <v>118</v>
      </c>
      <c r="H18" s="116"/>
      <c r="I18" s="116"/>
      <c r="J18" s="116"/>
      <c r="K18" s="116"/>
      <c r="L18" s="116"/>
      <c r="M18" s="116"/>
    </row>
    <row r="19" spans="1:13">
      <c r="A19" s="121">
        <v>4</v>
      </c>
      <c r="B19" s="116"/>
      <c r="C19" s="116" t="s">
        <v>119</v>
      </c>
      <c r="D19" s="116"/>
      <c r="E19" s="116" t="s">
        <v>120</v>
      </c>
      <c r="F19" s="116"/>
      <c r="G19" s="116" t="s">
        <v>121</v>
      </c>
      <c r="H19" s="116"/>
      <c r="I19" s="184">
        <f>'E-1.2 State Inc Tax Base'!K58</f>
        <v>1042164.2999302045</v>
      </c>
      <c r="J19" s="184"/>
      <c r="K19" s="184">
        <f>'E-1.4 State Inc Tax Forecast'!G54</f>
        <v>738871.49778207566</v>
      </c>
      <c r="L19" s="184"/>
      <c r="M19" s="184">
        <f>SUM(K19-I19)</f>
        <v>-303292.80214812886</v>
      </c>
    </row>
    <row r="20" spans="1:13">
      <c r="A20" s="121">
        <v>5</v>
      </c>
      <c r="B20" s="116"/>
      <c r="C20" s="116" t="s">
        <v>119</v>
      </c>
      <c r="D20" s="116"/>
      <c r="E20" s="116" t="s">
        <v>120</v>
      </c>
      <c r="F20" s="116"/>
      <c r="G20" s="116" t="s">
        <v>122</v>
      </c>
      <c r="H20" s="116"/>
      <c r="I20" s="293">
        <f>'E-1.2 State Inc Tax Base'!K72</f>
        <v>-52133.283465353408</v>
      </c>
      <c r="J20" s="292"/>
      <c r="K20" s="293">
        <f>'E-1.4 State Inc Tax Forecast'!G66</f>
        <v>-235161.98440065191</v>
      </c>
      <c r="L20" s="292"/>
      <c r="M20" s="293">
        <f>SUM(K20-I20)</f>
        <v>-183028.70093529852</v>
      </c>
    </row>
    <row r="21" spans="1:13">
      <c r="A21" s="121">
        <v>6</v>
      </c>
      <c r="B21" s="116"/>
      <c r="C21" s="116"/>
      <c r="D21" s="116"/>
      <c r="E21" s="116"/>
      <c r="F21" s="116"/>
      <c r="G21" s="116"/>
      <c r="H21" s="116"/>
      <c r="I21" s="292"/>
      <c r="J21" s="292"/>
      <c r="K21" s="292"/>
      <c r="L21" s="292"/>
      <c r="M21" s="292"/>
    </row>
    <row r="22" spans="1:13">
      <c r="A22" s="121">
        <v>7</v>
      </c>
      <c r="B22" s="116"/>
      <c r="C22" s="116"/>
      <c r="D22" s="116"/>
      <c r="E22" s="116"/>
      <c r="F22" s="116"/>
      <c r="G22" s="116"/>
      <c r="H22" s="116"/>
      <c r="I22" s="292"/>
      <c r="J22" s="292"/>
      <c r="K22" s="292"/>
      <c r="L22" s="292"/>
      <c r="M22" s="292"/>
    </row>
    <row r="23" spans="1:13">
      <c r="A23" s="121">
        <v>8</v>
      </c>
      <c r="B23" s="116"/>
      <c r="C23" s="116"/>
      <c r="D23" s="116"/>
      <c r="E23" s="116"/>
      <c r="F23" s="116"/>
      <c r="G23" s="116" t="s">
        <v>123</v>
      </c>
      <c r="H23" s="116"/>
      <c r="I23" s="323">
        <f>SUM(I19:I20)</f>
        <v>990031.0164648511</v>
      </c>
      <c r="J23" s="184"/>
      <c r="K23" s="323">
        <f>SUM(K19:K20)</f>
        <v>503709.51338142378</v>
      </c>
      <c r="L23" s="184"/>
      <c r="M23" s="323">
        <f>SUM(M19:M20)</f>
        <v>-486321.50308342738</v>
      </c>
    </row>
    <row r="24" spans="1:13">
      <c r="A24" s="121">
        <v>9</v>
      </c>
      <c r="B24" s="116"/>
      <c r="C24" s="116"/>
      <c r="D24" s="116"/>
      <c r="E24" s="116"/>
      <c r="F24" s="116"/>
      <c r="G24" s="116"/>
      <c r="H24" s="116"/>
      <c r="I24" s="292"/>
      <c r="J24" s="292"/>
      <c r="K24" s="292"/>
      <c r="L24" s="292"/>
      <c r="M24" s="292"/>
    </row>
    <row r="25" spans="1:13">
      <c r="A25" s="121">
        <v>10</v>
      </c>
      <c r="B25" s="116"/>
      <c r="C25" s="116"/>
      <c r="D25" s="116"/>
      <c r="E25" s="116"/>
      <c r="F25" s="116"/>
      <c r="G25" s="116"/>
      <c r="H25" s="116"/>
      <c r="I25" s="292"/>
      <c r="J25" s="292"/>
      <c r="K25" s="292"/>
      <c r="L25" s="292"/>
      <c r="M25" s="292"/>
    </row>
    <row r="26" spans="1:13">
      <c r="A26" s="121">
        <v>11</v>
      </c>
      <c r="B26" s="116"/>
      <c r="C26" s="116"/>
      <c r="D26" s="116"/>
      <c r="E26" s="116"/>
      <c r="F26" s="116"/>
      <c r="G26" s="116"/>
      <c r="H26" s="116"/>
      <c r="I26" s="292"/>
      <c r="J26" s="292"/>
      <c r="K26" s="292"/>
      <c r="L26" s="292"/>
      <c r="M26" s="292"/>
    </row>
    <row r="27" spans="1:13">
      <c r="A27" s="121">
        <v>12</v>
      </c>
      <c r="B27" s="116"/>
      <c r="C27" s="116"/>
      <c r="D27" s="116"/>
      <c r="E27" s="116"/>
      <c r="F27" s="116"/>
      <c r="G27" s="118" t="s">
        <v>124</v>
      </c>
      <c r="H27" s="116"/>
      <c r="I27" s="292"/>
      <c r="J27" s="292"/>
      <c r="K27" s="292"/>
      <c r="L27" s="292"/>
      <c r="M27" s="292"/>
    </row>
    <row r="28" spans="1:13">
      <c r="A28" s="121">
        <v>13</v>
      </c>
      <c r="B28" s="116"/>
      <c r="C28" s="116" t="s">
        <v>125</v>
      </c>
      <c r="D28" s="116"/>
      <c r="E28" s="116" t="s">
        <v>126</v>
      </c>
      <c r="F28" s="116"/>
      <c r="G28" s="116" t="s">
        <v>121</v>
      </c>
      <c r="H28" s="116"/>
      <c r="I28" s="292">
        <f>'E-1.1 Federal Inc Tax Base'!K59</f>
        <v>4831489.9500022596</v>
      </c>
      <c r="J28" s="292"/>
      <c r="K28" s="292">
        <f>'E-1.3 Federal Inc Tax Forecast'!G55</f>
        <v>3532884.9290800053</v>
      </c>
      <c r="L28" s="292"/>
      <c r="M28" s="292">
        <f>SUM(K28-I28)</f>
        <v>-1298605.0209222543</v>
      </c>
    </row>
    <row r="29" spans="1:13">
      <c r="A29" s="121">
        <v>14</v>
      </c>
      <c r="B29" s="116"/>
      <c r="C29" s="116" t="s">
        <v>125</v>
      </c>
      <c r="D29" s="116"/>
      <c r="E29" s="116" t="s">
        <v>126</v>
      </c>
      <c r="F29" s="116"/>
      <c r="G29" s="116" t="s">
        <v>122</v>
      </c>
      <c r="H29" s="116"/>
      <c r="I29" s="292">
        <f>'E-1.1 Federal Inc Tax Base'!K69</f>
        <v>-612910.32232675911</v>
      </c>
      <c r="J29" s="292"/>
      <c r="K29" s="292">
        <f>'E-1.3 Federal Inc Tax Forecast'!G63</f>
        <v>-1259355.8438604607</v>
      </c>
      <c r="L29" s="292"/>
      <c r="M29" s="292">
        <f>SUM(K29-I29)</f>
        <v>-646445.52153370157</v>
      </c>
    </row>
    <row r="30" spans="1:13">
      <c r="A30" s="121">
        <v>15</v>
      </c>
      <c r="B30" s="116"/>
      <c r="C30" s="116" t="s">
        <v>125</v>
      </c>
      <c r="D30" s="116"/>
      <c r="E30" s="116" t="s">
        <v>126</v>
      </c>
      <c r="F30" s="116"/>
      <c r="G30" s="116" t="s">
        <v>127</v>
      </c>
      <c r="H30" s="116"/>
      <c r="I30" s="292">
        <f>'E-1.1 Federal Inc Tax Base'!K72</f>
        <v>-65942.498360214944</v>
      </c>
      <c r="J30" s="292"/>
      <c r="K30" s="292">
        <f>'E-1.3 Federal Inc Tax Forecast'!G66</f>
        <v>-54622.220440881763</v>
      </c>
      <c r="L30" s="292"/>
      <c r="M30" s="292">
        <f>SUM(K30-I30)</f>
        <v>11320.277919333181</v>
      </c>
    </row>
    <row r="31" spans="1:13">
      <c r="A31" s="121">
        <v>16</v>
      </c>
      <c r="B31" s="116"/>
      <c r="C31" s="116" t="s">
        <v>125</v>
      </c>
      <c r="D31" s="116"/>
      <c r="E31" s="116" t="s">
        <v>126</v>
      </c>
      <c r="F31" s="116"/>
      <c r="G31" s="116" t="s">
        <v>128</v>
      </c>
      <c r="H31" s="116"/>
      <c r="I31" s="293">
        <f>'E-1.1 Federal Inc Tax Base'!K74</f>
        <v>-78492</v>
      </c>
      <c r="J31" s="292"/>
      <c r="K31" s="293">
        <f>'E-1.3 Federal Inc Tax Forecast'!G68</f>
        <v>-78492</v>
      </c>
      <c r="L31" s="292"/>
      <c r="M31" s="293">
        <f>SUM(K31-I31)</f>
        <v>0</v>
      </c>
    </row>
    <row r="32" spans="1:13">
      <c r="A32" s="121">
        <v>17</v>
      </c>
      <c r="B32" s="116"/>
      <c r="C32" s="116"/>
      <c r="D32" s="116"/>
      <c r="E32" s="116"/>
      <c r="F32" s="116"/>
      <c r="G32" s="116"/>
      <c r="H32" s="116"/>
      <c r="I32" s="292"/>
      <c r="J32" s="292"/>
      <c r="K32" s="292"/>
      <c r="L32" s="292"/>
      <c r="M32" s="292"/>
    </row>
    <row r="33" spans="1:13">
      <c r="A33" s="121">
        <v>18</v>
      </c>
      <c r="B33" s="116"/>
      <c r="C33" s="116"/>
      <c r="D33" s="116"/>
      <c r="E33" s="116"/>
      <c r="F33" s="116"/>
      <c r="G33" s="116"/>
      <c r="H33" s="116"/>
      <c r="I33" s="292"/>
      <c r="J33" s="292"/>
      <c r="K33" s="292"/>
      <c r="L33" s="292"/>
      <c r="M33" s="292"/>
    </row>
    <row r="34" spans="1:13">
      <c r="A34" s="121">
        <v>19</v>
      </c>
      <c r="B34" s="116"/>
      <c r="C34" s="116"/>
      <c r="D34" s="116"/>
      <c r="E34" s="116"/>
      <c r="F34" s="116"/>
      <c r="G34" s="116" t="s">
        <v>129</v>
      </c>
      <c r="H34" s="116"/>
      <c r="I34" s="323">
        <f>SUM(I28:I31)</f>
        <v>4074145.1293152859</v>
      </c>
      <c r="J34" s="184"/>
      <c r="K34" s="323">
        <f>SUM(K28:K31)</f>
        <v>2140414.8647786626</v>
      </c>
      <c r="L34" s="184"/>
      <c r="M34" s="323">
        <f>SUM(K34-I34)</f>
        <v>-1933730.2645366234</v>
      </c>
    </row>
    <row r="35" spans="1:13">
      <c r="A35" s="121">
        <v>20</v>
      </c>
      <c r="B35" s="116"/>
      <c r="C35" s="116"/>
      <c r="D35" s="116"/>
      <c r="E35" s="116"/>
      <c r="F35" s="116"/>
      <c r="G35" s="116"/>
      <c r="H35" s="116"/>
      <c r="I35" s="184"/>
      <c r="J35" s="184"/>
      <c r="K35" s="184"/>
      <c r="L35" s="184"/>
      <c r="M35" s="184"/>
    </row>
    <row r="36" spans="1:13">
      <c r="A36" s="121">
        <v>21</v>
      </c>
      <c r="B36" s="116"/>
      <c r="C36" s="116"/>
      <c r="D36" s="116"/>
      <c r="E36" s="116"/>
      <c r="F36" s="116"/>
      <c r="G36" s="116"/>
      <c r="H36" s="116"/>
      <c r="I36" s="116"/>
      <c r="J36" s="116"/>
      <c r="K36" s="116"/>
      <c r="L36" s="116"/>
      <c r="M36" s="116"/>
    </row>
    <row r="37" spans="1:13" ht="15" thickBot="1">
      <c r="A37" s="121">
        <v>22</v>
      </c>
      <c r="B37" s="116"/>
      <c r="C37" s="116"/>
      <c r="D37" s="116"/>
      <c r="E37" s="116"/>
      <c r="F37" s="116"/>
      <c r="G37" s="116" t="s">
        <v>130</v>
      </c>
      <c r="H37" s="116"/>
      <c r="I37" s="288">
        <f>SUM(I23+I34)</f>
        <v>5064176.1457801368</v>
      </c>
      <c r="J37" s="288"/>
      <c r="K37" s="288">
        <f>SUM(K23+K34)</f>
        <v>2644124.3781600865</v>
      </c>
      <c r="L37" s="288"/>
      <c r="M37" s="288">
        <f>SUM(K37-I37)</f>
        <v>-2420051.7676200503</v>
      </c>
    </row>
    <row r="38" spans="1:13" ht="15" thickTop="1">
      <c r="A38" s="121"/>
      <c r="B38" s="116"/>
      <c r="C38" s="116"/>
      <c r="D38" s="116"/>
      <c r="E38" s="116"/>
      <c r="F38" s="116"/>
      <c r="G38" s="116"/>
      <c r="H38" s="116"/>
      <c r="I38" s="116"/>
      <c r="J38" s="116"/>
      <c r="K38" s="116"/>
      <c r="L38" s="116"/>
      <c r="M38" s="259"/>
    </row>
    <row r="39" spans="1:13">
      <c r="A39" s="121"/>
      <c r="B39" s="116"/>
      <c r="C39" s="116"/>
      <c r="D39" s="116"/>
      <c r="E39" s="116"/>
      <c r="F39" s="116"/>
      <c r="G39" s="116"/>
      <c r="H39" s="116"/>
      <c r="I39" s="116"/>
      <c r="J39" s="116"/>
      <c r="K39" s="116"/>
      <c r="L39" s="116"/>
      <c r="M39" s="116"/>
    </row>
    <row r="40" spans="1:13">
      <c r="A40" s="121"/>
      <c r="B40" s="116"/>
      <c r="C40" s="116"/>
      <c r="D40" s="116"/>
      <c r="E40" s="116"/>
      <c r="F40" s="116"/>
      <c r="G40" s="116"/>
      <c r="H40" s="116"/>
      <c r="I40" s="116"/>
      <c r="J40" s="116"/>
      <c r="K40" s="116"/>
      <c r="L40" s="116"/>
      <c r="M40" s="116"/>
    </row>
    <row r="41" spans="1:13">
      <c r="A41" s="121"/>
      <c r="B41" s="116"/>
      <c r="C41" s="116"/>
      <c r="D41" s="116"/>
      <c r="E41" s="116"/>
      <c r="F41" s="116"/>
      <c r="G41" s="116"/>
      <c r="H41" s="116"/>
      <c r="I41" s="116"/>
      <c r="J41" s="116"/>
      <c r="K41" s="116"/>
      <c r="L41" s="116"/>
      <c r="M41" s="116"/>
    </row>
    <row r="42" spans="1:13">
      <c r="A42" s="121"/>
      <c r="B42" s="116"/>
      <c r="C42" s="116"/>
      <c r="D42" s="116"/>
      <c r="E42" s="116"/>
      <c r="F42" s="116"/>
      <c r="G42" s="116"/>
      <c r="H42" s="116"/>
      <c r="I42" s="116"/>
      <c r="J42" s="116"/>
      <c r="K42" s="116"/>
      <c r="L42" s="116"/>
      <c r="M42" s="116"/>
    </row>
    <row r="43" spans="1:13">
      <c r="A43" s="121"/>
      <c r="B43" s="116"/>
      <c r="C43" s="116"/>
      <c r="D43" s="116"/>
      <c r="E43" s="116"/>
      <c r="F43" s="116"/>
      <c r="G43" s="116"/>
      <c r="H43" s="116"/>
      <c r="I43" s="116"/>
      <c r="J43" s="116"/>
      <c r="K43" s="116"/>
      <c r="L43" s="116"/>
      <c r="M43" s="116"/>
    </row>
    <row r="44" spans="1:13">
      <c r="A44" s="121"/>
      <c r="B44" s="116"/>
      <c r="C44" s="116"/>
      <c r="D44" s="116"/>
      <c r="E44" s="116"/>
      <c r="F44" s="116"/>
      <c r="G44" s="116"/>
      <c r="H44" s="116"/>
      <c r="I44" s="116"/>
      <c r="J44" s="116"/>
      <c r="K44" s="116"/>
      <c r="L44" s="116"/>
      <c r="M44" s="116"/>
    </row>
    <row r="45" spans="1:13">
      <c r="A45" s="121"/>
      <c r="B45" s="116"/>
      <c r="C45" s="116"/>
      <c r="D45" s="116"/>
      <c r="E45" s="116"/>
      <c r="F45" s="116"/>
      <c r="G45" s="116"/>
      <c r="H45" s="116"/>
      <c r="I45" s="116"/>
      <c r="J45" s="116"/>
      <c r="K45" s="116"/>
      <c r="L45" s="116"/>
      <c r="M45" s="116"/>
    </row>
    <row r="46" spans="1:13">
      <c r="A46" s="121"/>
      <c r="B46" s="116"/>
      <c r="C46" s="116"/>
      <c r="D46" s="116"/>
      <c r="E46" s="116"/>
      <c r="F46" s="116"/>
      <c r="G46" s="116"/>
      <c r="H46" s="116"/>
      <c r="I46" s="116"/>
      <c r="J46" s="116"/>
      <c r="K46" s="116"/>
      <c r="L46" s="116"/>
      <c r="M46" s="116"/>
    </row>
    <row r="47" spans="1:13">
      <c r="A47" s="121"/>
    </row>
    <row r="48" spans="1:13">
      <c r="A48" s="121"/>
    </row>
    <row r="49" spans="1:1">
      <c r="A49" s="121"/>
    </row>
    <row r="50" spans="1:1">
      <c r="A50" s="121"/>
    </row>
  </sheetData>
  <mergeCells count="4">
    <mergeCell ref="A4:K4"/>
    <mergeCell ref="A5:K5"/>
    <mergeCell ref="A6:K6"/>
    <mergeCell ref="A7:K7"/>
  </mergeCells>
  <pageMargins left="0.7" right="0.7" top="0.75" bottom="0.75" header="0.3" footer="0.3"/>
  <pageSetup scale="82" orientation="portrait" verticalDpi="120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3"/>
  <sheetViews>
    <sheetView workbookViewId="0"/>
  </sheetViews>
  <sheetFormatPr defaultColWidth="9.109375" defaultRowHeight="14.4"/>
  <cols>
    <col min="1" max="1" width="3.5546875" style="303" customWidth="1"/>
    <col min="2" max="2" width="1.5546875" style="303" customWidth="1"/>
    <col min="3" max="3" width="13.44140625" style="303" bestFit="1" customWidth="1"/>
    <col min="4" max="4" width="1.5546875" style="303" customWidth="1"/>
    <col min="5" max="5" width="6.5546875" style="303" bestFit="1" customWidth="1"/>
    <col min="6" max="6" width="1.5546875" style="303" customWidth="1"/>
    <col min="7" max="7" width="13.44140625" style="303" bestFit="1" customWidth="1"/>
    <col min="8" max="8" width="1.5546875" style="303" customWidth="1"/>
    <col min="9" max="9" width="11.44140625" style="303" bestFit="1" customWidth="1"/>
    <col min="10" max="10" width="1.5546875" style="303" customWidth="1"/>
    <col min="11" max="11" width="20.109375" style="303" bestFit="1" customWidth="1"/>
    <col min="12" max="12" width="1.5546875" style="303" customWidth="1"/>
    <col min="13" max="13" width="9.109375" style="303"/>
    <col min="14" max="14" width="1.5546875" style="303" customWidth="1"/>
    <col min="15" max="15" width="9.109375" style="303"/>
    <col min="16" max="16" width="1.5546875" style="303" customWidth="1"/>
    <col min="17" max="17" width="9.109375" style="303"/>
    <col min="18" max="18" width="1.5546875" style="303" customWidth="1"/>
    <col min="19" max="19" width="9.109375" style="303"/>
    <col min="20" max="20" width="1.5546875" style="303" customWidth="1"/>
    <col min="21" max="21" width="9.109375" style="303"/>
    <col min="22" max="22" width="1.5546875" style="303" customWidth="1"/>
    <col min="23" max="23" width="9.109375" style="303"/>
    <col min="24" max="24" width="1.5546875" style="303" customWidth="1"/>
    <col min="25" max="25" width="9.109375" style="303"/>
    <col min="26" max="26" width="1.5546875" style="303" customWidth="1"/>
    <col min="27" max="27" width="9.109375" style="303"/>
    <col min="28" max="28" width="1.5546875" style="303" customWidth="1"/>
    <col min="29" max="29" width="9.44140625" style="303" customWidth="1"/>
    <col min="30" max="30" width="1.5546875" style="303" customWidth="1"/>
    <col min="31" max="31" width="9.109375" style="303"/>
    <col min="32" max="32" width="1.5546875" style="303" customWidth="1"/>
    <col min="33" max="33" width="9.109375" style="303"/>
    <col min="34" max="34" width="1.5546875" style="303" customWidth="1"/>
    <col min="35" max="35" width="9.109375" style="303"/>
    <col min="36" max="36" width="1.5546875" style="303" customWidth="1"/>
    <col min="37" max="37" width="9.109375" style="303"/>
    <col min="38" max="38" width="1.5546875" style="303" customWidth="1"/>
    <col min="39" max="39" width="9.109375" style="303"/>
    <col min="40" max="40" width="1.5546875" style="303" customWidth="1"/>
    <col min="41" max="16384" width="9.109375" style="303"/>
  </cols>
  <sheetData>
    <row r="1" spans="1:15">
      <c r="A1" s="145" t="s">
        <v>11</v>
      </c>
      <c r="B1" s="145"/>
      <c r="C1" s="145"/>
      <c r="D1" s="145"/>
      <c r="E1" s="145"/>
      <c r="F1" s="145"/>
      <c r="G1" s="145"/>
      <c r="H1" s="145"/>
      <c r="K1" s="145"/>
      <c r="L1" s="91"/>
      <c r="O1" s="91" t="s">
        <v>203</v>
      </c>
    </row>
    <row r="2" spans="1:15">
      <c r="A2" s="145" t="s">
        <v>12</v>
      </c>
      <c r="B2" s="145"/>
      <c r="C2" s="145"/>
      <c r="D2" s="145"/>
      <c r="E2" s="145"/>
      <c r="F2" s="145"/>
      <c r="G2" s="145"/>
      <c r="H2" s="145"/>
      <c r="K2" s="145"/>
      <c r="L2" s="146"/>
      <c r="O2" s="146" t="str">
        <f ca="1">RIGHT(CELL("filename",$A$1),LEN(CELL("filename",$A$1))-SEARCH("\Taxes",CELL("filename",$A$1),1))</f>
        <v>Taxes\[KAWC 2018 Rate Case - Income Tax Exhibit.xlsx]E-2 Jurisdictional Income Taxes</v>
      </c>
    </row>
    <row r="4" spans="1:15">
      <c r="A4" s="406" t="str">
        <f>'Link In'!A1</f>
        <v>Kentucky American Water Company</v>
      </c>
      <c r="B4" s="406"/>
      <c r="C4" s="406"/>
      <c r="D4" s="406"/>
      <c r="E4" s="406"/>
      <c r="F4" s="406"/>
      <c r="G4" s="406"/>
      <c r="H4" s="406"/>
      <c r="I4" s="406"/>
      <c r="J4" s="406"/>
      <c r="K4" s="406"/>
    </row>
    <row r="5" spans="1:15">
      <c r="A5" s="406" t="str">
        <f>'Link In'!A3</f>
        <v>Case No. 2018-00358</v>
      </c>
      <c r="B5" s="406"/>
      <c r="C5" s="406"/>
      <c r="D5" s="406"/>
      <c r="E5" s="406"/>
      <c r="F5" s="406"/>
      <c r="G5" s="406"/>
      <c r="H5" s="406"/>
      <c r="I5" s="406"/>
      <c r="J5" s="406"/>
      <c r="K5" s="406"/>
      <c r="L5" s="134"/>
    </row>
    <row r="6" spans="1:15">
      <c r="A6" s="406" t="s">
        <v>301</v>
      </c>
      <c r="B6" s="406"/>
      <c r="C6" s="406"/>
      <c r="D6" s="406"/>
      <c r="E6" s="406"/>
      <c r="F6" s="406"/>
      <c r="G6" s="406"/>
      <c r="H6" s="406"/>
      <c r="I6" s="406"/>
      <c r="J6" s="406"/>
      <c r="K6" s="406"/>
      <c r="L6" s="134"/>
    </row>
    <row r="7" spans="1:15">
      <c r="A7" s="406" t="s">
        <v>247</v>
      </c>
      <c r="B7" s="406"/>
      <c r="C7" s="406"/>
      <c r="D7" s="406"/>
      <c r="E7" s="406"/>
      <c r="F7" s="406"/>
      <c r="G7" s="406"/>
      <c r="H7" s="406"/>
      <c r="I7" s="406"/>
      <c r="J7" s="406"/>
      <c r="K7" s="406"/>
      <c r="L7" s="134"/>
    </row>
    <row r="8" spans="1:15">
      <c r="L8" s="134"/>
    </row>
    <row r="9" spans="1:15">
      <c r="A9" s="299" t="str">
        <f>'Link In'!A28</f>
        <v>Witness Responsible:   John Wilde</v>
      </c>
      <c r="K9" s="299" t="str">
        <f>'Link In'!A36</f>
        <v>W/P - 6-1</v>
      </c>
      <c r="L9" s="134"/>
    </row>
    <row r="10" spans="1:15">
      <c r="A10" s="299" t="str">
        <f>'Link In'!A15</f>
        <v>Type of Filing: __X__ Original  _____ Updated  _____ Revised</v>
      </c>
    </row>
    <row r="13" spans="1:15">
      <c r="A13" s="224"/>
      <c r="B13" s="224"/>
      <c r="C13" s="224"/>
      <c r="D13" s="224"/>
      <c r="E13" s="224" t="s">
        <v>24</v>
      </c>
      <c r="F13" s="224"/>
      <c r="G13" s="224" t="s">
        <v>25</v>
      </c>
      <c r="H13" s="224"/>
      <c r="I13" s="224"/>
      <c r="J13" s="224"/>
      <c r="K13" s="224" t="s">
        <v>26</v>
      </c>
    </row>
    <row r="14" spans="1:15">
      <c r="A14" s="324" t="s">
        <v>7</v>
      </c>
      <c r="B14" s="224"/>
      <c r="C14" s="324" t="s">
        <v>27</v>
      </c>
      <c r="D14" s="224"/>
      <c r="E14" s="324" t="s">
        <v>28</v>
      </c>
      <c r="F14" s="224"/>
      <c r="G14" s="324" t="s">
        <v>29</v>
      </c>
      <c r="H14" s="224"/>
      <c r="I14" s="324" t="s">
        <v>30</v>
      </c>
      <c r="J14" s="224"/>
      <c r="K14" s="324" t="s">
        <v>31</v>
      </c>
    </row>
    <row r="15" spans="1:15">
      <c r="A15" s="303">
        <v>1</v>
      </c>
    </row>
    <row r="16" spans="1:15">
      <c r="A16" s="303">
        <v>2</v>
      </c>
    </row>
    <row r="17" spans="1:11">
      <c r="A17" s="303">
        <v>3</v>
      </c>
    </row>
    <row r="18" spans="1:11">
      <c r="A18" s="303">
        <v>4</v>
      </c>
      <c r="C18" s="406" t="s">
        <v>32</v>
      </c>
      <c r="D18" s="406"/>
      <c r="E18" s="406"/>
      <c r="F18" s="406"/>
      <c r="G18" s="406"/>
      <c r="H18" s="406"/>
      <c r="I18" s="406"/>
      <c r="J18" s="406"/>
      <c r="K18" s="406"/>
    </row>
    <row r="19" spans="1:11">
      <c r="A19" s="303">
        <v>5</v>
      </c>
      <c r="C19" s="299"/>
    </row>
    <row r="20" spans="1:11">
      <c r="A20" s="303">
        <v>6</v>
      </c>
      <c r="C20" s="406" t="s">
        <v>33</v>
      </c>
      <c r="D20" s="406"/>
      <c r="E20" s="406"/>
      <c r="F20" s="406"/>
      <c r="G20" s="406"/>
      <c r="H20" s="406"/>
      <c r="I20" s="406"/>
      <c r="J20" s="406"/>
      <c r="K20" s="406"/>
    </row>
    <row r="21" spans="1:11">
      <c r="A21" s="303">
        <v>7</v>
      </c>
      <c r="D21" s="299"/>
      <c r="E21" s="299"/>
      <c r="F21" s="299"/>
      <c r="G21" s="299"/>
      <c r="H21" s="299"/>
      <c r="I21" s="299"/>
      <c r="J21" s="299"/>
      <c r="K21" s="299"/>
    </row>
    <row r="22" spans="1:11">
      <c r="A22" s="303">
        <v>8</v>
      </c>
      <c r="D22" s="145"/>
      <c r="E22" s="145"/>
      <c r="F22" s="145"/>
      <c r="G22" s="145"/>
      <c r="H22" s="145"/>
      <c r="I22" s="145"/>
      <c r="J22" s="145"/>
      <c r="K22" s="145"/>
    </row>
    <row r="23" spans="1:11">
      <c r="A23" s="303">
        <v>9</v>
      </c>
    </row>
  </sheetData>
  <mergeCells count="6">
    <mergeCell ref="A4:K4"/>
    <mergeCell ref="A5:K5"/>
    <mergeCell ref="C20:K20"/>
    <mergeCell ref="A6:K6"/>
    <mergeCell ref="A7:K7"/>
    <mergeCell ref="C18:K18"/>
  </mergeCells>
  <pageMargins left="0.7" right="0.7" top="0.75" bottom="0.75" header="0.3" footer="0.3"/>
  <pageSetup scale="92" orientation="portrait"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3"/>
  <sheetViews>
    <sheetView workbookViewId="0"/>
  </sheetViews>
  <sheetFormatPr defaultColWidth="9.109375" defaultRowHeight="14.4"/>
  <cols>
    <col min="1" max="1" width="8.44140625" style="122" customWidth="1"/>
    <col min="2" max="2" width="1.5546875" style="122" customWidth="1"/>
    <col min="3" max="3" width="27" style="122" customWidth="1"/>
    <col min="4" max="4" width="1.5546875" style="122" customWidth="1"/>
    <col min="5" max="5" width="16.5546875" style="122" customWidth="1"/>
    <col min="6" max="6" width="1.5546875" style="122" customWidth="1"/>
    <col min="7" max="7" width="20.5546875" style="122" customWidth="1"/>
    <col min="8" max="8" width="1.5546875" style="122" customWidth="1"/>
    <col min="9" max="9" width="16.5546875" style="122" customWidth="1"/>
    <col min="10" max="10" width="1.5546875" style="122" customWidth="1"/>
    <col min="11" max="11" width="14" style="122" customWidth="1"/>
    <col min="12" max="12" width="1.5546875" style="122" customWidth="1"/>
    <col min="13" max="13" width="9.109375" style="122"/>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16384" width="9.109375" style="122"/>
  </cols>
  <sheetData>
    <row r="1" spans="1:17" ht="60.75" customHeight="1">
      <c r="A1" s="136" t="s">
        <v>20</v>
      </c>
      <c r="B1" s="137"/>
      <c r="C1" s="136" t="s">
        <v>1</v>
      </c>
      <c r="D1" s="137"/>
      <c r="E1" s="136" t="s">
        <v>19</v>
      </c>
      <c r="F1" s="138"/>
      <c r="G1" s="139"/>
      <c r="H1" s="138"/>
      <c r="I1" s="140"/>
      <c r="J1" s="141"/>
      <c r="K1" s="140"/>
    </row>
    <row r="2" spans="1:17">
      <c r="A2" s="80"/>
      <c r="G2" s="381"/>
      <c r="H2" s="303"/>
      <c r="I2" s="303"/>
      <c r="J2" s="303"/>
      <c r="K2" s="303"/>
    </row>
    <row r="3" spans="1:17" ht="15" thickBot="1">
      <c r="A3" s="80"/>
      <c r="G3" s="142"/>
      <c r="H3" s="303"/>
      <c r="I3" s="142"/>
      <c r="J3" s="303"/>
      <c r="K3" s="142"/>
    </row>
    <row r="4" spans="1:17" ht="15" thickTop="1">
      <c r="A4" s="80"/>
      <c r="G4" s="303"/>
      <c r="H4" s="303"/>
      <c r="I4" s="303"/>
      <c r="J4" s="303"/>
      <c r="K4" s="303"/>
    </row>
    <row r="5" spans="1:17">
      <c r="A5" s="80"/>
      <c r="G5" s="303"/>
      <c r="H5" s="303"/>
      <c r="I5" s="303"/>
      <c r="J5" s="303"/>
      <c r="K5" s="303"/>
    </row>
    <row r="6" spans="1:17">
      <c r="A6" s="80"/>
      <c r="G6" s="303"/>
      <c r="H6" s="303"/>
      <c r="I6" s="303"/>
      <c r="J6" s="303"/>
      <c r="K6" s="303"/>
    </row>
    <row r="7" spans="1:17" ht="28.8">
      <c r="A7" s="143" t="s">
        <v>10</v>
      </c>
      <c r="G7" s="136" t="s">
        <v>283</v>
      </c>
      <c r="H7" s="303"/>
      <c r="I7" s="136" t="s">
        <v>284</v>
      </c>
      <c r="J7" s="303"/>
      <c r="K7" s="294" t="s">
        <v>117</v>
      </c>
    </row>
    <row r="8" spans="1:17">
      <c r="A8" s="144"/>
      <c r="B8" s="80"/>
      <c r="C8" s="220" t="s">
        <v>184</v>
      </c>
      <c r="D8" s="80"/>
      <c r="E8" s="80"/>
      <c r="F8" s="80"/>
      <c r="G8" s="371">
        <f>'Summary by Account'!J14</f>
        <v>738871.49778207566</v>
      </c>
      <c r="H8" s="335"/>
      <c r="I8" s="371">
        <f>'Summary by Account'!E14</f>
        <v>1042164.2999302045</v>
      </c>
      <c r="J8" s="371"/>
      <c r="K8" s="371">
        <f>G8-I8</f>
        <v>-303292.80214812886</v>
      </c>
      <c r="Q8" s="380"/>
    </row>
    <row r="9" spans="1:17">
      <c r="A9" s="144"/>
      <c r="B9" s="80"/>
      <c r="C9" s="220" t="s">
        <v>185</v>
      </c>
      <c r="D9" s="80"/>
      <c r="E9" s="80"/>
      <c r="F9" s="80"/>
      <c r="G9" s="371">
        <f>'Summary by Account'!J15</f>
        <v>-235161.98440065191</v>
      </c>
      <c r="H9" s="335"/>
      <c r="I9" s="371">
        <f>'Summary by Account'!E15</f>
        <v>-52133.283465353408</v>
      </c>
      <c r="J9" s="371"/>
      <c r="K9" s="371">
        <f>G9-I9</f>
        <v>-183028.70093529852</v>
      </c>
      <c r="Q9" s="380"/>
    </row>
    <row r="10" spans="1:17">
      <c r="A10" s="144"/>
      <c r="B10" s="80"/>
      <c r="C10" s="220"/>
      <c r="D10" s="80"/>
      <c r="E10" s="80"/>
      <c r="F10" s="80"/>
      <c r="G10" s="371"/>
      <c r="H10" s="335"/>
      <c r="I10" s="371"/>
      <c r="J10" s="371"/>
      <c r="K10" s="371"/>
    </row>
    <row r="11" spans="1:17">
      <c r="A11" s="144"/>
      <c r="B11" s="80"/>
      <c r="C11" s="220" t="s">
        <v>186</v>
      </c>
      <c r="D11" s="80"/>
      <c r="E11" s="80"/>
      <c r="F11" s="80"/>
      <c r="G11" s="371">
        <f>'Summary by Account'!J17</f>
        <v>3532884.9290800053</v>
      </c>
      <c r="H11" s="335"/>
      <c r="I11" s="371">
        <f>'Summary by Account'!E17</f>
        <v>4831489.9500022596</v>
      </c>
      <c r="J11" s="371"/>
      <c r="K11" s="371">
        <f>G11-I11</f>
        <v>-1298605.0209222543</v>
      </c>
      <c r="Q11" s="380"/>
    </row>
    <row r="12" spans="1:17">
      <c r="A12" s="144"/>
      <c r="B12" s="80"/>
      <c r="C12" s="220" t="s">
        <v>187</v>
      </c>
      <c r="D12" s="80"/>
      <c r="E12" s="80"/>
      <c r="F12" s="80"/>
      <c r="G12" s="371">
        <f>'Summary by Account'!J18</f>
        <v>-1313978.0643013425</v>
      </c>
      <c r="H12" s="335"/>
      <c r="I12" s="371">
        <f>'Summary by Account'!E18</f>
        <v>-678852.8206869741</v>
      </c>
      <c r="J12" s="371"/>
      <c r="K12" s="371">
        <f>G12-I12</f>
        <v>-635125.24361436837</v>
      </c>
      <c r="Q12" s="380"/>
    </row>
    <row r="13" spans="1:17">
      <c r="A13" s="144"/>
      <c r="B13" s="80"/>
      <c r="C13" s="220"/>
      <c r="D13" s="80"/>
      <c r="E13" s="80"/>
      <c r="F13" s="80"/>
      <c r="G13" s="371"/>
      <c r="H13" s="335"/>
      <c r="I13" s="371"/>
      <c r="J13" s="371"/>
      <c r="K13" s="371"/>
      <c r="Q13" s="380"/>
    </row>
    <row r="14" spans="1:17">
      <c r="A14" s="144"/>
      <c r="B14" s="80"/>
      <c r="C14" s="220" t="s">
        <v>183</v>
      </c>
      <c r="D14" s="80"/>
      <c r="E14" s="80"/>
      <c r="F14" s="80"/>
      <c r="G14" s="371">
        <f>'Summary by Account'!J20</f>
        <v>-78492</v>
      </c>
      <c r="H14" s="335"/>
      <c r="I14" s="371">
        <f>'Summary by Account'!E20</f>
        <v>-78492</v>
      </c>
      <c r="J14" s="371"/>
      <c r="K14" s="371">
        <f>G14-I14</f>
        <v>0</v>
      </c>
      <c r="Q14" s="380"/>
    </row>
    <row r="15" spans="1:17">
      <c r="A15" s="144"/>
      <c r="B15" s="80"/>
      <c r="C15" s="172"/>
      <c r="D15" s="80"/>
      <c r="E15" s="80"/>
      <c r="F15" s="80"/>
      <c r="G15" s="371"/>
      <c r="H15" s="335"/>
      <c r="I15" s="335"/>
      <c r="J15" s="335"/>
      <c r="K15" s="335"/>
      <c r="Q15" s="380"/>
    </row>
    <row r="16" spans="1:17">
      <c r="A16" s="144"/>
      <c r="B16" s="80"/>
      <c r="C16" s="222" t="s">
        <v>188</v>
      </c>
      <c r="D16" s="80"/>
      <c r="E16" s="80"/>
      <c r="F16" s="80"/>
      <c r="G16" s="371"/>
      <c r="H16" s="335"/>
      <c r="I16" s="335"/>
      <c r="J16" s="335"/>
      <c r="K16" s="335"/>
      <c r="Q16" s="380"/>
    </row>
    <row r="17" spans="1:17">
      <c r="A17" s="144"/>
      <c r="B17" s="80"/>
      <c r="C17" s="221" t="s">
        <v>189</v>
      </c>
      <c r="D17" s="80"/>
      <c r="E17" s="80"/>
      <c r="F17" s="80"/>
      <c r="G17" s="371">
        <f>'Summary by Account'!J25</f>
        <v>-54622.220440881763</v>
      </c>
      <c r="H17" s="335"/>
      <c r="I17" s="335">
        <f>'Summary by Account'!E25</f>
        <v>-65942.498360214944</v>
      </c>
      <c r="J17" s="335"/>
      <c r="K17" s="371">
        <f t="shared" ref="K17:K18" si="0">G17-I17</f>
        <v>11320.277919333181</v>
      </c>
      <c r="Q17" s="380"/>
    </row>
    <row r="18" spans="1:17">
      <c r="A18" s="80"/>
      <c r="B18" s="80"/>
      <c r="C18" s="221" t="s">
        <v>190</v>
      </c>
      <c r="D18" s="80"/>
      <c r="E18" s="80"/>
      <c r="F18" s="80"/>
      <c r="G18" s="371">
        <f>'Summary by Account'!J26</f>
        <v>-1259355.8438604607</v>
      </c>
      <c r="H18" s="335"/>
      <c r="I18" s="335">
        <f>'Summary by Account'!E26</f>
        <v>-612910.32232675911</v>
      </c>
      <c r="J18" s="335"/>
      <c r="K18" s="371">
        <f t="shared" si="0"/>
        <v>-646445.52153370157</v>
      </c>
      <c r="Q18" s="380"/>
    </row>
    <row r="19" spans="1:17">
      <c r="A19" s="80"/>
      <c r="B19" s="80"/>
      <c r="C19" s="221" t="s">
        <v>191</v>
      </c>
      <c r="D19" s="80"/>
      <c r="E19" s="80"/>
      <c r="F19" s="80"/>
      <c r="G19" s="371"/>
      <c r="H19" s="335"/>
      <c r="I19" s="335"/>
      <c r="J19" s="335"/>
      <c r="K19" s="335"/>
      <c r="Q19" s="380"/>
    </row>
    <row r="20" spans="1:17" s="223" customFormat="1">
      <c r="A20" s="224"/>
      <c r="B20" s="224"/>
      <c r="C20" s="221"/>
      <c r="D20" s="224"/>
      <c r="E20" s="224"/>
      <c r="F20" s="224"/>
      <c r="G20" s="371"/>
      <c r="H20" s="335"/>
      <c r="I20" s="335"/>
      <c r="J20" s="335"/>
      <c r="K20" s="335"/>
      <c r="Q20" s="380"/>
    </row>
    <row r="21" spans="1:17" s="223" customFormat="1">
      <c r="A21" s="224"/>
      <c r="B21" s="224"/>
      <c r="C21" s="221" t="s">
        <v>192</v>
      </c>
      <c r="D21" s="224"/>
      <c r="E21" s="224"/>
      <c r="F21" s="224"/>
      <c r="G21" s="371">
        <f>'Summary by Account'!J29</f>
        <v>-62374.111252666509</v>
      </c>
      <c r="H21" s="335"/>
      <c r="I21" s="335">
        <f>'Summary by Account'!E29</f>
        <v>-62971</v>
      </c>
      <c r="J21" s="335"/>
      <c r="K21" s="371">
        <f t="shared" ref="K21:K22" si="1">G21-I21</f>
        <v>596.88874733349076</v>
      </c>
      <c r="Q21" s="380"/>
    </row>
    <row r="22" spans="1:17" s="223" customFormat="1">
      <c r="A22" s="224"/>
      <c r="B22" s="224"/>
      <c r="C22" s="221" t="s">
        <v>193</v>
      </c>
      <c r="D22" s="224"/>
      <c r="E22" s="224"/>
      <c r="F22" s="224"/>
      <c r="G22" s="371">
        <f>'Summary by Account'!J30</f>
        <v>-172787.8731479854</v>
      </c>
      <c r="H22" s="335"/>
      <c r="I22" s="335">
        <f>'Summary by Account'!E30</f>
        <v>10837.716534646592</v>
      </c>
      <c r="J22" s="335"/>
      <c r="K22" s="371">
        <f t="shared" si="1"/>
        <v>-183625.58968263201</v>
      </c>
      <c r="Q22" s="380"/>
    </row>
    <row r="23" spans="1:17" s="223" customFormat="1">
      <c r="A23" s="224"/>
      <c r="B23" s="224"/>
      <c r="C23" s="221"/>
      <c r="D23" s="224"/>
      <c r="E23" s="224"/>
      <c r="F23" s="224"/>
      <c r="G23" s="371"/>
      <c r="H23" s="335"/>
      <c r="I23" s="335"/>
      <c r="J23" s="335"/>
      <c r="K23" s="335"/>
    </row>
    <row r="24" spans="1:17" s="223" customFormat="1">
      <c r="A24" s="224"/>
      <c r="B24" s="224"/>
      <c r="C24" s="221"/>
      <c r="D24" s="224"/>
      <c r="E24" s="224"/>
      <c r="F24" s="224"/>
      <c r="G24" s="224"/>
    </row>
    <row r="25" spans="1:17" s="223" customFormat="1">
      <c r="A25" s="224"/>
      <c r="B25" s="224"/>
      <c r="C25" s="220"/>
      <c r="D25" s="224"/>
      <c r="E25" s="224"/>
      <c r="F25" s="224"/>
      <c r="G25" s="224"/>
    </row>
    <row r="26" spans="1:17" s="223" customFormat="1">
      <c r="A26" s="224"/>
      <c r="B26" s="224"/>
      <c r="C26" s="221"/>
      <c r="D26" s="224"/>
      <c r="E26" s="224"/>
      <c r="F26" s="224"/>
      <c r="G26" s="224"/>
    </row>
    <row r="27" spans="1:17">
      <c r="A27" s="143" t="s">
        <v>13</v>
      </c>
      <c r="B27" s="80"/>
      <c r="C27" s="80"/>
      <c r="D27" s="80"/>
      <c r="E27" s="80"/>
      <c r="F27" s="80"/>
      <c r="G27" s="80"/>
    </row>
    <row r="29" spans="1:17">
      <c r="A29" s="122" t="str">
        <f>'Link In'!A36</f>
        <v>W/P - 6-1</v>
      </c>
    </row>
    <row r="30" spans="1:17">
      <c r="A30" s="122" t="str">
        <f ca="1">Exhibit!M2</f>
        <v>Taxes\[KAWC 2018 Rate Case - Income Tax Exhibit.xlsx]Exhibit</v>
      </c>
    </row>
    <row r="32" spans="1:17">
      <c r="A32" s="289" t="s">
        <v>196</v>
      </c>
      <c r="B32" s="289"/>
      <c r="C32" s="289"/>
      <c r="D32" s="289"/>
      <c r="E32" s="289" t="str">
        <f>'E-1.4 State Inc Tax Forecast'!K1</f>
        <v>SCHEDULE E-1.4</v>
      </c>
      <c r="F32" s="289"/>
      <c r="G32" s="289" t="str">
        <f ca="1">'E-1.4 State Inc Tax Forecast'!K2</f>
        <v>Taxes\[KAWC 2018 Rate Case - Income Tax Exhibit.xlsx]E-1.4 State Inc Tax Forecast</v>
      </c>
    </row>
    <row r="33" spans="1:7">
      <c r="A33" s="289" t="s">
        <v>197</v>
      </c>
      <c r="B33" s="289"/>
      <c r="C33" s="289"/>
      <c r="D33" s="289"/>
      <c r="E33" s="289" t="str">
        <f>'E-1.3 Federal Inc Tax Forecast'!K1</f>
        <v>SCHEDULE E-1.3</v>
      </c>
      <c r="F33" s="289"/>
      <c r="G33" s="289" t="str">
        <f ca="1">'E-1.3 Federal Inc Tax Forecast'!K2</f>
        <v>Taxes\[KAWC 2018 Rate Case - Income Tax Exhibit.xlsx]E-1.3 Federal Inc Tax Forecast</v>
      </c>
    </row>
  </sheetData>
  <printOptions horizontalCentered="1" verticalCentered="1"/>
  <pageMargins left="0.75" right="0.75" top="0.75" bottom="0.75" header="0.3" footer="0.3"/>
  <pageSetup scale="92"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6"/>
  <sheetViews>
    <sheetView tabSelected="1" workbookViewId="0"/>
  </sheetViews>
  <sheetFormatPr defaultColWidth="9.109375" defaultRowHeight="14.4"/>
  <cols>
    <col min="1" max="1" width="5.5546875" style="122" customWidth="1"/>
    <col min="2" max="2" width="1.5546875" style="122" customWidth="1"/>
    <col min="3" max="3" width="39.44140625" style="122" customWidth="1"/>
    <col min="4" max="4" width="1.5546875" style="122" customWidth="1"/>
    <col min="5" max="5" width="15" style="122" bestFit="1" customWidth="1"/>
    <col min="6" max="6" width="1.5546875" style="122" customWidth="1"/>
    <col min="7" max="7" width="14" style="122" customWidth="1"/>
    <col min="8" max="8" width="1.5546875" style="122" customWidth="1"/>
    <col min="9" max="9" width="12.5546875" style="122" customWidth="1"/>
    <col min="10" max="10" width="1.5546875" style="122" customWidth="1"/>
    <col min="11" max="11" width="19.44140625" style="122" bestFit="1" customWidth="1"/>
    <col min="12" max="12" width="1.5546875" style="122" customWidth="1"/>
    <col min="13" max="13" width="22.21875" style="122" customWidth="1"/>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37" width="9.109375" style="122"/>
    <col min="38" max="38" width="1.5546875" style="122" customWidth="1"/>
    <col min="39" max="39" width="9.109375" style="122"/>
    <col min="40" max="40" width="1.5546875" style="122" customWidth="1"/>
    <col min="41" max="41" width="9.109375" style="122"/>
    <col min="42" max="42" width="1.5546875" style="122" customWidth="1"/>
    <col min="43" max="16384" width="9.109375" style="122"/>
  </cols>
  <sheetData>
    <row r="1" spans="1:13">
      <c r="A1" s="145" t="s">
        <v>11</v>
      </c>
      <c r="B1" s="145"/>
      <c r="C1" s="145"/>
      <c r="D1" s="145"/>
      <c r="E1" s="145"/>
      <c r="F1" s="145"/>
      <c r="G1" s="145"/>
      <c r="H1" s="145"/>
      <c r="I1" s="145"/>
      <c r="J1" s="145"/>
      <c r="L1" s="134"/>
      <c r="M1" s="91" t="str">
        <f>'Link In'!A36</f>
        <v>W/P - 6-1</v>
      </c>
    </row>
    <row r="2" spans="1:13">
      <c r="A2" s="145" t="s">
        <v>12</v>
      </c>
      <c r="B2" s="145"/>
      <c r="C2" s="145"/>
      <c r="D2" s="145"/>
      <c r="E2" s="145"/>
      <c r="F2" s="145"/>
      <c r="G2" s="145"/>
      <c r="H2" s="145"/>
      <c r="I2" s="145"/>
      <c r="J2" s="145"/>
      <c r="L2" s="134"/>
      <c r="M2" s="146" t="str">
        <f ca="1">RIGHT(CELL("filename",$A$1),LEN(CELL("filename",$A$1))-SEARCH("\Taxes",CELL("filename",$A$1),1))</f>
        <v>Taxes\[KAWC 2018 Rate Case - Income Tax Exhibit.xlsx]Exhibit</v>
      </c>
    </row>
    <row r="4" spans="1:13">
      <c r="A4" s="406" t="str">
        <f>'Link In'!A1</f>
        <v>Kentucky American Water Company</v>
      </c>
      <c r="B4" s="406"/>
      <c r="C4" s="406"/>
      <c r="D4" s="406"/>
      <c r="E4" s="406"/>
      <c r="F4" s="406"/>
      <c r="G4" s="406"/>
      <c r="H4" s="406"/>
      <c r="I4" s="406"/>
      <c r="J4" s="406"/>
      <c r="K4" s="406"/>
      <c r="L4" s="406"/>
      <c r="M4" s="406"/>
    </row>
    <row r="5" spans="1:13">
      <c r="A5" s="406" t="str">
        <f>'Link In'!A3</f>
        <v>Case No. 2018-00358</v>
      </c>
      <c r="B5" s="406"/>
      <c r="C5" s="406"/>
      <c r="D5" s="406"/>
      <c r="E5" s="406"/>
      <c r="F5" s="406"/>
      <c r="G5" s="406"/>
      <c r="H5" s="406"/>
      <c r="I5" s="406"/>
      <c r="J5" s="406"/>
      <c r="K5" s="406"/>
      <c r="L5" s="406"/>
      <c r="M5" s="406"/>
    </row>
    <row r="6" spans="1:13">
      <c r="A6" s="406" t="str">
        <f>'Link In'!A34</f>
        <v>Base Year Adjustment Federal and State Taxes</v>
      </c>
      <c r="B6" s="406"/>
      <c r="C6" s="406"/>
      <c r="D6" s="406"/>
      <c r="E6" s="406"/>
      <c r="F6" s="406"/>
      <c r="G6" s="406"/>
      <c r="H6" s="406"/>
      <c r="I6" s="406"/>
      <c r="J6" s="406"/>
      <c r="K6" s="406"/>
      <c r="L6" s="406"/>
      <c r="M6" s="406"/>
    </row>
    <row r="7" spans="1:13">
      <c r="A7" s="407" t="str">
        <f>'Link In'!A6</f>
        <v>For the 12 Months Ending June 30, 2020</v>
      </c>
      <c r="B7" s="406"/>
      <c r="C7" s="406"/>
      <c r="D7" s="406"/>
      <c r="E7" s="406"/>
      <c r="F7" s="406"/>
      <c r="G7" s="406"/>
      <c r="H7" s="406"/>
      <c r="I7" s="406"/>
      <c r="J7" s="406"/>
      <c r="K7" s="406"/>
      <c r="L7" s="406"/>
      <c r="M7" s="406"/>
    </row>
    <row r="9" spans="1:13">
      <c r="A9" s="87" t="str">
        <f>'Link In'!A28</f>
        <v>Witness Responsible:   John Wilde</v>
      </c>
      <c r="B9" s="87"/>
      <c r="D9" s="87"/>
      <c r="E9" s="87"/>
      <c r="F9" s="87"/>
      <c r="G9" s="87"/>
      <c r="H9" s="87"/>
      <c r="I9" s="87"/>
      <c r="J9" s="87"/>
    </row>
    <row r="10" spans="1:13">
      <c r="A10" s="87" t="str">
        <f>'Link In'!A15</f>
        <v>Type of Filing: __X__ Original  _____ Updated  _____ Revised</v>
      </c>
      <c r="B10" s="87"/>
      <c r="D10" s="87"/>
      <c r="E10" s="87"/>
      <c r="F10" s="87"/>
      <c r="G10" s="87"/>
      <c r="H10" s="87"/>
      <c r="I10" s="87"/>
      <c r="J10" s="87"/>
    </row>
    <row r="11" spans="1:13">
      <c r="A11" s="87"/>
      <c r="B11" s="87"/>
      <c r="D11" s="87"/>
      <c r="E11" s="87"/>
      <c r="F11" s="87"/>
      <c r="G11" s="87"/>
      <c r="H11" s="87"/>
      <c r="I11" s="87"/>
      <c r="J11" s="87"/>
    </row>
    <row r="13" spans="1:13" ht="28.8">
      <c r="A13" s="136" t="s">
        <v>0</v>
      </c>
      <c r="B13" s="147"/>
      <c r="C13" s="136" t="s">
        <v>1</v>
      </c>
      <c r="D13" s="147"/>
      <c r="E13" s="136" t="str">
        <f>'Link In'!B7</f>
        <v>Base Year at 2/28/19</v>
      </c>
      <c r="F13" s="147"/>
      <c r="G13" s="136" t="s">
        <v>3</v>
      </c>
      <c r="H13" s="148"/>
      <c r="I13" s="136" t="s">
        <v>2</v>
      </c>
      <c r="J13" s="147"/>
      <c r="K13" s="136" t="str">
        <f>'Link In'!B9</f>
        <v>Forecast Year at 6/30/2020</v>
      </c>
      <c r="M13" s="136" t="s">
        <v>2</v>
      </c>
    </row>
    <row r="15" spans="1:13">
      <c r="A15" s="80">
        <v>1</v>
      </c>
      <c r="C15" s="87" t="str">
        <f>'Link In'!A6</f>
        <v>For the 12 Months Ending June 30, 2020</v>
      </c>
      <c r="E15" s="149">
        <f>'Summary by Account'!E22</f>
        <v>5064176.1457801368</v>
      </c>
      <c r="F15" s="150"/>
      <c r="G15" s="150"/>
      <c r="H15" s="150"/>
      <c r="I15" s="150"/>
      <c r="J15" s="150"/>
      <c r="K15" s="150">
        <f>E15</f>
        <v>5064176.1457801368</v>
      </c>
    </row>
    <row r="16" spans="1:13">
      <c r="A16" s="80">
        <v>2</v>
      </c>
      <c r="E16" s="151"/>
      <c r="F16" s="151"/>
      <c r="G16" s="151"/>
      <c r="H16" s="151"/>
      <c r="I16" s="151"/>
      <c r="J16" s="151"/>
      <c r="K16" s="151"/>
    </row>
    <row r="17" spans="1:13">
      <c r="A17" s="80">
        <v>3</v>
      </c>
      <c r="E17" s="151"/>
      <c r="F17" s="151"/>
      <c r="G17" s="151"/>
      <c r="H17" s="151"/>
      <c r="I17" s="151"/>
      <c r="J17" s="151"/>
      <c r="K17" s="151"/>
    </row>
    <row r="18" spans="1:13">
      <c r="A18" s="80">
        <v>4</v>
      </c>
      <c r="C18" s="87" t="s">
        <v>4</v>
      </c>
      <c r="E18" s="151"/>
      <c r="F18" s="151"/>
      <c r="G18" s="151"/>
      <c r="H18" s="151"/>
      <c r="I18" s="151"/>
      <c r="J18" s="151"/>
      <c r="K18" s="151"/>
    </row>
    <row r="19" spans="1:13" ht="12.75" customHeight="1">
      <c r="A19" s="80">
        <v>5</v>
      </c>
      <c r="C19" s="152" t="s">
        <v>304</v>
      </c>
      <c r="E19" s="151"/>
      <c r="F19" s="151"/>
      <c r="G19" s="153">
        <f>'Summary by Account'!G22</f>
        <v>-2420051.7676200503</v>
      </c>
      <c r="H19" s="151"/>
      <c r="I19" s="154" t="str">
        <f>'Link In'!A37</f>
        <v>Schedule D-2.3</v>
      </c>
      <c r="J19" s="151"/>
      <c r="K19" s="151"/>
    </row>
    <row r="20" spans="1:13">
      <c r="A20" s="80">
        <v>6</v>
      </c>
      <c r="C20" s="152"/>
      <c r="E20" s="151"/>
      <c r="F20" s="151"/>
      <c r="G20" s="153"/>
      <c r="H20" s="151"/>
      <c r="I20" s="154"/>
      <c r="J20" s="151"/>
      <c r="K20" s="151"/>
    </row>
    <row r="21" spans="1:13">
      <c r="A21" s="80">
        <v>7</v>
      </c>
      <c r="C21" s="152"/>
      <c r="E21" s="151"/>
      <c r="F21" s="151"/>
      <c r="G21" s="153"/>
      <c r="H21" s="151"/>
      <c r="I21" s="154"/>
      <c r="J21" s="151"/>
      <c r="K21" s="151"/>
    </row>
    <row r="22" spans="1:13">
      <c r="A22" s="80">
        <v>8</v>
      </c>
      <c r="C22" s="87" t="s">
        <v>5</v>
      </c>
      <c r="E22" s="151"/>
      <c r="F22" s="151"/>
      <c r="G22" s="325">
        <f>SUM(G19:G21)</f>
        <v>-2420051.7676200503</v>
      </c>
      <c r="H22" s="156"/>
      <c r="I22" s="156"/>
      <c r="J22" s="156"/>
      <c r="K22" s="325">
        <f>G22</f>
        <v>-2420051.7676200503</v>
      </c>
      <c r="M22" s="123" t="str">
        <f>'Link In'!A37</f>
        <v>Schedule D-2.3</v>
      </c>
    </row>
    <row r="23" spans="1:13">
      <c r="A23" s="80">
        <v>9</v>
      </c>
      <c r="E23" s="151"/>
      <c r="F23" s="151"/>
      <c r="G23" s="151"/>
      <c r="H23" s="151"/>
      <c r="I23" s="151"/>
      <c r="J23" s="151"/>
      <c r="K23" s="151"/>
    </row>
    <row r="24" spans="1:13">
      <c r="A24" s="80">
        <v>10</v>
      </c>
      <c r="E24" s="151"/>
      <c r="F24" s="151"/>
      <c r="G24" s="151"/>
      <c r="H24" s="151"/>
      <c r="I24" s="151"/>
      <c r="J24" s="151"/>
      <c r="K24" s="151"/>
    </row>
    <row r="25" spans="1:13" ht="15" thickBot="1">
      <c r="A25" s="80">
        <v>11</v>
      </c>
      <c r="C25" s="87" t="s">
        <v>276</v>
      </c>
      <c r="E25" s="151"/>
      <c r="F25" s="151"/>
      <c r="G25" s="151"/>
      <c r="H25" s="151"/>
      <c r="I25" s="151"/>
      <c r="J25" s="151"/>
      <c r="K25" s="155">
        <f>K15+K22</f>
        <v>2644124.3781600865</v>
      </c>
    </row>
    <row r="26" spans="1:13" ht="15" thickTop="1">
      <c r="A26" s="80">
        <v>12</v>
      </c>
    </row>
  </sheetData>
  <mergeCells count="4">
    <mergeCell ref="A4:M4"/>
    <mergeCell ref="A5:M5"/>
    <mergeCell ref="A6:M6"/>
    <mergeCell ref="A7:M7"/>
  </mergeCells>
  <printOptions horizontalCentered="1"/>
  <pageMargins left="0.75" right="0.75" top="0.75" bottom="0.75" header="0.3" footer="0.3"/>
  <pageSetup scale="88" orientation="landscape"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workbookViewId="0"/>
  </sheetViews>
  <sheetFormatPr defaultColWidth="9.109375" defaultRowHeight="14.4"/>
  <cols>
    <col min="1" max="1" width="11.5546875" style="122" customWidth="1"/>
    <col min="2" max="2" width="1.5546875" style="122" customWidth="1"/>
    <col min="3" max="3" width="28.44140625" style="122" bestFit="1" customWidth="1"/>
    <col min="4" max="4" width="1.5546875" style="122" customWidth="1"/>
    <col min="5" max="5" width="17" style="122" customWidth="1"/>
    <col min="6" max="6" width="1.5546875" style="122" customWidth="1"/>
    <col min="7" max="7" width="14.5546875" style="122" customWidth="1"/>
    <col min="8" max="8" width="1.5546875" style="122" customWidth="1"/>
    <col min="9" max="9" width="14.5546875" style="122" hidden="1" customWidth="1"/>
    <col min="10" max="10" width="19.44140625" style="122" customWidth="1"/>
    <col min="11" max="11" width="2.44140625" style="170" customWidth="1"/>
    <col min="12" max="12" width="19.44140625" style="303" customWidth="1"/>
    <col min="13" max="13" width="3.44140625" style="170" customWidth="1"/>
    <col min="14" max="14" width="19.44140625" style="303" customWidth="1"/>
    <col min="15" max="15" width="1.5546875" style="122" customWidth="1"/>
    <col min="16" max="16" width="9.109375" style="122"/>
    <col min="17" max="17" width="1.5546875" style="122" customWidth="1"/>
    <col min="18" max="18" width="9.109375" style="122"/>
    <col min="19" max="19" width="1.5546875" style="122" customWidth="1"/>
    <col min="20" max="20" width="9.109375" style="122"/>
    <col min="21" max="21" width="1.5546875" style="122" customWidth="1"/>
    <col min="22" max="22" width="9.109375" style="122"/>
    <col min="23" max="23" width="1.5546875" style="122" customWidth="1"/>
    <col min="24" max="24" width="9.109375" style="122"/>
    <col min="25" max="25" width="1.5546875" style="122" customWidth="1"/>
    <col min="26" max="26" width="9.109375" style="122"/>
    <col min="27" max="27" width="1.5546875" style="122" customWidth="1"/>
    <col min="28" max="28" width="9.109375" style="122"/>
    <col min="29" max="29" width="1.5546875" style="122" customWidth="1"/>
    <col min="30" max="30" width="9.109375" style="122"/>
    <col min="31" max="31" width="1.5546875" style="122" customWidth="1"/>
    <col min="32" max="32" width="9.109375" style="122"/>
    <col min="33" max="33" width="1.5546875" style="122" customWidth="1"/>
    <col min="34" max="34" width="9.109375" style="122"/>
    <col min="35" max="35" width="1.5546875" style="122" customWidth="1"/>
    <col min="36" max="36" width="9.109375" style="122"/>
    <col min="37" max="37" width="1.5546875" style="122" customWidth="1"/>
    <col min="38" max="38" width="9.109375" style="122"/>
    <col min="39" max="39" width="1.5546875" style="122" customWidth="1"/>
    <col min="40" max="40" width="9.109375" style="122"/>
    <col min="41" max="41" width="1.5546875" style="122" customWidth="1"/>
    <col min="42" max="42" width="9.109375" style="122"/>
    <col min="43" max="43" width="1.5546875" style="122" customWidth="1"/>
    <col min="44" max="44" width="9.109375" style="122"/>
    <col min="45" max="45" width="1.5546875" style="122" customWidth="1"/>
    <col min="46" max="16384" width="9.109375" style="122"/>
  </cols>
  <sheetData>
    <row r="1" spans="1:16">
      <c r="A1" s="145" t="s">
        <v>11</v>
      </c>
      <c r="B1" s="145"/>
      <c r="C1" s="145"/>
      <c r="D1" s="145"/>
      <c r="E1" s="145"/>
      <c r="F1" s="145"/>
      <c r="G1" s="145"/>
      <c r="H1" s="145"/>
      <c r="I1" s="145"/>
      <c r="K1" s="107"/>
      <c r="L1" s="91"/>
      <c r="M1" s="107"/>
      <c r="N1" s="91" t="str">
        <f>'Link In'!A36</f>
        <v>W/P - 6-1</v>
      </c>
      <c r="O1" s="134"/>
    </row>
    <row r="2" spans="1:16">
      <c r="A2" s="145" t="s">
        <v>12</v>
      </c>
      <c r="B2" s="145"/>
      <c r="C2" s="145"/>
      <c r="D2" s="145"/>
      <c r="E2" s="145"/>
      <c r="F2" s="145"/>
      <c r="G2" s="145"/>
      <c r="H2" s="145"/>
      <c r="I2" s="145"/>
      <c r="K2" s="89"/>
      <c r="L2" s="146"/>
      <c r="M2" s="89"/>
      <c r="N2" s="146" t="str">
        <f ca="1">RIGHT(CELL("filename",$A$1),LEN(CELL("filename",$A$1))-SEARCH("\Taxes",CELL("filename",$A$1),1))</f>
        <v>Taxes\[KAWC 2018 Rate Case - Income Tax Exhibit.xlsx]Summary by Account</v>
      </c>
      <c r="O2" s="134"/>
    </row>
    <row r="4" spans="1:16">
      <c r="A4" s="406" t="str">
        <f>'Link In'!A1</f>
        <v>Kentucky American Water Company</v>
      </c>
      <c r="B4" s="406"/>
      <c r="C4" s="406"/>
      <c r="D4" s="406"/>
      <c r="E4" s="406"/>
      <c r="F4" s="406"/>
      <c r="G4" s="406"/>
      <c r="H4" s="406"/>
      <c r="I4" s="406"/>
      <c r="J4" s="406"/>
      <c r="K4" s="406"/>
      <c r="L4" s="406"/>
      <c r="M4" s="406"/>
      <c r="N4" s="406"/>
      <c r="O4" s="406"/>
    </row>
    <row r="5" spans="1:16">
      <c r="A5" s="406" t="str">
        <f>'Link In'!A3</f>
        <v>Case No. 2018-00358</v>
      </c>
      <c r="B5" s="406"/>
      <c r="C5" s="406"/>
      <c r="D5" s="406"/>
      <c r="E5" s="406"/>
      <c r="F5" s="406"/>
      <c r="G5" s="406"/>
      <c r="H5" s="406"/>
      <c r="I5" s="406"/>
      <c r="J5" s="406"/>
      <c r="K5" s="406"/>
      <c r="L5" s="406"/>
      <c r="M5" s="406"/>
      <c r="N5" s="406"/>
      <c r="O5" s="406"/>
    </row>
    <row r="6" spans="1:16">
      <c r="A6" s="406" t="str">
        <f>'Link In'!A34</f>
        <v>Base Year Adjustment Federal and State Taxes</v>
      </c>
      <c r="B6" s="406"/>
      <c r="C6" s="406"/>
      <c r="D6" s="406"/>
      <c r="E6" s="406"/>
      <c r="F6" s="406"/>
      <c r="G6" s="406"/>
      <c r="H6" s="406"/>
      <c r="I6" s="406"/>
      <c r="J6" s="406"/>
      <c r="K6" s="406"/>
      <c r="L6" s="406"/>
      <c r="M6" s="406"/>
      <c r="N6" s="406"/>
      <c r="O6" s="406"/>
    </row>
    <row r="7" spans="1:16">
      <c r="A7" s="406" t="s">
        <v>247</v>
      </c>
      <c r="B7" s="406"/>
      <c r="C7" s="406"/>
      <c r="D7" s="406"/>
      <c r="E7" s="406"/>
      <c r="F7" s="406"/>
      <c r="G7" s="406"/>
      <c r="H7" s="406"/>
      <c r="I7" s="406"/>
      <c r="J7" s="406"/>
      <c r="K7" s="406"/>
      <c r="L7" s="406"/>
      <c r="M7" s="406"/>
      <c r="N7" s="406"/>
      <c r="O7" s="406"/>
      <c r="P7" s="350"/>
    </row>
    <row r="9" spans="1:16">
      <c r="A9" s="87" t="str">
        <f>'Link In'!A28</f>
        <v>Witness Responsible:   John Wilde</v>
      </c>
    </row>
    <row r="10" spans="1:16">
      <c r="A10" s="87" t="str">
        <f>'Link In'!A15</f>
        <v>Type of Filing: __X__ Original  _____ Updated  _____ Revised</v>
      </c>
    </row>
    <row r="11" spans="1:16">
      <c r="A11" s="87"/>
      <c r="J11" s="365" t="s">
        <v>112</v>
      </c>
      <c r="K11" s="94"/>
      <c r="L11" s="365"/>
      <c r="M11" s="94"/>
      <c r="N11" s="365" t="s">
        <v>281</v>
      </c>
    </row>
    <row r="12" spans="1:16" ht="54.75" customHeight="1">
      <c r="A12" s="119" t="s">
        <v>22</v>
      </c>
      <c r="C12" s="119" t="s">
        <v>23</v>
      </c>
      <c r="E12" s="136" t="str">
        <f>'Link In'!A7</f>
        <v>Base Year for the 12 Months Ended February 28, 2019</v>
      </c>
      <c r="G12" s="136" t="s">
        <v>3</v>
      </c>
      <c r="H12" s="148"/>
      <c r="I12" s="136" t="s">
        <v>2</v>
      </c>
      <c r="J12" s="136" t="str">
        <f>'Link In'!A9</f>
        <v>Forecast Year for the 12 Months Ended June 30, 2020</v>
      </c>
      <c r="K12" s="148"/>
      <c r="L12" s="140" t="s">
        <v>21</v>
      </c>
      <c r="M12" s="373"/>
      <c r="N12" s="136" t="str">
        <f>J12</f>
        <v>Forecast Year for the 12 Months Ended June 30, 2020</v>
      </c>
    </row>
    <row r="14" spans="1:16">
      <c r="C14" s="289" t="s">
        <v>184</v>
      </c>
      <c r="E14" s="160">
        <f>+'E-1.2 State Inc Tax Base'!G56</f>
        <v>1042164.2999302045</v>
      </c>
      <c r="F14" s="156"/>
      <c r="G14" s="156">
        <f>J14-E14</f>
        <v>-303292.80214812886</v>
      </c>
      <c r="H14" s="156"/>
      <c r="I14" s="157"/>
      <c r="J14" s="158">
        <f>+'E-1.4 State Inc Tax Forecast'!G54</f>
        <v>738871.49778207566</v>
      </c>
      <c r="K14" s="372"/>
      <c r="L14" s="159">
        <f t="shared" ref="L14:L20" si="0">N14-J14</f>
        <v>974045.79392830946</v>
      </c>
      <c r="M14" s="153"/>
      <c r="N14" s="156">
        <f>'E-1.4 State Inc Tax Forecast'!K54</f>
        <v>1712917.2917103851</v>
      </c>
    </row>
    <row r="15" spans="1:16">
      <c r="C15" s="289" t="s">
        <v>185</v>
      </c>
      <c r="E15" s="159">
        <f>+'E-1.2 State Inc Tax Base'!G72</f>
        <v>-52133.283465353408</v>
      </c>
      <c r="F15" s="159"/>
      <c r="G15" s="159">
        <f>J15-E15</f>
        <v>-183028.70093529852</v>
      </c>
      <c r="H15" s="159"/>
      <c r="I15" s="159"/>
      <c r="J15" s="159">
        <f>'E-1.4 State Inc Tax Forecast'!G66</f>
        <v>-235161.98440065191</v>
      </c>
      <c r="K15" s="153"/>
      <c r="L15" s="159">
        <f t="shared" si="0"/>
        <v>0</v>
      </c>
      <c r="M15" s="153"/>
      <c r="N15" s="159">
        <f>'E-1.4 State Inc Tax Forecast'!K66</f>
        <v>-235161.98440065191</v>
      </c>
    </row>
    <row r="16" spans="1:16">
      <c r="C16" s="289"/>
      <c r="E16" s="159"/>
      <c r="F16" s="159"/>
      <c r="G16" s="159"/>
      <c r="H16" s="159"/>
      <c r="I16" s="159"/>
      <c r="J16" s="159"/>
      <c r="K16" s="153"/>
      <c r="L16" s="159">
        <f t="shared" si="0"/>
        <v>0</v>
      </c>
      <c r="M16" s="153"/>
      <c r="N16" s="159"/>
    </row>
    <row r="17" spans="3:14">
      <c r="C17" s="289" t="s">
        <v>186</v>
      </c>
      <c r="E17" s="159">
        <f>+'E-1.1 Federal Inc Tax Base'!G59</f>
        <v>4831489.9500022596</v>
      </c>
      <c r="F17" s="159"/>
      <c r="G17" s="159">
        <f>J17-E17</f>
        <v>-1298605.0209222543</v>
      </c>
      <c r="H17" s="159"/>
      <c r="I17" s="159"/>
      <c r="J17" s="159">
        <f>+'E-1.3 Federal Inc Tax Forecast'!G55</f>
        <v>3532884.9290800053</v>
      </c>
      <c r="K17" s="153"/>
      <c r="L17" s="159">
        <f t="shared" si="0"/>
        <v>3920624.087317944</v>
      </c>
      <c r="M17" s="153"/>
      <c r="N17" s="158">
        <f>'E-1.3 Federal Inc Tax Forecast'!K55</f>
        <v>7453509.0163979493</v>
      </c>
    </row>
    <row r="18" spans="3:14">
      <c r="C18" s="289" t="s">
        <v>187</v>
      </c>
      <c r="E18" s="159">
        <f>+'E-1.1 Federal Inc Tax Base'!G75-'E-1.1 Federal Inc Tax Base'!G74</f>
        <v>-678852.8206869741</v>
      </c>
      <c r="F18" s="159"/>
      <c r="G18" s="159">
        <f>J18-E18</f>
        <v>-635125.24361436837</v>
      </c>
      <c r="H18" s="159"/>
      <c r="I18" s="159"/>
      <c r="J18" s="159">
        <f>'E-1.3 Federal Inc Tax Forecast'!G69-'E-1.3 Federal Inc Tax Forecast'!G68</f>
        <v>-1313978.0643013425</v>
      </c>
      <c r="K18" s="153"/>
      <c r="L18" s="159">
        <f t="shared" si="0"/>
        <v>0</v>
      </c>
      <c r="M18" s="153"/>
      <c r="N18" s="159">
        <f>'E-1.3 Federal Inc Tax Forecast'!K69-'E-1.3 Federal Inc Tax Forecast'!K68</f>
        <v>-1313978.0643013425</v>
      </c>
    </row>
    <row r="19" spans="3:14">
      <c r="C19" s="289"/>
      <c r="E19" s="159"/>
      <c r="F19" s="159"/>
      <c r="G19" s="159"/>
      <c r="H19" s="159"/>
      <c r="I19" s="159"/>
      <c r="J19" s="159"/>
      <c r="K19" s="153"/>
      <c r="L19" s="159">
        <f t="shared" si="0"/>
        <v>0</v>
      </c>
      <c r="M19" s="153"/>
      <c r="N19" s="159"/>
    </row>
    <row r="20" spans="3:14">
      <c r="C20" s="289" t="s">
        <v>183</v>
      </c>
      <c r="E20" s="159">
        <f>'Link In'!B163</f>
        <v>-78492</v>
      </c>
      <c r="F20" s="159"/>
      <c r="G20" s="159">
        <f>J20-E20</f>
        <v>0</v>
      </c>
      <c r="H20" s="159"/>
      <c r="I20" s="159"/>
      <c r="J20" s="159">
        <f>'E-1.3 Federal Inc Tax Forecast'!G68</f>
        <v>-78492</v>
      </c>
      <c r="K20" s="153"/>
      <c r="L20" s="159">
        <f t="shared" si="0"/>
        <v>0</v>
      </c>
      <c r="M20" s="153"/>
      <c r="N20" s="159">
        <f>'E-1.3 Federal Inc Tax Forecast'!K68</f>
        <v>-78492</v>
      </c>
    </row>
    <row r="21" spans="3:14">
      <c r="C21" s="265"/>
      <c r="E21" s="369"/>
      <c r="F21" s="159"/>
      <c r="G21" s="369"/>
      <c r="H21" s="151"/>
      <c r="I21" s="154"/>
      <c r="J21" s="369"/>
      <c r="K21" s="153"/>
      <c r="L21" s="153"/>
      <c r="M21" s="153"/>
      <c r="N21" s="153"/>
    </row>
    <row r="22" spans="3:14" s="299" customFormat="1" ht="15" thickBot="1">
      <c r="C22" s="346"/>
      <c r="E22" s="374">
        <f>SUM(E14:E21)</f>
        <v>5064176.1457801368</v>
      </c>
      <c r="F22" s="375"/>
      <c r="G22" s="374">
        <f>SUM(G14:G21)</f>
        <v>-2420051.7676200503</v>
      </c>
      <c r="H22" s="376"/>
      <c r="I22" s="377"/>
      <c r="J22" s="374">
        <f>SUM(J14:J21)</f>
        <v>2644124.3781600865</v>
      </c>
      <c r="K22" s="378"/>
      <c r="L22" s="374">
        <f>SUM(L14:L21)</f>
        <v>4894669.8812462538</v>
      </c>
      <c r="M22" s="378"/>
      <c r="N22" s="374">
        <f>SUM(N14:N21)</f>
        <v>7538794.2594063403</v>
      </c>
    </row>
    <row r="23" spans="3:14" s="303" customFormat="1" ht="15" thickTop="1">
      <c r="C23" s="265"/>
      <c r="E23" s="159"/>
      <c r="F23" s="159"/>
      <c r="G23" s="159"/>
      <c r="H23" s="151"/>
      <c r="I23" s="154"/>
      <c r="J23" s="159"/>
      <c r="K23" s="153"/>
      <c r="L23" s="159"/>
      <c r="M23" s="153"/>
      <c r="N23" s="159"/>
    </row>
    <row r="24" spans="3:14">
      <c r="C24" s="291" t="s">
        <v>188</v>
      </c>
      <c r="E24" s="159"/>
      <c r="F24" s="151"/>
      <c r="G24" s="159"/>
      <c r="H24" s="151"/>
      <c r="I24" s="154"/>
      <c r="J24" s="159"/>
      <c r="K24" s="153"/>
      <c r="L24" s="159"/>
      <c r="M24" s="153"/>
      <c r="N24" s="159"/>
    </row>
    <row r="25" spans="3:14">
      <c r="C25" s="290" t="s">
        <v>189</v>
      </c>
      <c r="E25" s="159">
        <f>'E-1.1 Federal Inc Tax Base'!G72</f>
        <v>-65942.498360214944</v>
      </c>
      <c r="F25" s="151"/>
      <c r="G25" s="159">
        <f t="shared" ref="G25:G26" si="1">J25-E25</f>
        <v>11320.277919333181</v>
      </c>
      <c r="H25" s="151"/>
      <c r="I25" s="154"/>
      <c r="J25" s="159">
        <f>'E-1.3 Federal Inc Tax Forecast'!$G$66</f>
        <v>-54622.220440881763</v>
      </c>
      <c r="K25" s="153"/>
      <c r="L25" s="159">
        <f>N25-J25</f>
        <v>0</v>
      </c>
      <c r="M25" s="153"/>
      <c r="N25" s="159">
        <f>+'E-1.3 Federal Inc Tax Forecast'!K66</f>
        <v>-54622.220440881763</v>
      </c>
    </row>
    <row r="26" spans="3:14">
      <c r="C26" s="290" t="s">
        <v>190</v>
      </c>
      <c r="E26" s="159">
        <f>'E-1.1 Federal Inc Tax Base'!G67</f>
        <v>-612910.32232675911</v>
      </c>
      <c r="F26" s="151"/>
      <c r="G26" s="159">
        <f t="shared" si="1"/>
        <v>-646445.52153370157</v>
      </c>
      <c r="H26" s="151"/>
      <c r="I26" s="154"/>
      <c r="J26" s="159">
        <f>'E-1.3 Federal Inc Tax Forecast'!$G$63</f>
        <v>-1259355.8438604607</v>
      </c>
      <c r="K26" s="153"/>
      <c r="L26" s="159">
        <f>N26-J26</f>
        <v>0</v>
      </c>
      <c r="M26" s="153"/>
      <c r="N26" s="159">
        <f>+'E-1.3 Federal Inc Tax Forecast'!K63</f>
        <v>-1259355.8438604607</v>
      </c>
    </row>
    <row r="27" spans="3:14">
      <c r="C27" s="290" t="s">
        <v>191</v>
      </c>
      <c r="E27" s="159"/>
      <c r="F27" s="151"/>
      <c r="G27" s="159"/>
      <c r="H27" s="151"/>
      <c r="I27" s="154"/>
      <c r="J27" s="159"/>
      <c r="K27" s="153"/>
      <c r="L27" s="159"/>
      <c r="M27" s="153"/>
      <c r="N27" s="159"/>
    </row>
    <row r="28" spans="3:14">
      <c r="C28" s="265"/>
      <c r="E28" s="159"/>
      <c r="F28" s="151"/>
      <c r="G28" s="159"/>
      <c r="H28" s="151"/>
      <c r="I28" s="154"/>
      <c r="J28" s="159"/>
      <c r="K28" s="153"/>
      <c r="L28" s="159"/>
      <c r="M28" s="153"/>
      <c r="N28" s="159"/>
    </row>
    <row r="29" spans="3:14">
      <c r="C29" s="290" t="s">
        <v>192</v>
      </c>
      <c r="E29" s="159">
        <f>'E-1.2 State Inc Tax Base'!G71</f>
        <v>-62971</v>
      </c>
      <c r="F29" s="151"/>
      <c r="G29" s="159">
        <f t="shared" ref="G29:G30" si="2">J29-E29</f>
        <v>596.88874733349076</v>
      </c>
      <c r="H29" s="151"/>
      <c r="I29" s="154"/>
      <c r="J29" s="159">
        <f>'E-1.4 State Inc Tax Forecast'!$G$65</f>
        <v>-62374.111252666509</v>
      </c>
      <c r="K29" s="153"/>
      <c r="L29" s="159">
        <f>N29-J29</f>
        <v>0</v>
      </c>
      <c r="M29" s="153"/>
      <c r="N29" s="159">
        <f>+'E-1.4 State Inc Tax Forecast'!K65</f>
        <v>-62374.111252666509</v>
      </c>
    </row>
    <row r="30" spans="3:14">
      <c r="C30" s="290" t="s">
        <v>193</v>
      </c>
      <c r="E30" s="159">
        <f>'E-1.2 State Inc Tax Base'!G66</f>
        <v>10837.716534646592</v>
      </c>
      <c r="F30" s="151"/>
      <c r="G30" s="159">
        <f t="shared" si="2"/>
        <v>-183625.58968263201</v>
      </c>
      <c r="H30" s="151"/>
      <c r="I30" s="154"/>
      <c r="J30" s="159">
        <f>'E-1.4 State Inc Tax Forecast'!$G$62</f>
        <v>-172787.8731479854</v>
      </c>
      <c r="K30" s="153"/>
      <c r="L30" s="159">
        <f>N30-J30</f>
        <v>0</v>
      </c>
      <c r="M30" s="153"/>
      <c r="N30" s="159">
        <f>+'E-1.4 State Inc Tax Forecast'!K62</f>
        <v>-172787.8731479854</v>
      </c>
    </row>
    <row r="31" spans="3:14">
      <c r="C31" s="78"/>
      <c r="E31" s="159"/>
      <c r="F31" s="151"/>
      <c r="G31" s="159"/>
      <c r="H31" s="151"/>
      <c r="I31" s="154"/>
      <c r="J31" s="159"/>
      <c r="K31" s="153"/>
      <c r="L31" s="159"/>
      <c r="M31" s="153"/>
      <c r="N31" s="159"/>
    </row>
    <row r="32" spans="3:14" s="299" customFormat="1" ht="15" thickBot="1">
      <c r="E32" s="379">
        <f>SUM(E25:E31)</f>
        <v>-730986.10415232752</v>
      </c>
      <c r="G32" s="379">
        <f>SUM(G25:G31)</f>
        <v>-818153.94454966683</v>
      </c>
      <c r="J32" s="379">
        <f>SUM(J25:J31)</f>
        <v>-1549140.0487019944</v>
      </c>
      <c r="K32" s="311"/>
      <c r="L32" s="379">
        <f>SUM(L25:L31)</f>
        <v>0</v>
      </c>
      <c r="M32" s="311"/>
      <c r="N32" s="379">
        <f>SUM(N25:N31)</f>
        <v>-1549140.0487019944</v>
      </c>
    </row>
    <row r="33" ht="15" thickTop="1"/>
  </sheetData>
  <mergeCells count="4">
    <mergeCell ref="A4:O4"/>
    <mergeCell ref="A5:O5"/>
    <mergeCell ref="A6:O6"/>
    <mergeCell ref="A7:O7"/>
  </mergeCells>
  <pageMargins left="0.7" right="0.7" top="0.75" bottom="0.75" header="0.3" footer="0.3"/>
  <pageSetup scale="62" orientation="portrait"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heetViews>
  <sheetFormatPr defaultColWidth="9.109375" defaultRowHeight="13.8"/>
  <cols>
    <col min="1" max="1" width="1.5546875" style="2" customWidth="1"/>
    <col min="2" max="2" width="41.21875" style="2" customWidth="1"/>
    <col min="3" max="3" width="1.5546875" style="2" customWidth="1"/>
    <col min="4" max="4" width="9.109375" style="2"/>
    <col min="5" max="5" width="1.5546875" style="2" customWidth="1"/>
    <col min="6" max="6" width="9.109375" style="2"/>
    <col min="7" max="7" width="1.5546875" style="2" customWidth="1"/>
    <col min="8" max="8" width="9.109375" style="2"/>
    <col min="9" max="9" width="1.5546875" style="2" customWidth="1"/>
    <col min="10" max="10" width="9.109375" style="2"/>
    <col min="11" max="11" width="1.5546875" style="2" customWidth="1"/>
    <col min="12" max="12" width="9.109375" style="2"/>
    <col min="13" max="13" width="1.5546875" style="2" customWidth="1"/>
    <col min="14" max="14" width="9.109375" style="2"/>
    <col min="15" max="15" width="1.5546875" style="2" customWidth="1"/>
    <col min="16" max="16" width="9.109375" style="2"/>
    <col min="17" max="17" width="1.5546875" style="2" customWidth="1"/>
    <col min="18" max="18" width="9.109375" style="2"/>
    <col min="19" max="19" width="1.5546875" style="2" customWidth="1"/>
    <col min="20" max="20" width="9.109375" style="2"/>
    <col min="21" max="21" width="1.5546875" style="2" customWidth="1"/>
    <col min="22" max="22" width="9.109375" style="2"/>
    <col min="23" max="23" width="1.5546875" style="2" customWidth="1"/>
    <col min="24" max="24" width="9.109375" style="2"/>
    <col min="25" max="25" width="1.5546875" style="2" customWidth="1"/>
    <col min="26" max="26" width="9.109375" style="2"/>
    <col min="27" max="27" width="1.5546875" style="2" customWidth="1"/>
    <col min="28" max="28" width="9.109375" style="2"/>
    <col min="29" max="29" width="1.5546875" style="2" customWidth="1"/>
    <col min="30" max="30" width="9.109375" style="2"/>
    <col min="31" max="31" width="1.5546875" style="2" customWidth="1"/>
    <col min="32" max="32" width="9.109375" style="2"/>
    <col min="33" max="33" width="1.5546875" style="2" customWidth="1"/>
    <col min="34" max="34" width="9.109375" style="2"/>
    <col min="35" max="35" width="1.5546875" style="2" customWidth="1"/>
    <col min="36" max="36" width="9.109375" style="2"/>
    <col min="37" max="37" width="1.5546875" style="2" customWidth="1"/>
    <col min="38" max="38" width="9.109375" style="2"/>
    <col min="39" max="39" width="1.5546875" style="2" customWidth="1"/>
    <col min="40" max="40" width="9.109375" style="2"/>
    <col min="41" max="41" width="1.5546875" style="2" customWidth="1"/>
    <col min="42" max="42" width="9.109375" style="2"/>
    <col min="43" max="43" width="1.5546875" style="2" customWidth="1"/>
    <col min="44" max="44" width="9.44140625" style="2" customWidth="1"/>
    <col min="45" max="45" width="1.5546875" style="2" customWidth="1"/>
    <col min="46" max="46" width="9.109375" style="2"/>
    <col min="47" max="47" width="1.5546875" style="2" customWidth="1"/>
    <col min="48" max="48" width="9.109375" style="2"/>
    <col min="49" max="49" width="1.5546875" style="2" customWidth="1"/>
    <col min="50" max="16384" width="9.109375" style="2"/>
  </cols>
  <sheetData>
    <row r="1" spans="1:13">
      <c r="A1" s="1" t="s">
        <v>11</v>
      </c>
      <c r="B1" s="1"/>
      <c r="C1" s="1"/>
      <c r="D1" s="1"/>
      <c r="E1" s="1"/>
      <c r="F1" s="1"/>
      <c r="G1" s="1"/>
      <c r="H1" s="1"/>
      <c r="I1" s="1"/>
      <c r="J1" s="1"/>
      <c r="L1" s="4" t="str">
        <f>'Link In'!A36</f>
        <v>W/P - 6-1</v>
      </c>
    </row>
    <row r="2" spans="1:13">
      <c r="A2" s="1" t="s">
        <v>12</v>
      </c>
      <c r="B2" s="1"/>
      <c r="C2" s="1"/>
      <c r="D2" s="1"/>
      <c r="E2" s="1"/>
      <c r="F2" s="1"/>
      <c r="G2" s="1"/>
      <c r="H2" s="1"/>
      <c r="I2" s="1"/>
      <c r="J2" s="1"/>
      <c r="L2" s="5" t="str">
        <f ca="1">RIGHT(CELL("filename",$A$1),LEN(CELL("filename",$A$1))-SEARCH("\Taxes",CELL("filename",$A$1),1))</f>
        <v>Taxes\[KAWC 2018 Rate Case - Income Tax Exhibit.xlsx]Notes</v>
      </c>
    </row>
    <row r="3" spans="1:13">
      <c r="A3" s="1"/>
      <c r="B3" s="1"/>
      <c r="C3" s="1"/>
      <c r="D3" s="1"/>
      <c r="E3" s="1"/>
      <c r="F3" s="1"/>
      <c r="G3" s="1"/>
      <c r="H3" s="1"/>
      <c r="I3" s="1"/>
      <c r="J3" s="1"/>
      <c r="L3" s="4"/>
    </row>
    <row r="4" spans="1:13">
      <c r="A4" s="3" t="s">
        <v>9</v>
      </c>
    </row>
    <row r="7" spans="1:13" ht="43.2" customHeight="1">
      <c r="A7" s="3" t="s">
        <v>18</v>
      </c>
      <c r="B7" s="408" t="s">
        <v>239</v>
      </c>
      <c r="C7" s="409"/>
      <c r="D7" s="409"/>
      <c r="E7" s="409"/>
      <c r="F7" s="409"/>
      <c r="G7" s="409"/>
      <c r="H7" s="409"/>
      <c r="I7" s="409"/>
      <c r="J7" s="409"/>
      <c r="K7" s="409"/>
      <c r="L7" s="409"/>
      <c r="M7" s="409"/>
    </row>
  </sheetData>
  <mergeCells count="1">
    <mergeCell ref="B7:M7"/>
  </mergeCells>
  <pageMargins left="0.75" right="0.75" top="0.75" bottom="0.75" header="0.3" footer="0.3"/>
  <pageSetup orientation="landscape" r:id="rId1"/>
  <headerFooter>
    <oddHeader xml:space="preserve">&amp;R&amp;10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82"/>
  <sheetViews>
    <sheetView zoomScale="80" zoomScaleNormal="80" workbookViewId="0">
      <pane ySplit="15" topLeftCell="A16" activePane="bottomLeft" state="frozen"/>
      <selection pane="bottomLeft" activeCell="A16" sqref="A16"/>
    </sheetView>
  </sheetViews>
  <sheetFormatPr defaultColWidth="9.109375" defaultRowHeight="14.4"/>
  <cols>
    <col min="1" max="1" width="3.5546875" style="303" customWidth="1"/>
    <col min="2" max="2" width="1.5546875" style="303" customWidth="1"/>
    <col min="3" max="3" width="16.44140625" style="303" customWidth="1"/>
    <col min="4" max="4" width="2" style="303" customWidth="1"/>
    <col min="5" max="5" width="78.5546875" style="303" customWidth="1"/>
    <col min="6" max="6" width="1.5546875" style="303" customWidth="1"/>
    <col min="7" max="7" width="21.44140625" style="123" customWidth="1"/>
    <col min="8" max="8" width="4.5546875" style="123" customWidth="1"/>
    <col min="9" max="9" width="17.5546875" style="303" bestFit="1" customWidth="1"/>
    <col min="10" max="10" width="2.44140625" style="303" customWidth="1"/>
    <col min="11" max="11" width="18.5546875" style="303" bestFit="1" customWidth="1"/>
    <col min="12" max="12" width="1.5546875" style="303" customWidth="1"/>
    <col min="13" max="13" width="15.109375" style="303" bestFit="1" customWidth="1"/>
    <col min="14" max="14" width="1.5546875" style="303" customWidth="1"/>
    <col min="15" max="15" width="20" style="303" bestFit="1" customWidth="1"/>
    <col min="16" max="16" width="1.5546875" style="303" customWidth="1"/>
    <col min="17" max="17" width="14.88671875" style="303" bestFit="1" customWidth="1"/>
    <col min="18" max="18" width="1.5546875" style="303" customWidth="1"/>
    <col min="19" max="19" width="13" style="303" bestFit="1" customWidth="1"/>
    <col min="20" max="20" width="1.5546875" style="303" customWidth="1"/>
    <col min="21" max="21" width="13" style="303" bestFit="1" customWidth="1"/>
    <col min="22" max="22" width="1.5546875" style="303" customWidth="1"/>
    <col min="23" max="23" width="12" style="303" bestFit="1" customWidth="1"/>
    <col min="24" max="24" width="1.5546875" style="303" customWidth="1"/>
    <col min="25" max="25" width="13" style="303" bestFit="1" customWidth="1"/>
    <col min="26" max="26" width="1.5546875" style="303" customWidth="1"/>
    <col min="27" max="27" width="9.109375" style="303"/>
    <col min="28" max="28" width="1.5546875" style="303" customWidth="1"/>
    <col min="29" max="29" width="9.109375" style="303"/>
    <col min="30" max="30" width="1.5546875" style="303" customWidth="1"/>
    <col min="31" max="31" width="9.109375" style="303"/>
    <col min="32" max="32" width="1.5546875" style="303" customWidth="1"/>
    <col min="33" max="16384" width="9.109375" style="303"/>
  </cols>
  <sheetData>
    <row r="1" spans="1:15">
      <c r="A1" s="145" t="s">
        <v>11</v>
      </c>
      <c r="B1" s="145"/>
      <c r="C1" s="145"/>
      <c r="D1" s="145"/>
      <c r="E1" s="145"/>
      <c r="F1" s="145"/>
      <c r="G1" s="270"/>
      <c r="H1" s="270"/>
      <c r="K1" s="91" t="s">
        <v>201</v>
      </c>
      <c r="L1" s="91"/>
    </row>
    <row r="2" spans="1:15">
      <c r="A2" s="145" t="s">
        <v>12</v>
      </c>
      <c r="B2" s="145"/>
      <c r="C2" s="145"/>
      <c r="D2" s="145"/>
      <c r="E2" s="145"/>
      <c r="F2" s="145"/>
      <c r="G2" s="270"/>
      <c r="H2" s="270"/>
      <c r="K2" s="146" t="str">
        <f ca="1">RIGHT(CELL("filename",$A$1),LEN(CELL("filename",$A$1))-SEARCH("\Taxes",CELL("filename",$A$1),1))</f>
        <v>Taxes\[KAWC 2018 Rate Case - Income Tax Exhibit.xlsx]E-1.1 Federal Inc Tax Base</v>
      </c>
      <c r="L2" s="146"/>
    </row>
    <row r="4" spans="1:15">
      <c r="A4" s="406" t="str">
        <f>'Link In'!A1</f>
        <v>Kentucky American Water Company</v>
      </c>
      <c r="B4" s="406"/>
      <c r="C4" s="406"/>
      <c r="D4" s="406"/>
      <c r="E4" s="406"/>
      <c r="F4" s="406"/>
      <c r="G4" s="406"/>
      <c r="H4" s="406"/>
      <c r="I4" s="406"/>
      <c r="J4" s="406"/>
      <c r="K4" s="406"/>
    </row>
    <row r="5" spans="1:15">
      <c r="A5" s="406" t="str">
        <f>'Link In'!A3</f>
        <v>Case No. 2018-00358</v>
      </c>
      <c r="B5" s="406"/>
      <c r="C5" s="406"/>
      <c r="D5" s="406"/>
      <c r="E5" s="406"/>
      <c r="F5" s="406"/>
      <c r="G5" s="406"/>
      <c r="H5" s="406"/>
      <c r="I5" s="406"/>
      <c r="J5" s="406"/>
      <c r="K5" s="406"/>
      <c r="L5" s="134"/>
      <c r="M5" s="134"/>
      <c r="N5" s="134"/>
      <c r="O5" s="134"/>
    </row>
    <row r="6" spans="1:15">
      <c r="A6" s="406" t="str">
        <f>'Link In'!A34</f>
        <v>Base Year Adjustment Federal and State Taxes</v>
      </c>
      <c r="B6" s="406"/>
      <c r="C6" s="406"/>
      <c r="D6" s="406"/>
      <c r="E6" s="406"/>
      <c r="F6" s="406"/>
      <c r="G6" s="406"/>
      <c r="H6" s="406"/>
      <c r="I6" s="406"/>
      <c r="J6" s="406"/>
      <c r="K6" s="406"/>
      <c r="L6" s="134"/>
      <c r="M6" s="134"/>
      <c r="N6" s="134"/>
      <c r="O6" s="134"/>
    </row>
    <row r="7" spans="1:15">
      <c r="A7" s="406" t="str">
        <f>'Link In'!A7</f>
        <v>Base Year for the 12 Months Ended February 28, 2019</v>
      </c>
      <c r="B7" s="406"/>
      <c r="C7" s="406"/>
      <c r="D7" s="406"/>
      <c r="E7" s="406"/>
      <c r="F7" s="406"/>
      <c r="G7" s="406"/>
      <c r="H7" s="406"/>
      <c r="I7" s="406"/>
      <c r="J7" s="406"/>
      <c r="K7" s="406"/>
      <c r="L7" s="134"/>
      <c r="M7" s="134"/>
      <c r="N7" s="134"/>
      <c r="O7" s="134"/>
    </row>
    <row r="8" spans="1:15">
      <c r="L8" s="134"/>
      <c r="M8" s="134"/>
      <c r="N8" s="134"/>
      <c r="O8" s="134"/>
    </row>
    <row r="9" spans="1:15">
      <c r="A9" s="299" t="str">
        <f>'Link In'!A28</f>
        <v>Witness Responsible:   John Wilde</v>
      </c>
      <c r="K9" s="299" t="str">
        <f>'Link In'!A36</f>
        <v>W/P - 6-1</v>
      </c>
      <c r="L9" s="134"/>
      <c r="M9" s="134"/>
      <c r="N9" s="134"/>
      <c r="O9" s="134"/>
    </row>
    <row r="10" spans="1:15">
      <c r="A10" s="299" t="str">
        <f>'Link In'!A15</f>
        <v>Type of Filing: __X__ Original  _____ Updated  _____ Revised</v>
      </c>
    </row>
    <row r="13" spans="1:15">
      <c r="G13" s="271" t="s">
        <v>34</v>
      </c>
      <c r="I13" s="307"/>
      <c r="J13" s="307"/>
      <c r="K13" s="307"/>
    </row>
    <row r="14" spans="1:15">
      <c r="A14" s="307"/>
      <c r="B14" s="307"/>
      <c r="C14" s="307"/>
      <c r="D14" s="307"/>
      <c r="E14" s="307"/>
      <c r="G14" s="271" t="s">
        <v>35</v>
      </c>
      <c r="I14" s="307"/>
      <c r="J14" s="307"/>
      <c r="K14" s="307" t="s">
        <v>36</v>
      </c>
    </row>
    <row r="15" spans="1:15">
      <c r="A15" s="307" t="s">
        <v>7</v>
      </c>
      <c r="B15" s="307"/>
      <c r="C15" s="307" t="s">
        <v>37</v>
      </c>
      <c r="D15" s="307"/>
      <c r="E15" s="307" t="s">
        <v>38</v>
      </c>
      <c r="G15" s="271" t="s">
        <v>39</v>
      </c>
      <c r="I15" s="307" t="s">
        <v>40</v>
      </c>
      <c r="J15" s="307"/>
      <c r="K15" s="307" t="s">
        <v>39</v>
      </c>
    </row>
    <row r="16" spans="1:15">
      <c r="A16" s="224">
        <v>1</v>
      </c>
      <c r="C16" s="299" t="s">
        <v>41</v>
      </c>
    </row>
    <row r="17" spans="1:15">
      <c r="A17" s="224">
        <v>2</v>
      </c>
      <c r="E17" s="303" t="s">
        <v>42</v>
      </c>
      <c r="G17" s="158">
        <f>'Link In'!B98</f>
        <v>91907987</v>
      </c>
      <c r="H17" s="174"/>
      <c r="I17" s="156">
        <v>0</v>
      </c>
      <c r="J17" s="160"/>
      <c r="K17" s="156">
        <f>G17+I17</f>
        <v>91907987</v>
      </c>
    </row>
    <row r="18" spans="1:15">
      <c r="A18" s="224">
        <v>3</v>
      </c>
      <c r="G18" s="174"/>
      <c r="H18" s="174"/>
      <c r="I18" s="160"/>
      <c r="J18" s="160"/>
      <c r="K18" s="160"/>
    </row>
    <row r="19" spans="1:15">
      <c r="A19" s="224">
        <v>4</v>
      </c>
      <c r="C19" s="299" t="s">
        <v>43</v>
      </c>
      <c r="G19" s="174"/>
      <c r="H19" s="174"/>
      <c r="I19" s="160"/>
      <c r="J19" s="160"/>
      <c r="K19" s="160"/>
    </row>
    <row r="20" spans="1:15">
      <c r="A20" s="224">
        <v>5</v>
      </c>
      <c r="E20" s="303" t="s">
        <v>44</v>
      </c>
      <c r="G20" s="174">
        <f>-'Link In'!$B$103</f>
        <v>-34285634</v>
      </c>
      <c r="H20" s="174"/>
      <c r="I20" s="160">
        <v>0</v>
      </c>
      <c r="J20" s="160"/>
      <c r="K20" s="160">
        <f>G20+I20</f>
        <v>-34285634</v>
      </c>
    </row>
    <row r="21" spans="1:15">
      <c r="A21" s="224">
        <v>6</v>
      </c>
      <c r="E21" s="303" t="s">
        <v>45</v>
      </c>
      <c r="G21" s="174">
        <f>-SUM('Link In'!$B$104:$B$107)</f>
        <v>-16551585</v>
      </c>
      <c r="H21" s="174"/>
      <c r="I21" s="160">
        <v>0</v>
      </c>
      <c r="J21" s="160"/>
      <c r="K21" s="160">
        <f>G21+I21</f>
        <v>-16551585</v>
      </c>
    </row>
    <row r="22" spans="1:15">
      <c r="A22" s="224">
        <v>7</v>
      </c>
      <c r="E22" s="303" t="s">
        <v>46</v>
      </c>
      <c r="G22" s="174">
        <f>-'Link In'!$B$111</f>
        <v>-7362427</v>
      </c>
      <c r="H22" s="174"/>
      <c r="I22" s="160">
        <v>0</v>
      </c>
      <c r="J22" s="160"/>
      <c r="K22" s="160">
        <f>G22+I22</f>
        <v>-7362427</v>
      </c>
    </row>
    <row r="23" spans="1:15">
      <c r="A23" s="224">
        <v>8</v>
      </c>
      <c r="E23" s="303" t="s">
        <v>48</v>
      </c>
      <c r="G23" s="174">
        <f>-'Link In'!L119</f>
        <v>-12919998.839426979</v>
      </c>
      <c r="H23" s="174"/>
      <c r="I23" s="160">
        <f>K23-G23</f>
        <v>0</v>
      </c>
      <c r="J23" s="160"/>
      <c r="K23" s="160">
        <f>G23</f>
        <v>-12919998.839426979</v>
      </c>
    </row>
    <row r="24" spans="1:15">
      <c r="A24" s="224">
        <v>9</v>
      </c>
      <c r="E24" s="161" t="s">
        <v>49</v>
      </c>
      <c r="G24" s="318">
        <f>SUM(G20:G23)</f>
        <v>-71119644.839426979</v>
      </c>
      <c r="H24" s="273"/>
      <c r="I24" s="283">
        <f>SUM(I20:I23)</f>
        <v>0</v>
      </c>
      <c r="J24" s="163"/>
      <c r="K24" s="283">
        <f>SUM(K20:K23)</f>
        <v>-71119644.839426979</v>
      </c>
    </row>
    <row r="25" spans="1:15">
      <c r="A25" s="224">
        <v>10</v>
      </c>
      <c r="E25" s="91"/>
      <c r="G25" s="174"/>
      <c r="H25" s="174"/>
      <c r="I25" s="160"/>
      <c r="J25" s="160"/>
      <c r="K25" s="160"/>
    </row>
    <row r="26" spans="1:15">
      <c r="A26" s="224">
        <v>11</v>
      </c>
      <c r="E26" s="91" t="s">
        <v>50</v>
      </c>
      <c r="G26" s="312">
        <f>SUM(G17:G23)</f>
        <v>20788342.160573021</v>
      </c>
      <c r="H26" s="273"/>
      <c r="I26" s="282">
        <f>SUM(I17:I23)</f>
        <v>0</v>
      </c>
      <c r="J26" s="163"/>
      <c r="K26" s="282">
        <f>SUM(K17:K23)</f>
        <v>20788342.160573021</v>
      </c>
      <c r="M26" s="366"/>
    </row>
    <row r="27" spans="1:15">
      <c r="A27" s="224">
        <v>12</v>
      </c>
      <c r="E27" s="91"/>
      <c r="G27" s="312"/>
      <c r="H27" s="273"/>
      <c r="I27" s="282"/>
      <c r="J27" s="163"/>
      <c r="K27" s="282"/>
      <c r="M27" s="366"/>
    </row>
    <row r="28" spans="1:15">
      <c r="A28" s="224">
        <v>13</v>
      </c>
      <c r="E28" s="303" t="s">
        <v>47</v>
      </c>
      <c r="G28" s="158">
        <f>-'E-1.2 State Inc Tax Base'!G58</f>
        <v>-1042164.2999302045</v>
      </c>
      <c r="H28" s="174"/>
      <c r="I28" s="156">
        <f>'E-1.2 State Inc Tax Base'!I58</f>
        <v>0</v>
      </c>
      <c r="J28" s="160"/>
      <c r="K28" s="156">
        <f>I28+G28</f>
        <v>-1042164.2999302045</v>
      </c>
      <c r="M28" s="366"/>
      <c r="O28" s="366"/>
    </row>
    <row r="29" spans="1:15">
      <c r="A29" s="224">
        <v>14</v>
      </c>
      <c r="E29" s="227" t="s">
        <v>296</v>
      </c>
      <c r="G29" s="174">
        <f>-G72-G74</f>
        <v>144434.49836021493</v>
      </c>
      <c r="H29" s="174"/>
      <c r="I29" s="160">
        <v>0</v>
      </c>
      <c r="J29" s="160"/>
      <c r="K29" s="174">
        <f>-K72-K74</f>
        <v>144434.49836021493</v>
      </c>
      <c r="M29" s="366"/>
      <c r="O29" s="366"/>
    </row>
    <row r="30" spans="1:15">
      <c r="A30" s="224">
        <v>15</v>
      </c>
      <c r="G30" s="158"/>
      <c r="H30" s="174"/>
      <c r="I30" s="156"/>
      <c r="J30" s="160"/>
      <c r="K30" s="156"/>
      <c r="M30" s="366"/>
      <c r="O30" s="366"/>
    </row>
    <row r="31" spans="1:15">
      <c r="A31" s="224">
        <v>16</v>
      </c>
      <c r="C31" s="299" t="s">
        <v>51</v>
      </c>
      <c r="G31" s="174"/>
      <c r="H31" s="174"/>
      <c r="I31" s="160"/>
      <c r="J31" s="160"/>
      <c r="K31" s="160"/>
      <c r="M31" s="366"/>
    </row>
    <row r="32" spans="1:15" ht="28.8">
      <c r="A32" s="224">
        <v>17</v>
      </c>
      <c r="E32" s="164" t="s">
        <v>52</v>
      </c>
      <c r="G32" s="174"/>
      <c r="H32" s="174"/>
      <c r="I32" s="160"/>
      <c r="J32" s="160"/>
      <c r="K32" s="160"/>
      <c r="M32" s="366"/>
    </row>
    <row r="33" spans="1:17">
      <c r="A33" s="224">
        <v>18</v>
      </c>
      <c r="E33" s="165" t="s">
        <v>53</v>
      </c>
      <c r="G33" s="174">
        <f>(+'Link In'!B124)*0.5</f>
        <v>17811</v>
      </c>
      <c r="H33" s="174"/>
      <c r="I33" s="160">
        <v>0</v>
      </c>
      <c r="J33" s="160"/>
      <c r="K33" s="160">
        <f>G33+I33</f>
        <v>17811</v>
      </c>
      <c r="M33" s="366"/>
    </row>
    <row r="34" spans="1:17">
      <c r="A34" s="224">
        <v>19</v>
      </c>
      <c r="E34" s="165" t="s">
        <v>54</v>
      </c>
      <c r="G34" s="174">
        <f>'Link In'!L118</f>
        <v>190888.77503399996</v>
      </c>
      <c r="H34" s="174"/>
      <c r="I34" s="160">
        <v>0</v>
      </c>
      <c r="J34" s="160"/>
      <c r="K34" s="160">
        <f>G34+I34</f>
        <v>190888.77503399996</v>
      </c>
      <c r="M34" s="366"/>
      <c r="O34" s="160"/>
    </row>
    <row r="35" spans="1:17">
      <c r="A35" s="224">
        <v>20</v>
      </c>
      <c r="E35" s="166" t="s">
        <v>55</v>
      </c>
      <c r="G35" s="318">
        <f>G26+G33+G34+G28+G29</f>
        <v>20099312.134037033</v>
      </c>
      <c r="H35" s="318"/>
      <c r="I35" s="318">
        <f>I26+I33+I34+I28+I29</f>
        <v>0</v>
      </c>
      <c r="J35" s="318"/>
      <c r="K35" s="318">
        <f>K26+K33+K34+K28+K29</f>
        <v>20099312.134037033</v>
      </c>
      <c r="M35" s="366"/>
      <c r="O35" s="174"/>
    </row>
    <row r="36" spans="1:17">
      <c r="A36" s="224">
        <v>21</v>
      </c>
      <c r="G36" s="174"/>
      <c r="H36" s="174"/>
      <c r="I36" s="160"/>
      <c r="J36" s="160"/>
      <c r="K36" s="160"/>
      <c r="M36" s="366"/>
    </row>
    <row r="37" spans="1:17" ht="28.8">
      <c r="A37" s="224">
        <v>22</v>
      </c>
      <c r="E37" s="164" t="s">
        <v>56</v>
      </c>
      <c r="G37" s="174"/>
      <c r="H37" s="174"/>
      <c r="I37" s="160"/>
      <c r="J37" s="160"/>
      <c r="K37" s="160"/>
      <c r="M37" s="366"/>
      <c r="O37" s="366"/>
    </row>
    <row r="38" spans="1:17">
      <c r="A38" s="224">
        <v>23</v>
      </c>
      <c r="E38" s="165" t="s">
        <v>57</v>
      </c>
      <c r="G38" s="174">
        <f>-'Link In'!B128</f>
        <v>-12669543.429947186</v>
      </c>
      <c r="H38" s="174"/>
      <c r="I38" s="160">
        <f>K38-G38</f>
        <v>0</v>
      </c>
      <c r="J38" s="160"/>
      <c r="K38" s="160">
        <f>G38</f>
        <v>-12669543.429947186</v>
      </c>
      <c r="M38" s="366"/>
      <c r="O38" s="335"/>
      <c r="Q38" s="348"/>
    </row>
    <row r="39" spans="1:17">
      <c r="A39" s="224">
        <v>24</v>
      </c>
      <c r="E39" s="165" t="s">
        <v>58</v>
      </c>
      <c r="G39" s="174">
        <f>'Link In'!B129</f>
        <v>15770655.199487986</v>
      </c>
      <c r="H39" s="174"/>
      <c r="I39" s="160">
        <f t="shared" ref="I39:I48" si="0">K39-G39</f>
        <v>0</v>
      </c>
      <c r="J39" s="160"/>
      <c r="K39" s="160">
        <f t="shared" ref="K39:K48" si="1">G39</f>
        <v>15770655.199487986</v>
      </c>
      <c r="M39" s="366"/>
      <c r="O39" s="335"/>
      <c r="Q39" s="348"/>
    </row>
    <row r="40" spans="1:17">
      <c r="A40" s="224">
        <v>25</v>
      </c>
      <c r="E40" s="165" t="s">
        <v>59</v>
      </c>
      <c r="G40" s="174">
        <f>'Link In'!B131</f>
        <v>57084</v>
      </c>
      <c r="H40" s="174"/>
      <c r="I40" s="160">
        <f t="shared" si="0"/>
        <v>0</v>
      </c>
      <c r="J40" s="160"/>
      <c r="K40" s="160">
        <f t="shared" si="1"/>
        <v>57084</v>
      </c>
      <c r="M40" s="366"/>
    </row>
    <row r="41" spans="1:17">
      <c r="A41" s="224">
        <v>26</v>
      </c>
      <c r="E41" s="165" t="s">
        <v>60</v>
      </c>
      <c r="G41" s="174">
        <v>0</v>
      </c>
      <c r="H41" s="174"/>
      <c r="I41" s="160">
        <f t="shared" si="0"/>
        <v>0</v>
      </c>
      <c r="J41" s="160"/>
      <c r="K41" s="160">
        <f t="shared" si="1"/>
        <v>0</v>
      </c>
      <c r="M41" s="366"/>
    </row>
    <row r="42" spans="1:17">
      <c r="A42" s="224">
        <v>27</v>
      </c>
      <c r="E42" s="165" t="s">
        <v>61</v>
      </c>
      <c r="G42" s="174">
        <f>'Link In'!B133</f>
        <v>839228</v>
      </c>
      <c r="H42" s="174"/>
      <c r="I42" s="160">
        <f t="shared" si="0"/>
        <v>0</v>
      </c>
      <c r="J42" s="160"/>
      <c r="K42" s="160">
        <f t="shared" si="1"/>
        <v>839228</v>
      </c>
      <c r="M42" s="366"/>
    </row>
    <row r="43" spans="1:17">
      <c r="A43" s="224">
        <v>28</v>
      </c>
      <c r="E43" s="165" t="s">
        <v>62</v>
      </c>
      <c r="G43" s="158">
        <f>-'Link In'!B134</f>
        <v>-2547540.2398888841</v>
      </c>
      <c r="H43" s="174"/>
      <c r="I43" s="160">
        <f t="shared" si="0"/>
        <v>0</v>
      </c>
      <c r="J43" s="160"/>
      <c r="K43" s="160">
        <f t="shared" si="1"/>
        <v>-2547540.2398888841</v>
      </c>
      <c r="M43" s="366"/>
    </row>
    <row r="44" spans="1:17">
      <c r="A44" s="224">
        <v>29</v>
      </c>
      <c r="E44" s="165" t="s">
        <v>63</v>
      </c>
      <c r="G44" s="174">
        <f>'Link In'!B137</f>
        <v>-2228479</v>
      </c>
      <c r="H44" s="174"/>
      <c r="I44" s="160">
        <f t="shared" si="0"/>
        <v>0</v>
      </c>
      <c r="J44" s="160"/>
      <c r="K44" s="160">
        <f t="shared" si="1"/>
        <v>-2228479</v>
      </c>
      <c r="M44" s="366"/>
      <c r="O44" s="160"/>
    </row>
    <row r="45" spans="1:17">
      <c r="A45" s="224">
        <v>30</v>
      </c>
      <c r="E45" s="165" t="s">
        <v>64</v>
      </c>
      <c r="G45" s="174">
        <f>'Link In'!B138</f>
        <v>7125783.4434776828</v>
      </c>
      <c r="H45" s="174"/>
      <c r="I45" s="160">
        <f t="shared" si="0"/>
        <v>0</v>
      </c>
      <c r="J45" s="160"/>
      <c r="K45" s="160">
        <f t="shared" si="1"/>
        <v>7125783.4434776828</v>
      </c>
      <c r="M45" s="366"/>
    </row>
    <row r="46" spans="1:17">
      <c r="A46" s="224">
        <v>31</v>
      </c>
      <c r="E46" s="165" t="s">
        <v>65</v>
      </c>
      <c r="G46" s="174">
        <f>-'Link In'!B139</f>
        <v>-4833628.8188225348</v>
      </c>
      <c r="H46" s="174"/>
      <c r="I46" s="160">
        <f t="shared" si="0"/>
        <v>0</v>
      </c>
      <c r="J46" s="160"/>
      <c r="K46" s="160">
        <f t="shared" si="1"/>
        <v>-4833628.8188225348</v>
      </c>
      <c r="M46" s="366"/>
    </row>
    <row r="47" spans="1:17">
      <c r="A47" s="224">
        <v>32</v>
      </c>
      <c r="E47" s="165" t="s">
        <v>89</v>
      </c>
      <c r="G47" s="174">
        <f>'Link In'!B140</f>
        <v>2841122</v>
      </c>
      <c r="H47" s="174"/>
      <c r="I47" s="160">
        <f t="shared" si="0"/>
        <v>0</v>
      </c>
      <c r="J47" s="160"/>
      <c r="K47" s="160">
        <f t="shared" si="1"/>
        <v>2841122</v>
      </c>
      <c r="M47" s="366"/>
    </row>
    <row r="48" spans="1:17">
      <c r="A48" s="224">
        <v>33</v>
      </c>
      <c r="E48" s="165" t="s">
        <v>66</v>
      </c>
      <c r="G48" s="174">
        <f>-'Link In'!B141</f>
        <v>-1446898.2883333336</v>
      </c>
      <c r="H48" s="174"/>
      <c r="I48" s="160">
        <f t="shared" si="0"/>
        <v>0</v>
      </c>
      <c r="J48" s="160"/>
      <c r="K48" s="160">
        <f t="shared" si="1"/>
        <v>-1446898.2883333336</v>
      </c>
      <c r="M48" s="366"/>
    </row>
    <row r="49" spans="1:25">
      <c r="A49" s="224">
        <v>34</v>
      </c>
      <c r="E49" s="166" t="s">
        <v>67</v>
      </c>
      <c r="G49" s="318">
        <f>SUM(G38:G48)</f>
        <v>2907782.8659737301</v>
      </c>
      <c r="H49" s="174"/>
      <c r="I49" s="283">
        <f>SUM(I38:I48)</f>
        <v>0</v>
      </c>
      <c r="J49" s="160"/>
      <c r="K49" s="283">
        <f>SUM(K38:K48)</f>
        <v>2907782.8659737301</v>
      </c>
      <c r="M49" s="366"/>
      <c r="O49" s="126"/>
    </row>
    <row r="50" spans="1:25">
      <c r="A50" s="224">
        <v>35</v>
      </c>
      <c r="G50" s="174"/>
      <c r="H50" s="174"/>
      <c r="I50" s="160"/>
      <c r="J50" s="160"/>
      <c r="K50" s="160"/>
      <c r="O50" s="348"/>
    </row>
    <row r="51" spans="1:25" ht="15" thickBot="1">
      <c r="A51" s="224">
        <v>36</v>
      </c>
      <c r="E51" s="299" t="s">
        <v>68</v>
      </c>
      <c r="G51" s="314">
        <f>G35+G49</f>
        <v>23007095.000010762</v>
      </c>
      <c r="H51" s="174"/>
      <c r="I51" s="319">
        <f>I35+I49</f>
        <v>0</v>
      </c>
      <c r="J51" s="160"/>
      <c r="K51" s="315">
        <f>K35+K49</f>
        <v>23007095.000010762</v>
      </c>
    </row>
    <row r="52" spans="1:25" ht="15" thickTop="1">
      <c r="A52" s="224">
        <v>37</v>
      </c>
      <c r="G52" s="174"/>
      <c r="H52" s="174"/>
      <c r="I52" s="160"/>
      <c r="J52" s="160"/>
      <c r="K52" s="160"/>
    </row>
    <row r="53" spans="1:25">
      <c r="A53" s="224">
        <v>38</v>
      </c>
      <c r="C53" s="299" t="s">
        <v>69</v>
      </c>
      <c r="D53" s="299"/>
      <c r="E53" s="299"/>
      <c r="G53" s="174"/>
      <c r="H53" s="174"/>
      <c r="I53" s="160"/>
      <c r="J53" s="160"/>
      <c r="K53" s="160"/>
    </row>
    <row r="54" spans="1:25">
      <c r="A54" s="224">
        <v>39</v>
      </c>
      <c r="E54" s="167" t="s">
        <v>70</v>
      </c>
      <c r="G54" s="274">
        <v>0.21</v>
      </c>
      <c r="H54" s="274"/>
      <c r="I54" s="358">
        <v>0.21</v>
      </c>
      <c r="J54" s="168"/>
      <c r="K54" s="274">
        <v>0.21</v>
      </c>
    </row>
    <row r="55" spans="1:25" ht="13.5" customHeight="1">
      <c r="A55" s="224">
        <v>40</v>
      </c>
      <c r="E55" s="91" t="s">
        <v>71</v>
      </c>
      <c r="G55" s="272">
        <f>G51*G54</f>
        <v>4831489.9500022596</v>
      </c>
      <c r="H55" s="174"/>
      <c r="I55" s="160">
        <f>I51*I54</f>
        <v>0</v>
      </c>
      <c r="J55" s="160"/>
      <c r="K55" s="162">
        <f>K51*K54</f>
        <v>4831489.9500022596</v>
      </c>
    </row>
    <row r="56" spans="1:25">
      <c r="A56" s="224">
        <v>41</v>
      </c>
      <c r="E56" s="303" t="s">
        <v>72</v>
      </c>
      <c r="G56" s="174"/>
      <c r="H56" s="360"/>
      <c r="I56" s="160"/>
      <c r="J56" s="160"/>
      <c r="K56" s="160"/>
    </row>
    <row r="57" spans="1:25">
      <c r="A57" s="224">
        <v>42</v>
      </c>
      <c r="E57" s="91" t="s">
        <v>73</v>
      </c>
      <c r="G57" s="273">
        <f>G55+G56</f>
        <v>4831489.9500022596</v>
      </c>
      <c r="H57" s="174"/>
      <c r="I57" s="156"/>
      <c r="J57" s="160"/>
      <c r="K57" s="282">
        <f>G57</f>
        <v>4831489.9500022596</v>
      </c>
    </row>
    <row r="58" spans="1:25">
      <c r="A58" s="224">
        <v>43</v>
      </c>
      <c r="E58" s="303" t="s">
        <v>74</v>
      </c>
      <c r="G58" s="174">
        <f>-'Link In'!B166</f>
        <v>0</v>
      </c>
      <c r="H58" s="174"/>
      <c r="I58" s="160">
        <f>-G58</f>
        <v>0</v>
      </c>
      <c r="J58" s="160"/>
      <c r="K58" s="160">
        <f>G58+I58</f>
        <v>0</v>
      </c>
    </row>
    <row r="59" spans="1:25" ht="15" thickBot="1">
      <c r="A59" s="224">
        <v>44</v>
      </c>
      <c r="E59" s="91" t="s">
        <v>75</v>
      </c>
      <c r="G59" s="314">
        <f>G57-G58</f>
        <v>4831489.9500022596</v>
      </c>
      <c r="H59" s="174"/>
      <c r="I59" s="315">
        <f>I57-I58</f>
        <v>0</v>
      </c>
      <c r="J59" s="160"/>
      <c r="K59" s="315">
        <f>K57-K58</f>
        <v>4831489.9500022596</v>
      </c>
    </row>
    <row r="60" spans="1:25" ht="15" thickTop="1">
      <c r="A60" s="224">
        <v>45</v>
      </c>
      <c r="G60" s="174"/>
      <c r="H60" s="174"/>
      <c r="I60" s="160"/>
      <c r="J60" s="160"/>
      <c r="K60" s="160"/>
    </row>
    <row r="61" spans="1:25">
      <c r="A61" s="224">
        <v>46</v>
      </c>
      <c r="C61" s="299" t="s">
        <v>76</v>
      </c>
      <c r="D61" s="299"/>
      <c r="E61" s="299"/>
      <c r="G61" s="174"/>
      <c r="H61" s="174"/>
      <c r="I61" s="160"/>
      <c r="J61" s="160"/>
      <c r="K61" s="160"/>
    </row>
    <row r="62" spans="1:25">
      <c r="A62" s="224">
        <v>47</v>
      </c>
      <c r="E62" s="303" t="s">
        <v>77</v>
      </c>
      <c r="G62" s="334">
        <f>('Link In'!B144*0+(-(G38+G39+G44+G45+G46+'E-1.2 State Inc Tax Base'!G61))*G54)</f>
        <v>-664182.72570709151</v>
      </c>
      <c r="H62" s="174"/>
      <c r="I62" s="160">
        <v>0</v>
      </c>
      <c r="J62" s="160"/>
      <c r="K62" s="160">
        <f>G62+I62</f>
        <v>-664182.72570709151</v>
      </c>
      <c r="M62" s="380"/>
      <c r="O62" s="335"/>
      <c r="Q62" s="348"/>
    </row>
    <row r="63" spans="1:25">
      <c r="A63" s="224">
        <v>48</v>
      </c>
      <c r="E63" s="303" t="s">
        <v>78</v>
      </c>
      <c r="G63" s="174">
        <f>(-G42-G43-'E-1.2 State Inc Tax Base'!G62)*G54</f>
        <v>340808.2918578324</v>
      </c>
      <c r="H63" s="174"/>
      <c r="I63" s="160">
        <v>0</v>
      </c>
      <c r="J63" s="160"/>
      <c r="K63" s="160">
        <f>G63+I63</f>
        <v>340808.2918578324</v>
      </c>
      <c r="M63" s="366"/>
      <c r="O63" s="366"/>
      <c r="Q63" s="160"/>
      <c r="S63" s="348"/>
      <c r="U63" s="348"/>
      <c r="W63" s="348"/>
      <c r="Y63" s="348"/>
    </row>
    <row r="64" spans="1:25">
      <c r="A64" s="224">
        <v>49</v>
      </c>
      <c r="E64" s="303" t="s">
        <v>79</v>
      </c>
      <c r="G64" s="174">
        <f>(-G40-'E-1.2 State Inc Tax Base'!G63)*G54</f>
        <v>-11388.258</v>
      </c>
      <c r="H64" s="174"/>
      <c r="I64" s="160">
        <v>0</v>
      </c>
      <c r="J64" s="160"/>
      <c r="K64" s="160">
        <f>G64+I64</f>
        <v>-11388.258</v>
      </c>
      <c r="M64" s="160"/>
    </row>
    <row r="65" spans="1:15">
      <c r="A65" s="224">
        <v>50</v>
      </c>
      <c r="E65" s="303" t="s">
        <v>80</v>
      </c>
      <c r="G65" s="174">
        <f>(-SUM(G47:G48)-'E-1.2 State Inc Tax Base'!G64)*G54</f>
        <v>-278147.63047749997</v>
      </c>
      <c r="H65" s="174"/>
      <c r="I65" s="160">
        <v>0</v>
      </c>
      <c r="J65" s="160"/>
      <c r="K65" s="160">
        <f>G65+I65</f>
        <v>-278147.63047749997</v>
      </c>
    </row>
    <row r="66" spans="1:15">
      <c r="A66" s="224">
        <v>51</v>
      </c>
      <c r="E66" s="169" t="s">
        <v>81</v>
      </c>
      <c r="G66" s="174">
        <f>'Link In'!B168</f>
        <v>0</v>
      </c>
      <c r="H66" s="174"/>
      <c r="I66" s="160">
        <f>-G66</f>
        <v>0</v>
      </c>
      <c r="J66" s="160"/>
      <c r="K66" s="160">
        <f>G66+I66</f>
        <v>0</v>
      </c>
    </row>
    <row r="67" spans="1:15">
      <c r="A67" s="224">
        <v>52</v>
      </c>
      <c r="E67" s="91" t="s">
        <v>82</v>
      </c>
      <c r="G67" s="272">
        <f>SUM(G62:G66)</f>
        <v>-612910.32232675911</v>
      </c>
      <c r="H67" s="174"/>
      <c r="I67" s="283">
        <f>SUM(I62:I66)</f>
        <v>0</v>
      </c>
      <c r="J67" s="160"/>
      <c r="K67" s="283">
        <f>SUM(K62:K66)</f>
        <v>-612910.32232675911</v>
      </c>
      <c r="M67" s="366"/>
      <c r="O67" s="366"/>
    </row>
    <row r="68" spans="1:15">
      <c r="A68" s="224">
        <v>53</v>
      </c>
      <c r="E68" s="303" t="s">
        <v>72</v>
      </c>
      <c r="G68" s="174"/>
      <c r="H68" s="174"/>
      <c r="I68" s="160"/>
      <c r="J68" s="160"/>
      <c r="K68" s="160">
        <f>G68</f>
        <v>0</v>
      </c>
    </row>
    <row r="69" spans="1:15">
      <c r="A69" s="224">
        <v>54</v>
      </c>
      <c r="E69" s="91" t="s">
        <v>83</v>
      </c>
      <c r="G69" s="312">
        <f>G67-G68</f>
        <v>-612910.32232675911</v>
      </c>
      <c r="H69" s="174"/>
      <c r="I69" s="282">
        <f>I67-I68</f>
        <v>0</v>
      </c>
      <c r="J69" s="160"/>
      <c r="K69" s="282">
        <f>K67-K68</f>
        <v>-612910.32232675911</v>
      </c>
    </row>
    <row r="70" spans="1:15">
      <c r="A70" s="224">
        <v>55</v>
      </c>
      <c r="G70" s="174"/>
      <c r="H70" s="174"/>
      <c r="I70" s="160"/>
      <c r="J70" s="160"/>
      <c r="K70" s="160"/>
    </row>
    <row r="71" spans="1:15">
      <c r="A71" s="224">
        <v>56</v>
      </c>
      <c r="E71" s="299" t="s">
        <v>84</v>
      </c>
      <c r="G71" s="174"/>
      <c r="H71" s="174"/>
      <c r="I71" s="160"/>
      <c r="J71" s="160"/>
      <c r="K71" s="160"/>
    </row>
    <row r="72" spans="1:15">
      <c r="A72" s="224">
        <v>57</v>
      </c>
      <c r="E72" s="303" t="s">
        <v>85</v>
      </c>
      <c r="G72" s="174">
        <f>'Link In'!D257</f>
        <v>-65942.498360214944</v>
      </c>
      <c r="H72" s="174"/>
      <c r="I72" s="160">
        <v>0</v>
      </c>
      <c r="J72" s="160"/>
      <c r="K72" s="160">
        <f>G72+I72</f>
        <v>-65942.498360214944</v>
      </c>
    </row>
    <row r="73" spans="1:15">
      <c r="A73" s="224">
        <v>58</v>
      </c>
      <c r="G73" s="174"/>
      <c r="H73" s="174"/>
      <c r="I73" s="160"/>
      <c r="J73" s="160"/>
      <c r="K73" s="163"/>
    </row>
    <row r="74" spans="1:15">
      <c r="A74" s="224">
        <v>59</v>
      </c>
      <c r="E74" s="169" t="s">
        <v>86</v>
      </c>
      <c r="G74" s="174">
        <f>-'Link In'!B149</f>
        <v>-78492</v>
      </c>
      <c r="H74" s="174"/>
      <c r="I74" s="160">
        <v>0</v>
      </c>
      <c r="J74" s="160"/>
      <c r="K74" s="160">
        <f>G74+I74</f>
        <v>-78492</v>
      </c>
    </row>
    <row r="75" spans="1:15" ht="15" thickBot="1">
      <c r="A75" s="224">
        <v>60</v>
      </c>
      <c r="E75" s="91" t="s">
        <v>87</v>
      </c>
      <c r="G75" s="314">
        <f>G69+G72+G74</f>
        <v>-757344.8206869741</v>
      </c>
      <c r="H75" s="174"/>
      <c r="I75" s="315">
        <f>I69+I72+I74</f>
        <v>0</v>
      </c>
      <c r="J75" s="160"/>
      <c r="K75" s="315">
        <f>K69+K72+K74</f>
        <v>-757344.8206869741</v>
      </c>
    </row>
    <row r="76" spans="1:15" ht="15" thickTop="1">
      <c r="A76" s="224">
        <v>61</v>
      </c>
      <c r="G76" s="174"/>
      <c r="H76" s="174"/>
      <c r="I76" s="160"/>
      <c r="J76" s="160"/>
      <c r="K76" s="160"/>
    </row>
    <row r="77" spans="1:15">
      <c r="A77" s="224">
        <v>62</v>
      </c>
      <c r="G77" s="174"/>
      <c r="H77" s="174"/>
      <c r="I77" s="160"/>
      <c r="J77" s="160"/>
      <c r="K77" s="160"/>
    </row>
    <row r="78" spans="1:15" ht="15" thickBot="1">
      <c r="A78" s="224">
        <v>63</v>
      </c>
      <c r="E78" s="299" t="s">
        <v>88</v>
      </c>
      <c r="G78" s="314">
        <f>G59+G75</f>
        <v>4074145.1293152855</v>
      </c>
      <c r="H78" s="174"/>
      <c r="I78" s="315">
        <f>I59+I75</f>
        <v>0</v>
      </c>
      <c r="J78" s="160"/>
      <c r="K78" s="315">
        <f>K59+K75</f>
        <v>4074145.1293152855</v>
      </c>
    </row>
    <row r="79" spans="1:15" ht="15" thickTop="1"/>
    <row r="80" spans="1:15">
      <c r="I80" s="388" t="s">
        <v>279</v>
      </c>
      <c r="J80" s="389"/>
      <c r="K80" s="390">
        <f>SUM(K26,K33:K34,K29)*(0.21-0.05*0.21)+K72+K74</f>
        <v>4073290.0502162483</v>
      </c>
      <c r="L80" s="389"/>
      <c r="M80" s="389"/>
    </row>
    <row r="81" spans="5:13">
      <c r="I81" s="389"/>
      <c r="J81" s="389"/>
      <c r="K81" s="390">
        <f>K80-K78</f>
        <v>-855.07909903721884</v>
      </c>
      <c r="L81" s="389"/>
      <c r="M81" s="389" t="s">
        <v>280</v>
      </c>
    </row>
    <row r="82" spans="5:13">
      <c r="E82" s="370" t="s">
        <v>282</v>
      </c>
      <c r="G82" s="158">
        <f>G78+'E-1.2 State Inc Tax Base'!G75</f>
        <v>5064176.1457801368</v>
      </c>
      <c r="I82" s="158">
        <f>I78+'E-1.2 State Inc Tax Base'!I75</f>
        <v>0</v>
      </c>
      <c r="K82" s="158">
        <f>K78+'E-1.2 State Inc Tax Base'!K75</f>
        <v>5064176.1457801368</v>
      </c>
    </row>
  </sheetData>
  <mergeCells count="4">
    <mergeCell ref="A4:K4"/>
    <mergeCell ref="A5:K5"/>
    <mergeCell ref="A6:K6"/>
    <mergeCell ref="A7:K7"/>
  </mergeCells>
  <pageMargins left="0.7" right="0.7" top="0.75" bottom="0.75" header="0.3" footer="0.3"/>
  <pageSetup scale="53" orientation="portrait"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5"/>
  <sheetViews>
    <sheetView zoomScale="80" zoomScaleNormal="80" workbookViewId="0"/>
  </sheetViews>
  <sheetFormatPr defaultRowHeight="14.4"/>
  <cols>
    <col min="1" max="1" width="3.44140625" customWidth="1"/>
    <col min="2" max="2" width="1.5546875" customWidth="1"/>
    <col min="3" max="3" width="16.44140625" customWidth="1"/>
    <col min="4" max="4" width="1.5546875" customWidth="1"/>
    <col min="5" max="5" width="78.5546875" customWidth="1"/>
    <col min="6" max="6" width="1.5546875" customWidth="1"/>
    <col min="7" max="7" width="19.5546875" bestFit="1" customWidth="1"/>
    <col min="8" max="8" width="1.5546875" style="257" customWidth="1"/>
    <col min="9" max="9" width="17.5546875" bestFit="1" customWidth="1"/>
    <col min="10" max="10" width="1.5546875" customWidth="1"/>
    <col min="11" max="11" width="18.5546875" bestFit="1" customWidth="1"/>
    <col min="12" max="12" width="1.5546875" customWidth="1"/>
    <col min="13" max="13" width="12.4414062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s>
  <sheetData>
    <row r="1" spans="1:14">
      <c r="A1" s="145" t="s">
        <v>11</v>
      </c>
      <c r="B1" s="145"/>
      <c r="C1" s="145"/>
      <c r="D1" s="145"/>
      <c r="E1" s="145"/>
      <c r="F1" s="145"/>
      <c r="G1" s="145"/>
      <c r="H1" s="270"/>
      <c r="I1" s="122"/>
      <c r="J1" s="122"/>
      <c r="K1" s="91" t="s">
        <v>200</v>
      </c>
      <c r="L1" s="91"/>
    </row>
    <row r="2" spans="1:14">
      <c r="A2" s="145" t="s">
        <v>12</v>
      </c>
      <c r="B2" s="145"/>
      <c r="C2" s="145"/>
      <c r="D2" s="145"/>
      <c r="E2" s="145"/>
      <c r="F2" s="145"/>
      <c r="G2" s="145"/>
      <c r="H2" s="270"/>
      <c r="I2" s="122"/>
      <c r="J2" s="122"/>
      <c r="K2" s="146" t="str">
        <f ca="1">RIGHT(CELL("filename",$A$1),LEN(CELL("filename",$A$1))-SEARCH("\Taxes",CELL("filename",$A$1),1))</f>
        <v>Taxes\[KAWC 2018 Rate Case - Income Tax Exhibit.xlsx]E-1.2 State Inc Tax Base</v>
      </c>
      <c r="L2" s="146"/>
    </row>
    <row r="3" spans="1:14">
      <c r="A3" s="122"/>
      <c r="B3" s="122"/>
      <c r="C3" s="122"/>
      <c r="D3" s="122"/>
      <c r="E3" s="122"/>
      <c r="F3" s="122"/>
      <c r="G3" s="122"/>
      <c r="H3" s="123"/>
      <c r="I3" s="122"/>
      <c r="J3" s="122"/>
      <c r="K3" s="122"/>
      <c r="L3" s="122"/>
    </row>
    <row r="4" spans="1:14">
      <c r="A4" s="406" t="str">
        <f>'Link In'!A1</f>
        <v>Kentucky American Water Company</v>
      </c>
      <c r="B4" s="406"/>
      <c r="C4" s="406"/>
      <c r="D4" s="406"/>
      <c r="E4" s="406"/>
      <c r="F4" s="406"/>
      <c r="G4" s="406"/>
      <c r="H4" s="406"/>
      <c r="I4" s="406"/>
      <c r="J4" s="406"/>
      <c r="K4" s="406"/>
      <c r="L4" s="122"/>
    </row>
    <row r="5" spans="1:14">
      <c r="A5" s="406" t="str">
        <f>'Link In'!A3</f>
        <v>Case No. 2018-00358</v>
      </c>
      <c r="B5" s="406"/>
      <c r="C5" s="406"/>
      <c r="D5" s="406"/>
      <c r="E5" s="406"/>
      <c r="F5" s="406"/>
      <c r="G5" s="406"/>
      <c r="H5" s="406"/>
      <c r="I5" s="406"/>
      <c r="J5" s="406"/>
      <c r="K5" s="406"/>
      <c r="L5" s="134"/>
    </row>
    <row r="6" spans="1:14">
      <c r="A6" s="406" t="str">
        <f>'Link In'!A34</f>
        <v>Base Year Adjustment Federal and State Taxes</v>
      </c>
      <c r="B6" s="406"/>
      <c r="C6" s="406"/>
      <c r="D6" s="406"/>
      <c r="E6" s="406"/>
      <c r="F6" s="406"/>
      <c r="G6" s="406"/>
      <c r="H6" s="406"/>
      <c r="I6" s="406"/>
      <c r="J6" s="406"/>
      <c r="K6" s="406"/>
      <c r="L6" s="134"/>
    </row>
    <row r="7" spans="1:14">
      <c r="A7" s="406" t="str">
        <f>'Link In'!A7</f>
        <v>Base Year for the 12 Months Ended February 28, 2019</v>
      </c>
      <c r="B7" s="406"/>
      <c r="C7" s="406"/>
      <c r="D7" s="406"/>
      <c r="E7" s="406"/>
      <c r="F7" s="406"/>
      <c r="G7" s="406"/>
      <c r="H7" s="406"/>
      <c r="I7" s="406"/>
      <c r="J7" s="406"/>
      <c r="K7" s="406"/>
      <c r="L7" s="134"/>
    </row>
    <row r="8" spans="1:14">
      <c r="A8" s="122"/>
      <c r="B8" s="122"/>
      <c r="C8" s="122"/>
      <c r="D8" s="122"/>
      <c r="E8" s="122"/>
      <c r="F8" s="122"/>
      <c r="G8" s="122"/>
      <c r="H8" s="123"/>
      <c r="I8" s="122"/>
      <c r="J8" s="122"/>
      <c r="K8" s="122"/>
      <c r="L8" s="134"/>
    </row>
    <row r="9" spans="1:14">
      <c r="A9" s="299" t="str">
        <f>'Link In'!A28</f>
        <v>Witness Responsible:   John Wilde</v>
      </c>
      <c r="B9" s="122"/>
      <c r="C9" s="122"/>
      <c r="D9" s="122"/>
      <c r="E9" s="122"/>
      <c r="F9" s="122"/>
      <c r="G9" s="122"/>
      <c r="H9" s="123"/>
      <c r="I9" s="122"/>
      <c r="J9" s="122"/>
      <c r="K9" s="299" t="str">
        <f>'Link In'!A36</f>
        <v>W/P - 6-1</v>
      </c>
      <c r="L9" s="134"/>
    </row>
    <row r="10" spans="1:14">
      <c r="A10" s="299" t="str">
        <f>'Link In'!A15</f>
        <v>Type of Filing: __X__ Original  _____ Updated  _____ Revised</v>
      </c>
      <c r="B10" s="122"/>
      <c r="C10" s="122"/>
      <c r="D10" s="122"/>
      <c r="E10" s="122"/>
      <c r="F10" s="122"/>
      <c r="G10" s="122"/>
      <c r="H10" s="123"/>
      <c r="I10" s="122"/>
      <c r="J10" s="122"/>
      <c r="K10" s="122"/>
      <c r="L10" s="122"/>
    </row>
    <row r="11" spans="1:14" ht="15.6">
      <c r="A11" s="36"/>
      <c r="B11" s="9"/>
      <c r="C11" s="9"/>
      <c r="D11" s="9"/>
      <c r="E11" s="9"/>
      <c r="F11" s="9"/>
      <c r="G11" s="9"/>
      <c r="I11" s="9"/>
      <c r="J11" s="9"/>
      <c r="K11" s="9"/>
      <c r="L11" s="37"/>
    </row>
    <row r="12" spans="1:14" ht="15.6">
      <c r="A12" s="36"/>
      <c r="B12" s="9"/>
      <c r="C12" s="9"/>
      <c r="D12" s="9"/>
      <c r="E12" s="9"/>
      <c r="F12" s="9"/>
      <c r="G12" s="9"/>
      <c r="I12" s="9"/>
      <c r="J12" s="9"/>
      <c r="K12" s="9"/>
      <c r="L12" s="37"/>
    </row>
    <row r="13" spans="1:14">
      <c r="A13" s="9"/>
      <c r="B13" s="9"/>
      <c r="C13" s="9"/>
      <c r="D13" s="9"/>
      <c r="E13" s="9"/>
      <c r="F13" s="9"/>
      <c r="G13" s="20" t="s">
        <v>34</v>
      </c>
      <c r="I13" s="9"/>
      <c r="J13" s="9"/>
      <c r="K13" s="9"/>
      <c r="L13" s="9"/>
    </row>
    <row r="14" spans="1:14">
      <c r="A14" s="9"/>
      <c r="B14" s="9"/>
      <c r="C14" s="9"/>
      <c r="D14" s="9"/>
      <c r="E14" s="9"/>
      <c r="F14" s="9"/>
      <c r="G14" s="21" t="s">
        <v>90</v>
      </c>
      <c r="H14" s="275"/>
      <c r="I14" s="21"/>
      <c r="J14" s="9"/>
      <c r="K14" s="21" t="s">
        <v>36</v>
      </c>
      <c r="L14" s="9"/>
    </row>
    <row r="15" spans="1:14">
      <c r="A15" s="19" t="s">
        <v>7</v>
      </c>
      <c r="B15" s="20"/>
      <c r="C15" s="19" t="s">
        <v>37</v>
      </c>
      <c r="D15" s="21"/>
      <c r="E15" s="19" t="s">
        <v>38</v>
      </c>
      <c r="F15" s="21"/>
      <c r="G15" s="19" t="s">
        <v>39</v>
      </c>
      <c r="H15" s="275"/>
      <c r="I15" s="19" t="s">
        <v>40</v>
      </c>
      <c r="J15" s="9"/>
      <c r="K15" s="19" t="s">
        <v>39</v>
      </c>
      <c r="L15" s="9"/>
      <c r="M15" s="9"/>
      <c r="N15" s="9"/>
    </row>
    <row r="16" spans="1:14">
      <c r="A16" s="24">
        <v>1</v>
      </c>
      <c r="B16" s="9"/>
      <c r="C16" s="14" t="s">
        <v>41</v>
      </c>
      <c r="D16" s="9"/>
      <c r="E16" s="14"/>
      <c r="F16" s="9"/>
      <c r="G16" s="9"/>
      <c r="I16" s="9"/>
      <c r="J16" s="9"/>
      <c r="K16" s="9"/>
      <c r="L16" s="9"/>
      <c r="M16" s="9"/>
      <c r="N16" s="9"/>
    </row>
    <row r="17" spans="1:15">
      <c r="A17" s="24">
        <v>2</v>
      </c>
      <c r="B17" s="9"/>
      <c r="C17" s="14"/>
      <c r="D17" s="9"/>
      <c r="E17" s="9" t="s">
        <v>42</v>
      </c>
      <c r="F17" s="9"/>
      <c r="G17" s="184">
        <f>'Link In'!B98</f>
        <v>91907987</v>
      </c>
      <c r="H17" s="309"/>
      <c r="I17" s="184">
        <v>0</v>
      </c>
      <c r="J17" s="184"/>
      <c r="K17" s="156">
        <f>G17+I17</f>
        <v>91907987</v>
      </c>
      <c r="L17" s="9"/>
      <c r="M17" s="9"/>
      <c r="N17" s="9"/>
    </row>
    <row r="18" spans="1:15">
      <c r="A18" s="24">
        <v>3</v>
      </c>
      <c r="B18" s="9"/>
      <c r="C18" s="14"/>
      <c r="D18" s="9"/>
      <c r="E18" s="9"/>
      <c r="F18" s="9"/>
      <c r="G18" s="10"/>
      <c r="H18" s="269"/>
      <c r="I18" s="9"/>
      <c r="J18" s="9"/>
      <c r="K18" s="160"/>
      <c r="L18" s="9"/>
      <c r="M18" s="9"/>
      <c r="N18" s="9"/>
    </row>
    <row r="19" spans="1:15">
      <c r="A19" s="24">
        <v>4</v>
      </c>
      <c r="B19" s="9"/>
      <c r="C19" s="14" t="s">
        <v>43</v>
      </c>
      <c r="D19" s="9"/>
      <c r="E19" s="14"/>
      <c r="F19" s="9"/>
      <c r="G19" s="9"/>
      <c r="H19" s="269"/>
      <c r="I19" s="9"/>
      <c r="J19" s="9"/>
      <c r="K19" s="160"/>
      <c r="L19" s="9"/>
      <c r="M19" s="9"/>
      <c r="N19" s="9"/>
    </row>
    <row r="20" spans="1:15">
      <c r="A20" s="24">
        <v>5</v>
      </c>
      <c r="B20" s="9"/>
      <c r="C20" s="9"/>
      <c r="D20" s="9"/>
      <c r="E20" s="9" t="s">
        <v>44</v>
      </c>
      <c r="F20" s="9"/>
      <c r="G20" s="174">
        <f>-'Link In'!$B$103</f>
        <v>-34285634</v>
      </c>
      <c r="H20" s="269"/>
      <c r="I20" s="163">
        <v>0</v>
      </c>
      <c r="J20" s="9"/>
      <c r="K20" s="160">
        <f>G20+I20</f>
        <v>-34285634</v>
      </c>
      <c r="L20" s="15"/>
      <c r="M20" s="35"/>
      <c r="N20" s="15"/>
    </row>
    <row r="21" spans="1:15">
      <c r="A21" s="24">
        <v>6</v>
      </c>
      <c r="B21" s="9"/>
      <c r="C21" s="9"/>
      <c r="D21" s="9"/>
      <c r="E21" s="9" t="s">
        <v>45</v>
      </c>
      <c r="F21" s="9"/>
      <c r="G21" s="174">
        <f>-SUM('Link In'!$B$104:$B$107)</f>
        <v>-16551585</v>
      </c>
      <c r="H21" s="269"/>
      <c r="I21" s="163">
        <v>0</v>
      </c>
      <c r="J21" s="9"/>
      <c r="K21" s="160">
        <f>G21+I21</f>
        <v>-16551585</v>
      </c>
      <c r="L21" s="15"/>
      <c r="M21" s="15"/>
      <c r="N21" s="15"/>
    </row>
    <row r="22" spans="1:15">
      <c r="A22" s="24">
        <v>7</v>
      </c>
      <c r="B22" s="9"/>
      <c r="C22" s="9"/>
      <c r="D22" s="9"/>
      <c r="E22" s="9" t="s">
        <v>46</v>
      </c>
      <c r="F22" s="9"/>
      <c r="G22" s="174">
        <f>-'Link In'!$B$111</f>
        <v>-7362427</v>
      </c>
      <c r="H22" s="269"/>
      <c r="I22" s="163">
        <v>0</v>
      </c>
      <c r="J22" s="9"/>
      <c r="K22" s="160">
        <f>G22+I22</f>
        <v>-7362427</v>
      </c>
      <c r="L22" s="15"/>
      <c r="M22" s="15"/>
      <c r="N22" s="15"/>
    </row>
    <row r="23" spans="1:15">
      <c r="A23" s="121">
        <v>9</v>
      </c>
      <c r="B23" s="9"/>
      <c r="C23" s="9"/>
      <c r="D23" s="9"/>
      <c r="E23" s="11" t="s">
        <v>48</v>
      </c>
      <c r="F23" s="15"/>
      <c r="G23" s="264">
        <f>-'Link In'!L119</f>
        <v>-12919998.839426979</v>
      </c>
      <c r="H23" s="269"/>
      <c r="I23" s="308">
        <v>0</v>
      </c>
      <c r="J23" s="9"/>
      <c r="K23" s="317">
        <f>G23+I23</f>
        <v>-12919998.839426979</v>
      </c>
      <c r="L23" s="15"/>
      <c r="M23" s="15"/>
      <c r="N23" s="15"/>
    </row>
    <row r="24" spans="1:15">
      <c r="A24" s="121">
        <v>10</v>
      </c>
      <c r="B24" s="9"/>
      <c r="C24" s="9"/>
      <c r="D24" s="9"/>
      <c r="E24" s="16" t="s">
        <v>49</v>
      </c>
      <c r="F24" s="15"/>
      <c r="G24" s="310">
        <f>SUM(G20:G23)</f>
        <v>-71119644.839426979</v>
      </c>
      <c r="H24" s="276"/>
      <c r="I24" s="310">
        <f>SUM(I20:I23)</f>
        <v>0</v>
      </c>
      <c r="J24" s="9"/>
      <c r="K24" s="311">
        <f>SUM(K20:K23)</f>
        <v>-71119644.839426979</v>
      </c>
      <c r="L24" s="15"/>
      <c r="M24" s="15"/>
      <c r="N24" s="15"/>
    </row>
    <row r="25" spans="1:15">
      <c r="A25" s="121">
        <v>11</v>
      </c>
      <c r="B25" s="9"/>
      <c r="C25" s="9"/>
      <c r="D25" s="9"/>
      <c r="E25" s="16"/>
      <c r="F25" s="15"/>
      <c r="G25" s="286"/>
      <c r="H25" s="269"/>
      <c r="I25" s="9"/>
      <c r="J25" s="9"/>
      <c r="K25" s="156"/>
      <c r="L25" s="15"/>
      <c r="M25" s="15"/>
      <c r="N25" s="15"/>
    </row>
    <row r="26" spans="1:15">
      <c r="A26" s="121">
        <v>12</v>
      </c>
      <c r="B26" s="9"/>
      <c r="C26" s="9"/>
      <c r="D26" s="9"/>
      <c r="E26" s="16" t="s">
        <v>50</v>
      </c>
      <c r="F26" s="9"/>
      <c r="G26" s="310">
        <f>SUM(G17+G24)</f>
        <v>20788342.160573021</v>
      </c>
      <c r="H26" s="276"/>
      <c r="I26" s="310">
        <f>SUM(I17+I24)</f>
        <v>0</v>
      </c>
      <c r="J26" s="9"/>
      <c r="K26" s="311">
        <f>SUM(K17+K24)</f>
        <v>20788342.160573021</v>
      </c>
      <c r="L26" s="15"/>
      <c r="M26" s="15"/>
      <c r="N26" s="15"/>
    </row>
    <row r="27" spans="1:15" s="302" customFormat="1">
      <c r="A27" s="121">
        <v>13.1272727272727</v>
      </c>
      <c r="E27" s="89"/>
      <c r="G27" s="310"/>
      <c r="H27" s="276"/>
      <c r="I27" s="310"/>
      <c r="K27" s="311"/>
      <c r="L27" s="227"/>
      <c r="M27" s="227"/>
      <c r="N27" s="227"/>
    </row>
    <row r="28" spans="1:15" s="302" customFormat="1">
      <c r="A28" s="121">
        <v>14.254545454545401</v>
      </c>
      <c r="E28" s="227" t="s">
        <v>238</v>
      </c>
      <c r="G28" s="386">
        <f>-G71</f>
        <v>62971</v>
      </c>
      <c r="H28" s="269"/>
      <c r="I28" s="160">
        <v>0</v>
      </c>
      <c r="J28" s="303"/>
      <c r="K28" s="387">
        <f>-K71</f>
        <v>62971</v>
      </c>
      <c r="L28" s="227"/>
      <c r="M28" s="227"/>
      <c r="N28" s="227"/>
    </row>
    <row r="29" spans="1:15">
      <c r="A29" s="121">
        <v>15.3818181818182</v>
      </c>
      <c r="B29" s="9"/>
      <c r="C29" s="9"/>
      <c r="D29" s="9"/>
      <c r="E29" s="9"/>
      <c r="F29" s="9"/>
      <c r="G29" s="257"/>
      <c r="H29" s="269"/>
      <c r="I29" s="9"/>
      <c r="J29" s="9"/>
      <c r="K29" s="9"/>
      <c r="L29" s="15"/>
      <c r="M29" s="15"/>
      <c r="N29" s="15"/>
    </row>
    <row r="30" spans="1:15">
      <c r="A30" s="121">
        <v>16.509090909090901</v>
      </c>
      <c r="B30" s="9"/>
      <c r="C30" s="14" t="s">
        <v>51</v>
      </c>
      <c r="D30" s="9"/>
      <c r="E30" s="9"/>
      <c r="F30" s="9"/>
      <c r="G30" s="257"/>
      <c r="H30" s="269"/>
      <c r="I30" s="9"/>
      <c r="J30" s="9"/>
      <c r="K30" s="9"/>
      <c r="L30" s="15"/>
      <c r="M30" s="15"/>
      <c r="N30" s="15"/>
    </row>
    <row r="31" spans="1:15" ht="28.8">
      <c r="A31" s="121">
        <v>17.636363636363601</v>
      </c>
      <c r="B31" s="9"/>
      <c r="C31" s="9"/>
      <c r="D31" s="9"/>
      <c r="E31" s="30" t="s">
        <v>52</v>
      </c>
      <c r="F31" s="9"/>
      <c r="G31" s="257"/>
      <c r="H31" s="269"/>
      <c r="I31" s="9"/>
      <c r="J31" s="9"/>
      <c r="K31" s="9"/>
      <c r="L31" s="15"/>
      <c r="M31" s="15"/>
      <c r="N31" s="15"/>
      <c r="O31" s="227"/>
    </row>
    <row r="32" spans="1:15">
      <c r="A32" s="121">
        <v>18.763636363636301</v>
      </c>
      <c r="B32" s="9"/>
      <c r="C32" s="9"/>
      <c r="D32" s="9"/>
      <c r="E32" s="13" t="s">
        <v>53</v>
      </c>
      <c r="F32" s="9"/>
      <c r="G32" s="263">
        <f>(+'Link In'!B124)*0.5</f>
        <v>17811</v>
      </c>
      <c r="H32" s="269"/>
      <c r="I32" s="163">
        <v>0</v>
      </c>
      <c r="J32" s="9"/>
      <c r="K32" s="160">
        <f>G32+I32</f>
        <v>17811</v>
      </c>
      <c r="L32" s="15"/>
      <c r="M32" s="15"/>
      <c r="N32" s="15"/>
    </row>
    <row r="33" spans="1:14">
      <c r="A33" s="121">
        <v>19.890909090909101</v>
      </c>
      <c r="B33" s="9"/>
      <c r="C33" s="9"/>
      <c r="D33" s="9"/>
      <c r="E33" s="17" t="s">
        <v>54</v>
      </c>
      <c r="F33" s="9"/>
      <c r="G33" s="264">
        <f>'Link In'!G118</f>
        <v>190916.16872400002</v>
      </c>
      <c r="H33" s="269"/>
      <c r="I33" s="308">
        <v>0</v>
      </c>
      <c r="J33" s="9"/>
      <c r="K33" s="317">
        <f>G33+I33</f>
        <v>190916.16872400002</v>
      </c>
      <c r="L33" s="41"/>
      <c r="M33" s="15"/>
      <c r="N33" s="15"/>
    </row>
    <row r="34" spans="1:14">
      <c r="A34" s="121">
        <v>21.018181818181802</v>
      </c>
      <c r="B34" s="9"/>
      <c r="C34" s="9"/>
      <c r="D34" s="9"/>
      <c r="E34" s="18" t="s">
        <v>55</v>
      </c>
      <c r="F34" s="9"/>
      <c r="G34" s="312">
        <f>SUM(G26+G32+G33+G28)</f>
        <v>21060040.329297021</v>
      </c>
      <c r="H34" s="269"/>
      <c r="I34" s="312">
        <f>SUM(I26+I32+I33+I28)</f>
        <v>0</v>
      </c>
      <c r="J34" s="9"/>
      <c r="K34" s="312">
        <f>SUM(K26+K32+K33+K28)</f>
        <v>21060040.329297021</v>
      </c>
      <c r="L34" s="42"/>
      <c r="M34" s="15"/>
      <c r="N34" s="15"/>
    </row>
    <row r="35" spans="1:14">
      <c r="A35" s="121">
        <v>22.145454545454498</v>
      </c>
      <c r="B35" s="9"/>
      <c r="C35" s="9"/>
      <c r="D35" s="9"/>
      <c r="E35" s="9"/>
      <c r="F35" s="9"/>
      <c r="G35" s="257"/>
      <c r="H35" s="269"/>
      <c r="I35" s="9"/>
      <c r="J35" s="9"/>
      <c r="K35" s="9"/>
      <c r="L35" s="15"/>
      <c r="M35" s="15"/>
      <c r="N35" s="15"/>
    </row>
    <row r="36" spans="1:14" ht="28.8">
      <c r="A36" s="121">
        <v>23.272727272727199</v>
      </c>
      <c r="B36" s="9"/>
      <c r="C36" s="23"/>
      <c r="D36" s="23"/>
      <c r="E36" s="33" t="s">
        <v>56</v>
      </c>
      <c r="F36" s="23"/>
      <c r="G36" s="257"/>
      <c r="H36" s="269"/>
      <c r="I36" s="163"/>
      <c r="J36" s="9"/>
      <c r="K36" s="9"/>
      <c r="L36" s="15"/>
      <c r="M36" s="15"/>
      <c r="N36" s="15"/>
    </row>
    <row r="37" spans="1:14">
      <c r="A37" s="121">
        <v>24.4</v>
      </c>
      <c r="B37" s="9"/>
      <c r="C37" s="34"/>
      <c r="D37" s="23"/>
      <c r="E37" s="31" t="s">
        <v>57</v>
      </c>
      <c r="F37" s="23"/>
      <c r="G37" s="263">
        <f>-'Link In'!B127</f>
        <v>-15794080.626613848</v>
      </c>
      <c r="H37" s="174"/>
      <c r="I37" s="163">
        <v>0</v>
      </c>
      <c r="J37" s="9"/>
      <c r="K37" s="160">
        <f t="shared" ref="K37:K47" si="0">G37+I37</f>
        <v>-15794080.626613848</v>
      </c>
      <c r="L37" s="15"/>
      <c r="M37" s="15"/>
      <c r="N37" s="15"/>
    </row>
    <row r="38" spans="1:14">
      <c r="A38" s="121">
        <v>25.527272727272699</v>
      </c>
      <c r="B38" s="9"/>
      <c r="C38" s="34"/>
      <c r="D38" s="23"/>
      <c r="E38" s="31" t="s">
        <v>58</v>
      </c>
      <c r="F38" s="23"/>
      <c r="G38" s="263">
        <f>'Link In'!B129</f>
        <v>15770655.199487986</v>
      </c>
      <c r="H38" s="174"/>
      <c r="I38" s="163">
        <v>0</v>
      </c>
      <c r="J38" s="9"/>
      <c r="K38" s="160">
        <f t="shared" si="0"/>
        <v>15770655.199487986</v>
      </c>
      <c r="L38" s="15"/>
      <c r="M38" s="15"/>
      <c r="N38" s="15"/>
    </row>
    <row r="39" spans="1:14">
      <c r="A39" s="121">
        <v>26.654545454545399</v>
      </c>
      <c r="B39" s="9"/>
      <c r="C39" s="34"/>
      <c r="D39" s="23"/>
      <c r="E39" s="31" t="s">
        <v>59</v>
      </c>
      <c r="F39" s="23"/>
      <c r="G39" s="261">
        <f>'Link In'!B131</f>
        <v>57084</v>
      </c>
      <c r="H39" s="174"/>
      <c r="I39" s="163">
        <v>0</v>
      </c>
      <c r="J39" s="9"/>
      <c r="K39" s="160">
        <f t="shared" si="0"/>
        <v>57084</v>
      </c>
      <c r="L39" s="15"/>
      <c r="M39" s="15"/>
      <c r="N39" s="15"/>
    </row>
    <row r="40" spans="1:14">
      <c r="A40" s="121">
        <v>27.7818181818181</v>
      </c>
      <c r="B40" s="9"/>
      <c r="C40" s="34"/>
      <c r="D40" s="23"/>
      <c r="E40" s="31" t="s">
        <v>60</v>
      </c>
      <c r="F40" s="23"/>
      <c r="G40" s="174">
        <v>0</v>
      </c>
      <c r="H40" s="174"/>
      <c r="I40" s="163">
        <v>0</v>
      </c>
      <c r="J40" s="9"/>
      <c r="K40" s="160">
        <f t="shared" si="0"/>
        <v>0</v>
      </c>
      <c r="L40" s="15"/>
      <c r="M40" s="15"/>
      <c r="N40" s="15"/>
    </row>
    <row r="41" spans="1:14">
      <c r="A41" s="121">
        <v>28.909090909090899</v>
      </c>
      <c r="B41" s="9"/>
      <c r="C41" s="34"/>
      <c r="D41" s="23"/>
      <c r="E41" s="31" t="s">
        <v>61</v>
      </c>
      <c r="F41" s="23"/>
      <c r="G41" s="261">
        <f>'Link In'!B133</f>
        <v>839228</v>
      </c>
      <c r="H41" s="174"/>
      <c r="I41" s="163">
        <v>0</v>
      </c>
      <c r="J41" s="9"/>
      <c r="K41" s="160">
        <f t="shared" si="0"/>
        <v>839228</v>
      </c>
      <c r="L41" s="15"/>
      <c r="M41" s="15"/>
      <c r="N41" s="15"/>
    </row>
    <row r="42" spans="1:14">
      <c r="A42" s="121">
        <v>30.0363636363636</v>
      </c>
      <c r="B42" s="9"/>
      <c r="C42" s="34"/>
      <c r="D42" s="23"/>
      <c r="E42" s="31" t="s">
        <v>62</v>
      </c>
      <c r="F42" s="23"/>
      <c r="G42" s="158">
        <f>-'Link In'!B134</f>
        <v>-2547540.2398888841</v>
      </c>
      <c r="H42" s="174"/>
      <c r="I42" s="163">
        <v>0</v>
      </c>
      <c r="J42" s="9"/>
      <c r="K42" s="160">
        <f t="shared" si="0"/>
        <v>-2547540.2398888841</v>
      </c>
      <c r="L42" s="15"/>
      <c r="M42" s="15"/>
      <c r="N42" s="15"/>
    </row>
    <row r="43" spans="1:14">
      <c r="A43" s="121">
        <v>31.1636363636363</v>
      </c>
      <c r="B43" s="9"/>
      <c r="C43" s="34"/>
      <c r="D43" s="23"/>
      <c r="E43" s="31" t="s">
        <v>63</v>
      </c>
      <c r="F43" s="23"/>
      <c r="G43" s="261">
        <f>'Link In'!B137</f>
        <v>-2228479</v>
      </c>
      <c r="H43" s="174"/>
      <c r="I43" s="163">
        <v>0</v>
      </c>
      <c r="J43" s="9"/>
      <c r="K43" s="160">
        <f t="shared" si="0"/>
        <v>-2228479</v>
      </c>
      <c r="L43" s="15"/>
      <c r="M43" s="15"/>
      <c r="N43" s="15"/>
    </row>
    <row r="44" spans="1:14">
      <c r="A44" s="121">
        <v>32.290909090909103</v>
      </c>
      <c r="B44" s="9"/>
      <c r="C44" s="34"/>
      <c r="D44" s="23"/>
      <c r="E44" s="31" t="s">
        <v>64</v>
      </c>
      <c r="F44" s="23"/>
      <c r="G44" s="261">
        <f>'Link In'!B138</f>
        <v>7125783.4434776828</v>
      </c>
      <c r="H44" s="174"/>
      <c r="I44" s="163">
        <v>0</v>
      </c>
      <c r="J44" s="9"/>
      <c r="K44" s="160">
        <f t="shared" si="0"/>
        <v>7125783.4434776828</v>
      </c>
      <c r="L44" s="15"/>
      <c r="M44" s="15"/>
      <c r="N44" s="15"/>
    </row>
    <row r="45" spans="1:14">
      <c r="A45" s="121">
        <v>33.4181818181818</v>
      </c>
      <c r="B45" s="9"/>
      <c r="C45" s="34"/>
      <c r="D45" s="23"/>
      <c r="E45" s="31" t="s">
        <v>65</v>
      </c>
      <c r="F45" s="23"/>
      <c r="G45" s="261">
        <f>-'Link In'!B139</f>
        <v>-4833628.8188225348</v>
      </c>
      <c r="H45" s="174"/>
      <c r="I45" s="163">
        <v>0</v>
      </c>
      <c r="J45" s="9"/>
      <c r="K45" s="160">
        <f t="shared" si="0"/>
        <v>-4833628.8188225348</v>
      </c>
      <c r="L45" s="15"/>
      <c r="M45" s="15"/>
      <c r="N45" s="15"/>
    </row>
    <row r="46" spans="1:14">
      <c r="A46" s="121">
        <v>34.545454545454497</v>
      </c>
      <c r="B46" s="9"/>
      <c r="C46" s="34"/>
      <c r="D46" s="23"/>
      <c r="E46" s="31" t="s">
        <v>89</v>
      </c>
      <c r="F46" s="23"/>
      <c r="G46" s="261">
        <f>'Link In'!B140</f>
        <v>2841122</v>
      </c>
      <c r="H46" s="174"/>
      <c r="I46" s="163">
        <v>0</v>
      </c>
      <c r="J46" s="9"/>
      <c r="K46" s="160">
        <f t="shared" si="0"/>
        <v>2841122</v>
      </c>
      <c r="L46" s="15"/>
      <c r="M46" s="15"/>
      <c r="N46" s="15"/>
    </row>
    <row r="47" spans="1:14">
      <c r="A47" s="121">
        <v>35.672727272727201</v>
      </c>
      <c r="B47" s="9"/>
      <c r="C47" s="34"/>
      <c r="D47" s="23"/>
      <c r="E47" s="26" t="s">
        <v>66</v>
      </c>
      <c r="F47" s="23"/>
      <c r="G47" s="278">
        <f>-'Link In'!B141</f>
        <v>-1446898.2883333336</v>
      </c>
      <c r="H47" s="174"/>
      <c r="I47" s="308">
        <v>0</v>
      </c>
      <c r="J47" s="9"/>
      <c r="K47" s="317">
        <f t="shared" si="0"/>
        <v>-1446898.2883333336</v>
      </c>
      <c r="L47" s="15"/>
      <c r="M47" s="15"/>
      <c r="N47" s="15"/>
    </row>
    <row r="48" spans="1:14">
      <c r="A48" s="121">
        <v>36.799999999999997</v>
      </c>
      <c r="B48" s="9"/>
      <c r="C48" s="23"/>
      <c r="D48" s="23"/>
      <c r="E48" s="16" t="s">
        <v>67</v>
      </c>
      <c r="F48" s="23"/>
      <c r="G48" s="158">
        <f>SUM(G37:G47)</f>
        <v>-216754.33069293154</v>
      </c>
      <c r="H48" s="269"/>
      <c r="I48" s="158">
        <f>SUM(I37:I47)</f>
        <v>0</v>
      </c>
      <c r="J48" s="39"/>
      <c r="K48" s="156">
        <f>SUM(K37:K47)</f>
        <v>-216754.33069293154</v>
      </c>
      <c r="L48" s="15"/>
      <c r="M48" s="15"/>
      <c r="N48" s="15"/>
    </row>
    <row r="49" spans="1:14">
      <c r="A49" s="121">
        <v>37.927272727272701</v>
      </c>
      <c r="B49" s="9"/>
      <c r="C49" s="23"/>
      <c r="D49" s="23"/>
      <c r="E49" s="23"/>
      <c r="F49" s="23"/>
      <c r="G49" s="257"/>
      <c r="H49" s="269"/>
      <c r="I49" s="9"/>
      <c r="J49" s="9"/>
      <c r="K49" s="9"/>
      <c r="L49" s="15"/>
      <c r="M49" s="15"/>
      <c r="N49" s="15"/>
    </row>
    <row r="50" spans="1:14" ht="15" thickBot="1">
      <c r="A50" s="121">
        <v>39.054545454545398</v>
      </c>
      <c r="B50" s="9"/>
      <c r="C50" s="9"/>
      <c r="D50" s="9"/>
      <c r="E50" s="16" t="s">
        <v>68</v>
      </c>
      <c r="F50" s="9"/>
      <c r="G50" s="313">
        <f>SUM(G34+G48)</f>
        <v>20843285.998604089</v>
      </c>
      <c r="H50" s="269"/>
      <c r="I50" s="313">
        <f>SUM(I34+I48)</f>
        <v>0</v>
      </c>
      <c r="J50" s="9"/>
      <c r="K50" s="285">
        <f>SUM(K34+K48)</f>
        <v>20843285.998604089</v>
      </c>
      <c r="L50" s="15"/>
      <c r="M50" s="15"/>
      <c r="N50" s="15"/>
    </row>
    <row r="51" spans="1:14" ht="15" thickTop="1">
      <c r="A51" s="121">
        <v>40.181818181818102</v>
      </c>
      <c r="B51" s="9"/>
      <c r="C51" s="9"/>
      <c r="D51" s="9"/>
      <c r="E51" s="25"/>
      <c r="F51" s="9"/>
      <c r="G51" s="279"/>
      <c r="H51" s="269"/>
      <c r="I51" s="9"/>
      <c r="J51" s="9"/>
      <c r="K51" s="9"/>
      <c r="L51" s="15"/>
      <c r="M51" s="15"/>
      <c r="N51" s="15"/>
    </row>
    <row r="52" spans="1:14">
      <c r="A52" s="121">
        <v>41.309090909090898</v>
      </c>
      <c r="B52" s="9"/>
      <c r="C52" s="14" t="s">
        <v>91</v>
      </c>
      <c r="D52" s="9"/>
      <c r="E52" s="25"/>
      <c r="F52" s="9"/>
      <c r="G52" s="280"/>
      <c r="H52" s="269"/>
      <c r="I52" s="9"/>
      <c r="J52" s="9"/>
      <c r="K52" s="9"/>
      <c r="L52" s="15"/>
      <c r="M52" s="15"/>
      <c r="N52" s="15"/>
    </row>
    <row r="53" spans="1:14">
      <c r="A53" s="121">
        <v>42.436363636363602</v>
      </c>
      <c r="B53" s="9"/>
      <c r="C53" s="9"/>
      <c r="D53" s="9"/>
      <c r="E53" s="26" t="s">
        <v>70</v>
      </c>
      <c r="F53" s="9"/>
      <c r="G53" s="281">
        <v>0.05</v>
      </c>
      <c r="H53" s="277"/>
      <c r="I53" s="281">
        <v>0.05</v>
      </c>
      <c r="J53" s="9"/>
      <c r="K53" s="281">
        <v>0.05</v>
      </c>
      <c r="L53" s="15"/>
      <c r="M53" s="15"/>
      <c r="N53" s="15"/>
    </row>
    <row r="54" spans="1:14">
      <c r="A54" s="121">
        <v>43.563636363636299</v>
      </c>
      <c r="B54" s="9"/>
      <c r="C54" s="9"/>
      <c r="D54" s="9"/>
      <c r="E54" s="29" t="s">
        <v>71</v>
      </c>
      <c r="F54" s="14"/>
      <c r="G54" s="272">
        <f>G50*G53</f>
        <v>1042164.2999302045</v>
      </c>
      <c r="H54" s="269"/>
      <c r="I54" s="38">
        <v>0</v>
      </c>
      <c r="J54" s="9"/>
      <c r="K54" s="160">
        <f>G54+I54</f>
        <v>1042164.2999302045</v>
      </c>
      <c r="L54" s="15"/>
      <c r="M54" s="15"/>
      <c r="N54" s="15"/>
    </row>
    <row r="55" spans="1:14">
      <c r="A55" s="121">
        <v>44.690909090909102</v>
      </c>
      <c r="B55" s="9"/>
      <c r="C55" s="9"/>
      <c r="D55" s="9"/>
      <c r="E55" s="25" t="s">
        <v>72</v>
      </c>
      <c r="F55" s="14"/>
      <c r="G55" s="174"/>
      <c r="H55" s="269"/>
      <c r="I55" s="38"/>
      <c r="J55" s="9"/>
      <c r="K55" s="160">
        <f>G55+I55</f>
        <v>0</v>
      </c>
      <c r="L55" s="15"/>
      <c r="M55" s="15"/>
      <c r="N55" s="15"/>
    </row>
    <row r="56" spans="1:14">
      <c r="A56" s="121">
        <v>45.818181818181799</v>
      </c>
      <c r="B56" s="9"/>
      <c r="C56" s="9"/>
      <c r="D56" s="9"/>
      <c r="E56" s="29" t="s">
        <v>73</v>
      </c>
      <c r="F56" s="14"/>
      <c r="G56" s="273">
        <f>G54+G55</f>
        <v>1042164.2999302045</v>
      </c>
      <c r="H56" s="269"/>
      <c r="I56" s="163">
        <f>I54+I55</f>
        <v>0</v>
      </c>
      <c r="J56" s="9"/>
      <c r="K56" s="163">
        <f>K54+K55</f>
        <v>1042164.2999302045</v>
      </c>
      <c r="L56" s="15"/>
      <c r="M56" s="15"/>
      <c r="N56" s="15"/>
    </row>
    <row r="57" spans="1:14">
      <c r="A57" s="121">
        <v>46.945454545454503</v>
      </c>
      <c r="B57" s="9"/>
      <c r="C57" s="9"/>
      <c r="D57" s="9"/>
      <c r="E57" s="25" t="s">
        <v>74</v>
      </c>
      <c r="F57" s="14"/>
      <c r="G57" s="174">
        <f>-'Link In'!B167</f>
        <v>0</v>
      </c>
      <c r="H57" s="269"/>
      <c r="I57" s="28">
        <f>-G57</f>
        <v>0</v>
      </c>
      <c r="J57" s="9"/>
      <c r="K57" s="160">
        <f>G57+I57</f>
        <v>0</v>
      </c>
      <c r="L57" s="15"/>
      <c r="M57" s="15"/>
      <c r="N57" s="15"/>
    </row>
    <row r="58" spans="1:14" ht="15" thickBot="1">
      <c r="A58" s="121">
        <v>48.072727272727199</v>
      </c>
      <c r="B58" s="9"/>
      <c r="C58" s="9"/>
      <c r="D58" s="9"/>
      <c r="E58" s="16" t="s">
        <v>92</v>
      </c>
      <c r="F58" s="9"/>
      <c r="G58" s="314">
        <f>G56-G57</f>
        <v>1042164.2999302045</v>
      </c>
      <c r="H58" s="269"/>
      <c r="I58" s="315">
        <f>I56-I57</f>
        <v>0</v>
      </c>
      <c r="J58" s="9"/>
      <c r="K58" s="315">
        <f>K56-K57</f>
        <v>1042164.2999302045</v>
      </c>
      <c r="L58" s="15"/>
      <c r="M58" s="15"/>
      <c r="N58" s="15"/>
    </row>
    <row r="59" spans="1:14" ht="15" thickTop="1">
      <c r="A59" s="121">
        <v>49.2</v>
      </c>
      <c r="B59" s="9"/>
      <c r="C59" s="9"/>
      <c r="D59" s="9"/>
      <c r="E59" s="9"/>
      <c r="F59" s="9"/>
      <c r="G59" s="257"/>
      <c r="H59" s="269"/>
      <c r="I59" s="9"/>
      <c r="J59" s="9"/>
      <c r="K59" s="9"/>
      <c r="L59" s="15"/>
      <c r="M59" s="15"/>
      <c r="N59" s="15"/>
    </row>
    <row r="60" spans="1:14">
      <c r="A60" s="121">
        <v>50.3272727272727</v>
      </c>
      <c r="B60" s="9"/>
      <c r="C60" s="14" t="s">
        <v>93</v>
      </c>
      <c r="D60" s="9"/>
      <c r="E60" s="9"/>
      <c r="F60" s="9"/>
      <c r="G60" s="257"/>
      <c r="H60" s="269"/>
      <c r="I60" s="9"/>
      <c r="J60" s="9"/>
      <c r="K60" s="9"/>
      <c r="L60" s="15"/>
      <c r="M60" s="15"/>
      <c r="N60" s="15"/>
    </row>
    <row r="61" spans="1:14">
      <c r="A61" s="121">
        <v>51.454545454545404</v>
      </c>
      <c r="B61" s="9"/>
      <c r="C61" s="9"/>
      <c r="D61" s="9"/>
      <c r="E61" s="9" t="s">
        <v>94</v>
      </c>
      <c r="F61" s="9"/>
      <c r="G61" s="263">
        <f>'Link In'!B143*0-(G37+G38+G43+G44+G45)*G53</f>
        <v>-2012.5098764643074</v>
      </c>
      <c r="H61" s="174"/>
      <c r="I61" s="163">
        <v>0</v>
      </c>
      <c r="J61" s="9"/>
      <c r="K61" s="160">
        <f>G61+I61</f>
        <v>-2012.5098764643074</v>
      </c>
      <c r="L61" s="15"/>
      <c r="M61" s="367"/>
      <c r="N61" s="15"/>
    </row>
    <row r="62" spans="1:14">
      <c r="A62" s="121">
        <v>52.5818181818181</v>
      </c>
      <c r="B62" s="9"/>
      <c r="C62" s="9"/>
      <c r="D62" s="9"/>
      <c r="E62" s="9" t="s">
        <v>95</v>
      </c>
      <c r="F62" s="9"/>
      <c r="G62" s="263">
        <f>-SUM(G41:G42)*G53</f>
        <v>85415.611994444218</v>
      </c>
      <c r="H62" s="269"/>
      <c r="I62" s="163">
        <v>0</v>
      </c>
      <c r="J62" s="9"/>
      <c r="K62" s="160">
        <f>G62+I62</f>
        <v>85415.611994444218</v>
      </c>
      <c r="L62" s="15"/>
      <c r="M62" s="367"/>
      <c r="N62" s="15"/>
    </row>
    <row r="63" spans="1:14">
      <c r="A63" s="121">
        <v>53.709090909090897</v>
      </c>
      <c r="B63" s="9"/>
      <c r="C63" s="9"/>
      <c r="D63" s="9"/>
      <c r="E63" s="9" t="s">
        <v>96</v>
      </c>
      <c r="F63" s="9"/>
      <c r="G63" s="333">
        <f>-SUM(G39*G53)</f>
        <v>-2854.2000000000003</v>
      </c>
      <c r="H63" s="269"/>
      <c r="I63" s="163">
        <v>0</v>
      </c>
      <c r="J63" s="9"/>
      <c r="K63" s="160">
        <f>G63+I63</f>
        <v>-2854.2000000000003</v>
      </c>
      <c r="L63" s="15"/>
      <c r="M63" s="367"/>
      <c r="N63" s="15"/>
    </row>
    <row r="64" spans="1:14">
      <c r="A64" s="121">
        <v>54.8363636363636</v>
      </c>
      <c r="B64" s="9"/>
      <c r="C64" s="9"/>
      <c r="D64" s="9"/>
      <c r="E64" s="9" t="s">
        <v>97</v>
      </c>
      <c r="F64" s="9"/>
      <c r="G64" s="333">
        <f>-SUM(G46:G47)*G53</f>
        <v>-69711.185583333325</v>
      </c>
      <c r="H64" s="269"/>
      <c r="I64" s="163">
        <v>0</v>
      </c>
      <c r="J64" s="9"/>
      <c r="K64" s="160">
        <f>G64+I64</f>
        <v>-69711.185583333325</v>
      </c>
      <c r="L64" s="15"/>
      <c r="M64" s="367"/>
      <c r="N64" s="15"/>
    </row>
    <row r="65" spans="1:14">
      <c r="A65" s="121">
        <v>55.963636363636297</v>
      </c>
      <c r="B65" s="9"/>
      <c r="C65" s="9"/>
      <c r="D65" s="9"/>
      <c r="E65" s="9" t="s">
        <v>98</v>
      </c>
      <c r="F65" s="9"/>
      <c r="G65" s="361">
        <f>'Link In'!B169</f>
        <v>0</v>
      </c>
      <c r="H65" s="269"/>
      <c r="I65" s="28">
        <f>-G65</f>
        <v>0</v>
      </c>
      <c r="J65" s="9"/>
      <c r="K65" s="317">
        <f>G65+I65</f>
        <v>0</v>
      </c>
      <c r="L65" s="15"/>
      <c r="M65" s="15"/>
      <c r="N65" s="15"/>
    </row>
    <row r="66" spans="1:14">
      <c r="A66" s="121">
        <v>57.090909090909001</v>
      </c>
      <c r="B66" s="9"/>
      <c r="C66" s="9"/>
      <c r="D66" s="9"/>
      <c r="E66" s="16" t="s">
        <v>82</v>
      </c>
      <c r="F66" s="9"/>
      <c r="G66" s="362">
        <f>SUM(G61:G65)</f>
        <v>10837.716534646592</v>
      </c>
      <c r="H66" s="269"/>
      <c r="I66" s="316">
        <f>SUM(I61:I65)</f>
        <v>0</v>
      </c>
      <c r="J66" s="9"/>
      <c r="K66" s="316">
        <f>SUM(K61:K65)</f>
        <v>10837.716534646592</v>
      </c>
      <c r="L66" s="15"/>
      <c r="M66" s="15"/>
      <c r="N66" s="15"/>
    </row>
    <row r="67" spans="1:14">
      <c r="A67" s="121">
        <v>58.218181818181797</v>
      </c>
      <c r="B67" s="9"/>
      <c r="C67" s="9"/>
      <c r="D67" s="9"/>
      <c r="E67" s="9" t="s">
        <v>72</v>
      </c>
      <c r="F67" s="9"/>
      <c r="G67" s="40"/>
      <c r="H67" s="269"/>
      <c r="I67" s="163">
        <v>0</v>
      </c>
      <c r="J67" s="27"/>
      <c r="K67" s="160">
        <f>G67+I67</f>
        <v>0</v>
      </c>
      <c r="L67" s="15"/>
      <c r="M67" s="15"/>
      <c r="N67" s="15"/>
    </row>
    <row r="68" spans="1:14" ht="15" thickBot="1">
      <c r="A68" s="121">
        <v>59.345454545454501</v>
      </c>
      <c r="B68" s="9"/>
      <c r="C68" s="9"/>
      <c r="D68" s="9"/>
      <c r="E68" s="16" t="s">
        <v>83</v>
      </c>
      <c r="F68" s="9"/>
      <c r="G68" s="315">
        <f>G66-G67</f>
        <v>10837.716534646592</v>
      </c>
      <c r="H68" s="269"/>
      <c r="I68" s="315">
        <f>I66-I67</f>
        <v>0</v>
      </c>
      <c r="J68" s="9"/>
      <c r="K68" s="315">
        <f>K66-K67</f>
        <v>10837.716534646592</v>
      </c>
      <c r="L68" s="15"/>
      <c r="M68" s="15"/>
      <c r="N68" s="15"/>
    </row>
    <row r="69" spans="1:14" ht="15" thickTop="1">
      <c r="A69" s="121">
        <v>60.472727272727198</v>
      </c>
      <c r="B69" s="9"/>
      <c r="C69" s="9"/>
      <c r="D69" s="9"/>
      <c r="E69" s="9"/>
      <c r="F69" s="9"/>
      <c r="G69" s="12"/>
      <c r="H69" s="269"/>
      <c r="I69" s="9"/>
      <c r="J69" s="9"/>
      <c r="K69" s="9"/>
      <c r="L69" s="15"/>
      <c r="M69" s="15"/>
      <c r="N69" s="15"/>
    </row>
    <row r="70" spans="1:14">
      <c r="A70" s="121">
        <v>61.6</v>
      </c>
      <c r="B70" s="9"/>
      <c r="C70" s="14"/>
      <c r="D70" s="9"/>
      <c r="E70" s="14" t="s">
        <v>84</v>
      </c>
      <c r="F70" s="9"/>
      <c r="G70" s="12"/>
      <c r="H70" s="269"/>
      <c r="I70" s="9"/>
      <c r="J70" s="9"/>
      <c r="K70" s="9"/>
      <c r="L70" s="15"/>
      <c r="M70" s="15"/>
      <c r="N70" s="15"/>
    </row>
    <row r="71" spans="1:14">
      <c r="A71" s="121">
        <v>62.727272727272698</v>
      </c>
      <c r="B71" s="9"/>
      <c r="C71" s="9"/>
      <c r="D71" s="9"/>
      <c r="E71" s="11" t="s">
        <v>85</v>
      </c>
      <c r="F71" s="9"/>
      <c r="G71" s="40">
        <f>'Link In'!D258</f>
        <v>-62971</v>
      </c>
      <c r="H71" s="269"/>
      <c r="I71" s="163">
        <v>0</v>
      </c>
      <c r="J71" s="9"/>
      <c r="K71" s="160">
        <f>G71+I71</f>
        <v>-62971</v>
      </c>
      <c r="L71" s="15"/>
      <c r="M71" s="15"/>
      <c r="N71" s="15"/>
    </row>
    <row r="72" spans="1:14" ht="15" thickBot="1">
      <c r="A72" s="121">
        <v>63.854545454545402</v>
      </c>
      <c r="B72" s="15"/>
      <c r="C72" s="15"/>
      <c r="D72" s="15"/>
      <c r="E72" s="32" t="s">
        <v>99</v>
      </c>
      <c r="F72" s="15"/>
      <c r="G72" s="315">
        <f>SUM(G68+G71)</f>
        <v>-52133.283465353408</v>
      </c>
      <c r="H72" s="269"/>
      <c r="I72" s="315">
        <f>SUM(I68+I71)</f>
        <v>0</v>
      </c>
      <c r="J72" s="302"/>
      <c r="K72" s="315">
        <f>SUM(K68+K71)</f>
        <v>-52133.283465353408</v>
      </c>
      <c r="L72" s="15"/>
      <c r="M72" s="15"/>
      <c r="N72" s="15"/>
    </row>
    <row r="73" spans="1:14" ht="15" thickTop="1">
      <c r="A73" s="121">
        <v>64.981818181818099</v>
      </c>
      <c r="B73" s="9"/>
      <c r="C73" s="9"/>
      <c r="D73" s="9"/>
      <c r="E73" s="9"/>
      <c r="F73" s="9"/>
      <c r="G73" s="9"/>
      <c r="H73" s="269"/>
      <c r="I73" s="9"/>
      <c r="J73" s="9"/>
      <c r="K73" s="9"/>
      <c r="L73" s="15"/>
      <c r="M73" s="15"/>
      <c r="N73" s="15"/>
    </row>
    <row r="74" spans="1:14">
      <c r="A74" s="121">
        <v>66.109090909090895</v>
      </c>
      <c r="B74" s="9"/>
      <c r="C74" s="9"/>
      <c r="D74" s="9"/>
      <c r="E74" s="9"/>
      <c r="F74" s="9"/>
      <c r="G74" s="9"/>
      <c r="I74" s="9"/>
      <c r="J74" s="9"/>
      <c r="K74" s="9"/>
      <c r="L74" s="41"/>
      <c r="M74" s="15"/>
      <c r="N74" s="15"/>
    </row>
    <row r="75" spans="1:14" ht="15" thickBot="1">
      <c r="A75" s="121">
        <v>67.236363636363606</v>
      </c>
      <c r="B75" s="9"/>
      <c r="C75" s="9"/>
      <c r="D75" s="9"/>
      <c r="E75" s="18" t="s">
        <v>100</v>
      </c>
      <c r="F75" s="14"/>
      <c r="G75" s="315">
        <f>SUM(G58+G72)</f>
        <v>990031.0164648511</v>
      </c>
      <c r="H75" s="269"/>
      <c r="I75" s="315">
        <f>SUM(I58+I72)</f>
        <v>0</v>
      </c>
      <c r="J75" s="302"/>
      <c r="K75" s="315">
        <f>SUM(K58+K72)</f>
        <v>990031.0164648511</v>
      </c>
      <c r="L75" s="42"/>
      <c r="M75" s="15"/>
      <c r="N75" s="15"/>
    </row>
    <row r="76" spans="1:14" ht="15" thickTop="1">
      <c r="A76" s="24"/>
      <c r="B76" s="9"/>
      <c r="C76" s="9"/>
      <c r="D76" s="9"/>
      <c r="E76" s="9"/>
      <c r="F76" s="9"/>
      <c r="G76" s="9"/>
      <c r="I76" s="9"/>
      <c r="J76" s="9"/>
      <c r="K76" s="9"/>
      <c r="L76" s="9"/>
      <c r="M76" s="9"/>
      <c r="N76" s="9"/>
    </row>
    <row r="77" spans="1:14">
      <c r="I77" s="388" t="s">
        <v>279</v>
      </c>
      <c r="J77" s="389"/>
      <c r="K77" s="390">
        <f>+(K26+K32+K33+K28)*0.05+K71</f>
        <v>990031.0164648511</v>
      </c>
    </row>
    <row r="78" spans="1:14">
      <c r="A78" s="9"/>
      <c r="B78" s="9"/>
      <c r="C78" s="9"/>
      <c r="D78" s="9"/>
      <c r="E78" s="9"/>
      <c r="F78" s="9"/>
      <c r="G78" s="35"/>
      <c r="I78" s="392"/>
      <c r="J78" s="389"/>
      <c r="K78" s="390">
        <f>K75-K77</f>
        <v>0</v>
      </c>
      <c r="L78" s="9"/>
      <c r="M78" s="9"/>
      <c r="N78" s="9"/>
    </row>
    <row r="79" spans="1:14">
      <c r="A79" s="9"/>
      <c r="B79" s="9"/>
      <c r="C79" s="9"/>
      <c r="D79" s="9"/>
      <c r="E79" s="9"/>
      <c r="F79" s="9"/>
      <c r="G79" s="35"/>
      <c r="I79" s="22"/>
      <c r="J79" s="9"/>
      <c r="K79" s="9"/>
      <c r="L79" s="9"/>
      <c r="M79" s="9"/>
      <c r="N79" s="9"/>
    </row>
    <row r="80" spans="1:14">
      <c r="G80" s="35"/>
      <c r="I80" s="9"/>
    </row>
    <row r="81" spans="7:9">
      <c r="G81" s="35"/>
      <c r="I81" s="9"/>
    </row>
    <row r="82" spans="7:9">
      <c r="G82" s="15"/>
      <c r="I82" s="22"/>
    </row>
    <row r="83" spans="7:9">
      <c r="G83" s="15"/>
      <c r="I83" s="9"/>
    </row>
    <row r="84" spans="7:9">
      <c r="G84" s="35"/>
      <c r="I84" s="9"/>
    </row>
    <row r="85" spans="7:9">
      <c r="G85" s="15"/>
      <c r="I85" s="9"/>
    </row>
  </sheetData>
  <mergeCells count="4">
    <mergeCell ref="A5:K5"/>
    <mergeCell ref="A6:K6"/>
    <mergeCell ref="A7:K7"/>
    <mergeCell ref="A4:K4"/>
  </mergeCells>
  <pageMargins left="0.7" right="0.7" top="0.75" bottom="0.75" header="0.3" footer="0.3"/>
  <pageSetup scale="54" orientation="portrait"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7"/>
  <sheetViews>
    <sheetView zoomScale="80" zoomScaleNormal="80" workbookViewId="0">
      <pane ySplit="15" topLeftCell="A16" activePane="bottomLeft" state="frozen"/>
      <selection pane="bottomLeft" activeCell="A16" sqref="A16"/>
    </sheetView>
  </sheetViews>
  <sheetFormatPr defaultRowHeight="14.4"/>
  <cols>
    <col min="1" max="1" width="3.5546875" customWidth="1"/>
    <col min="2" max="2" width="1.5546875" customWidth="1"/>
    <col min="3" max="3" width="15.5546875" customWidth="1"/>
    <col min="4" max="4" width="1.5546875" customWidth="1"/>
    <col min="5" max="5" width="78.5546875" customWidth="1"/>
    <col min="6" max="6" width="1.5546875" customWidth="1"/>
    <col min="7" max="7" width="21.88671875" bestFit="1" customWidth="1"/>
    <col min="8" max="8" width="1.5546875" customWidth="1"/>
    <col min="9" max="9" width="17.44140625" bestFit="1" customWidth="1"/>
    <col min="10" max="10" width="1.5546875" customWidth="1"/>
    <col min="11" max="11" width="19.109375" customWidth="1"/>
    <col min="12" max="12" width="15.88671875" bestFit="1" customWidth="1"/>
    <col min="13" max="13" width="14"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s>
  <sheetData>
    <row r="1" spans="1:20">
      <c r="A1" s="145" t="s">
        <v>11</v>
      </c>
      <c r="B1" s="145"/>
      <c r="C1" s="145"/>
      <c r="D1" s="145"/>
      <c r="E1" s="145"/>
      <c r="F1" s="145"/>
      <c r="G1" s="145"/>
      <c r="H1" s="145"/>
      <c r="I1" s="122"/>
      <c r="J1" s="122"/>
      <c r="K1" s="91" t="s">
        <v>199</v>
      </c>
      <c r="L1" s="91"/>
      <c r="M1" s="43"/>
      <c r="N1" s="43"/>
      <c r="P1" s="43"/>
      <c r="Q1" s="43"/>
      <c r="R1" s="43"/>
      <c r="S1" s="43"/>
      <c r="T1" s="43"/>
    </row>
    <row r="2" spans="1:20">
      <c r="A2" s="145" t="s">
        <v>12</v>
      </c>
      <c r="B2" s="145"/>
      <c r="C2" s="145"/>
      <c r="D2" s="145"/>
      <c r="E2" s="145"/>
      <c r="F2" s="145"/>
      <c r="G2" s="145"/>
      <c r="H2" s="145"/>
      <c r="I2" s="122"/>
      <c r="J2" s="122"/>
      <c r="K2" s="146" t="str">
        <f ca="1">RIGHT(CELL("filename",$A$1),LEN(CELL("filename",$A$1))-SEARCH("\Taxes",CELL("filename",$A$1),1))</f>
        <v>Taxes\[KAWC 2018 Rate Case - Income Tax Exhibit.xlsx]E-1.3 Federal Inc Tax Forecast</v>
      </c>
      <c r="L2" s="146"/>
      <c r="M2" s="43"/>
      <c r="N2" s="43"/>
      <c r="P2" s="43"/>
      <c r="Q2" s="43"/>
      <c r="R2" s="43"/>
      <c r="S2" s="43"/>
      <c r="T2" s="43"/>
    </row>
    <row r="3" spans="1:20">
      <c r="A3" s="122"/>
      <c r="B3" s="122"/>
      <c r="C3" s="122"/>
      <c r="D3" s="122"/>
      <c r="E3" s="122"/>
      <c r="F3" s="122"/>
      <c r="G3" s="122"/>
      <c r="H3" s="122"/>
      <c r="I3" s="122"/>
      <c r="J3" s="122"/>
      <c r="K3" s="122"/>
      <c r="L3" s="122"/>
      <c r="M3" s="43"/>
      <c r="N3" s="43"/>
      <c r="O3" s="43"/>
      <c r="P3" s="43"/>
      <c r="Q3" s="43"/>
      <c r="R3" s="43"/>
      <c r="S3" s="43"/>
      <c r="T3" s="43"/>
    </row>
    <row r="4" spans="1:20">
      <c r="A4" s="406" t="str">
        <f>'Link In'!A1</f>
        <v>Kentucky American Water Company</v>
      </c>
      <c r="B4" s="406"/>
      <c r="C4" s="406"/>
      <c r="D4" s="406"/>
      <c r="E4" s="406"/>
      <c r="F4" s="406"/>
      <c r="G4" s="406"/>
      <c r="H4" s="406"/>
      <c r="I4" s="406"/>
      <c r="J4" s="406"/>
      <c r="K4" s="406"/>
      <c r="L4" s="122"/>
      <c r="M4" s="43"/>
      <c r="N4" s="43"/>
      <c r="O4" s="43"/>
      <c r="P4" s="43"/>
      <c r="Q4" s="43"/>
      <c r="R4" s="43"/>
      <c r="S4" s="43"/>
      <c r="T4" s="43"/>
    </row>
    <row r="5" spans="1:20">
      <c r="A5" s="406" t="str">
        <f>'Link In'!A3</f>
        <v>Case No. 2018-00358</v>
      </c>
      <c r="B5" s="406"/>
      <c r="C5" s="406"/>
      <c r="D5" s="406"/>
      <c r="E5" s="406"/>
      <c r="F5" s="406"/>
      <c r="G5" s="406"/>
      <c r="H5" s="406"/>
      <c r="I5" s="406"/>
      <c r="J5" s="406"/>
      <c r="K5" s="406"/>
      <c r="L5" s="134"/>
      <c r="M5" s="43"/>
      <c r="N5" s="43"/>
      <c r="O5" s="43"/>
      <c r="P5" s="43"/>
      <c r="Q5" s="43"/>
      <c r="R5" s="43"/>
      <c r="S5" s="43"/>
      <c r="T5" s="43"/>
    </row>
    <row r="6" spans="1:20">
      <c r="A6" s="406" t="str">
        <f>'Link In'!A34</f>
        <v>Base Year Adjustment Federal and State Taxes</v>
      </c>
      <c r="B6" s="406"/>
      <c r="C6" s="406"/>
      <c r="D6" s="406"/>
      <c r="E6" s="406"/>
      <c r="F6" s="406"/>
      <c r="G6" s="406"/>
      <c r="H6" s="406"/>
      <c r="I6" s="406"/>
      <c r="J6" s="406"/>
      <c r="K6" s="406"/>
      <c r="L6" s="134"/>
      <c r="M6" s="43"/>
      <c r="N6" s="43"/>
      <c r="O6" s="43"/>
      <c r="P6" s="43"/>
      <c r="Q6" s="43"/>
      <c r="R6" s="43"/>
      <c r="S6" s="43"/>
      <c r="T6" s="43"/>
    </row>
    <row r="7" spans="1:20">
      <c r="A7" s="406" t="s">
        <v>247</v>
      </c>
      <c r="B7" s="406"/>
      <c r="C7" s="406"/>
      <c r="D7" s="406"/>
      <c r="E7" s="406"/>
      <c r="F7" s="406"/>
      <c r="G7" s="406"/>
      <c r="H7" s="406"/>
      <c r="I7" s="406"/>
      <c r="J7" s="406"/>
      <c r="K7" s="406"/>
      <c r="L7" s="134"/>
      <c r="M7" s="43"/>
      <c r="N7" s="43"/>
      <c r="O7" s="43"/>
      <c r="P7" s="43"/>
      <c r="Q7" s="43"/>
      <c r="R7" s="43"/>
      <c r="S7" s="43"/>
      <c r="T7" s="43"/>
    </row>
    <row r="8" spans="1:20">
      <c r="A8" s="122"/>
      <c r="B8" s="122"/>
      <c r="C8" s="122"/>
      <c r="D8" s="122"/>
      <c r="E8" s="122"/>
      <c r="F8" s="122"/>
      <c r="G8" s="122"/>
      <c r="H8" s="122"/>
      <c r="I8" s="122"/>
      <c r="J8" s="122"/>
      <c r="K8" s="122"/>
      <c r="L8" s="134"/>
      <c r="M8" s="43"/>
      <c r="N8" s="43"/>
      <c r="O8" s="43"/>
      <c r="P8" s="43"/>
      <c r="Q8" s="43"/>
      <c r="R8" s="43"/>
      <c r="S8" s="43"/>
      <c r="T8" s="43"/>
    </row>
    <row r="9" spans="1:20">
      <c r="A9" s="299" t="str">
        <f>'Link In'!A28</f>
        <v>Witness Responsible:   John Wilde</v>
      </c>
      <c r="B9" s="122"/>
      <c r="C9" s="122"/>
      <c r="D9" s="122"/>
      <c r="E9" s="122"/>
      <c r="F9" s="122"/>
      <c r="G9" s="122"/>
      <c r="H9" s="122"/>
      <c r="I9" s="122"/>
      <c r="J9" s="122"/>
      <c r="K9" s="299" t="str">
        <f>'Link In'!A36</f>
        <v>W/P - 6-1</v>
      </c>
      <c r="L9" s="134"/>
      <c r="M9" s="43"/>
      <c r="N9" s="43"/>
      <c r="O9" s="43"/>
      <c r="P9" s="43"/>
      <c r="Q9" s="43"/>
      <c r="R9" s="43"/>
      <c r="S9" s="43"/>
      <c r="T9" s="43"/>
    </row>
    <row r="10" spans="1:20" ht="15.6">
      <c r="A10" s="299" t="str">
        <f>'Link In'!A15</f>
        <v>Type of Filing: __X__ Original  _____ Updated  _____ Revised</v>
      </c>
      <c r="B10" s="122"/>
      <c r="C10" s="122"/>
      <c r="D10" s="122"/>
      <c r="E10" s="122"/>
      <c r="F10" s="122"/>
      <c r="G10" s="122"/>
      <c r="H10" s="122"/>
      <c r="I10" s="122"/>
      <c r="J10" s="122"/>
      <c r="K10" s="122"/>
      <c r="L10" s="122"/>
      <c r="M10" s="79"/>
      <c r="N10" s="79"/>
      <c r="O10" s="79"/>
      <c r="P10" s="79"/>
      <c r="Q10" s="79"/>
      <c r="R10" s="79"/>
      <c r="S10" s="79"/>
      <c r="T10" s="79"/>
    </row>
    <row r="11" spans="1:20" ht="15.6">
      <c r="A11" s="72"/>
      <c r="B11" s="43"/>
      <c r="C11" s="43"/>
      <c r="D11" s="43"/>
      <c r="E11" s="43"/>
      <c r="F11" s="43"/>
      <c r="G11" s="59"/>
      <c r="H11" s="43"/>
      <c r="I11" s="43"/>
      <c r="J11" s="43"/>
      <c r="K11" s="75"/>
      <c r="L11" s="43"/>
      <c r="M11" s="43"/>
      <c r="N11" s="43"/>
      <c r="O11" s="43"/>
      <c r="P11" s="43"/>
      <c r="Q11" s="43"/>
      <c r="R11" s="43"/>
      <c r="S11" s="43"/>
      <c r="T11" s="43"/>
    </row>
    <row r="12" spans="1:20" ht="15.6">
      <c r="A12" s="72"/>
      <c r="B12" s="43"/>
      <c r="C12" s="43"/>
      <c r="D12" s="43"/>
      <c r="E12" s="43"/>
      <c r="F12" s="43"/>
      <c r="G12" s="59"/>
      <c r="H12" s="43"/>
      <c r="I12" s="43"/>
      <c r="J12" s="43"/>
      <c r="K12" s="75"/>
      <c r="L12" s="43"/>
      <c r="M12" s="43"/>
      <c r="N12" s="43"/>
      <c r="O12" s="43"/>
      <c r="P12" s="43"/>
      <c r="Q12" s="43"/>
      <c r="R12" s="43"/>
      <c r="S12" s="43"/>
      <c r="T12" s="43"/>
    </row>
    <row r="13" spans="1:20">
      <c r="A13" s="43"/>
      <c r="B13" s="43"/>
      <c r="C13" s="43"/>
      <c r="D13" s="43"/>
      <c r="E13" s="43"/>
      <c r="F13" s="43"/>
      <c r="G13" s="137" t="s">
        <v>34</v>
      </c>
      <c r="H13" s="320"/>
      <c r="I13" s="320"/>
      <c r="J13" s="320"/>
      <c r="K13" s="320"/>
      <c r="L13" s="43"/>
      <c r="M13" s="43"/>
      <c r="N13" s="43"/>
      <c r="O13" s="43"/>
      <c r="P13" s="43"/>
      <c r="Q13" s="43"/>
      <c r="R13" s="43"/>
      <c r="S13" s="43"/>
      <c r="T13" s="43"/>
    </row>
    <row r="14" spans="1:20">
      <c r="A14" s="43"/>
      <c r="B14" s="43"/>
      <c r="C14" s="43"/>
      <c r="D14" s="43"/>
      <c r="E14" s="43"/>
      <c r="F14" s="50"/>
      <c r="G14" s="148" t="s">
        <v>35</v>
      </c>
      <c r="H14" s="321"/>
      <c r="I14" s="148" t="s">
        <v>101</v>
      </c>
      <c r="J14" s="320"/>
      <c r="K14" s="148" t="s">
        <v>102</v>
      </c>
      <c r="L14" s="43"/>
      <c r="M14" s="43"/>
      <c r="N14" s="43"/>
      <c r="O14" s="43"/>
      <c r="P14" s="43"/>
      <c r="Q14" s="43"/>
      <c r="R14" s="43"/>
      <c r="S14" s="43"/>
      <c r="T14" s="43"/>
    </row>
    <row r="15" spans="1:20">
      <c r="A15" s="54" t="s">
        <v>7</v>
      </c>
      <c r="B15" s="55"/>
      <c r="C15" s="54" t="s">
        <v>37</v>
      </c>
      <c r="D15" s="56"/>
      <c r="E15" s="54" t="s">
        <v>38</v>
      </c>
      <c r="F15" s="50"/>
      <c r="G15" s="136" t="s">
        <v>102</v>
      </c>
      <c r="H15" s="321"/>
      <c r="I15" s="136" t="s">
        <v>40</v>
      </c>
      <c r="J15" s="320"/>
      <c r="K15" s="136" t="s">
        <v>101</v>
      </c>
      <c r="L15" s="43"/>
      <c r="M15" s="43"/>
    </row>
    <row r="16" spans="1:20">
      <c r="A16" s="59">
        <v>1</v>
      </c>
      <c r="B16" s="43"/>
      <c r="C16" s="49" t="s">
        <v>41</v>
      </c>
      <c r="D16" s="43"/>
      <c r="E16" s="49"/>
      <c r="F16" s="43"/>
      <c r="G16" s="43"/>
      <c r="H16" s="43"/>
      <c r="I16" s="43"/>
      <c r="J16" s="43"/>
      <c r="K16" s="43"/>
      <c r="L16" s="43"/>
      <c r="M16" s="43"/>
    </row>
    <row r="17" spans="1:13">
      <c r="A17" s="59">
        <v>2</v>
      </c>
      <c r="B17" s="43"/>
      <c r="C17" s="49"/>
      <c r="D17" s="43"/>
      <c r="E17" s="43" t="s">
        <v>42</v>
      </c>
      <c r="F17" s="43"/>
      <c r="G17" s="184">
        <f>'Link In'!D98</f>
        <v>88518852</v>
      </c>
      <c r="H17" s="185"/>
      <c r="I17" s="184">
        <f>K17-G17</f>
        <v>19865003.457569405</v>
      </c>
      <c r="J17" s="184"/>
      <c r="K17" s="156">
        <f>'Link In'!F98</f>
        <v>108383855.45756941</v>
      </c>
      <c r="L17" s="6"/>
      <c r="M17" s="43"/>
    </row>
    <row r="18" spans="1:13">
      <c r="A18" s="59">
        <v>3</v>
      </c>
      <c r="B18" s="43"/>
      <c r="C18" s="49"/>
      <c r="D18" s="43"/>
      <c r="E18" s="43"/>
      <c r="F18" s="43"/>
      <c r="G18" s="43"/>
      <c r="H18" s="6"/>
      <c r="I18" s="45"/>
      <c r="J18" s="43"/>
      <c r="K18" s="160"/>
      <c r="L18" s="6"/>
      <c r="M18" s="43"/>
    </row>
    <row r="19" spans="1:13">
      <c r="A19" s="59">
        <v>4</v>
      </c>
      <c r="B19" s="43"/>
      <c r="C19" s="49" t="s">
        <v>43</v>
      </c>
      <c r="D19" s="43"/>
      <c r="E19" s="49"/>
      <c r="F19" s="43"/>
      <c r="G19" s="43"/>
      <c r="H19" s="6"/>
      <c r="I19" s="45"/>
      <c r="J19" s="43"/>
      <c r="K19" s="160"/>
      <c r="L19" s="6"/>
      <c r="M19" s="43"/>
    </row>
    <row r="20" spans="1:13">
      <c r="A20" s="59">
        <v>5</v>
      </c>
      <c r="B20" s="43"/>
      <c r="C20" s="43"/>
      <c r="D20" s="43"/>
      <c r="E20" s="43" t="s">
        <v>44</v>
      </c>
      <c r="F20" s="43"/>
      <c r="G20" s="44">
        <f>-'Link In'!D103</f>
        <v>-37805850.987251282</v>
      </c>
      <c r="H20" s="6"/>
      <c r="I20" s="256">
        <f>K20-G20</f>
        <v>-181589.68568684906</v>
      </c>
      <c r="J20" s="43"/>
      <c r="K20" s="160">
        <f>-'Link In'!F103</f>
        <v>-37987440.672938131</v>
      </c>
      <c r="L20" s="6"/>
      <c r="M20" s="50"/>
    </row>
    <row r="21" spans="1:13">
      <c r="A21" s="59">
        <v>6</v>
      </c>
      <c r="B21" s="43"/>
      <c r="C21" s="43"/>
      <c r="D21" s="43"/>
      <c r="E21" s="43" t="s">
        <v>45</v>
      </c>
      <c r="F21" s="43"/>
      <c r="G21" s="44">
        <f>-SUM('Link In'!$D$104+'Link In'!$D$105+'Link In'!$D$106+'Link In'!$D$107)</f>
        <v>-18604102.131319575</v>
      </c>
      <c r="H21" s="6"/>
      <c r="I21" s="256">
        <f>K21-G21</f>
        <v>0</v>
      </c>
      <c r="J21" s="43"/>
      <c r="K21" s="180">
        <f>-SUM('Link In'!$F$104+'Link In'!$F$105+'Link In'!$F$106+'Link In'!$F$107)</f>
        <v>-18604102.131319575</v>
      </c>
      <c r="L21" s="6"/>
      <c r="M21" s="50"/>
    </row>
    <row r="22" spans="1:13">
      <c r="A22" s="59">
        <v>7</v>
      </c>
      <c r="B22" s="43"/>
      <c r="C22" s="43"/>
      <c r="D22" s="43"/>
      <c r="E22" s="43" t="s">
        <v>46</v>
      </c>
      <c r="F22" s="43"/>
      <c r="G22" s="44">
        <f>-'Link In'!D111</f>
        <v>-7814766</v>
      </c>
      <c r="H22" s="6"/>
      <c r="I22" s="256">
        <f>K22-G22</f>
        <v>-39729.466916423291</v>
      </c>
      <c r="J22" s="43"/>
      <c r="K22" s="160">
        <f>-'Link In'!F111</f>
        <v>-7854495.4669164233</v>
      </c>
      <c r="L22" s="6"/>
      <c r="M22" s="50"/>
    </row>
    <row r="23" spans="1:13">
      <c r="A23" s="121">
        <v>8</v>
      </c>
      <c r="B23" s="43"/>
      <c r="C23" s="43"/>
      <c r="D23" s="43"/>
      <c r="E23" s="46" t="s">
        <v>48</v>
      </c>
      <c r="F23" s="43"/>
      <c r="G23" s="264">
        <f>-'Link In'!C119</f>
        <v>-13233671</v>
      </c>
      <c r="H23" s="174"/>
      <c r="I23" s="256">
        <f>K23-G23</f>
        <v>0</v>
      </c>
      <c r="J23" s="43"/>
      <c r="K23" s="160">
        <f>G23</f>
        <v>-13233671</v>
      </c>
      <c r="L23" s="6"/>
      <c r="M23" s="50"/>
    </row>
    <row r="24" spans="1:13">
      <c r="A24" s="121">
        <v>9</v>
      </c>
      <c r="B24" s="43"/>
      <c r="C24" s="43"/>
      <c r="D24" s="43"/>
      <c r="E24" s="51" t="s">
        <v>103</v>
      </c>
      <c r="F24" s="43"/>
      <c r="G24" s="283">
        <f>SUM(G20:G23)</f>
        <v>-77458390.118570864</v>
      </c>
      <c r="H24" s="7"/>
      <c r="I24" s="283">
        <f>SUM(I20:I23)</f>
        <v>-221319.15260327235</v>
      </c>
      <c r="J24" s="43"/>
      <c r="K24" s="283">
        <f>SUM(K20:K23)</f>
        <v>-77679709.271174133</v>
      </c>
      <c r="L24" s="7"/>
      <c r="M24" s="50"/>
    </row>
    <row r="25" spans="1:13">
      <c r="A25" s="121">
        <v>10</v>
      </c>
      <c r="B25" s="43"/>
      <c r="C25" s="43"/>
      <c r="D25" s="43"/>
      <c r="E25" s="51"/>
      <c r="F25" s="43"/>
      <c r="G25" s="43"/>
      <c r="H25" s="6"/>
      <c r="I25" s="43"/>
      <c r="J25" s="43"/>
      <c r="K25" s="160"/>
      <c r="L25" s="6"/>
      <c r="M25" s="50"/>
    </row>
    <row r="26" spans="1:13">
      <c r="A26" s="121">
        <v>11</v>
      </c>
      <c r="B26" s="43"/>
      <c r="C26" s="43"/>
      <c r="D26" s="43"/>
      <c r="E26" s="51" t="s">
        <v>104</v>
      </c>
      <c r="F26" s="43"/>
      <c r="G26" s="282">
        <f>SUM(G17+G24)</f>
        <v>11060461.881429136</v>
      </c>
      <c r="H26" s="7"/>
      <c r="I26" s="282">
        <f>SUM(I17+I24)</f>
        <v>19643684.304966133</v>
      </c>
      <c r="J26" s="43"/>
      <c r="K26" s="282">
        <f>SUM(K17+K24)</f>
        <v>30704146.186395273</v>
      </c>
      <c r="L26" s="7"/>
      <c r="M26" s="50"/>
    </row>
    <row r="27" spans="1:13" s="302" customFormat="1">
      <c r="A27" s="121">
        <v>12</v>
      </c>
      <c r="E27" s="89"/>
      <c r="G27" s="282"/>
      <c r="H27" s="7"/>
      <c r="I27" s="282"/>
      <c r="K27" s="282"/>
      <c r="L27" s="7"/>
      <c r="M27" s="227"/>
    </row>
    <row r="28" spans="1:13" s="302" customFormat="1">
      <c r="A28" s="121">
        <v>13</v>
      </c>
      <c r="E28" s="227" t="s">
        <v>47</v>
      </c>
      <c r="G28" s="335">
        <f>-'E-1.4 State Inc Tax Forecast'!G54</f>
        <v>-738871.49778207566</v>
      </c>
      <c r="H28" s="368"/>
      <c r="I28" s="335">
        <f>K28-G28</f>
        <v>-974045.79392830946</v>
      </c>
      <c r="J28" s="335"/>
      <c r="K28" s="335">
        <f>-'E-1.4 State Inc Tax Forecast'!K54</f>
        <v>-1712917.2917103851</v>
      </c>
      <c r="L28" s="6"/>
      <c r="M28" s="227"/>
    </row>
    <row r="29" spans="1:13" s="302" customFormat="1">
      <c r="A29" s="121">
        <v>14</v>
      </c>
      <c r="E29" s="227" t="s">
        <v>296</v>
      </c>
      <c r="G29" s="335">
        <f>-G66-G68</f>
        <v>133114.22044088176</v>
      </c>
      <c r="H29" s="368"/>
      <c r="I29" s="256">
        <f>K29-G29</f>
        <v>0</v>
      </c>
      <c r="J29" s="335"/>
      <c r="K29" s="335">
        <f>-K66-K68</f>
        <v>133114.22044088176</v>
      </c>
      <c r="L29" s="6"/>
      <c r="M29" s="227"/>
    </row>
    <row r="30" spans="1:13">
      <c r="A30" s="121">
        <v>15</v>
      </c>
      <c r="B30" s="43"/>
      <c r="C30" s="43"/>
      <c r="D30" s="43"/>
      <c r="E30" s="43"/>
      <c r="F30" s="43"/>
      <c r="G30" s="43"/>
      <c r="H30" s="6"/>
      <c r="I30" s="43"/>
      <c r="J30" s="43"/>
      <c r="K30" s="160"/>
      <c r="L30" s="6"/>
      <c r="M30" s="50"/>
    </row>
    <row r="31" spans="1:13">
      <c r="A31" s="121">
        <v>16</v>
      </c>
      <c r="B31" s="43"/>
      <c r="C31" s="49" t="s">
        <v>51</v>
      </c>
      <c r="D31" s="43"/>
      <c r="E31" s="43"/>
      <c r="F31" s="43"/>
      <c r="G31" s="43"/>
      <c r="H31" s="6"/>
      <c r="I31" s="43"/>
      <c r="J31" s="43"/>
      <c r="K31" s="160"/>
      <c r="L31" s="6"/>
      <c r="M31" s="50"/>
    </row>
    <row r="32" spans="1:13" ht="28.8">
      <c r="A32" s="121">
        <v>17</v>
      </c>
      <c r="B32" s="43"/>
      <c r="C32" s="43"/>
      <c r="D32" s="43"/>
      <c r="E32" s="66" t="s">
        <v>52</v>
      </c>
      <c r="F32" s="43"/>
      <c r="G32" s="43"/>
      <c r="H32" s="6"/>
      <c r="I32" s="43"/>
      <c r="J32" s="43"/>
      <c r="K32" s="160"/>
      <c r="L32" s="6"/>
      <c r="M32" s="50"/>
    </row>
    <row r="33" spans="1:13">
      <c r="A33" s="121">
        <v>18</v>
      </c>
      <c r="B33" s="43"/>
      <c r="C33" s="43"/>
      <c r="D33" s="43"/>
      <c r="E33" s="48" t="s">
        <v>53</v>
      </c>
      <c r="F33" s="43"/>
      <c r="G33" s="44">
        <f>(+'Link In'!C124)*0.5</f>
        <v>22387.5</v>
      </c>
      <c r="H33" s="6"/>
      <c r="I33" s="256">
        <v>0</v>
      </c>
      <c r="J33" s="43"/>
      <c r="K33" s="160">
        <f>G33+I33</f>
        <v>22387.5</v>
      </c>
      <c r="L33" s="6"/>
      <c r="M33" s="50"/>
    </row>
    <row r="34" spans="1:13">
      <c r="A34" s="121">
        <v>19</v>
      </c>
      <c r="B34" s="43"/>
      <c r="C34" s="43"/>
      <c r="D34" s="43"/>
      <c r="E34" s="52" t="s">
        <v>54</v>
      </c>
      <c r="F34" s="43"/>
      <c r="G34" s="264">
        <f>'Link In'!C120</f>
        <v>176449</v>
      </c>
      <c r="H34" s="174"/>
      <c r="I34" s="260">
        <v>0</v>
      </c>
      <c r="J34" s="43"/>
      <c r="K34" s="160">
        <f>G34+I34</f>
        <v>176449</v>
      </c>
      <c r="L34" s="6"/>
      <c r="M34" s="50"/>
    </row>
    <row r="35" spans="1:13">
      <c r="A35" s="121">
        <v>20</v>
      </c>
      <c r="B35" s="43"/>
      <c r="C35" s="43"/>
      <c r="D35" s="43"/>
      <c r="E35" s="53" t="s">
        <v>105</v>
      </c>
      <c r="F35" s="43"/>
      <c r="G35" s="283">
        <f>G26+G33+G34+G28+G29</f>
        <v>10653541.104087941</v>
      </c>
      <c r="H35" s="6"/>
      <c r="I35" s="283">
        <f>I26+I33+I34+I28+I29</f>
        <v>18669638.511037823</v>
      </c>
      <c r="J35" s="43"/>
      <c r="K35" s="283">
        <f>K26+K33+K34+K28+K29</f>
        <v>29323179.615125772</v>
      </c>
      <c r="L35" s="6"/>
      <c r="M35" s="50"/>
    </row>
    <row r="36" spans="1:13">
      <c r="A36" s="121">
        <v>21</v>
      </c>
      <c r="B36" s="43"/>
      <c r="C36" s="43"/>
      <c r="D36" s="43"/>
      <c r="E36" s="43"/>
      <c r="F36" s="43"/>
      <c r="G36" s="326"/>
      <c r="H36" s="6"/>
      <c r="I36" s="43"/>
      <c r="J36" s="43"/>
      <c r="K36" s="43"/>
      <c r="L36" s="6"/>
      <c r="M36" s="50"/>
    </row>
    <row r="37" spans="1:13" ht="28.8">
      <c r="A37" s="121">
        <v>22</v>
      </c>
      <c r="B37" s="43"/>
      <c r="C37" s="58"/>
      <c r="D37" s="58"/>
      <c r="E37" s="70" t="s">
        <v>56</v>
      </c>
      <c r="F37" s="43"/>
      <c r="G37" s="43"/>
      <c r="H37" s="6"/>
      <c r="I37" s="43"/>
      <c r="J37" s="43"/>
      <c r="K37" s="43"/>
      <c r="L37" s="6"/>
      <c r="M37" s="50"/>
    </row>
    <row r="38" spans="1:13">
      <c r="A38" s="121">
        <v>23</v>
      </c>
      <c r="B38" s="43"/>
      <c r="C38" s="71"/>
      <c r="D38" s="58"/>
      <c r="E38" s="67" t="s">
        <v>57</v>
      </c>
      <c r="F38" s="43"/>
      <c r="G38" s="73">
        <f>-'Link In'!C128</f>
        <v>-13827691.672101699</v>
      </c>
      <c r="H38" s="6"/>
      <c r="I38" s="256">
        <v>0</v>
      </c>
      <c r="J38" s="43"/>
      <c r="K38" s="160">
        <f>G38</f>
        <v>-13827691.672101699</v>
      </c>
      <c r="L38" s="6"/>
      <c r="M38" s="367"/>
    </row>
    <row r="39" spans="1:13">
      <c r="A39" s="121">
        <v>24</v>
      </c>
      <c r="B39" s="43"/>
      <c r="C39" s="71"/>
      <c r="D39" s="58"/>
      <c r="E39" s="67" t="s">
        <v>58</v>
      </c>
      <c r="F39" s="43"/>
      <c r="G39" s="76">
        <f>'Link In'!C129</f>
        <v>17683624.118275311</v>
      </c>
      <c r="H39" s="6"/>
      <c r="I39" s="256">
        <v>0</v>
      </c>
      <c r="J39" s="43"/>
      <c r="K39" s="160">
        <f t="shared" ref="K39:K48" si="0">G39</f>
        <v>17683624.118275311</v>
      </c>
      <c r="L39" s="6"/>
      <c r="M39" s="367"/>
    </row>
    <row r="40" spans="1:13">
      <c r="A40" s="121">
        <v>25</v>
      </c>
      <c r="B40" s="43"/>
      <c r="C40" s="71"/>
      <c r="D40" s="58"/>
      <c r="E40" s="67" t="s">
        <v>59</v>
      </c>
      <c r="F40" s="43"/>
      <c r="G40" s="76">
        <f>'Link In'!C131</f>
        <v>57085.98</v>
      </c>
      <c r="H40" s="6"/>
      <c r="I40" s="256">
        <v>0</v>
      </c>
      <c r="J40" s="43"/>
      <c r="K40" s="160">
        <f t="shared" si="0"/>
        <v>57085.98</v>
      </c>
      <c r="L40" s="6"/>
      <c r="M40" s="367"/>
    </row>
    <row r="41" spans="1:13">
      <c r="A41" s="121">
        <v>26</v>
      </c>
      <c r="B41" s="43"/>
      <c r="C41" s="71"/>
      <c r="D41" s="58"/>
      <c r="E41" s="67" t="s">
        <v>60</v>
      </c>
      <c r="F41" s="43"/>
      <c r="G41" s="73">
        <v>0</v>
      </c>
      <c r="H41" s="6"/>
      <c r="I41" s="256">
        <v>0</v>
      </c>
      <c r="J41" s="43"/>
      <c r="K41" s="160">
        <f t="shared" si="0"/>
        <v>0</v>
      </c>
      <c r="L41" s="6"/>
      <c r="M41" s="367"/>
    </row>
    <row r="42" spans="1:13">
      <c r="A42" s="121">
        <v>27</v>
      </c>
      <c r="B42" s="43"/>
      <c r="C42" s="71"/>
      <c r="D42" s="58"/>
      <c r="E42" s="67" t="s">
        <v>61</v>
      </c>
      <c r="F42" s="43"/>
      <c r="G42" s="76">
        <f>'Link In'!C133</f>
        <v>1091902</v>
      </c>
      <c r="H42" s="6"/>
      <c r="I42" s="256">
        <v>0</v>
      </c>
      <c r="J42" s="43"/>
      <c r="K42" s="160">
        <f t="shared" si="0"/>
        <v>1091902</v>
      </c>
      <c r="L42" s="6"/>
      <c r="M42" s="367"/>
    </row>
    <row r="43" spans="1:13">
      <c r="A43" s="121">
        <v>28</v>
      </c>
      <c r="B43" s="43"/>
      <c r="C43" s="71"/>
      <c r="D43" s="58"/>
      <c r="E43" s="67" t="s">
        <v>62</v>
      </c>
      <c r="F43" s="43"/>
      <c r="G43" s="284">
        <f>-'Link In'!C134</f>
        <v>-1500000</v>
      </c>
      <c r="H43" s="6"/>
      <c r="I43" s="256">
        <v>0</v>
      </c>
      <c r="J43" s="43"/>
      <c r="K43" s="160">
        <f t="shared" si="0"/>
        <v>-1500000</v>
      </c>
      <c r="L43" s="6"/>
      <c r="M43" s="367"/>
    </row>
    <row r="44" spans="1:13">
      <c r="A44" s="121">
        <v>29</v>
      </c>
      <c r="B44" s="43"/>
      <c r="C44" s="71"/>
      <c r="D44" s="58"/>
      <c r="E44" s="67" t="s">
        <v>63</v>
      </c>
      <c r="F44" s="43"/>
      <c r="G44" s="76">
        <f>'Link In'!C137</f>
        <v>-2403755.2008386226</v>
      </c>
      <c r="H44" s="6"/>
      <c r="I44" s="256">
        <v>0</v>
      </c>
      <c r="J44" s="43"/>
      <c r="K44" s="160">
        <f t="shared" si="0"/>
        <v>-2403755.2008386226</v>
      </c>
      <c r="L44" s="6"/>
      <c r="M44" s="367"/>
    </row>
    <row r="45" spans="1:13">
      <c r="A45" s="121">
        <v>30</v>
      </c>
      <c r="B45" s="43"/>
      <c r="C45" s="71"/>
      <c r="D45" s="58"/>
      <c r="E45" s="67" t="s">
        <v>64</v>
      </c>
      <c r="F45" s="43"/>
      <c r="G45" s="76">
        <f>'Link In'!C138</f>
        <v>7228514.1265822789</v>
      </c>
      <c r="H45" s="6"/>
      <c r="I45" s="256">
        <v>0</v>
      </c>
      <c r="J45" s="43"/>
      <c r="K45" s="160">
        <f t="shared" si="0"/>
        <v>7228514.1265822789</v>
      </c>
      <c r="L45" s="6"/>
      <c r="M45" s="367"/>
    </row>
    <row r="46" spans="1:13">
      <c r="A46" s="121">
        <v>31</v>
      </c>
      <c r="B46" s="43"/>
      <c r="C46" s="71"/>
      <c r="D46" s="58"/>
      <c r="E46" s="67" t="s">
        <v>65</v>
      </c>
      <c r="F46" s="43"/>
      <c r="G46" s="76">
        <f>-'Link In'!C139</f>
        <v>-3860784.7195699811</v>
      </c>
      <c r="H46" s="6"/>
      <c r="I46" s="256">
        <v>0</v>
      </c>
      <c r="J46" s="43"/>
      <c r="K46" s="160">
        <f t="shared" si="0"/>
        <v>-3860784.7195699811</v>
      </c>
      <c r="L46" s="6"/>
      <c r="M46" s="367"/>
    </row>
    <row r="47" spans="1:13">
      <c r="A47" s="121">
        <v>32</v>
      </c>
      <c r="B47" s="43"/>
      <c r="C47" s="71"/>
      <c r="D47" s="58"/>
      <c r="E47" s="67" t="s">
        <v>89</v>
      </c>
      <c r="F47" s="43"/>
      <c r="G47" s="76">
        <f>'Link In'!C140</f>
        <v>3052002.8306124154</v>
      </c>
      <c r="H47" s="6"/>
      <c r="I47" s="256">
        <v>0</v>
      </c>
      <c r="J47" s="43"/>
      <c r="K47" s="160">
        <f t="shared" si="0"/>
        <v>3052002.8306124154</v>
      </c>
      <c r="L47" s="6"/>
      <c r="M47" s="367"/>
    </row>
    <row r="48" spans="1:13">
      <c r="A48" s="121">
        <v>33</v>
      </c>
      <c r="B48" s="43"/>
      <c r="C48" s="71"/>
      <c r="D48" s="58"/>
      <c r="E48" s="61" t="s">
        <v>66</v>
      </c>
      <c r="F48" s="43"/>
      <c r="G48" s="64">
        <f>-'Link In'!C141</f>
        <v>-1351177</v>
      </c>
      <c r="H48" s="6"/>
      <c r="I48" s="260">
        <v>0</v>
      </c>
      <c r="J48" s="43"/>
      <c r="K48" s="160">
        <f t="shared" si="0"/>
        <v>-1351177</v>
      </c>
      <c r="L48" s="6"/>
      <c r="M48" s="367"/>
    </row>
    <row r="49" spans="1:13">
      <c r="A49" s="121">
        <v>34</v>
      </c>
      <c r="B49" s="43"/>
      <c r="C49" s="58"/>
      <c r="D49" s="58"/>
      <c r="E49" s="51" t="s">
        <v>106</v>
      </c>
      <c r="F49" s="43"/>
      <c r="G49" s="283">
        <f>SUM(G38:G48)</f>
        <v>6169720.4629597031</v>
      </c>
      <c r="H49" s="6"/>
      <c r="I49" s="283">
        <f>SUM(I38:I48)</f>
        <v>0</v>
      </c>
      <c r="J49" s="77"/>
      <c r="K49" s="283">
        <f>SUM(K38:K48)</f>
        <v>6169720.4629597031</v>
      </c>
      <c r="L49" s="6"/>
      <c r="M49" s="50"/>
    </row>
    <row r="50" spans="1:13">
      <c r="A50" s="121">
        <v>35</v>
      </c>
      <c r="B50" s="43"/>
      <c r="C50" s="58"/>
      <c r="D50" s="58"/>
      <c r="E50" s="58"/>
      <c r="F50" s="43"/>
      <c r="G50" s="43"/>
      <c r="H50" s="6"/>
      <c r="I50" s="43"/>
      <c r="J50" s="43"/>
      <c r="K50" s="160"/>
      <c r="L50" s="6"/>
      <c r="M50" s="50"/>
    </row>
    <row r="51" spans="1:13" ht="15" thickBot="1">
      <c r="A51" s="121">
        <v>36</v>
      </c>
      <c r="B51" s="43"/>
      <c r="C51" s="43"/>
      <c r="D51" s="43"/>
      <c r="E51" s="51" t="s">
        <v>107</v>
      </c>
      <c r="F51" s="43"/>
      <c r="G51" s="285">
        <f>G35+G49</f>
        <v>16823261.567047644</v>
      </c>
      <c r="H51" s="6"/>
      <c r="I51" s="285">
        <f>I35+I49</f>
        <v>18669638.511037823</v>
      </c>
      <c r="J51" s="43"/>
      <c r="K51" s="285">
        <f>K35+K49</f>
        <v>35492900.078085475</v>
      </c>
      <c r="L51" s="6"/>
      <c r="M51" s="50"/>
    </row>
    <row r="52" spans="1:13" ht="15" thickTop="1">
      <c r="A52" s="121">
        <v>37</v>
      </c>
      <c r="B52" s="43"/>
      <c r="C52" s="43"/>
      <c r="D52" s="43"/>
      <c r="E52" s="60"/>
      <c r="F52" s="43"/>
      <c r="G52" s="43"/>
      <c r="H52" s="6"/>
      <c r="I52" s="43"/>
      <c r="J52" s="43"/>
      <c r="K52" s="43"/>
      <c r="L52" s="6"/>
      <c r="M52" s="50"/>
    </row>
    <row r="53" spans="1:13">
      <c r="A53" s="121">
        <v>38</v>
      </c>
      <c r="B53" s="43"/>
      <c r="C53" s="49" t="s">
        <v>69</v>
      </c>
      <c r="D53" s="43"/>
      <c r="E53" s="60"/>
      <c r="F53" s="43"/>
      <c r="G53" s="43"/>
      <c r="H53" s="6"/>
      <c r="I53" s="43"/>
      <c r="J53" s="43"/>
      <c r="K53" s="43"/>
      <c r="L53" s="6"/>
      <c r="M53" s="50"/>
    </row>
    <row r="54" spans="1:13">
      <c r="A54" s="121">
        <v>39</v>
      </c>
      <c r="B54" s="43"/>
      <c r="C54" s="43"/>
      <c r="D54" s="43"/>
      <c r="E54" s="61" t="s">
        <v>70</v>
      </c>
      <c r="F54" s="43"/>
      <c r="G54" s="65">
        <v>0.21</v>
      </c>
      <c r="H54" s="8"/>
      <c r="I54" s="65">
        <v>0.21</v>
      </c>
      <c r="J54" s="43"/>
      <c r="K54" s="65">
        <v>0.21</v>
      </c>
      <c r="L54" s="8"/>
      <c r="M54" s="50"/>
    </row>
    <row r="55" spans="1:13" ht="15" thickBot="1">
      <c r="A55" s="121">
        <v>40</v>
      </c>
      <c r="B55" s="43"/>
      <c r="C55" s="43"/>
      <c r="D55" s="43"/>
      <c r="E55" s="63" t="s">
        <v>108</v>
      </c>
      <c r="F55" s="43"/>
      <c r="G55" s="315">
        <f>G51*G54</f>
        <v>3532884.9290800053</v>
      </c>
      <c r="H55" s="6"/>
      <c r="I55" s="315">
        <f>I51*I54</f>
        <v>3920624.0873179426</v>
      </c>
      <c r="J55" s="43"/>
      <c r="K55" s="315">
        <f>K51*K54</f>
        <v>7453509.0163979493</v>
      </c>
      <c r="L55" s="6"/>
      <c r="M55" s="50"/>
    </row>
    <row r="56" spans="1:13" ht="15" thickTop="1">
      <c r="A56" s="121">
        <v>41</v>
      </c>
      <c r="B56" s="43"/>
      <c r="C56" s="43"/>
      <c r="D56" s="43"/>
      <c r="E56" s="43"/>
      <c r="F56" s="43"/>
      <c r="G56" s="43"/>
      <c r="H56" s="6"/>
      <c r="I56" s="43"/>
      <c r="J56" s="43"/>
      <c r="K56" s="43"/>
      <c r="L56" s="6"/>
      <c r="M56" s="50"/>
    </row>
    <row r="57" spans="1:13">
      <c r="A57" s="121">
        <v>42</v>
      </c>
      <c r="B57" s="43"/>
      <c r="C57" s="43"/>
      <c r="D57" s="43"/>
      <c r="E57" s="43"/>
      <c r="F57" s="43"/>
      <c r="G57" s="43"/>
      <c r="H57" s="6"/>
      <c r="I57" s="43"/>
      <c r="J57" s="43"/>
      <c r="K57" s="43"/>
      <c r="L57" s="6"/>
      <c r="M57" s="50"/>
    </row>
    <row r="58" spans="1:13">
      <c r="A58" s="121">
        <v>43</v>
      </c>
      <c r="B58" s="43"/>
      <c r="C58" s="49" t="s">
        <v>76</v>
      </c>
      <c r="D58" s="43"/>
      <c r="E58" s="43"/>
      <c r="F58" s="43"/>
      <c r="G58" s="43"/>
      <c r="H58" s="6"/>
      <c r="I58" s="43"/>
      <c r="J58" s="43"/>
      <c r="K58" s="43"/>
      <c r="L58" s="6"/>
      <c r="M58" s="50"/>
    </row>
    <row r="59" spans="1:13">
      <c r="A59" s="121">
        <v>44</v>
      </c>
      <c r="B59" s="43"/>
      <c r="C59" s="43"/>
      <c r="D59" s="43"/>
      <c r="E59" s="43" t="s">
        <v>77</v>
      </c>
      <c r="F59" s="58"/>
      <c r="G59" s="69">
        <f>(-SUM(G38+G39+G44+G45+G46)-'E-1.4 State Inc Tax Forecast'!G58)*G54</f>
        <v>-990067.98864328372</v>
      </c>
      <c r="H59" s="6"/>
      <c r="I59" s="256">
        <v>0</v>
      </c>
      <c r="J59" s="43"/>
      <c r="K59" s="57">
        <f>SUM(G59+I59)</f>
        <v>-990067.98864328372</v>
      </c>
      <c r="L59" s="6"/>
      <c r="M59" s="50"/>
    </row>
    <row r="60" spans="1:13">
      <c r="A60" s="121">
        <v>45</v>
      </c>
      <c r="B60" s="43"/>
      <c r="C60" s="43"/>
      <c r="D60" s="43"/>
      <c r="E60" s="43" t="s">
        <v>78</v>
      </c>
      <c r="F60" s="43"/>
      <c r="G60" s="69">
        <f>(-SUM(G42+G43)-'E-1.4 State Inc Tax Forecast'!G59)*G54</f>
        <v>81415.550999999992</v>
      </c>
      <c r="H60" s="6"/>
      <c r="I60" s="256">
        <v>0</v>
      </c>
      <c r="J60" s="43"/>
      <c r="K60" s="95">
        <f>SUM(G60+I60)</f>
        <v>81415.550999999992</v>
      </c>
      <c r="L60" s="6"/>
      <c r="M60" s="50"/>
    </row>
    <row r="61" spans="1:13">
      <c r="A61" s="121">
        <v>46</v>
      </c>
      <c r="B61" s="43"/>
      <c r="C61" s="43"/>
      <c r="D61" s="43"/>
      <c r="E61" s="43" t="s">
        <v>79</v>
      </c>
      <c r="F61" s="43"/>
      <c r="G61" s="62">
        <f>(-G40-'E-1.4 State Inc Tax Forecast'!G60)*G54</f>
        <v>-11388.65301</v>
      </c>
      <c r="H61" s="6"/>
      <c r="I61" s="256">
        <v>0</v>
      </c>
      <c r="J61" s="43"/>
      <c r="K61" s="95">
        <f>SUM(G61+I61)</f>
        <v>-11388.65301</v>
      </c>
      <c r="L61" s="6"/>
      <c r="M61" s="50"/>
    </row>
    <row r="62" spans="1:13">
      <c r="A62" s="121">
        <v>47</v>
      </c>
      <c r="B62" s="43"/>
      <c r="C62" s="43"/>
      <c r="D62" s="43"/>
      <c r="E62" s="46" t="s">
        <v>80</v>
      </c>
      <c r="F62" s="43"/>
      <c r="G62" s="293">
        <f>(-SUM(G47:G48)-'E-1.4 State Inc Tax Forecast'!G61)*G54</f>
        <v>-339314.75320717687</v>
      </c>
      <c r="H62" s="6"/>
      <c r="I62" s="260">
        <v>0</v>
      </c>
      <c r="J62" s="43"/>
      <c r="K62" s="293">
        <f>SUM(G62+I62)</f>
        <v>-339314.75320717687</v>
      </c>
      <c r="L62" s="6"/>
      <c r="M62" s="50"/>
    </row>
    <row r="63" spans="1:13">
      <c r="A63" s="121">
        <v>48</v>
      </c>
      <c r="B63" s="43"/>
      <c r="C63" s="43"/>
      <c r="D63" s="43"/>
      <c r="E63" s="51" t="s">
        <v>83</v>
      </c>
      <c r="F63" s="43"/>
      <c r="G63" s="316">
        <f>SUM(G59:G62)</f>
        <v>-1259355.8438604607</v>
      </c>
      <c r="H63" s="6"/>
      <c r="I63" s="316">
        <f>SUM(I59:I62)</f>
        <v>0</v>
      </c>
      <c r="J63" s="43"/>
      <c r="K63" s="316">
        <f>SUM(K59:K62)</f>
        <v>-1259355.8438604607</v>
      </c>
      <c r="L63" s="6"/>
      <c r="M63" s="50"/>
    </row>
    <row r="64" spans="1:13">
      <c r="A64" s="121">
        <v>49</v>
      </c>
      <c r="B64" s="43"/>
      <c r="C64" s="43"/>
      <c r="D64" s="43"/>
      <c r="E64" s="43"/>
      <c r="F64" s="43"/>
      <c r="G64" s="47"/>
      <c r="H64" s="6"/>
      <c r="I64" s="43"/>
      <c r="J64" s="43"/>
      <c r="K64" s="43"/>
      <c r="L64" s="6"/>
      <c r="M64" s="50"/>
    </row>
    <row r="65" spans="1:13">
      <c r="A65" s="121">
        <v>50</v>
      </c>
      <c r="B65" s="43"/>
      <c r="C65" s="49"/>
      <c r="D65" s="43"/>
      <c r="E65" s="49" t="s">
        <v>84</v>
      </c>
      <c r="F65" s="43"/>
      <c r="G65" s="47"/>
      <c r="H65" s="6"/>
      <c r="I65" s="43"/>
      <c r="J65" s="43"/>
      <c r="K65" s="43"/>
      <c r="L65" s="6"/>
      <c r="M65" s="50"/>
    </row>
    <row r="66" spans="1:13">
      <c r="A66" s="121">
        <v>51</v>
      </c>
      <c r="B66" s="43"/>
      <c r="C66" s="43"/>
      <c r="D66" s="43"/>
      <c r="E66" s="50" t="s">
        <v>85</v>
      </c>
      <c r="F66" s="43"/>
      <c r="G66" s="284">
        <f>+'Link In'!H257</f>
        <v>-54622.220440881763</v>
      </c>
      <c r="H66" s="6"/>
      <c r="I66" s="256">
        <v>0</v>
      </c>
      <c r="J66" s="43"/>
      <c r="K66" s="57">
        <f>SUM(G66+I66)</f>
        <v>-54622.220440881763</v>
      </c>
      <c r="L66" s="6"/>
      <c r="M66" s="50"/>
    </row>
    <row r="67" spans="1:13">
      <c r="A67" s="121">
        <v>52</v>
      </c>
      <c r="B67" s="43"/>
      <c r="C67" s="43"/>
      <c r="D67" s="43"/>
      <c r="E67" s="50"/>
      <c r="F67" s="43"/>
      <c r="G67" s="73"/>
      <c r="H67" s="6"/>
      <c r="I67" s="256"/>
      <c r="J67" s="43"/>
      <c r="K67" s="43"/>
      <c r="L67" s="6"/>
      <c r="M67" s="50"/>
    </row>
    <row r="68" spans="1:13">
      <c r="A68" s="121">
        <v>53</v>
      </c>
      <c r="B68" s="43"/>
      <c r="C68" s="43"/>
      <c r="D68" s="43"/>
      <c r="E68" s="74" t="s">
        <v>86</v>
      </c>
      <c r="F68" s="43"/>
      <c r="G68" s="73">
        <f>+'Link In'!H265</f>
        <v>-78492</v>
      </c>
      <c r="H68" s="6"/>
      <c r="I68" s="260">
        <v>0</v>
      </c>
      <c r="J68" s="43"/>
      <c r="K68" s="95">
        <f>SUM(G68+I68)</f>
        <v>-78492</v>
      </c>
      <c r="L68" s="6"/>
      <c r="M68" s="50"/>
    </row>
    <row r="69" spans="1:13" ht="15" thickBot="1">
      <c r="A69" s="121">
        <v>54</v>
      </c>
      <c r="B69" s="50"/>
      <c r="C69" s="50"/>
      <c r="D69" s="50"/>
      <c r="E69" s="68" t="s">
        <v>87</v>
      </c>
      <c r="F69" s="50"/>
      <c r="G69" s="315">
        <f>SUM(G63+G66+G68)</f>
        <v>-1392470.0643013425</v>
      </c>
      <c r="H69" s="6"/>
      <c r="I69" s="315">
        <f>SUM(I63+I66+I68)</f>
        <v>0</v>
      </c>
      <c r="J69" s="50"/>
      <c r="K69" s="315">
        <f>SUM(K63+K66+K68)</f>
        <v>-1392470.0643013425</v>
      </c>
      <c r="L69" s="6"/>
      <c r="M69" s="50"/>
    </row>
    <row r="70" spans="1:13" ht="15" thickTop="1">
      <c r="A70" s="121">
        <v>55</v>
      </c>
      <c r="B70" s="43"/>
      <c r="C70" s="43"/>
      <c r="D70" s="43"/>
      <c r="E70" s="43"/>
      <c r="F70" s="43"/>
      <c r="G70" s="43"/>
      <c r="H70" s="6"/>
      <c r="I70" s="43"/>
      <c r="J70" s="43"/>
      <c r="K70" s="43"/>
      <c r="L70" s="6"/>
      <c r="M70" s="50"/>
    </row>
    <row r="71" spans="1:13">
      <c r="A71" s="121">
        <v>56</v>
      </c>
      <c r="B71" s="43"/>
      <c r="C71" s="43"/>
      <c r="D71" s="43"/>
      <c r="E71" s="43"/>
      <c r="F71" s="43"/>
      <c r="G71" s="43"/>
      <c r="H71" s="6"/>
      <c r="I71" s="43"/>
      <c r="J71" s="43"/>
      <c r="K71" s="43"/>
      <c r="L71" s="6"/>
      <c r="M71" s="50"/>
    </row>
    <row r="72" spans="1:13" ht="15" thickBot="1">
      <c r="A72" s="121">
        <v>57</v>
      </c>
      <c r="B72" s="43"/>
      <c r="C72" s="43"/>
      <c r="D72" s="43"/>
      <c r="E72" s="53" t="s">
        <v>109</v>
      </c>
      <c r="F72" s="43"/>
      <c r="G72" s="285">
        <f>SUM(G55+G69)</f>
        <v>2140414.864778663</v>
      </c>
      <c r="H72" s="6"/>
      <c r="I72" s="285">
        <f>SUM(I55+I69)</f>
        <v>3920624.0873179426</v>
      </c>
      <c r="J72" s="43"/>
      <c r="K72" s="285">
        <f>SUM(K55+K69)</f>
        <v>6061038.9520966066</v>
      </c>
      <c r="L72" s="6"/>
      <c r="M72" s="50"/>
    </row>
    <row r="73" spans="1:13" ht="15" thickTop="1">
      <c r="A73" s="121">
        <v>58</v>
      </c>
      <c r="B73" s="43"/>
      <c r="C73" s="43"/>
      <c r="D73" s="43"/>
      <c r="E73" s="43"/>
      <c r="F73" s="43"/>
      <c r="G73" s="43"/>
      <c r="H73" s="6"/>
      <c r="I73" s="43"/>
      <c r="J73" s="43"/>
      <c r="K73" s="43"/>
      <c r="L73" s="6"/>
      <c r="M73" s="43"/>
    </row>
    <row r="74" spans="1:13">
      <c r="A74" s="121">
        <v>59</v>
      </c>
      <c r="H74" s="6"/>
      <c r="I74" s="388" t="s">
        <v>279</v>
      </c>
      <c r="J74" s="389"/>
      <c r="K74" s="390">
        <f>SUM(K26,K33:K34,K29)*(0.21-0.05*0.21)+K66+K68</f>
        <v>6058587.1124729309</v>
      </c>
      <c r="L74" s="391"/>
    </row>
    <row r="75" spans="1:13">
      <c r="H75" s="116"/>
      <c r="I75" s="389"/>
      <c r="J75" s="389"/>
      <c r="K75" s="390">
        <f>K74-K72</f>
        <v>-2451.8396236756817</v>
      </c>
      <c r="L75" s="389" t="s">
        <v>280</v>
      </c>
    </row>
    <row r="76" spans="1:13">
      <c r="H76" s="116"/>
      <c r="L76" s="116"/>
    </row>
    <row r="77" spans="1:13">
      <c r="E77" s="370" t="s">
        <v>282</v>
      </c>
      <c r="G77" s="184">
        <f>+G72+'E-1.4 State Inc Tax Forecast'!G69</f>
        <v>2644124.3781600869</v>
      </c>
      <c r="I77" s="184">
        <f>+I72+'E-1.4 State Inc Tax Forecast'!I69</f>
        <v>4894669.881246252</v>
      </c>
      <c r="K77" s="184">
        <f>+K72+'E-1.4 State Inc Tax Forecast'!K69</f>
        <v>7538794.2594063394</v>
      </c>
    </row>
  </sheetData>
  <mergeCells count="4">
    <mergeCell ref="A5:K5"/>
    <mergeCell ref="A6:K6"/>
    <mergeCell ref="A7:K7"/>
    <mergeCell ref="A4:K4"/>
  </mergeCells>
  <pageMargins left="0.7" right="0.7" top="0.75" bottom="0.75" header="0.3" footer="0.3"/>
  <pageSetup scale="50" orientation="portrait"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zoomScale="80" zoomScaleNormal="80" workbookViewId="0">
      <pane ySplit="15" topLeftCell="A16" activePane="bottomLeft" state="frozen"/>
      <selection pane="bottomLeft" activeCell="A16" sqref="A16"/>
    </sheetView>
  </sheetViews>
  <sheetFormatPr defaultRowHeight="14.4"/>
  <cols>
    <col min="2" max="2" width="1.5546875" customWidth="1"/>
    <col min="3" max="3" width="9.5546875" customWidth="1"/>
    <col min="4" max="4" width="1.5546875" customWidth="1"/>
    <col min="5" max="5" width="72.5546875" bestFit="1" customWidth="1"/>
    <col min="6" max="6" width="1.5546875" customWidth="1"/>
    <col min="7" max="7" width="19.5546875" bestFit="1" customWidth="1"/>
    <col min="8" max="8" width="1.5546875" customWidth="1"/>
    <col min="9" max="9" width="17.44140625" bestFit="1" customWidth="1"/>
    <col min="10" max="10" width="1.5546875" customWidth="1"/>
    <col min="11" max="11" width="18.5546875" customWidth="1"/>
    <col min="12" max="12" width="14.8867187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s>
  <sheetData>
    <row r="1" spans="1:13">
      <c r="A1" s="145" t="s">
        <v>11</v>
      </c>
      <c r="B1" s="145"/>
      <c r="C1" s="145"/>
      <c r="D1" s="145"/>
      <c r="E1" s="145"/>
      <c r="F1" s="145"/>
      <c r="G1" s="145"/>
      <c r="H1" s="145"/>
      <c r="I1" s="122"/>
      <c r="J1" s="122"/>
      <c r="K1" s="91" t="s">
        <v>198</v>
      </c>
      <c r="L1" s="91"/>
    </row>
    <row r="2" spans="1:13">
      <c r="A2" s="145" t="s">
        <v>12</v>
      </c>
      <c r="B2" s="145"/>
      <c r="C2" s="145"/>
      <c r="D2" s="145"/>
      <c r="E2" s="145"/>
      <c r="F2" s="145"/>
      <c r="G2" s="145"/>
      <c r="H2" s="145"/>
      <c r="I2" s="122"/>
      <c r="J2" s="122"/>
      <c r="K2" s="146" t="str">
        <f ca="1">RIGHT(CELL("filename",$A$1),LEN(CELL("filename",$A$1))-SEARCH("\Taxes",CELL("filename",$A$1),1))</f>
        <v>Taxes\[KAWC 2018 Rate Case - Income Tax Exhibit.xlsx]E-1.4 State Inc Tax Forecast</v>
      </c>
      <c r="L2" s="146"/>
    </row>
    <row r="3" spans="1:13">
      <c r="A3" s="122"/>
      <c r="B3" s="122"/>
      <c r="C3" s="122"/>
      <c r="D3" s="122"/>
      <c r="E3" s="122"/>
      <c r="F3" s="122"/>
      <c r="G3" s="122"/>
      <c r="H3" s="122"/>
      <c r="I3" s="122"/>
      <c r="J3" s="122"/>
      <c r="K3" s="122"/>
      <c r="L3" s="122"/>
    </row>
    <row r="4" spans="1:13">
      <c r="A4" s="406" t="str">
        <f>'Link In'!A1</f>
        <v>Kentucky American Water Company</v>
      </c>
      <c r="B4" s="406"/>
      <c r="C4" s="406"/>
      <c r="D4" s="406"/>
      <c r="E4" s="406"/>
      <c r="F4" s="406"/>
      <c r="G4" s="406"/>
      <c r="H4" s="406"/>
      <c r="I4" s="406"/>
      <c r="J4" s="406"/>
      <c r="K4" s="406"/>
      <c r="L4" s="122"/>
    </row>
    <row r="5" spans="1:13">
      <c r="A5" s="406" t="str">
        <f>'Link In'!A3</f>
        <v>Case No. 2018-00358</v>
      </c>
      <c r="B5" s="406"/>
      <c r="C5" s="406"/>
      <c r="D5" s="406"/>
      <c r="E5" s="406"/>
      <c r="F5" s="406"/>
      <c r="G5" s="406"/>
      <c r="H5" s="406"/>
      <c r="I5" s="406"/>
      <c r="J5" s="406"/>
      <c r="K5" s="406"/>
      <c r="L5" s="134"/>
    </row>
    <row r="6" spans="1:13">
      <c r="A6" s="406" t="str">
        <f>'Link In'!A34</f>
        <v>Base Year Adjustment Federal and State Taxes</v>
      </c>
      <c r="B6" s="406"/>
      <c r="C6" s="406"/>
      <c r="D6" s="406"/>
      <c r="E6" s="406"/>
      <c r="F6" s="406"/>
      <c r="G6" s="406"/>
      <c r="H6" s="406"/>
      <c r="I6" s="406"/>
      <c r="J6" s="406"/>
      <c r="K6" s="406"/>
      <c r="L6" s="134"/>
    </row>
    <row r="7" spans="1:13">
      <c r="A7" s="406" t="s">
        <v>247</v>
      </c>
      <c r="B7" s="406"/>
      <c r="C7" s="406"/>
      <c r="D7" s="406"/>
      <c r="E7" s="406"/>
      <c r="F7" s="406"/>
      <c r="G7" s="406"/>
      <c r="H7" s="406"/>
      <c r="I7" s="406"/>
      <c r="J7" s="406"/>
      <c r="K7" s="406"/>
      <c r="L7" s="134"/>
    </row>
    <row r="8" spans="1:13">
      <c r="A8" s="122"/>
      <c r="B8" s="122"/>
      <c r="C8" s="122"/>
      <c r="D8" s="122"/>
      <c r="E8" s="122"/>
      <c r="F8" s="122"/>
      <c r="G8" s="122"/>
      <c r="H8" s="122"/>
      <c r="I8" s="122"/>
      <c r="J8" s="122"/>
      <c r="K8" s="122"/>
      <c r="L8" s="134"/>
    </row>
    <row r="9" spans="1:13">
      <c r="A9" s="299" t="str">
        <f>'Link In'!A28</f>
        <v>Witness Responsible:   John Wilde</v>
      </c>
      <c r="B9" s="122"/>
      <c r="C9" s="122"/>
      <c r="D9" s="122"/>
      <c r="E9" s="122"/>
      <c r="F9" s="122"/>
      <c r="G9" s="122"/>
      <c r="H9" s="122"/>
      <c r="I9" s="122"/>
      <c r="J9" s="122"/>
      <c r="K9" s="299" t="str">
        <f>'Link In'!A36</f>
        <v>W/P - 6-1</v>
      </c>
      <c r="L9" s="134"/>
    </row>
    <row r="10" spans="1:13">
      <c r="A10" s="299" t="str">
        <f>'Link In'!A15</f>
        <v>Type of Filing: __X__ Original  _____ Updated  _____ Revised</v>
      </c>
      <c r="B10" s="122"/>
      <c r="C10" s="122"/>
      <c r="D10" s="122"/>
      <c r="E10" s="122"/>
      <c r="F10" s="122"/>
      <c r="G10" s="122"/>
      <c r="H10" s="122"/>
      <c r="I10" s="122"/>
      <c r="J10" s="122"/>
      <c r="K10" s="122"/>
      <c r="L10" s="122"/>
    </row>
    <row r="11" spans="1:13" ht="15.6">
      <c r="A11" s="111"/>
      <c r="B11" s="81"/>
      <c r="C11" s="81"/>
      <c r="D11" s="81"/>
      <c r="E11" s="81"/>
      <c r="F11" s="81"/>
      <c r="G11" s="81"/>
      <c r="H11" s="81"/>
      <c r="I11" s="81"/>
      <c r="J11" s="81"/>
      <c r="K11" s="81"/>
      <c r="L11" s="112"/>
    </row>
    <row r="12" spans="1:13" ht="15.6">
      <c r="A12" s="111"/>
      <c r="B12" s="81"/>
      <c r="C12" s="81"/>
      <c r="D12" s="81"/>
      <c r="E12" s="81"/>
      <c r="F12" s="81"/>
      <c r="G12" s="81"/>
      <c r="H12" s="81"/>
      <c r="I12" s="81"/>
      <c r="J12" s="81"/>
      <c r="K12" s="81"/>
      <c r="L12" s="112"/>
    </row>
    <row r="13" spans="1:13">
      <c r="A13" s="81"/>
      <c r="B13" s="81"/>
      <c r="C13" s="81"/>
      <c r="D13" s="81"/>
      <c r="E13" s="81"/>
      <c r="F13" s="81"/>
      <c r="G13" s="93" t="s">
        <v>34</v>
      </c>
      <c r="H13" s="81"/>
      <c r="I13" s="81"/>
      <c r="J13" s="81"/>
      <c r="K13" s="81"/>
      <c r="L13" s="81"/>
    </row>
    <row r="14" spans="1:13">
      <c r="A14" s="81"/>
      <c r="B14" s="81"/>
      <c r="C14" s="81"/>
      <c r="D14" s="81"/>
      <c r="E14" s="81"/>
      <c r="F14" s="81"/>
      <c r="G14" s="93" t="s">
        <v>90</v>
      </c>
      <c r="H14" s="81"/>
      <c r="I14" s="94" t="s">
        <v>101</v>
      </c>
      <c r="J14" s="81"/>
      <c r="K14" s="94" t="s">
        <v>102</v>
      </c>
      <c r="L14" s="81"/>
    </row>
    <row r="15" spans="1:13">
      <c r="A15" s="92" t="s">
        <v>7</v>
      </c>
      <c r="B15" s="93"/>
      <c r="C15" s="92" t="s">
        <v>37</v>
      </c>
      <c r="D15" s="94"/>
      <c r="E15" s="92" t="s">
        <v>38</v>
      </c>
      <c r="F15" s="94"/>
      <c r="G15" s="92" t="s">
        <v>102</v>
      </c>
      <c r="H15" s="88"/>
      <c r="I15" s="92" t="s">
        <v>40</v>
      </c>
      <c r="J15" s="81"/>
      <c r="K15" s="92" t="s">
        <v>101</v>
      </c>
      <c r="L15" s="81"/>
      <c r="M15" s="81"/>
    </row>
    <row r="16" spans="1:13">
      <c r="A16" s="97">
        <v>1</v>
      </c>
      <c r="B16" s="81"/>
      <c r="C16" s="87" t="s">
        <v>41</v>
      </c>
      <c r="D16" s="81"/>
      <c r="E16" s="87"/>
      <c r="F16" s="81"/>
      <c r="G16" s="81"/>
      <c r="H16" s="81"/>
      <c r="I16" s="81"/>
      <c r="J16" s="81"/>
      <c r="K16" s="81"/>
      <c r="L16" s="81"/>
      <c r="M16" s="81"/>
    </row>
    <row r="17" spans="1:13">
      <c r="A17" s="97">
        <v>2</v>
      </c>
      <c r="B17" s="81"/>
      <c r="C17" s="87"/>
      <c r="D17" s="81"/>
      <c r="E17" s="81" t="s">
        <v>42</v>
      </c>
      <c r="F17" s="81"/>
      <c r="G17" s="184">
        <f>'Link In'!D98</f>
        <v>88518852</v>
      </c>
      <c r="H17" s="6"/>
      <c r="I17" s="184">
        <f>K17-G17</f>
        <v>19865003.457569405</v>
      </c>
      <c r="J17" s="81"/>
      <c r="K17" s="156">
        <f>'Link In'!F98</f>
        <v>108383855.45756941</v>
      </c>
      <c r="L17" s="6"/>
      <c r="M17" s="81"/>
    </row>
    <row r="18" spans="1:13">
      <c r="A18" s="97">
        <v>3</v>
      </c>
      <c r="B18" s="81"/>
      <c r="C18" s="87"/>
      <c r="D18" s="81"/>
      <c r="E18" s="81"/>
      <c r="F18" s="81"/>
      <c r="G18" s="82"/>
      <c r="H18" s="6"/>
      <c r="I18" s="81"/>
      <c r="J18" s="81"/>
      <c r="K18" s="160"/>
      <c r="L18" s="6"/>
      <c r="M18" s="88"/>
    </row>
    <row r="19" spans="1:13">
      <c r="A19" s="97">
        <v>4</v>
      </c>
      <c r="B19" s="81"/>
      <c r="C19" s="87" t="s">
        <v>43</v>
      </c>
      <c r="D19" s="81"/>
      <c r="E19" s="87"/>
      <c r="F19" s="81"/>
      <c r="G19" s="81"/>
      <c r="H19" s="6"/>
      <c r="I19" s="81"/>
      <c r="J19" s="81"/>
      <c r="K19" s="160"/>
      <c r="L19" s="6"/>
      <c r="M19" s="88"/>
    </row>
    <row r="20" spans="1:13">
      <c r="A20" s="97">
        <v>5</v>
      </c>
      <c r="B20" s="81"/>
      <c r="C20" s="81"/>
      <c r="D20" s="81"/>
      <c r="E20" s="81" t="s">
        <v>44</v>
      </c>
      <c r="F20" s="81"/>
      <c r="G20" s="256">
        <f>-'Link In'!D103</f>
        <v>-37805850.987251282</v>
      </c>
      <c r="H20" s="6"/>
      <c r="I20" s="256">
        <f>K20-G20</f>
        <v>-181589.68568684906</v>
      </c>
      <c r="J20" s="256"/>
      <c r="K20" s="160">
        <f>-'Link In'!F103</f>
        <v>-37987440.672938131</v>
      </c>
      <c r="L20" s="6"/>
      <c r="M20" s="113"/>
    </row>
    <row r="21" spans="1:13">
      <c r="A21" s="121">
        <v>6</v>
      </c>
      <c r="B21" s="81"/>
      <c r="C21" s="81"/>
      <c r="D21" s="81"/>
      <c r="E21" s="81" t="s">
        <v>45</v>
      </c>
      <c r="F21" s="81"/>
      <c r="G21" s="256">
        <f>-SUM('Link In'!D104:D107)</f>
        <v>-18604102.131319575</v>
      </c>
      <c r="H21" s="6"/>
      <c r="I21" s="256">
        <f>K21-G21</f>
        <v>0</v>
      </c>
      <c r="J21" s="256"/>
      <c r="K21" s="160">
        <f>-SUM('Link In'!F104:F107)</f>
        <v>-18604102.131319575</v>
      </c>
      <c r="L21" s="6"/>
      <c r="M21" s="88"/>
    </row>
    <row r="22" spans="1:13">
      <c r="A22" s="121">
        <v>7</v>
      </c>
      <c r="B22" s="81"/>
      <c r="C22" s="81"/>
      <c r="D22" s="81"/>
      <c r="E22" s="81" t="s">
        <v>46</v>
      </c>
      <c r="F22" s="81"/>
      <c r="G22" s="256">
        <f>-'Link In'!D111</f>
        <v>-7814766</v>
      </c>
      <c r="H22" s="6"/>
      <c r="I22" s="256">
        <f>K22-G22</f>
        <v>-39729.466916423291</v>
      </c>
      <c r="J22" s="256"/>
      <c r="K22" s="160">
        <f>-'Link In'!F111</f>
        <v>-7854495.4669164233</v>
      </c>
      <c r="L22" s="6"/>
      <c r="M22" s="88"/>
    </row>
    <row r="23" spans="1:13">
      <c r="A23" s="121">
        <v>8</v>
      </c>
      <c r="B23" s="81"/>
      <c r="C23" s="81"/>
      <c r="D23" s="81"/>
      <c r="E23" s="84" t="s">
        <v>48</v>
      </c>
      <c r="F23" s="88"/>
      <c r="G23" s="260">
        <f>-'Link In'!C119</f>
        <v>-13233671</v>
      </c>
      <c r="H23" s="6"/>
      <c r="I23" s="256">
        <f>K23-G23</f>
        <v>-162768.42639994621</v>
      </c>
      <c r="J23" s="256"/>
      <c r="K23" s="160">
        <f>-'Link In'!G119</f>
        <v>-13396439.426399946</v>
      </c>
      <c r="L23" s="6"/>
      <c r="M23" s="110"/>
    </row>
    <row r="24" spans="1:13">
      <c r="A24" s="121">
        <v>9</v>
      </c>
      <c r="B24" s="81"/>
      <c r="C24" s="81"/>
      <c r="D24" s="81"/>
      <c r="E24" s="89" t="s">
        <v>103</v>
      </c>
      <c r="F24" s="88"/>
      <c r="G24" s="322">
        <f>SUM(G20:G23)</f>
        <v>-77458390.118570864</v>
      </c>
      <c r="H24" s="7"/>
      <c r="I24" s="322">
        <f>SUM(I20:I23)</f>
        <v>-384087.57900321856</v>
      </c>
      <c r="J24" s="81"/>
      <c r="K24" s="322">
        <f>SUM(K20:K23)</f>
        <v>-77842477.697574079</v>
      </c>
      <c r="L24" s="7"/>
      <c r="M24" s="88"/>
    </row>
    <row r="25" spans="1:13">
      <c r="A25" s="121">
        <v>10</v>
      </c>
      <c r="B25" s="81"/>
      <c r="C25" s="81"/>
      <c r="D25" s="81"/>
      <c r="E25" s="89"/>
      <c r="F25" s="88"/>
      <c r="G25" s="99"/>
      <c r="H25" s="6"/>
      <c r="I25" s="81"/>
      <c r="J25" s="81"/>
      <c r="K25" s="160"/>
      <c r="L25" s="6"/>
      <c r="M25" s="88"/>
    </row>
    <row r="26" spans="1:13">
      <c r="A26" s="121">
        <v>11</v>
      </c>
      <c r="B26" s="81"/>
      <c r="C26" s="81"/>
      <c r="D26" s="81"/>
      <c r="E26" s="89" t="s">
        <v>104</v>
      </c>
      <c r="F26" s="81"/>
      <c r="G26" s="282">
        <f>SUM(G17+G24)</f>
        <v>11060461.881429136</v>
      </c>
      <c r="H26" s="7"/>
      <c r="I26" s="282">
        <f>SUM(I17+I24)</f>
        <v>19480915.878566187</v>
      </c>
      <c r="J26" s="81"/>
      <c r="K26" s="282">
        <f>SUM(K17+K24)</f>
        <v>30541377.759995326</v>
      </c>
      <c r="L26" s="7"/>
      <c r="M26" s="88"/>
    </row>
    <row r="27" spans="1:13" s="302" customFormat="1">
      <c r="A27" s="121">
        <v>12</v>
      </c>
      <c r="E27" s="89"/>
      <c r="G27" s="282"/>
      <c r="H27" s="7"/>
      <c r="I27" s="282"/>
      <c r="K27" s="282"/>
      <c r="L27" s="7"/>
      <c r="M27" s="227"/>
    </row>
    <row r="28" spans="1:13" s="302" customFormat="1">
      <c r="A28" s="121">
        <v>13</v>
      </c>
      <c r="E28" s="227" t="s">
        <v>238</v>
      </c>
      <c r="F28" s="227"/>
      <c r="G28" s="113">
        <f>-G65</f>
        <v>62374.111252666509</v>
      </c>
      <c r="H28" s="6"/>
      <c r="I28" s="256">
        <f>K28-G28</f>
        <v>0</v>
      </c>
      <c r="J28" s="256"/>
      <c r="K28" s="160">
        <f>-K65</f>
        <v>62374.111252666509</v>
      </c>
      <c r="L28" s="7"/>
      <c r="M28" s="227"/>
    </row>
    <row r="29" spans="1:13">
      <c r="A29" s="121">
        <v>14</v>
      </c>
      <c r="B29" s="81"/>
      <c r="C29" s="81"/>
      <c r="D29" s="81"/>
      <c r="E29" s="81"/>
      <c r="F29" s="81"/>
      <c r="G29" s="81"/>
      <c r="H29" s="6"/>
      <c r="I29" s="81"/>
      <c r="J29" s="81"/>
      <c r="K29" s="81"/>
      <c r="L29" s="6"/>
      <c r="M29" s="88"/>
    </row>
    <row r="30" spans="1:13">
      <c r="A30" s="121">
        <v>15</v>
      </c>
      <c r="B30" s="81"/>
      <c r="C30" s="87" t="s">
        <v>51</v>
      </c>
      <c r="D30" s="81"/>
      <c r="E30" s="81"/>
      <c r="F30" s="81"/>
      <c r="G30" s="81"/>
      <c r="H30" s="6"/>
      <c r="I30" s="81"/>
      <c r="J30" s="81"/>
      <c r="K30" s="81"/>
      <c r="L30" s="6"/>
      <c r="M30" s="88"/>
    </row>
    <row r="31" spans="1:13" ht="28.8">
      <c r="A31" s="121">
        <v>16</v>
      </c>
      <c r="B31" s="81"/>
      <c r="C31" s="81"/>
      <c r="D31" s="81"/>
      <c r="E31" s="105" t="s">
        <v>52</v>
      </c>
      <c r="F31" s="81"/>
      <c r="G31" s="357"/>
      <c r="H31" s="6"/>
      <c r="I31" s="81"/>
      <c r="J31" s="81"/>
      <c r="K31" s="81"/>
      <c r="L31" s="6"/>
      <c r="M31" s="88"/>
    </row>
    <row r="32" spans="1:13">
      <c r="A32" s="121">
        <v>17</v>
      </c>
      <c r="B32" s="81"/>
      <c r="C32" s="81"/>
      <c r="D32" s="81"/>
      <c r="E32" s="86" t="s">
        <v>53</v>
      </c>
      <c r="F32" s="81"/>
      <c r="G32" s="263">
        <f>(+'Link In'!C124)*0.5</f>
        <v>22387.5</v>
      </c>
      <c r="H32" s="6"/>
      <c r="I32" s="256">
        <v>0</v>
      </c>
      <c r="J32" s="81"/>
      <c r="K32" s="83">
        <f>SUM(G32+I32)</f>
        <v>22387.5</v>
      </c>
      <c r="L32" s="6"/>
      <c r="M32" s="88"/>
    </row>
    <row r="33" spans="1:13">
      <c r="A33" s="121">
        <v>18</v>
      </c>
      <c r="B33" s="81"/>
      <c r="C33" s="81"/>
      <c r="D33" s="81"/>
      <c r="E33" s="90" t="s">
        <v>54</v>
      </c>
      <c r="F33" s="81"/>
      <c r="G33" s="104">
        <f>'Link In'!C120</f>
        <v>176449</v>
      </c>
      <c r="H33" s="6"/>
      <c r="I33" s="260">
        <v>0</v>
      </c>
      <c r="J33" s="81"/>
      <c r="K33" s="260">
        <f>SUM(G33+I33)</f>
        <v>176449</v>
      </c>
      <c r="L33" s="6"/>
      <c r="M33" s="88"/>
    </row>
    <row r="34" spans="1:13">
      <c r="A34" s="121">
        <v>19</v>
      </c>
      <c r="B34" s="81"/>
      <c r="C34" s="81"/>
      <c r="D34" s="81"/>
      <c r="E34" s="91" t="s">
        <v>105</v>
      </c>
      <c r="F34" s="81"/>
      <c r="G34" s="282">
        <f>SUM(G26+G32+G33+G28)</f>
        <v>11321672.492681803</v>
      </c>
      <c r="H34" s="6"/>
      <c r="I34" s="282">
        <f>SUM(I26+I32+I33+I28)</f>
        <v>19480915.878566187</v>
      </c>
      <c r="J34" s="81"/>
      <c r="K34" s="282">
        <f>SUM(K26+K32+K33+K28)</f>
        <v>30802588.371247992</v>
      </c>
      <c r="L34" s="6"/>
      <c r="M34" s="88"/>
    </row>
    <row r="35" spans="1:13">
      <c r="A35" s="121">
        <v>20</v>
      </c>
      <c r="B35" s="81"/>
      <c r="C35" s="81"/>
      <c r="D35" s="81"/>
      <c r="E35" s="81"/>
      <c r="F35" s="81"/>
      <c r="G35" s="326"/>
      <c r="H35" s="6"/>
      <c r="I35" s="326"/>
      <c r="J35" s="81"/>
      <c r="K35" s="81"/>
      <c r="L35" s="6"/>
      <c r="M35" s="88"/>
    </row>
    <row r="36" spans="1:13" ht="28.8">
      <c r="A36" s="121">
        <v>21</v>
      </c>
      <c r="B36" s="81"/>
      <c r="C36" s="96"/>
      <c r="D36" s="96"/>
      <c r="E36" s="108" t="s">
        <v>56</v>
      </c>
      <c r="F36" s="96"/>
      <c r="G36" s="81"/>
      <c r="H36" s="6"/>
      <c r="I36" s="81"/>
      <c r="J36" s="81"/>
      <c r="K36" s="81"/>
      <c r="L36" s="6"/>
      <c r="M36" s="88"/>
    </row>
    <row r="37" spans="1:13">
      <c r="A37" s="121">
        <v>22</v>
      </c>
      <c r="B37" s="81"/>
      <c r="C37" s="109"/>
      <c r="D37" s="96"/>
      <c r="E37" s="106" t="s">
        <v>57</v>
      </c>
      <c r="F37" s="96"/>
      <c r="G37" s="256">
        <f>-'Link In'!C127</f>
        <v>-16541654.672101693</v>
      </c>
      <c r="H37" s="6"/>
      <c r="I37" s="256">
        <v>0</v>
      </c>
      <c r="J37" s="256"/>
      <c r="K37" s="256">
        <f>G37</f>
        <v>-16541654.672101693</v>
      </c>
      <c r="L37" s="6"/>
      <c r="M37" s="88"/>
    </row>
    <row r="38" spans="1:13">
      <c r="A38" s="121">
        <v>23</v>
      </c>
      <c r="B38" s="81"/>
      <c r="C38" s="109"/>
      <c r="D38" s="96"/>
      <c r="E38" s="106" t="s">
        <v>58</v>
      </c>
      <c r="F38" s="96"/>
      <c r="G38" s="113">
        <f>'Link In'!C129</f>
        <v>17683624.118275311</v>
      </c>
      <c r="H38" s="6"/>
      <c r="I38" s="256">
        <v>0</v>
      </c>
      <c r="J38" s="256"/>
      <c r="K38" s="256">
        <f t="shared" ref="K38:K47" si="0">G38</f>
        <v>17683624.118275311</v>
      </c>
      <c r="L38" s="6"/>
      <c r="M38" s="88"/>
    </row>
    <row r="39" spans="1:13">
      <c r="A39" s="121">
        <v>24</v>
      </c>
      <c r="B39" s="81"/>
      <c r="C39" s="109"/>
      <c r="D39" s="96"/>
      <c r="E39" s="106" t="s">
        <v>59</v>
      </c>
      <c r="F39" s="96"/>
      <c r="G39" s="114">
        <f>'Link In'!C131</f>
        <v>57085.98</v>
      </c>
      <c r="H39" s="6"/>
      <c r="I39" s="256">
        <v>0</v>
      </c>
      <c r="J39" s="256"/>
      <c r="K39" s="256">
        <f t="shared" si="0"/>
        <v>57085.98</v>
      </c>
      <c r="L39" s="6"/>
      <c r="M39" s="88"/>
    </row>
    <row r="40" spans="1:13">
      <c r="A40" s="121">
        <v>25</v>
      </c>
      <c r="B40" s="81"/>
      <c r="C40" s="109"/>
      <c r="D40" s="96"/>
      <c r="E40" s="106" t="s">
        <v>60</v>
      </c>
      <c r="F40" s="96"/>
      <c r="G40" s="113">
        <v>0</v>
      </c>
      <c r="H40" s="6"/>
      <c r="I40" s="256">
        <v>0</v>
      </c>
      <c r="J40" s="256"/>
      <c r="K40" s="256">
        <f t="shared" si="0"/>
        <v>0</v>
      </c>
      <c r="L40" s="6"/>
      <c r="M40" s="88"/>
    </row>
    <row r="41" spans="1:13">
      <c r="A41" s="121">
        <v>26</v>
      </c>
      <c r="B41" s="81"/>
      <c r="C41" s="109"/>
      <c r="D41" s="96"/>
      <c r="E41" s="106" t="s">
        <v>61</v>
      </c>
      <c r="F41" s="96"/>
      <c r="G41" s="114">
        <f>'Link In'!C133</f>
        <v>1091902</v>
      </c>
      <c r="H41" s="6"/>
      <c r="I41" s="256">
        <v>0</v>
      </c>
      <c r="J41" s="256"/>
      <c r="K41" s="256">
        <f t="shared" si="0"/>
        <v>1091902</v>
      </c>
      <c r="L41" s="6"/>
      <c r="M41" s="88"/>
    </row>
    <row r="42" spans="1:13">
      <c r="A42" s="121">
        <v>27</v>
      </c>
      <c r="B42" s="81"/>
      <c r="C42" s="109"/>
      <c r="D42" s="96"/>
      <c r="E42" s="106" t="s">
        <v>62</v>
      </c>
      <c r="F42" s="96"/>
      <c r="G42" s="115">
        <f>-'Link In'!C134</f>
        <v>-1500000</v>
      </c>
      <c r="H42" s="6"/>
      <c r="I42" s="256">
        <v>0</v>
      </c>
      <c r="J42" s="256"/>
      <c r="K42" s="256">
        <f t="shared" si="0"/>
        <v>-1500000</v>
      </c>
      <c r="L42" s="6"/>
      <c r="M42" s="88"/>
    </row>
    <row r="43" spans="1:13">
      <c r="A43" s="121">
        <v>28</v>
      </c>
      <c r="B43" s="81"/>
      <c r="C43" s="109"/>
      <c r="D43" s="96"/>
      <c r="E43" s="106" t="s">
        <v>63</v>
      </c>
      <c r="F43" s="96"/>
      <c r="G43" s="115">
        <f>'Link In'!C137</f>
        <v>-2403755.2008386226</v>
      </c>
      <c r="H43" s="6"/>
      <c r="I43" s="256">
        <v>0</v>
      </c>
      <c r="J43" s="256"/>
      <c r="K43" s="256">
        <f t="shared" si="0"/>
        <v>-2403755.2008386226</v>
      </c>
      <c r="L43" s="6"/>
      <c r="M43" s="88"/>
    </row>
    <row r="44" spans="1:13">
      <c r="A44" s="121">
        <v>29</v>
      </c>
      <c r="B44" s="81"/>
      <c r="C44" s="109"/>
      <c r="D44" s="96"/>
      <c r="E44" s="106" t="s">
        <v>64</v>
      </c>
      <c r="F44" s="96"/>
      <c r="G44" s="115">
        <f>'Link In'!C138</f>
        <v>7228514.1265822789</v>
      </c>
      <c r="H44" s="269"/>
      <c r="I44" s="256">
        <v>0</v>
      </c>
      <c r="J44" s="256"/>
      <c r="K44" s="256">
        <f t="shared" si="0"/>
        <v>7228514.1265822789</v>
      </c>
      <c r="L44" s="6"/>
      <c r="M44" s="88"/>
    </row>
    <row r="45" spans="1:13">
      <c r="A45" s="121">
        <v>30</v>
      </c>
      <c r="B45" s="81"/>
      <c r="C45" s="109"/>
      <c r="D45" s="96"/>
      <c r="E45" s="106" t="s">
        <v>65</v>
      </c>
      <c r="F45" s="96"/>
      <c r="G45" s="114">
        <f>-'Link In'!C139</f>
        <v>-3860784.7195699811</v>
      </c>
      <c r="H45" s="6"/>
      <c r="I45" s="256">
        <v>0</v>
      </c>
      <c r="J45" s="256"/>
      <c r="K45" s="256">
        <f t="shared" si="0"/>
        <v>-3860784.7195699811</v>
      </c>
      <c r="L45" s="6"/>
      <c r="M45" s="88"/>
    </row>
    <row r="46" spans="1:13">
      <c r="A46" s="121">
        <v>31</v>
      </c>
      <c r="B46" s="81"/>
      <c r="C46" s="109"/>
      <c r="D46" s="96"/>
      <c r="E46" s="106" t="s">
        <v>89</v>
      </c>
      <c r="F46" s="96"/>
      <c r="G46" s="114">
        <f>'Link In'!C140</f>
        <v>3052002.8306124154</v>
      </c>
      <c r="H46" s="6"/>
      <c r="I46" s="256">
        <v>0</v>
      </c>
      <c r="J46" s="256"/>
      <c r="K46" s="256">
        <f t="shared" si="0"/>
        <v>3052002.8306124154</v>
      </c>
      <c r="L46" s="6"/>
      <c r="M46" s="88"/>
    </row>
    <row r="47" spans="1:13">
      <c r="A47" s="121">
        <v>32</v>
      </c>
      <c r="B47" s="81"/>
      <c r="C47" s="109"/>
      <c r="D47" s="96"/>
      <c r="E47" s="100" t="s">
        <v>66</v>
      </c>
      <c r="F47" s="96"/>
      <c r="G47" s="258">
        <f>-'Link In'!C141</f>
        <v>-1351177</v>
      </c>
      <c r="H47" s="6"/>
      <c r="I47" s="260">
        <v>0</v>
      </c>
      <c r="J47" s="256"/>
      <c r="K47" s="258">
        <f t="shared" si="0"/>
        <v>-1351177</v>
      </c>
      <c r="L47" s="6"/>
      <c r="M47" s="88"/>
    </row>
    <row r="48" spans="1:13">
      <c r="A48" s="121">
        <v>33</v>
      </c>
      <c r="B48" s="81"/>
      <c r="C48" s="96"/>
      <c r="D48" s="96"/>
      <c r="E48" s="89" t="s">
        <v>106</v>
      </c>
      <c r="F48" s="96"/>
      <c r="G48" s="184">
        <f>SUM(G37:G47)</f>
        <v>3455757.4629597086</v>
      </c>
      <c r="H48" s="6"/>
      <c r="I48" s="184">
        <f>SUM(I37:I47)</f>
        <v>0</v>
      </c>
      <c r="J48" s="81"/>
      <c r="K48" s="184">
        <f>SUM(K37:K47)</f>
        <v>3455757.4629597086</v>
      </c>
      <c r="L48" s="6"/>
      <c r="M48" s="88"/>
    </row>
    <row r="49" spans="1:13">
      <c r="A49" s="121">
        <v>34</v>
      </c>
      <c r="B49" s="81"/>
      <c r="C49" s="96"/>
      <c r="D49" s="96"/>
      <c r="E49" s="96"/>
      <c r="F49" s="96"/>
      <c r="G49" s="81"/>
      <c r="H49" s="6"/>
      <c r="I49" s="81"/>
      <c r="J49" s="81"/>
      <c r="K49" s="81"/>
      <c r="L49" s="6"/>
      <c r="M49" s="88"/>
    </row>
    <row r="50" spans="1:13" ht="15" thickBot="1">
      <c r="A50" s="121">
        <v>35</v>
      </c>
      <c r="B50" s="81"/>
      <c r="C50" s="81"/>
      <c r="D50" s="81"/>
      <c r="E50" s="89" t="s">
        <v>107</v>
      </c>
      <c r="F50" s="81"/>
      <c r="G50" s="285">
        <f>SUM(G34+G48)</f>
        <v>14777429.955641512</v>
      </c>
      <c r="H50" s="6"/>
      <c r="I50" s="285">
        <f>SUM(I34+I48)</f>
        <v>19480915.878566187</v>
      </c>
      <c r="J50" s="81"/>
      <c r="K50" s="285">
        <f>SUM(K34+K48)</f>
        <v>34258345.834207699</v>
      </c>
      <c r="L50" s="6"/>
      <c r="M50" s="88"/>
    </row>
    <row r="51" spans="1:13" ht="15" thickTop="1">
      <c r="A51" s="121">
        <v>36</v>
      </c>
      <c r="B51" s="81"/>
      <c r="C51" s="81"/>
      <c r="D51" s="81"/>
      <c r="E51" s="98"/>
      <c r="F51" s="81"/>
      <c r="G51" s="102"/>
      <c r="H51" s="6"/>
      <c r="I51" s="81"/>
      <c r="J51" s="81"/>
      <c r="K51" s="81"/>
      <c r="L51" s="6"/>
      <c r="M51" s="88"/>
    </row>
    <row r="52" spans="1:13">
      <c r="A52" s="121">
        <v>37</v>
      </c>
      <c r="B52" s="81"/>
      <c r="C52" s="87" t="s">
        <v>91</v>
      </c>
      <c r="D52" s="81"/>
      <c r="E52" s="98"/>
      <c r="F52" s="81"/>
      <c r="G52" s="82"/>
      <c r="H52" s="6"/>
      <c r="I52" s="81"/>
      <c r="J52" s="81"/>
      <c r="K52" s="81"/>
      <c r="L52" s="6"/>
      <c r="M52" s="88"/>
    </row>
    <row r="53" spans="1:13">
      <c r="A53" s="121">
        <v>38</v>
      </c>
      <c r="B53" s="81"/>
      <c r="C53" s="81"/>
      <c r="D53" s="81"/>
      <c r="E53" s="100" t="s">
        <v>70</v>
      </c>
      <c r="F53" s="81"/>
      <c r="G53" s="101">
        <v>0.05</v>
      </c>
      <c r="H53" s="8"/>
      <c r="I53" s="101">
        <v>0.05</v>
      </c>
      <c r="J53" s="81"/>
      <c r="K53" s="101">
        <v>0.05</v>
      </c>
      <c r="L53" s="8"/>
      <c r="M53" s="88"/>
    </row>
    <row r="54" spans="1:13" ht="15" thickBot="1">
      <c r="A54" s="121">
        <v>39</v>
      </c>
      <c r="B54" s="81"/>
      <c r="C54" s="81"/>
      <c r="D54" s="81"/>
      <c r="E54" s="103" t="s">
        <v>108</v>
      </c>
      <c r="F54" s="87"/>
      <c r="G54" s="315">
        <f>SUM(G50*G53)</f>
        <v>738871.49778207566</v>
      </c>
      <c r="H54" s="6"/>
      <c r="I54" s="315">
        <f>SUM(I50*I53)</f>
        <v>974045.79392830934</v>
      </c>
      <c r="J54" s="81"/>
      <c r="K54" s="315">
        <f>SUM(K50*K53)</f>
        <v>1712917.2917103851</v>
      </c>
      <c r="L54" s="6"/>
      <c r="M54" s="88"/>
    </row>
    <row r="55" spans="1:13" ht="15" thickTop="1">
      <c r="A55" s="121">
        <v>40</v>
      </c>
      <c r="B55" s="81"/>
      <c r="C55" s="81"/>
      <c r="D55" s="81"/>
      <c r="E55" s="81"/>
      <c r="F55" s="81"/>
      <c r="G55" s="81"/>
      <c r="H55" s="6"/>
      <c r="I55" s="81"/>
      <c r="J55" s="81"/>
      <c r="K55" s="81"/>
      <c r="L55" s="6"/>
      <c r="M55" s="88"/>
    </row>
    <row r="56" spans="1:13">
      <c r="A56" s="121">
        <v>41</v>
      </c>
      <c r="B56" s="81"/>
      <c r="C56" s="81"/>
      <c r="D56" s="81"/>
      <c r="E56" s="81"/>
      <c r="F56" s="81"/>
      <c r="G56" s="81"/>
      <c r="H56" s="6"/>
      <c r="I56" s="81"/>
      <c r="J56" s="81"/>
      <c r="K56" s="81"/>
      <c r="L56" s="6"/>
      <c r="M56" s="88"/>
    </row>
    <row r="57" spans="1:13">
      <c r="A57" s="121">
        <v>42</v>
      </c>
      <c r="B57" s="81"/>
      <c r="C57" s="87" t="s">
        <v>93</v>
      </c>
      <c r="D57" s="81"/>
      <c r="E57" s="81"/>
      <c r="F57" s="81"/>
      <c r="G57" s="81"/>
      <c r="H57" s="6"/>
      <c r="I57" s="81"/>
      <c r="J57" s="81"/>
      <c r="K57" s="81"/>
      <c r="L57" s="6"/>
      <c r="M57" s="88"/>
    </row>
    <row r="58" spans="1:13">
      <c r="A58" s="121">
        <v>43</v>
      </c>
      <c r="B58" s="81"/>
      <c r="C58" s="81"/>
      <c r="D58" s="81"/>
      <c r="E58" s="81" t="s">
        <v>94</v>
      </c>
      <c r="F58" s="81"/>
      <c r="G58" s="256">
        <f>-SUM(G37:G38,G43:G45,G40)*G53</f>
        <v>-105297.18261736464</v>
      </c>
      <c r="H58" s="6"/>
      <c r="I58" s="256">
        <v>0</v>
      </c>
      <c r="J58" s="256"/>
      <c r="K58" s="256">
        <f>SUM(G58+I58)</f>
        <v>-105297.18261736464</v>
      </c>
      <c r="L58" s="6"/>
      <c r="M58" s="88"/>
    </row>
    <row r="59" spans="1:13">
      <c r="A59" s="121">
        <v>44</v>
      </c>
      <c r="B59" s="81"/>
      <c r="C59" s="81"/>
      <c r="D59" s="81"/>
      <c r="E59" s="81" t="s">
        <v>95</v>
      </c>
      <c r="F59" s="81"/>
      <c r="G59" s="256">
        <f>-SUM(G41:G42)*G53</f>
        <v>20404.900000000001</v>
      </c>
      <c r="H59" s="6"/>
      <c r="I59" s="256">
        <v>0</v>
      </c>
      <c r="J59" s="256"/>
      <c r="K59" s="256">
        <f>SUM(G59+I59)</f>
        <v>20404.900000000001</v>
      </c>
      <c r="L59" s="6"/>
      <c r="M59" s="88"/>
    </row>
    <row r="60" spans="1:13">
      <c r="A60" s="121">
        <v>45</v>
      </c>
      <c r="B60" s="81"/>
      <c r="C60" s="81"/>
      <c r="D60" s="81"/>
      <c r="E60" s="81" t="s">
        <v>96</v>
      </c>
      <c r="F60" s="81"/>
      <c r="G60" s="256">
        <f>-G39*G53</f>
        <v>-2854.2990000000004</v>
      </c>
      <c r="H60" s="6"/>
      <c r="I60" s="256">
        <v>0</v>
      </c>
      <c r="J60" s="256"/>
      <c r="K60" s="256">
        <f>SUM(G60+I60)</f>
        <v>-2854.2990000000004</v>
      </c>
      <c r="L60" s="6"/>
      <c r="M60" s="88"/>
    </row>
    <row r="61" spans="1:13">
      <c r="A61" s="121">
        <v>46</v>
      </c>
      <c r="B61" s="81"/>
      <c r="C61" s="81"/>
      <c r="D61" s="81"/>
      <c r="E61" s="84" t="s">
        <v>97</v>
      </c>
      <c r="F61" s="81"/>
      <c r="G61" s="260">
        <f>-SUM(G46:G47)*G53</f>
        <v>-85041.291530620772</v>
      </c>
      <c r="H61" s="6"/>
      <c r="I61" s="260">
        <v>0</v>
      </c>
      <c r="J61" s="256"/>
      <c r="K61" s="260">
        <f>SUM(G61+I61)</f>
        <v>-85041.291530620772</v>
      </c>
      <c r="L61" s="6"/>
      <c r="M61" s="88"/>
    </row>
    <row r="62" spans="1:13">
      <c r="A62" s="121">
        <v>47</v>
      </c>
      <c r="B62" s="81"/>
      <c r="C62" s="81"/>
      <c r="D62" s="81"/>
      <c r="E62" s="89" t="s">
        <v>83</v>
      </c>
      <c r="F62" s="81"/>
      <c r="G62" s="282">
        <f>SUM(G58:G61)</f>
        <v>-172787.8731479854</v>
      </c>
      <c r="H62" s="6"/>
      <c r="I62" s="282">
        <f>SUM(I58:I61)</f>
        <v>0</v>
      </c>
      <c r="J62" s="81"/>
      <c r="K62" s="282">
        <f>SUM(K58:K61)</f>
        <v>-172787.8731479854</v>
      </c>
      <c r="L62" s="6"/>
      <c r="M62" s="88"/>
    </row>
    <row r="63" spans="1:13">
      <c r="A63" s="121">
        <v>48</v>
      </c>
      <c r="B63" s="81"/>
      <c r="C63" s="81"/>
      <c r="D63" s="81"/>
      <c r="E63" s="81"/>
      <c r="F63" s="81"/>
      <c r="G63" s="85"/>
      <c r="H63" s="6"/>
      <c r="I63" s="81"/>
      <c r="J63" s="81"/>
      <c r="K63" s="81"/>
      <c r="L63" s="6"/>
      <c r="M63" s="88"/>
    </row>
    <row r="64" spans="1:13">
      <c r="A64" s="121">
        <v>49</v>
      </c>
      <c r="B64" s="81"/>
      <c r="C64" s="87"/>
      <c r="D64" s="81"/>
      <c r="E64" s="87" t="s">
        <v>84</v>
      </c>
      <c r="F64" s="81"/>
      <c r="G64" s="85"/>
      <c r="H64" s="6"/>
      <c r="I64" s="81"/>
      <c r="J64" s="81"/>
      <c r="K64" s="81"/>
      <c r="L64" s="6"/>
      <c r="M64" s="88"/>
    </row>
    <row r="65" spans="1:13">
      <c r="A65" s="121">
        <v>50</v>
      </c>
      <c r="B65" s="81"/>
      <c r="C65" s="81"/>
      <c r="D65" s="81"/>
      <c r="E65" s="84" t="s">
        <v>85</v>
      </c>
      <c r="F65" s="81"/>
      <c r="G65" s="260">
        <f>+'Link In'!H258</f>
        <v>-62374.111252666509</v>
      </c>
      <c r="H65" s="6"/>
      <c r="I65" s="260">
        <v>0</v>
      </c>
      <c r="J65" s="256"/>
      <c r="K65" s="260">
        <f>SUM(G65+I65)</f>
        <v>-62374.111252666509</v>
      </c>
      <c r="L65" s="6"/>
      <c r="M65" s="88"/>
    </row>
    <row r="66" spans="1:13" ht="15" thickBot="1">
      <c r="A66" s="121">
        <v>51</v>
      </c>
      <c r="B66" s="88"/>
      <c r="C66" s="88"/>
      <c r="D66" s="88"/>
      <c r="E66" s="107" t="s">
        <v>99</v>
      </c>
      <c r="F66" s="88"/>
      <c r="G66" s="315">
        <f>SUM(G62+G65)</f>
        <v>-235161.98440065191</v>
      </c>
      <c r="H66" s="6"/>
      <c r="I66" s="315">
        <f>SUM(I62+I65)</f>
        <v>0</v>
      </c>
      <c r="J66" s="88"/>
      <c r="K66" s="315">
        <f>SUM(K62+K65)</f>
        <v>-235161.98440065191</v>
      </c>
      <c r="L66" s="6"/>
      <c r="M66" s="88"/>
    </row>
    <row r="67" spans="1:13" ht="15" thickTop="1">
      <c r="A67" s="121">
        <v>52</v>
      </c>
      <c r="B67" s="81"/>
      <c r="C67" s="81"/>
      <c r="D67" s="81"/>
      <c r="E67" s="81"/>
      <c r="F67" s="81"/>
      <c r="G67" s="81"/>
      <c r="H67" s="6"/>
      <c r="I67" s="81"/>
      <c r="J67" s="81"/>
      <c r="K67" s="81"/>
      <c r="L67" s="6"/>
      <c r="M67" s="88"/>
    </row>
    <row r="68" spans="1:13">
      <c r="A68" s="121">
        <v>53</v>
      </c>
      <c r="B68" s="81"/>
      <c r="C68" s="81"/>
      <c r="D68" s="81"/>
      <c r="E68" s="81"/>
      <c r="F68" s="81"/>
      <c r="G68" s="81"/>
      <c r="H68" s="6"/>
      <c r="I68" s="81"/>
      <c r="J68" s="81"/>
      <c r="K68" s="81"/>
      <c r="L68" s="6"/>
      <c r="M68" s="88"/>
    </row>
    <row r="69" spans="1:13" ht="15" thickBot="1">
      <c r="A69" s="121">
        <v>54</v>
      </c>
      <c r="B69" s="81"/>
      <c r="C69" s="81"/>
      <c r="D69" s="81"/>
      <c r="E69" s="91" t="s">
        <v>110</v>
      </c>
      <c r="F69" s="87"/>
      <c r="G69" s="315">
        <f>SUM(G54+G66)</f>
        <v>503709.51338142378</v>
      </c>
      <c r="H69" s="6"/>
      <c r="I69" s="315">
        <f>SUM(I54+I66)</f>
        <v>974045.79392830934</v>
      </c>
      <c r="J69" s="227"/>
      <c r="K69" s="315">
        <f>SUM(K54+K66)</f>
        <v>1477755.3073097332</v>
      </c>
      <c r="L69" s="6"/>
      <c r="M69" s="88"/>
    </row>
    <row r="70" spans="1:13" ht="15" thickTop="1">
      <c r="A70" s="121">
        <v>55</v>
      </c>
      <c r="B70" s="81"/>
      <c r="C70" s="81"/>
      <c r="D70" s="81"/>
      <c r="E70" s="81"/>
      <c r="F70" s="81"/>
      <c r="G70" s="81"/>
      <c r="H70" s="6"/>
      <c r="I70" s="81"/>
      <c r="J70" s="81"/>
      <c r="K70" s="81"/>
      <c r="L70" s="6"/>
      <c r="M70" s="88"/>
    </row>
    <row r="71" spans="1:13">
      <c r="A71" s="81"/>
      <c r="B71" s="81"/>
      <c r="C71" s="81"/>
      <c r="D71" s="81"/>
      <c r="E71" s="81"/>
      <c r="F71" s="81"/>
      <c r="G71" s="81"/>
      <c r="H71" s="287"/>
      <c r="I71" s="388" t="s">
        <v>279</v>
      </c>
      <c r="J71" s="389"/>
      <c r="K71" s="390">
        <f>+(K26+K32+K33+K28)*0.05+K65</f>
        <v>1477755.3073097332</v>
      </c>
      <c r="L71" s="6"/>
      <c r="M71" s="88"/>
    </row>
    <row r="72" spans="1:13">
      <c r="A72" s="81"/>
      <c r="B72" s="81"/>
      <c r="C72" s="81"/>
      <c r="D72" s="81"/>
      <c r="E72" s="81"/>
      <c r="F72" s="81"/>
      <c r="G72" s="396"/>
      <c r="H72" s="6"/>
      <c r="I72" s="392"/>
      <c r="J72" s="389"/>
      <c r="K72" s="390">
        <f>K69-K71</f>
        <v>0</v>
      </c>
      <c r="L72" s="6"/>
      <c r="M72" s="88"/>
    </row>
    <row r="73" spans="1:13">
      <c r="A73" s="81"/>
      <c r="B73" s="81"/>
      <c r="C73" s="81"/>
      <c r="D73" s="81"/>
      <c r="E73" s="81"/>
      <c r="F73" s="81"/>
      <c r="G73" s="95"/>
      <c r="H73" s="6"/>
      <c r="I73" s="81"/>
      <c r="J73" s="81"/>
      <c r="K73" s="81"/>
      <c r="L73" s="6"/>
      <c r="M73" s="88"/>
    </row>
    <row r="74" spans="1:13">
      <c r="A74" s="81"/>
      <c r="B74" s="81"/>
      <c r="C74" s="81"/>
      <c r="D74" s="81"/>
      <c r="E74" s="81"/>
      <c r="F74" s="81"/>
      <c r="G74" s="81"/>
      <c r="H74" s="116"/>
      <c r="I74" s="81"/>
      <c r="J74" s="81"/>
      <c r="K74" s="81"/>
      <c r="L74" s="116"/>
      <c r="M74" s="88"/>
    </row>
    <row r="75" spans="1:13">
      <c r="A75" s="81"/>
      <c r="B75" s="81"/>
      <c r="C75" s="81"/>
      <c r="D75" s="81"/>
      <c r="E75" s="81"/>
      <c r="F75" s="81"/>
      <c r="G75" s="81"/>
      <c r="H75" s="116"/>
      <c r="I75" s="81"/>
      <c r="J75" s="81"/>
      <c r="K75" s="81"/>
      <c r="L75" s="116"/>
      <c r="M75" s="88"/>
    </row>
    <row r="76" spans="1:13">
      <c r="A76" s="81"/>
      <c r="B76" s="81"/>
      <c r="C76" s="81"/>
      <c r="D76" s="81"/>
      <c r="E76" s="81"/>
      <c r="F76" s="81"/>
      <c r="G76" s="81"/>
      <c r="H76" s="81"/>
      <c r="I76" s="81"/>
      <c r="J76" s="81"/>
      <c r="K76" s="81"/>
      <c r="L76" s="88"/>
      <c r="M76" s="88"/>
    </row>
    <row r="77" spans="1:13">
      <c r="A77" s="81"/>
      <c r="B77" s="81"/>
      <c r="C77" s="81"/>
      <c r="D77" s="81"/>
      <c r="E77" s="81"/>
      <c r="F77" s="81"/>
      <c r="G77" s="81"/>
      <c r="H77" s="81"/>
      <c r="I77" s="81"/>
      <c r="J77" s="81"/>
      <c r="K77" s="81"/>
      <c r="L77" s="88"/>
      <c r="M77" s="88"/>
    </row>
    <row r="78" spans="1:13">
      <c r="A78" s="81"/>
      <c r="B78" s="81"/>
      <c r="C78" s="81"/>
      <c r="D78" s="81"/>
      <c r="E78" s="81"/>
      <c r="F78" s="81"/>
      <c r="G78" s="81"/>
      <c r="H78" s="81"/>
      <c r="I78" s="81"/>
      <c r="J78" s="81"/>
      <c r="K78" s="81"/>
      <c r="L78" s="88"/>
      <c r="M78" s="88"/>
    </row>
    <row r="79" spans="1:13">
      <c r="A79" s="81"/>
      <c r="B79" s="81"/>
      <c r="C79" s="81"/>
      <c r="D79" s="81"/>
      <c r="E79" s="81"/>
      <c r="F79" s="81"/>
      <c r="G79" s="81"/>
      <c r="H79" s="81"/>
      <c r="I79" s="81"/>
      <c r="J79" s="81"/>
      <c r="K79" s="81"/>
      <c r="L79" s="88"/>
      <c r="M79" s="88"/>
    </row>
    <row r="80" spans="1:13">
      <c r="L80" s="88"/>
      <c r="M80" s="88"/>
    </row>
    <row r="81" spans="12:13">
      <c r="L81" s="88"/>
      <c r="M81" s="88"/>
    </row>
    <row r="82" spans="12:13">
      <c r="L82" s="88"/>
      <c r="M82" s="88"/>
    </row>
  </sheetData>
  <mergeCells count="4">
    <mergeCell ref="A5:K5"/>
    <mergeCell ref="A6:K6"/>
    <mergeCell ref="A7:K7"/>
    <mergeCell ref="A4:K4"/>
  </mergeCells>
  <pageMargins left="0.7" right="0.7" top="0.75" bottom="0.75" header="0.3" footer="0.3"/>
  <pageSetup scale="53" orientation="portrait"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Link In</vt:lpstr>
      <vt:lpstr>Link Out</vt:lpstr>
      <vt:lpstr>Exhibit</vt:lpstr>
      <vt:lpstr>Summary by Account</vt:lpstr>
      <vt:lpstr>Notes</vt:lpstr>
      <vt:lpstr>E-1.1 Federal Inc Tax Base</vt:lpstr>
      <vt:lpstr>E-1.2 State Inc Tax Base</vt:lpstr>
      <vt:lpstr>E-1.3 Federal Inc Tax Forecast</vt:lpstr>
      <vt:lpstr>E-1.4 State Inc Tax Forecast</vt:lpstr>
      <vt:lpstr>E-1.5 Summary of Income Tax Adj</vt:lpstr>
      <vt:lpstr>E-2 Jurisdictional Income Taxes</vt:lpstr>
      <vt:lpstr>'E-1.1 Federal Inc Tax Base'!Print_Area</vt:lpstr>
      <vt:lpstr>'E-1.2 State Inc Tax Base'!Print_Area</vt:lpstr>
      <vt:lpstr>'E-1.3 Federal Inc Tax Forecast'!Print_Area</vt:lpstr>
      <vt:lpstr>'E-1.4 State Inc Tax Forecast'!Print_Area</vt:lpstr>
      <vt:lpstr>'E-1.5 Summary of Income Tax Adj'!Print_Area</vt:lpstr>
      <vt:lpstr>'E-2 Jurisdictional Income Taxes'!Print_Area</vt:lpstr>
      <vt:lpstr>Exhibit!Print_Area</vt:lpstr>
      <vt:lpstr>'Link In'!Print_Area</vt:lpstr>
      <vt:lpstr>'Link Out'!Print_Area</vt:lpstr>
      <vt:lpstr>'Summary by Account'!Print_Area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2018-12-03T18:25:13Z</cp:lastPrinted>
  <dcterms:created xsi:type="dcterms:W3CDTF">2012-08-27T14:54:09Z</dcterms:created>
  <dcterms:modified xsi:type="dcterms:W3CDTF">2018-12-06T18:38:14Z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