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52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  <sheet name="Workpaper 1" sheetId="8" r:id="rId7"/>
    <sheet name="Workpaper 2" sheetId="9" r:id="rId8"/>
    <sheet name="Workpaper 3" sheetId="10" r:id="rId9"/>
  </sheets>
  <externalReferences>
    <externalReference r:id="rId10"/>
  </externalReferences>
  <definedNames>
    <definedName name="_xlnm.Print_Area" localSheetId="7">'Workpaper 2'!$A$1:$I$41</definedName>
  </definedNames>
  <calcPr calcId="162913" iterate="1"/>
</workbook>
</file>

<file path=xl/calcChain.xml><?xml version="1.0" encoding="utf-8"?>
<calcChain xmlns="http://schemas.openxmlformats.org/spreadsheetml/2006/main">
  <c r="A20" i="1" l="1"/>
  <c r="B26" i="10" l="1"/>
  <c r="B25" i="10"/>
  <c r="B22" i="3" l="1"/>
  <c r="D25" i="5" s="1"/>
  <c r="E2" i="10"/>
  <c r="AB13" i="1" l="1"/>
  <c r="AB14" i="1"/>
  <c r="AB15" i="1"/>
  <c r="AB16" i="1"/>
  <c r="AB17" i="1"/>
  <c r="AB12" i="1"/>
  <c r="AB19" i="1" l="1"/>
  <c r="B72" i="1"/>
  <c r="G30" i="9" s="1"/>
  <c r="I30" i="9" s="1"/>
  <c r="I37" i="9" s="1"/>
  <c r="A72" i="1"/>
  <c r="F30" i="9" s="1"/>
  <c r="B71" i="1"/>
  <c r="G29" i="9" s="1"/>
  <c r="I29" i="9" s="1"/>
  <c r="A71" i="1"/>
  <c r="F29" i="9" s="1"/>
  <c r="B69" i="1"/>
  <c r="B68" i="1"/>
  <c r="G27" i="9" s="1"/>
  <c r="A68" i="1"/>
  <c r="F27" i="9" s="1"/>
  <c r="B67" i="1"/>
  <c r="G26" i="9" s="1"/>
  <c r="A67" i="1"/>
  <c r="F26" i="9" s="1"/>
  <c r="B66" i="1"/>
  <c r="G25" i="9" s="1"/>
  <c r="A66" i="1"/>
  <c r="F25" i="9" s="1"/>
  <c r="B65" i="1"/>
  <c r="A65" i="1"/>
  <c r="F24" i="9" s="1"/>
  <c r="A64" i="1"/>
  <c r="F23" i="9" s="1"/>
  <c r="A29" i="2"/>
  <c r="G24" i="9" l="1"/>
  <c r="E22" i="10"/>
  <c r="I31" i="9"/>
  <c r="B21" i="8"/>
  <c r="D24" i="5" l="1"/>
  <c r="B21" i="3" s="1"/>
  <c r="I34" i="9"/>
  <c r="B34" i="9"/>
  <c r="E24" i="5" l="1"/>
  <c r="D21" i="3" s="1"/>
  <c r="I2" i="9"/>
  <c r="D40" i="8" l="1"/>
  <c r="D23" i="8" s="1"/>
  <c r="D27" i="8"/>
  <c r="D26" i="8"/>
  <c r="I2" i="8"/>
  <c r="D28" i="8" l="1"/>
  <c r="D30" i="8" s="1"/>
  <c r="E23" i="5" s="1"/>
  <c r="D20" i="3" s="1"/>
  <c r="B61" i="1" l="1"/>
  <c r="E25" i="10" s="1"/>
  <c r="D23" i="5" l="1"/>
  <c r="A25" i="1" l="1"/>
  <c r="A22" i="1"/>
  <c r="A8" i="10" s="1"/>
  <c r="I1" i="9" l="1"/>
  <c r="E1" i="10"/>
  <c r="A12" i="9"/>
  <c r="A11" i="10"/>
  <c r="A11" i="9"/>
  <c r="B8" i="9"/>
  <c r="A8" i="8"/>
  <c r="I1" i="8"/>
  <c r="A11" i="8"/>
  <c r="A35" i="6" l="1"/>
  <c r="A34" i="6"/>
  <c r="A19" i="5"/>
  <c r="A18" i="5"/>
  <c r="A17" i="5"/>
  <c r="A16" i="5"/>
  <c r="A15" i="5"/>
  <c r="L35" i="1"/>
  <c r="L34" i="1"/>
  <c r="K35" i="1"/>
  <c r="B35" i="6" s="1"/>
  <c r="K34" i="1"/>
  <c r="B34" i="6" s="1"/>
  <c r="I35" i="1"/>
  <c r="H35" i="1"/>
  <c r="I34" i="1"/>
  <c r="H34" i="1"/>
  <c r="A23" i="5" l="1"/>
  <c r="A24" i="5"/>
  <c r="A14" i="5"/>
  <c r="X35" i="1" l="1"/>
  <c r="N35" i="6" s="1"/>
  <c r="W35" i="1"/>
  <c r="M35" i="6" s="1"/>
  <c r="V35" i="1"/>
  <c r="L35" i="6" s="1"/>
  <c r="U35" i="1"/>
  <c r="K35" i="6" s="1"/>
  <c r="T35" i="1"/>
  <c r="J35" i="6" s="1"/>
  <c r="S35" i="1"/>
  <c r="I35" i="6" s="1"/>
  <c r="R35" i="1"/>
  <c r="H35" i="6" s="1"/>
  <c r="Q35" i="1"/>
  <c r="G35" i="6" s="1"/>
  <c r="P35" i="1"/>
  <c r="F35" i="6" s="1"/>
  <c r="O35" i="1"/>
  <c r="E35" i="6" s="1"/>
  <c r="N35" i="1"/>
  <c r="D35" i="6" s="1"/>
  <c r="M35" i="1"/>
  <c r="C35" i="6" s="1"/>
  <c r="X34" i="1"/>
  <c r="N34" i="6" s="1"/>
  <c r="W34" i="1"/>
  <c r="M34" i="6" s="1"/>
  <c r="V34" i="1"/>
  <c r="L34" i="6" s="1"/>
  <c r="U34" i="1"/>
  <c r="K34" i="6" s="1"/>
  <c r="T34" i="1"/>
  <c r="J34" i="6" s="1"/>
  <c r="S34" i="1"/>
  <c r="I34" i="6" s="1"/>
  <c r="R34" i="1"/>
  <c r="H34" i="6" s="1"/>
  <c r="Q34" i="1"/>
  <c r="G34" i="6" s="1"/>
  <c r="P34" i="1"/>
  <c r="F34" i="6" s="1"/>
  <c r="O34" i="1"/>
  <c r="E34" i="6" s="1"/>
  <c r="N34" i="1"/>
  <c r="D34" i="6" s="1"/>
  <c r="M34" i="1"/>
  <c r="C34" i="6" s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33" i="1"/>
  <c r="K32" i="1"/>
  <c r="K31" i="1"/>
  <c r="K30" i="1"/>
  <c r="K17" i="1"/>
  <c r="B19" i="5" s="1"/>
  <c r="K16" i="1"/>
  <c r="B18" i="5" s="1"/>
  <c r="K15" i="1"/>
  <c r="B17" i="5" s="1"/>
  <c r="K14" i="1"/>
  <c r="B16" i="5" s="1"/>
  <c r="K13" i="1"/>
  <c r="B15" i="5" s="1"/>
  <c r="K12" i="1"/>
  <c r="B14" i="5" s="1"/>
  <c r="I33" i="1"/>
  <c r="H33" i="1"/>
  <c r="I32" i="1"/>
  <c r="H32" i="1"/>
  <c r="I31" i="1"/>
  <c r="H31" i="1"/>
  <c r="I30" i="1"/>
  <c r="H30" i="1"/>
  <c r="I17" i="1"/>
  <c r="H17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28" i="6"/>
  <c r="E28" i="6"/>
  <c r="F28" i="6"/>
  <c r="G28" i="6"/>
  <c r="H28" i="6"/>
  <c r="I28" i="6"/>
  <c r="J28" i="6"/>
  <c r="K28" i="6"/>
  <c r="L28" i="6"/>
  <c r="M28" i="6"/>
  <c r="N28" i="6"/>
  <c r="C28" i="6"/>
  <c r="D12" i="6"/>
  <c r="E12" i="6"/>
  <c r="F12" i="6"/>
  <c r="G12" i="6"/>
  <c r="H12" i="6"/>
  <c r="I12" i="6"/>
  <c r="J12" i="6"/>
  <c r="K12" i="6"/>
  <c r="L12" i="6"/>
  <c r="M12" i="6"/>
  <c r="N12" i="6"/>
  <c r="C12" i="6"/>
  <c r="A13" i="9" l="1"/>
  <c r="A12" i="10"/>
  <c r="B23" i="5"/>
  <c r="B24" i="5"/>
  <c r="A12" i="8"/>
  <c r="Q19" i="1"/>
  <c r="U19" i="1"/>
  <c r="R19" i="1"/>
  <c r="P19" i="1"/>
  <c r="T19" i="1"/>
  <c r="X19" i="1"/>
  <c r="M19" i="1"/>
  <c r="N19" i="1"/>
  <c r="V19" i="1"/>
  <c r="O34" i="6"/>
  <c r="O19" i="1"/>
  <c r="S19" i="1"/>
  <c r="W19" i="1"/>
  <c r="O35" i="6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B5" i="9" l="1"/>
  <c r="A5" i="10"/>
  <c r="B7" i="9"/>
  <c r="A7" i="10"/>
  <c r="B6" i="9"/>
  <c r="A6" i="10"/>
  <c r="A5" i="8"/>
  <c r="A6" i="8"/>
  <c r="A7" i="8"/>
  <c r="A33" i="6"/>
  <c r="A32" i="6"/>
  <c r="A31" i="6"/>
  <c r="A30" i="6"/>
  <c r="O2" i="6"/>
  <c r="A19" i="6"/>
  <c r="A18" i="6"/>
  <c r="A17" i="6"/>
  <c r="A16" i="6"/>
  <c r="A15" i="6"/>
  <c r="A14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B19" i="6"/>
  <c r="B18" i="6"/>
  <c r="B17" i="6"/>
  <c r="B16" i="6"/>
  <c r="B15" i="6"/>
  <c r="B14" i="6"/>
  <c r="D14" i="6" l="1"/>
  <c r="H14" i="6"/>
  <c r="L14" i="6"/>
  <c r="F14" i="6"/>
  <c r="J14" i="6"/>
  <c r="N14" i="6"/>
  <c r="C14" i="6"/>
  <c r="G14" i="6"/>
  <c r="K14" i="6"/>
  <c r="E14" i="6"/>
  <c r="I14" i="6"/>
  <c r="M14" i="6"/>
  <c r="Y13" i="1"/>
  <c r="Y14" i="1"/>
  <c r="Y15" i="1"/>
  <c r="Y16" i="1"/>
  <c r="Y17" i="1"/>
  <c r="Y12" i="1"/>
  <c r="O23" i="6"/>
  <c r="O22" i="6"/>
  <c r="O21" i="6"/>
  <c r="O20" i="6"/>
  <c r="O19" i="6"/>
  <c r="O18" i="6"/>
  <c r="O17" i="6"/>
  <c r="O16" i="6"/>
  <c r="O15" i="6"/>
  <c r="C15" i="5" l="1"/>
  <c r="C18" i="5"/>
  <c r="C17" i="5"/>
  <c r="C16" i="5"/>
  <c r="C19" i="5"/>
  <c r="C14" i="5"/>
  <c r="Y19" i="1"/>
  <c r="AC12" i="1" s="1"/>
  <c r="O14" i="6"/>
  <c r="O25" i="6" s="1"/>
  <c r="AC14" i="1" l="1"/>
  <c r="AC16" i="1"/>
  <c r="AC17" i="1"/>
  <c r="AC15" i="1"/>
  <c r="AC13" i="1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AC19" i="1" l="1"/>
  <c r="O32" i="6"/>
  <c r="I30" i="6"/>
  <c r="C30" i="6"/>
  <c r="G30" i="6"/>
  <c r="K30" i="6"/>
  <c r="N37" i="1"/>
  <c r="D30" i="6"/>
  <c r="H30" i="6"/>
  <c r="V37" i="1"/>
  <c r="L30" i="6"/>
  <c r="O31" i="6"/>
  <c r="E30" i="6"/>
  <c r="M30" i="6"/>
  <c r="F30" i="6"/>
  <c r="J30" i="6"/>
  <c r="N30" i="6"/>
  <c r="O33" i="6"/>
  <c r="M37" i="1"/>
  <c r="Q37" i="1"/>
  <c r="U37" i="1"/>
  <c r="O37" i="1"/>
  <c r="S37" i="1"/>
  <c r="W37" i="1"/>
  <c r="R37" i="1"/>
  <c r="P37" i="1"/>
  <c r="T37" i="1"/>
  <c r="X37" i="1"/>
  <c r="B33" i="6"/>
  <c r="B32" i="6"/>
  <c r="B31" i="6"/>
  <c r="B30" i="6"/>
  <c r="O30" i="6" l="1"/>
  <c r="O37" i="6" s="1"/>
  <c r="E21" i="10" s="1"/>
  <c r="E23" i="10" s="1"/>
  <c r="E26" i="10" l="1"/>
  <c r="E21" i="5"/>
  <c r="L2" i="4"/>
  <c r="G2" i="5"/>
  <c r="F2" i="3"/>
  <c r="E25" i="5" l="1"/>
  <c r="D22" i="3" s="1"/>
  <c r="D29" i="2"/>
  <c r="E17" i="5"/>
  <c r="E16" i="5"/>
  <c r="F16" i="5" s="1"/>
  <c r="G16" i="5" s="1"/>
  <c r="E15" i="5"/>
  <c r="E14" i="5"/>
  <c r="E19" i="5"/>
  <c r="E18" i="5"/>
  <c r="E26" i="5"/>
  <c r="A13" i="2"/>
  <c r="A12" i="2"/>
  <c r="A11" i="2"/>
  <c r="A10" i="2"/>
  <c r="A9" i="2"/>
  <c r="A8" i="2"/>
  <c r="D10" i="2" l="1"/>
  <c r="F15" i="5"/>
  <c r="G15" i="5" s="1"/>
  <c r="F18" i="5"/>
  <c r="G18" i="5" s="1"/>
  <c r="F17" i="5"/>
  <c r="G17" i="5" s="1"/>
  <c r="F14" i="5"/>
  <c r="G14" i="5" s="1"/>
  <c r="F19" i="5"/>
  <c r="G19" i="5" s="1"/>
  <c r="F19" i="3"/>
  <c r="D1" i="2"/>
  <c r="E12" i="5"/>
  <c r="C12" i="5"/>
  <c r="B9" i="2"/>
  <c r="B10" i="2"/>
  <c r="B11" i="2"/>
  <c r="B12" i="2"/>
  <c r="B13" i="2"/>
  <c r="B8" i="2"/>
  <c r="D12" i="2" l="1"/>
  <c r="D11" i="2"/>
  <c r="D9" i="2"/>
  <c r="D13" i="2"/>
  <c r="G21" i="5"/>
  <c r="D8" i="2"/>
  <c r="B26" i="3"/>
  <c r="E13" i="3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G1" i="5"/>
  <c r="O1" i="6"/>
  <c r="C27" i="6"/>
  <c r="A6" i="6"/>
  <c r="C21" i="5"/>
  <c r="C3" i="2"/>
  <c r="A23" i="2"/>
  <c r="L1" i="4" l="1"/>
  <c r="F1" i="3"/>
  <c r="A22" i="2"/>
  <c r="D17" i="5" l="1"/>
  <c r="D15" i="5"/>
  <c r="D19" i="5"/>
  <c r="D18" i="5"/>
  <c r="D16" i="5"/>
  <c r="A9" i="3"/>
  <c r="B3" i="2"/>
  <c r="A23" i="1" l="1"/>
  <c r="A6" i="3" l="1"/>
  <c r="A6" i="5"/>
  <c r="A7" i="3"/>
  <c r="A5" i="3"/>
  <c r="A10" i="3"/>
  <c r="A4" i="3"/>
  <c r="D18" i="2" l="1"/>
  <c r="D14" i="5"/>
  <c r="D21" i="5" s="1"/>
  <c r="D19" i="3" l="1"/>
  <c r="D23" i="3" l="1"/>
  <c r="E23" i="3" s="1"/>
  <c r="E3" i="2" s="1"/>
  <c r="C15" i="3" l="1"/>
  <c r="D3" i="2" s="1"/>
  <c r="E15" i="3" l="1"/>
  <c r="E26" i="3" s="1"/>
  <c r="F3" i="2" s="1"/>
  <c r="Y32" i="1" l="1"/>
  <c r="Y35" i="1"/>
  <c r="Y33" i="1"/>
  <c r="Y31" i="1"/>
  <c r="Y30" i="1"/>
  <c r="Y34" i="1"/>
  <c r="Y37" i="1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<sst xmlns="http://schemas.openxmlformats.org/spreadsheetml/2006/main" count="105" uniqueCount="66">
  <si>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</si>
  <si>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</si>
  <si>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</si>
  <si>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</si>
  <si>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</si>
  <si>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</si>
  <si>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</si>
  <si>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</si>
  <si>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</si>
  <si>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</si>
  <si>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</si>
  <si>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</si>
  <si>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</si>
  <si>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</si>
  <si>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</si>
  <si>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</si>
  <si>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</si>
  <si>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</si>
  <si>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</si>
  <si>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</si>
  <si>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</si>
  <si>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</si>
  <si>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</si>
  <si>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</si>
  <si>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</si>
  <si>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</si>
  <si>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</si>
  <si>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</si>
  <si>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</si>
  <si>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</si>
  <si>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</si>
  <si>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</si>
  <si>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</si>
  <si>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</si>
  <si>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Customer Accounting-Postage adjustment is based on the difference between the base period</t>
  </si>
  <si>
    <t>Call Handling Overflow Agents</t>
  </si>
  <si>
    <t>ACQUISTIONS</t>
  </si>
  <si>
    <t>Customers</t>
  </si>
  <si>
    <t>Customer count - Kentucky American</t>
  </si>
  <si>
    <t>KENTUCKY AMERICAN</t>
  </si>
  <si>
    <t>Agency</t>
  </si>
  <si>
    <t>Full Year Costs at $24.87 per hour x 2,088 hours</t>
  </si>
  <si>
    <t>Additional Temps (220 - 148 average head count in 12 months ended 2/28/19)</t>
  </si>
  <si>
    <t>Additional Agency Expense</t>
  </si>
  <si>
    <t>%</t>
  </si>
  <si>
    <t>Total Average</t>
  </si>
  <si>
    <t>Date</t>
  </si>
  <si>
    <t>Average of Allocation Percentage Calculation</t>
  </si>
  <si>
    <t>Total Average of Allocation Percentage</t>
  </si>
  <si>
    <t>Variance  between base year and forecast year</t>
  </si>
  <si>
    <t>Percentage</t>
  </si>
  <si>
    <t>Forecast cost - Kentucky American</t>
  </si>
  <si>
    <t>Dollars</t>
  </si>
  <si>
    <t>Allocation of dollars to Waste Water customers</t>
  </si>
  <si>
    <t>Allocation of Waste Water Customer Accounting-Postage</t>
  </si>
  <si>
    <t xml:space="preserve">Call Handling Overflow Agents Waste Water </t>
  </si>
  <si>
    <t>Alloc %</t>
  </si>
  <si>
    <t>Forecast Customer Accounting-Postage - Kentucky American</t>
  </si>
  <si>
    <t>Forecast cost per customer - Kentucky American</t>
  </si>
  <si>
    <t>Expense</t>
  </si>
  <si>
    <t>% to TTL</t>
  </si>
  <si>
    <t>North Middletown</t>
  </si>
  <si>
    <t>Alloc% 2</t>
  </si>
  <si>
    <t>North Middletown Acquisition</t>
  </si>
  <si>
    <t>Acquisition Customer Accounting-Postage</t>
  </si>
  <si>
    <t>through June 2020.  Included overflow call handling agents.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</si>
</sst>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mmm\-yyyy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1" fillId="26" borderId="0" xfId="1594" applyFont="1" applyFill="1"/>
    <xf numFmtId="0" fontId="1" fillId="26" borderId="0" xfId="1898" applyFont="1" applyFill="1"/>
    <xf numFmtId="43" fontId="0" fillId="0" borderId="0" xfId="0" applyNumberFormat="1" applyFont="1"/>
    <xf numFmtId="10" fontId="0" fillId="0" borderId="0" xfId="1899" applyNumberFormat="1" applyFont="1"/>
    <xf numFmtId="0" fontId="0" fillId="0" borderId="0" xfId="0" applyFont="1" applyFill="1" applyAlignment="1">
      <alignment horizontal="left" wrapText="1" indent="2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49" fillId="0" borderId="0" xfId="0" applyFont="1"/>
    <xf numFmtId="0" fontId="0" fillId="0" borderId="0" xfId="0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indent="2"/>
    </xf>
    <xf numFmtId="0" fontId="46" fillId="0" borderId="0" xfId="0" applyFont="1" applyAlignment="1">
      <alignment horizontal="center"/>
    </xf>
    <xf numFmtId="0" fontId="49" fillId="0" borderId="0" xfId="0" applyFont="1" applyFill="1"/>
    <xf numFmtId="0" fontId="46" fillId="0" borderId="0" xfId="0" applyFont="1" applyFill="1" applyBorder="1"/>
    <xf numFmtId="5" fontId="0" fillId="0" borderId="15" xfId="0" applyNumberFormat="1" applyFont="1" applyFill="1" applyBorder="1"/>
    <xf numFmtId="5" fontId="0" fillId="0" borderId="0" xfId="0" applyNumberFormat="1" applyFont="1" applyBorder="1"/>
    <xf numFmtId="7" fontId="0" fillId="0" borderId="0" xfId="0" applyNumberFormat="1" applyFont="1" applyBorder="1"/>
    <xf numFmtId="10" fontId="1" fillId="0" borderId="0" xfId="1899" applyNumberFormat="1" applyFont="1" applyFill="1" applyAlignment="1">
      <alignment horizontal="center"/>
    </xf>
    <xf numFmtId="10" fontId="0" fillId="0" borderId="0" xfId="1899" applyNumberFormat="1" applyFont="1" applyFill="1" applyAlignment="1">
      <alignment horizontal="center"/>
    </xf>
    <xf numFmtId="10" fontId="0" fillId="0" borderId="15" xfId="0" applyNumberFormat="1" applyFont="1" applyFill="1" applyBorder="1" applyAlignment="1">
      <alignment horizontal="center"/>
    </xf>
    <xf numFmtId="180" fontId="46" fillId="0" borderId="0" xfId="0" applyNumberFormat="1" applyFont="1" applyBorder="1"/>
    <xf numFmtId="5" fontId="0" fillId="0" borderId="17" xfId="0" applyNumberFormat="1" applyFont="1" applyFill="1" applyBorder="1"/>
    <xf numFmtId="0" fontId="5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182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81" fontId="48" fillId="0" borderId="0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37" fontId="0" fillId="0" borderId="0" xfId="0" applyNumberFormat="1" applyFill="1"/>
    <xf numFmtId="10" fontId="0" fillId="0" borderId="0" xfId="0" applyNumberFormat="1" applyFill="1" applyBorder="1"/>
    <xf numFmtId="10" fontId="0" fillId="0" borderId="0" xfId="0" applyNumberFormat="1" applyFill="1"/>
    <xf numFmtId="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7" fontId="0" fillId="0" borderId="0" xfId="0" applyNumberFormat="1" applyFill="1" applyBorder="1"/>
    <xf numFmtId="5" fontId="0" fillId="0" borderId="15" xfId="0" applyNumberFormat="1" applyFill="1" applyBorder="1"/>
    <xf numFmtId="5" fontId="0" fillId="0" borderId="0" xfId="0" applyNumberFormat="1" applyFill="1" applyBorder="1"/>
    <xf numFmtId="5" fontId="0" fillId="0" borderId="0" xfId="1" applyNumberFormat="1" applyFont="1" applyFill="1" applyAlignment="1"/>
    <xf numFmtId="37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/>
    <xf numFmtId="10" fontId="51" fillId="0" borderId="0" xfId="1899" applyNumberFormat="1" applyFont="1"/>
    <xf numFmtId="10" fontId="0" fillId="0" borderId="0" xfId="1899" applyNumberFormat="1" applyFont="1" applyFill="1"/>
    <xf numFmtId="10" fontId="0" fillId="0" borderId="0" xfId="1899" applyNumberFormat="1" applyFont="1" applyFill="1" applyBorder="1"/>
    <xf numFmtId="9" fontId="0" fillId="0" borderId="0" xfId="1899" applyFont="1"/>
    <xf numFmtId="9" fontId="0" fillId="0" borderId="0" xfId="1899" applyNumberFormat="1" applyFont="1"/>
    <xf numFmtId="9" fontId="0" fillId="0" borderId="0" xfId="0" applyNumberFormat="1" applyFont="1"/>
    <xf numFmtId="179" fontId="48" fillId="0" borderId="0" xfId="0" quotePrefix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46" fillId="0" borderId="0" xfId="0" applyFont="1" applyAlignment="1">
      <alignment horizontal="center"/>
    </xf>
    <xf numFmtId="5" fontId="0" fillId="0" borderId="0" xfId="0" applyNumberFormat="1"/>
    <xf numFmtId="37" fontId="0" fillId="0" borderId="0" xfId="0" applyNumberFormat="1"/>
    <xf numFmtId="7" fontId="0" fillId="0" borderId="17" xfId="0" applyNumberFormat="1" applyBorder="1"/>
    <xf numFmtId="5" fontId="0" fillId="0" borderId="15" xfId="0" applyNumberFormat="1" applyBorder="1"/>
    <xf numFmtId="0" fontId="46" fillId="0" borderId="0" xfId="0" applyFont="1" applyFill="1" applyBorder="1" applyAlignment="1">
      <alignment horizontal="center" wrapText="1"/>
    </xf>
    <xf numFmtId="10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5" xfId="1898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9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  <row r="47">
          <cell r="A47" t="str">
            <v>Total Water Customers</v>
          </cell>
        </row>
        <row r="48">
          <cell r="A48" t="str">
            <v>Average - July 2019-June 2020</v>
          </cell>
          <cell r="C48">
            <v>133284</v>
          </cell>
        </row>
        <row r="49">
          <cell r="A49" t="str">
            <v>Wastewater as of 8/31/18</v>
          </cell>
          <cell r="C49">
            <v>695</v>
          </cell>
        </row>
        <row r="50">
          <cell r="A50" t="str">
            <v>Total Customers</v>
          </cell>
          <cell r="C50">
            <v>133979</v>
          </cell>
        </row>
        <row r="51">
          <cell r="A51" t="str">
            <v>Less Dual</v>
          </cell>
          <cell r="C51">
            <v>-550</v>
          </cell>
        </row>
        <row r="52">
          <cell r="C52">
            <v>133429</v>
          </cell>
        </row>
        <row r="54">
          <cell r="A54" t="str">
            <v>Water Percentage</v>
          </cell>
          <cell r="C54">
            <v>0.99891327972179966</v>
          </cell>
        </row>
        <row r="55">
          <cell r="A55" t="str">
            <v>Wastewater Percentage</v>
          </cell>
          <cell r="C55">
            <v>1.0867202782003371E-3</v>
          </cell>
        </row>
      </sheetData>
      <sheetData sheetId="1">
        <row r="53">
          <cell r="D53" t="str">
            <v>Customer Accounting-Postage</v>
          </cell>
          <cell r="F53" t="str">
            <v>W/P - 3-9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27.109375" style="9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" style="2" customWidth="1"/>
    <col min="9" max="9" width="28.44140625" style="2" bestFit="1" customWidth="1"/>
    <col min="10" max="10" width="9.88671875" style="2" bestFit="1" customWidth="1"/>
    <col min="11" max="11" width="21" style="2" bestFit="1" customWidth="1"/>
    <col min="12" max="12" width="7.6640625" style="2" bestFit="1" customWidth="1"/>
    <col min="13" max="13" width="16.109375" style="2" customWidth="1"/>
    <col min="14" max="14" width="11.33203125" style="2" bestFit="1" customWidth="1"/>
    <col min="15" max="15" width="12.33203125" style="2" bestFit="1" customWidth="1"/>
    <col min="16" max="16" width="11.33203125" style="2" bestFit="1" customWidth="1"/>
    <col min="17" max="21" width="12.33203125" style="2" bestFit="1" customWidth="1"/>
    <col min="22" max="22" width="13.88671875" style="2" bestFit="1" customWidth="1"/>
    <col min="23" max="23" width="12.33203125" style="2" bestFit="1" customWidth="1"/>
    <col min="24" max="25" width="13.88671875" style="2" bestFit="1" customWidth="1"/>
    <col min="26" max="26" width="10.5546875" style="2" bestFit="1" customWidth="1"/>
    <col min="27" max="28" width="9.109375" style="2"/>
    <col min="29" max="29" width="8.6640625" style="2" bestFit="1" customWidth="1"/>
    <col min="30" max="16384" width="9.109375" style="2"/>
  </cols>
  <sheetData>
    <row r="1" spans="1:29">
      <c r="A1" s="2" t="str">
        <f>'[1]Rate Case Constants'!$C$9</f>
        <v>Kentucky American Water Company</v>
      </c>
    </row>
    <row r="2" spans="1:29">
      <c r="A2" s="2" t="str">
        <f>'[1]Rate Case Constants'!$C$10</f>
        <v>KENTUCKY AMERICAN WATER COMPANY</v>
      </c>
    </row>
    <row r="3" spans="1:29">
      <c r="A3" s="2" t="str">
        <f>'[1]Rate Case Constants'!$C$11</f>
        <v>Case No. 2018-00358</v>
      </c>
    </row>
    <row r="4" spans="1:29">
      <c r="A4" s="19">
        <f>'[1]Rate Case Constants'!$C$12</f>
        <v>43524</v>
      </c>
      <c r="B4" s="20"/>
    </row>
    <row r="5" spans="1:29">
      <c r="A5" s="21" t="str">
        <f>'[1]Rate Case Constants'!$C$13</f>
        <v>June 30, 2020</v>
      </c>
      <c r="B5" s="22"/>
    </row>
    <row r="6" spans="1:29">
      <c r="A6" s="21" t="str">
        <f>'[1]Rate Case Constants'!$C$14</f>
        <v>For the 12 Months Ending June 30, 2020</v>
      </c>
      <c r="B6" s="22"/>
    </row>
    <row r="7" spans="1:29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9">
      <c r="A8" s="2" t="str">
        <f>'[1]Rate Case Constants'!$C$16</f>
        <v>Base Year Adjustment</v>
      </c>
      <c r="C8" s="9"/>
    </row>
    <row r="9" spans="1:29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0"/>
    </row>
    <row r="10" spans="1:29">
      <c r="A10" s="2" t="str">
        <f>'[1]Rate Case Constants'!$C$18</f>
        <v>Attrition Year Adjustment at Present Rates:</v>
      </c>
      <c r="H10" s="31" t="s">
        <v>25</v>
      </c>
      <c r="I10" s="31" t="s">
        <v>13</v>
      </c>
      <c r="J10" s="31" t="s">
        <v>14</v>
      </c>
      <c r="K10" s="31" t="s">
        <v>6</v>
      </c>
      <c r="L10" s="10" t="s">
        <v>15</v>
      </c>
      <c r="M10" s="32">
        <v>43160</v>
      </c>
      <c r="N10" s="32">
        <v>43191</v>
      </c>
      <c r="O10" s="32">
        <v>43221</v>
      </c>
      <c r="P10" s="32">
        <v>43252</v>
      </c>
      <c r="Q10" s="32">
        <v>43282</v>
      </c>
      <c r="R10" s="32">
        <v>43313</v>
      </c>
      <c r="S10" s="32">
        <v>43344</v>
      </c>
      <c r="T10" s="32">
        <v>43374</v>
      </c>
      <c r="U10" s="32">
        <v>43405</v>
      </c>
      <c r="V10" s="32">
        <v>43435</v>
      </c>
      <c r="W10" s="32">
        <v>43466</v>
      </c>
      <c r="X10" s="32">
        <v>43497</v>
      </c>
      <c r="Y10" s="31" t="s">
        <v>26</v>
      </c>
      <c r="Z10" s="119"/>
      <c r="AA10" s="9"/>
      <c r="AB10" s="31" t="s">
        <v>56</v>
      </c>
      <c r="AC10" s="74" t="s">
        <v>62</v>
      </c>
    </row>
    <row r="11" spans="1:29">
      <c r="A11" s="23" t="str">
        <f>'[1]Rate Case Constants'!$C$19</f>
        <v>Attrition Year at Present Rates</v>
      </c>
      <c r="B11" s="24"/>
      <c r="Z11" s="9"/>
      <c r="AA11" s="9"/>
    </row>
    <row r="12" spans="1:29">
      <c r="A12" s="23" t="str">
        <f>'[1]Rate Case Constants'!$C$20</f>
        <v>Adjustments for Proposed Rates:</v>
      </c>
      <c r="B12" s="24"/>
      <c r="H12" s="2" t="str">
        <f>IFERROR(INDEX('[1]Link Out Monthly BY'!$A$6:$A$491,MATCH($J12,'[1]Link Out Monthly BY'!$C$6:$C$491,0),1),"")</f>
        <v>P34</v>
      </c>
      <c r="I12" s="2" t="str">
        <f>IFERROR(INDEX('[1]Link Out Monthly BY'!$B$6:$B$491,MATCH($J12,'[1]Link Out Monthly BY'!$C$6:$C$491,0),1),"")</f>
        <v>Customer accounting, other</v>
      </c>
      <c r="J12" s="63">
        <v>52501500</v>
      </c>
      <c r="K12" s="2" t="str">
        <f>IFERROR(INDEX('[1]Link Out Monthly BY'!$D$6:$D$491,MATCH($J12,'[1]Link Out Monthly BY'!$C$6:$C$491,0),1),"")</f>
        <v>Misc Oper CA</v>
      </c>
      <c r="L12" s="2" t="str">
        <f>IFERROR(INDEX('[1]Link Out Monthly BY'!$E$6:$E$491,MATCH($J12,'[1]Link Out Monthly BY'!$C$6:$C$491,0),1),"")</f>
        <v>675.7</v>
      </c>
      <c r="M12" s="30">
        <f>IFERROR(INDEX('[1]Link Out Monthly BY'!$F$6:$F$491,MATCH($J12,'[1]Link Out Monthly BY'!$C$6:$C$491,0),1),"")</f>
        <v>901</v>
      </c>
      <c r="N12" s="30">
        <f>IFERROR(INDEX('[1]Link Out Monthly BY'!$G$6:$G$491,MATCH($J12,'[1]Link Out Monthly BY'!$C$6:$C$491,0),1),"")</f>
        <v>-54</v>
      </c>
      <c r="O12" s="30">
        <f>IFERROR(INDEX('[1]Link Out Monthly BY'!$H$6:$H$491,MATCH($J12,'[1]Link Out Monthly BY'!$C$6:$C$491,0),1),"")</f>
        <v>27</v>
      </c>
      <c r="P12" s="30">
        <f>IFERROR(INDEX('[1]Link Out Monthly BY'!$I$6:$I$491,MATCH($J12,'[1]Link Out Monthly BY'!$C$6:$C$491,0),1),"")</f>
        <v>0</v>
      </c>
      <c r="Q12" s="30">
        <f>IFERROR(INDEX('[1]Link Out Monthly BY'!$J$6:$J$491,MATCH($J12,'[1]Link Out Monthly BY'!$C$6:$C$491,0),1),"")</f>
        <v>0</v>
      </c>
      <c r="R12" s="30">
        <f>IFERROR(INDEX('[1]Link Out Monthly BY'!$K$6:$K$491,MATCH($J12,'[1]Link Out Monthly BY'!$C$6:$C$491,0),1),"")</f>
        <v>450</v>
      </c>
      <c r="S12" s="30">
        <f>IFERROR(INDEX('[1]Link Out Monthly BY'!$L$6:$L$491,MATCH($J12,'[1]Link Out Monthly BY'!$C$6:$C$491,0),1),"")</f>
        <v>0</v>
      </c>
      <c r="T12" s="30">
        <f>IFERROR(INDEX('[1]Link Out Monthly BY'!$M$6:$M$491,MATCH($J12,'[1]Link Out Monthly BY'!$C$6:$C$491,0),1),"")</f>
        <v>0</v>
      </c>
      <c r="U12" s="30">
        <f>IFERROR(INDEX('[1]Link Out Monthly BY'!$N$6:$N$491,MATCH($J12,'[1]Link Out Monthly BY'!$C$6:$C$491,0),1),"")</f>
        <v>0</v>
      </c>
      <c r="V12" s="30">
        <f>IFERROR(INDEX('[1]Link Out Monthly BY'!$O$6:$O$491,MATCH($J12,'[1]Link Out Monthly BY'!$C$6:$C$491,0),1),"")</f>
        <v>0</v>
      </c>
      <c r="W12" s="30">
        <f>IFERROR(INDEX('[1]Link Out Monthly BY'!$P$6:$P$491,MATCH($J12,'[1]Link Out Monthly BY'!$C$6:$C$491,0),1),"")</f>
        <v>100</v>
      </c>
      <c r="X12" s="30">
        <f>IFERROR(INDEX('[1]Link Out Monthly BY'!$Q$6:$Q$491,MATCH($J12,'[1]Link Out Monthly BY'!$C$6:$C$491,0),1),"")</f>
        <v>0</v>
      </c>
      <c r="Y12" s="30">
        <f t="shared" ref="Y12:Y17" si="0">SUM(M12:X12)</f>
        <v>1424</v>
      </c>
      <c r="Z12" s="70"/>
      <c r="AA12" s="9"/>
      <c r="AB12" s="117">
        <f>IFERROR(INDEX('[1]Link Out Monthly BY'!$T$6:$T$491,MATCH($J12,'[1]Link Out Monthly BY'!$C$6:$C$491,0),1),"")</f>
        <v>2.1885418922291885E-3</v>
      </c>
      <c r="AC12" s="66">
        <f t="shared" ref="AC12:AC17" si="1">ROUND(Y12/$Y$19,5)</f>
        <v>1.23E-3</v>
      </c>
    </row>
    <row r="13" spans="1:29">
      <c r="A13" s="23" t="str">
        <f>'[1]Rate Case Constants'!$C$21</f>
        <v>Attrition Year at Proposed Rates</v>
      </c>
      <c r="B13" s="24"/>
      <c r="H13" s="2" t="str">
        <f>IFERROR(INDEX('[1]Link Out Monthly BY'!$A$6:$A$491,MATCH($J13,'[1]Link Out Monthly BY'!$C$6:$C$491,0),1),"")</f>
        <v>P34</v>
      </c>
      <c r="I13" s="2" t="str">
        <f>IFERROR(INDEX('[1]Link Out Monthly BY'!$B$6:$B$491,MATCH($J13,'[1]Link Out Monthly BY'!$C$6:$C$491,0),1),"")</f>
        <v>Customer accounting, other</v>
      </c>
      <c r="J13" s="64">
        <v>52510015</v>
      </c>
      <c r="K13" s="2" t="str">
        <f>IFERROR(INDEX('[1]Link Out Monthly BY'!$D$6:$D$491,MATCH($J13,'[1]Link Out Monthly BY'!$C$6:$C$491,0),1),"")</f>
        <v>Bank Svc Charges-CA</v>
      </c>
      <c r="L13" s="2" t="str">
        <f>IFERROR(INDEX('[1]Link Out Monthly BY'!$E$6:$E$491,MATCH($J13,'[1]Link Out Monthly BY'!$C$6:$C$491,0),1),"")</f>
        <v>675.7</v>
      </c>
      <c r="M13" s="30">
        <f>IFERROR(INDEX('[1]Link Out Monthly BY'!$F$6:$F$491,MATCH($J13,'[1]Link Out Monthly BY'!$C$6:$C$491,0),1),"")</f>
        <v>9770</v>
      </c>
      <c r="N13" s="30">
        <f>IFERROR(INDEX('[1]Link Out Monthly BY'!$G$6:$G$491,MATCH($J13,'[1]Link Out Monthly BY'!$C$6:$C$491,0),1),"")</f>
        <v>12547</v>
      </c>
      <c r="O13" s="30">
        <f>IFERROR(INDEX('[1]Link Out Monthly BY'!$H$6:$H$491,MATCH($J13,'[1]Link Out Monthly BY'!$C$6:$C$491,0),1),"")</f>
        <v>10676</v>
      </c>
      <c r="P13" s="30">
        <f>IFERROR(INDEX('[1]Link Out Monthly BY'!$I$6:$I$491,MATCH($J13,'[1]Link Out Monthly BY'!$C$6:$C$491,0),1),"")</f>
        <v>11848</v>
      </c>
      <c r="Q13" s="30">
        <f>IFERROR(INDEX('[1]Link Out Monthly BY'!$J$6:$J$491,MATCH($J13,'[1]Link Out Monthly BY'!$C$6:$C$491,0),1),"")</f>
        <v>9755</v>
      </c>
      <c r="R13" s="30">
        <f>IFERROR(INDEX('[1]Link Out Monthly BY'!$K$6:$K$491,MATCH($J13,'[1]Link Out Monthly BY'!$C$6:$C$491,0),1),"")</f>
        <v>11479</v>
      </c>
      <c r="S13" s="30">
        <f>IFERROR(INDEX('[1]Link Out Monthly BY'!$L$6:$L$491,MATCH($J13,'[1]Link Out Monthly BY'!$C$6:$C$491,0),1),"")</f>
        <v>16162</v>
      </c>
      <c r="T13" s="30">
        <f>IFERROR(INDEX('[1]Link Out Monthly BY'!$M$6:$M$491,MATCH($J13,'[1]Link Out Monthly BY'!$C$6:$C$491,0),1),"")</f>
        <v>11963</v>
      </c>
      <c r="U13" s="30">
        <f>IFERROR(INDEX('[1]Link Out Monthly BY'!$N$6:$N$491,MATCH($J13,'[1]Link Out Monthly BY'!$C$6:$C$491,0),1),"")</f>
        <v>14142</v>
      </c>
      <c r="V13" s="30">
        <f>IFERROR(INDEX('[1]Link Out Monthly BY'!$O$6:$O$491,MATCH($J13,'[1]Link Out Monthly BY'!$C$6:$C$491,0),1),"")</f>
        <v>10444</v>
      </c>
      <c r="W13" s="30">
        <f>IFERROR(INDEX('[1]Link Out Monthly BY'!$P$6:$P$491,MATCH($J13,'[1]Link Out Monthly BY'!$C$6:$C$491,0),1),"")</f>
        <v>10184</v>
      </c>
      <c r="X13" s="30">
        <f>IFERROR(INDEX('[1]Link Out Monthly BY'!$Q$6:$Q$491,MATCH($J13,'[1]Link Out Monthly BY'!$C$6:$C$491,0),1),"")</f>
        <v>11677</v>
      </c>
      <c r="Y13" s="30">
        <f t="shared" si="0"/>
        <v>140647</v>
      </c>
      <c r="Z13" s="70"/>
      <c r="AA13" s="9"/>
      <c r="AB13" s="116">
        <f>IFERROR(INDEX('[1]Link Out Monthly BY'!$T$6:$T$491,MATCH($J13,'[1]Link Out Monthly BY'!$C$6:$C$491,0),1),"")</f>
        <v>0.10922047245396045</v>
      </c>
      <c r="AC13" s="66">
        <f t="shared" si="1"/>
        <v>0.12103999999999999</v>
      </c>
    </row>
    <row r="14" spans="1:29">
      <c r="H14" s="2" t="str">
        <f>IFERROR(INDEX('[1]Link Out Monthly BY'!$A$6:$A$491,MATCH($J14,'[1]Link Out Monthly BY'!$C$6:$C$491,0),1),"")</f>
        <v>P34</v>
      </c>
      <c r="I14" s="2" t="str">
        <f>IFERROR(INDEX('[1]Link Out Monthly BY'!$B$6:$B$491,MATCH($J14,'[1]Link Out Monthly BY'!$C$6:$C$491,0),1),"")</f>
        <v>Customer accounting, other</v>
      </c>
      <c r="J14" s="64">
        <v>52514906</v>
      </c>
      <c r="K14" s="2" t="str">
        <f>IFERROR(INDEX('[1]Link Out Monthly BY'!$D$6:$D$491,MATCH($J14,'[1]Link Out Monthly BY'!$C$6:$C$491,0),1),"")</f>
        <v>Cust Edu-Bill Insert</v>
      </c>
      <c r="L14" s="2" t="str">
        <f>IFERROR(INDEX('[1]Link Out Monthly BY'!$E$6:$E$491,MATCH($J14,'[1]Link Out Monthly BY'!$C$6:$C$491,0),1),"")</f>
        <v>675.8</v>
      </c>
      <c r="M14" s="30">
        <f>IFERROR(INDEX('[1]Link Out Monthly BY'!$F$6:$F$491,MATCH($J14,'[1]Link Out Monthly BY'!$C$6:$C$491,0),1),"")</f>
        <v>0</v>
      </c>
      <c r="N14" s="30">
        <f>IFERROR(INDEX('[1]Link Out Monthly BY'!$G$6:$G$491,MATCH($J14,'[1]Link Out Monthly BY'!$C$6:$C$491,0),1),"")</f>
        <v>0</v>
      </c>
      <c r="O14" s="30">
        <f>IFERROR(INDEX('[1]Link Out Monthly BY'!$H$6:$H$491,MATCH($J14,'[1]Link Out Monthly BY'!$C$6:$C$491,0),1),"")</f>
        <v>0</v>
      </c>
      <c r="P14" s="30">
        <f>IFERROR(INDEX('[1]Link Out Monthly BY'!$I$6:$I$491,MATCH($J14,'[1]Link Out Monthly BY'!$C$6:$C$491,0),1),"")</f>
        <v>0</v>
      </c>
      <c r="Q14" s="30">
        <f>IFERROR(INDEX('[1]Link Out Monthly BY'!$J$6:$J$491,MATCH($J14,'[1]Link Out Monthly BY'!$C$6:$C$491,0),1),"")</f>
        <v>0</v>
      </c>
      <c r="R14" s="30">
        <f>IFERROR(INDEX('[1]Link Out Monthly BY'!$K$6:$K$491,MATCH($J14,'[1]Link Out Monthly BY'!$C$6:$C$491,0),1),"")</f>
        <v>0</v>
      </c>
      <c r="S14" s="30">
        <f>IFERROR(INDEX('[1]Link Out Monthly BY'!$L$6:$L$491,MATCH($J14,'[1]Link Out Monthly BY'!$C$6:$C$491,0),1),"")</f>
        <v>1666</v>
      </c>
      <c r="T14" s="30">
        <f>IFERROR(INDEX('[1]Link Out Monthly BY'!$M$6:$M$491,MATCH($J14,'[1]Link Out Monthly BY'!$C$6:$C$491,0),1),"")</f>
        <v>1666</v>
      </c>
      <c r="U14" s="30">
        <f>IFERROR(INDEX('[1]Link Out Monthly BY'!$N$6:$N$491,MATCH($J14,'[1]Link Out Monthly BY'!$C$6:$C$491,0),1),"")</f>
        <v>1666</v>
      </c>
      <c r="V14" s="30">
        <f>IFERROR(INDEX('[1]Link Out Monthly BY'!$O$6:$O$491,MATCH($J14,'[1]Link Out Monthly BY'!$C$6:$C$491,0),1),"")</f>
        <v>1674</v>
      </c>
      <c r="W14" s="30">
        <f>IFERROR(INDEX('[1]Link Out Monthly BY'!$P$6:$P$491,MATCH($J14,'[1]Link Out Monthly BY'!$C$6:$C$491,0),1),"")</f>
        <v>1666</v>
      </c>
      <c r="X14" s="30">
        <f>IFERROR(INDEX('[1]Link Out Monthly BY'!$Q$6:$Q$491,MATCH($J14,'[1]Link Out Monthly BY'!$C$6:$C$491,0),1),"")</f>
        <v>1666</v>
      </c>
      <c r="Y14" s="30">
        <f t="shared" si="0"/>
        <v>10004</v>
      </c>
      <c r="Z14" s="70"/>
      <c r="AA14" s="9"/>
      <c r="AB14" s="116">
        <f>IFERROR(INDEX('[1]Link Out Monthly BY'!$T$6:$T$491,MATCH($J14,'[1]Link Out Monthly BY'!$C$6:$C$491,0),1),"")</f>
        <v>0</v>
      </c>
      <c r="AC14" s="66">
        <f t="shared" si="1"/>
        <v>8.6099999999999996E-3</v>
      </c>
    </row>
    <row r="15" spans="1:29">
      <c r="A15" s="25" t="str">
        <f>'[1]Rate Case Constants'!$C$24</f>
        <v>Type of Filing: __X__ Original  _____ Updated  _____ Revised</v>
      </c>
      <c r="B15" s="26"/>
      <c r="H15" s="2" t="str">
        <f>IFERROR(INDEX('[1]Link Out Monthly BY'!$A$6:$A$491,MATCH($J15,'[1]Link Out Monthly BY'!$C$6:$C$491,0),1),"")</f>
        <v>P34</v>
      </c>
      <c r="I15" s="2" t="str">
        <f>IFERROR(INDEX('[1]Link Out Monthly BY'!$B$6:$B$491,MATCH($J15,'[1]Link Out Monthly BY'!$C$6:$C$491,0),1),"")</f>
        <v>Customer accounting, other</v>
      </c>
      <c r="J15" s="64">
        <v>52520000</v>
      </c>
      <c r="K15" s="2" t="str">
        <f>IFERROR(INDEX('[1]Link Out Monthly BY'!$D$6:$D$491,MATCH($J15,'[1]Link Out Monthly BY'!$C$6:$C$491,0),1),"")</f>
        <v>Collection Agencies</v>
      </c>
      <c r="L15" s="2" t="str">
        <f>IFERROR(INDEX('[1]Link Out Monthly BY'!$E$6:$E$491,MATCH($J15,'[1]Link Out Monthly BY'!$C$6:$C$491,0),1),"")</f>
        <v>675.7</v>
      </c>
      <c r="M15" s="30">
        <f>IFERROR(INDEX('[1]Link Out Monthly BY'!$F$6:$F$491,MATCH($J15,'[1]Link Out Monthly BY'!$C$6:$C$491,0),1),"")</f>
        <v>23368</v>
      </c>
      <c r="N15" s="30">
        <f>IFERROR(INDEX('[1]Link Out Monthly BY'!$G$6:$G$491,MATCH($J15,'[1]Link Out Monthly BY'!$C$6:$C$491,0),1),"")</f>
        <v>26741</v>
      </c>
      <c r="O15" s="30">
        <f>IFERROR(INDEX('[1]Link Out Monthly BY'!$H$6:$H$491,MATCH($J15,'[1]Link Out Monthly BY'!$C$6:$C$491,0),1),"")</f>
        <v>38009</v>
      </c>
      <c r="P15" s="30">
        <f>IFERROR(INDEX('[1]Link Out Monthly BY'!$I$6:$I$491,MATCH($J15,'[1]Link Out Monthly BY'!$C$6:$C$491,0),1),"")</f>
        <v>33126</v>
      </c>
      <c r="Q15" s="30">
        <f>IFERROR(INDEX('[1]Link Out Monthly BY'!$J$6:$J$491,MATCH($J15,'[1]Link Out Monthly BY'!$C$6:$C$491,0),1),"")</f>
        <v>33733</v>
      </c>
      <c r="R15" s="30">
        <f>IFERROR(INDEX('[1]Link Out Monthly BY'!$K$6:$K$491,MATCH($J15,'[1]Link Out Monthly BY'!$C$6:$C$491,0),1),"")</f>
        <v>42678</v>
      </c>
      <c r="S15" s="30">
        <f>IFERROR(INDEX('[1]Link Out Monthly BY'!$L$6:$L$491,MATCH($J15,'[1]Link Out Monthly BY'!$C$6:$C$491,0),1),"")</f>
        <v>16988</v>
      </c>
      <c r="T15" s="30">
        <f>IFERROR(INDEX('[1]Link Out Monthly BY'!$M$6:$M$491,MATCH($J15,'[1]Link Out Monthly BY'!$C$6:$C$491,0),1),"")</f>
        <v>16988</v>
      </c>
      <c r="U15" s="30">
        <f>IFERROR(INDEX('[1]Link Out Monthly BY'!$N$6:$N$491,MATCH($J15,'[1]Link Out Monthly BY'!$C$6:$C$491,0),1),"")</f>
        <v>16988</v>
      </c>
      <c r="V15" s="30">
        <f>IFERROR(INDEX('[1]Link Out Monthly BY'!$O$6:$O$491,MATCH($J15,'[1]Link Out Monthly BY'!$C$6:$C$491,0),1),"")</f>
        <v>16988</v>
      </c>
      <c r="W15" s="30">
        <f>IFERROR(INDEX('[1]Link Out Monthly BY'!$P$6:$P$491,MATCH($J15,'[1]Link Out Monthly BY'!$C$6:$C$491,0),1),"")</f>
        <v>18958</v>
      </c>
      <c r="X15" s="30">
        <f>IFERROR(INDEX('[1]Link Out Monthly BY'!$Q$6:$Q$491,MATCH($J15,'[1]Link Out Monthly BY'!$C$6:$C$491,0),1),"")</f>
        <v>18958</v>
      </c>
      <c r="Y15" s="30">
        <f t="shared" si="0"/>
        <v>303523</v>
      </c>
      <c r="Z15" s="70"/>
      <c r="AA15" s="9"/>
      <c r="AB15" s="116">
        <f>IFERROR(INDEX('[1]Link Out Monthly BY'!$T$6:$T$491,MATCH($J15,'[1]Link Out Monthly BY'!$C$6:$C$491,0),1),"")</f>
        <v>0.326719220323686</v>
      </c>
      <c r="AC15" s="66">
        <f t="shared" si="1"/>
        <v>0.26122000000000001</v>
      </c>
    </row>
    <row r="16" spans="1:29">
      <c r="A16" s="25" t="str">
        <f>'[1]Rate Case Constants'!$C$25</f>
        <v>Type of Filing: _____ Original  __X__ Updated  _____ Revised</v>
      </c>
      <c r="B16" s="26"/>
      <c r="H16" s="2" t="str">
        <f>IFERROR(INDEX('[1]Link Out Monthly BY'!$A$6:$A$491,MATCH($J16,'[1]Link Out Monthly BY'!$C$6:$C$491,0),1),"")</f>
        <v>P34</v>
      </c>
      <c r="I16" s="2" t="str">
        <f>IFERROR(INDEX('[1]Link Out Monthly BY'!$B$6:$B$491,MATCH($J16,'[1]Link Out Monthly BY'!$C$6:$C$491,0),1),"")</f>
        <v>Customer accounting, other</v>
      </c>
      <c r="J16" s="64">
        <v>52542015</v>
      </c>
      <c r="K16" s="2" t="str">
        <f>IFERROR(INDEX('[1]Link Out Monthly BY'!$D$6:$D$491,MATCH($J16,'[1]Link Out Monthly BY'!$C$6:$C$491,0),1),"")</f>
        <v>Forms CA</v>
      </c>
      <c r="L16" s="2" t="str">
        <f>IFERROR(INDEX('[1]Link Out Monthly BY'!$E$6:$E$491,MATCH($J16,'[1]Link Out Monthly BY'!$C$6:$C$491,0),1),"")</f>
        <v>675.7</v>
      </c>
      <c r="M16" s="30">
        <f>IFERROR(INDEX('[1]Link Out Monthly BY'!$F$6:$F$491,MATCH($J16,'[1]Link Out Monthly BY'!$C$6:$C$491,0),1),"")</f>
        <v>10166</v>
      </c>
      <c r="N16" s="30">
        <f>IFERROR(INDEX('[1]Link Out Monthly BY'!$G$6:$G$491,MATCH($J16,'[1]Link Out Monthly BY'!$C$6:$C$491,0),1),"")</f>
        <v>11850</v>
      </c>
      <c r="O16" s="30">
        <f>IFERROR(INDEX('[1]Link Out Monthly BY'!$H$6:$H$491,MATCH($J16,'[1]Link Out Monthly BY'!$C$6:$C$491,0),1),"")</f>
        <v>11058</v>
      </c>
      <c r="P16" s="30">
        <f>IFERROR(INDEX('[1]Link Out Monthly BY'!$I$6:$I$491,MATCH($J16,'[1]Link Out Monthly BY'!$C$6:$C$491,0),1),"")</f>
        <v>10041</v>
      </c>
      <c r="Q16" s="30">
        <f>IFERROR(INDEX('[1]Link Out Monthly BY'!$J$6:$J$491,MATCH($J16,'[1]Link Out Monthly BY'!$C$6:$C$491,0),1),"")</f>
        <v>9342</v>
      </c>
      <c r="R16" s="30">
        <f>IFERROR(INDEX('[1]Link Out Monthly BY'!$K$6:$K$491,MATCH($J16,'[1]Link Out Monthly BY'!$C$6:$C$491,0),1),"")</f>
        <v>7850</v>
      </c>
      <c r="S16" s="30">
        <f>IFERROR(INDEX('[1]Link Out Monthly BY'!$L$6:$L$491,MATCH($J16,'[1]Link Out Monthly BY'!$C$6:$C$491,0),1),"")</f>
        <v>12083</v>
      </c>
      <c r="T16" s="30">
        <f>IFERROR(INDEX('[1]Link Out Monthly BY'!$M$6:$M$491,MATCH($J16,'[1]Link Out Monthly BY'!$C$6:$C$491,0),1),"")</f>
        <v>12083</v>
      </c>
      <c r="U16" s="30">
        <f>IFERROR(INDEX('[1]Link Out Monthly BY'!$N$6:$N$491,MATCH($J16,'[1]Link Out Monthly BY'!$C$6:$C$491,0),1),"")</f>
        <v>12083</v>
      </c>
      <c r="V16" s="30">
        <f>IFERROR(INDEX('[1]Link Out Monthly BY'!$O$6:$O$491,MATCH($J16,'[1]Link Out Monthly BY'!$C$6:$C$491,0),1),"")</f>
        <v>12083</v>
      </c>
      <c r="W16" s="30">
        <f>IFERROR(INDEX('[1]Link Out Monthly BY'!$P$6:$P$491,MATCH($J16,'[1]Link Out Monthly BY'!$C$6:$C$491,0),1),"")</f>
        <v>13627</v>
      </c>
      <c r="X16" s="30">
        <f>IFERROR(INDEX('[1]Link Out Monthly BY'!$Q$6:$Q$491,MATCH($J16,'[1]Link Out Monthly BY'!$C$6:$C$491,0),1),"")</f>
        <v>13627</v>
      </c>
      <c r="Y16" s="30">
        <f t="shared" si="0"/>
        <v>135893</v>
      </c>
      <c r="Z16" s="70"/>
      <c r="AA16" s="9"/>
      <c r="AB16" s="116">
        <f>IFERROR(INDEX('[1]Link Out Monthly BY'!$T$6:$T$491,MATCH($J16,'[1]Link Out Monthly BY'!$C$6:$C$491,0),1),"")</f>
        <v>9.9686099618327556E-2</v>
      </c>
      <c r="AC16" s="66">
        <f t="shared" si="1"/>
        <v>0.11695</v>
      </c>
    </row>
    <row r="17" spans="1:29">
      <c r="A17" s="25" t="str">
        <f>'[1]Rate Case Constants'!$C$26</f>
        <v>Type of Filing: _____ Original  _____ Updated  __X__ Revised</v>
      </c>
      <c r="B17" s="26"/>
      <c r="H17" s="2" t="str">
        <f>IFERROR(INDEX('[1]Link Out Monthly BY'!$A$6:$A$491,MATCH($J17,'[1]Link Out Monthly BY'!$C$6:$C$491,0),1),"")</f>
        <v>P34</v>
      </c>
      <c r="I17" s="2" t="str">
        <f>IFERROR(INDEX('[1]Link Out Monthly BY'!$B$6:$B$491,MATCH($J17,'[1]Link Out Monthly BY'!$C$6:$C$491,0),1),"")</f>
        <v>Customer accounting, other</v>
      </c>
      <c r="J17" s="64">
        <v>52566015</v>
      </c>
      <c r="K17" s="2" t="str">
        <f>IFERROR(INDEX('[1]Link Out Monthly BY'!$D$6:$D$491,MATCH($J17,'[1]Link Out Monthly BY'!$C$6:$C$491,0),1),"")</f>
        <v>Postage CA</v>
      </c>
      <c r="L17" s="2" t="str">
        <f>IFERROR(INDEX('[1]Link Out Monthly BY'!$E$6:$E$491,MATCH($J17,'[1]Link Out Monthly BY'!$C$6:$C$491,0),1),"")</f>
        <v>675.7</v>
      </c>
      <c r="M17" s="30">
        <f>IFERROR(INDEX('[1]Link Out Monthly BY'!$F$6:$F$491,MATCH($J17,'[1]Link Out Monthly BY'!$C$6:$C$491,0),1),"")</f>
        <v>45892</v>
      </c>
      <c r="N17" s="30">
        <f>IFERROR(INDEX('[1]Link Out Monthly BY'!$G$6:$G$491,MATCH($J17,'[1]Link Out Monthly BY'!$C$6:$C$491,0),1),"")</f>
        <v>47781</v>
      </c>
      <c r="O17" s="30">
        <f>IFERROR(INDEX('[1]Link Out Monthly BY'!$H$6:$H$491,MATCH($J17,'[1]Link Out Monthly BY'!$C$6:$C$491,0),1),"")</f>
        <v>46974</v>
      </c>
      <c r="P17" s="30">
        <f>IFERROR(INDEX('[1]Link Out Monthly BY'!$I$6:$I$491,MATCH($J17,'[1]Link Out Monthly BY'!$C$6:$C$491,0),1),"")</f>
        <v>42064</v>
      </c>
      <c r="Q17" s="30">
        <f>IFERROR(INDEX('[1]Link Out Monthly BY'!$J$6:$J$491,MATCH($J17,'[1]Link Out Monthly BY'!$C$6:$C$491,0),1),"")</f>
        <v>50695</v>
      </c>
      <c r="R17" s="30">
        <f>IFERROR(INDEX('[1]Link Out Monthly BY'!$K$6:$K$491,MATCH($J17,'[1]Link Out Monthly BY'!$C$6:$C$491,0),1),"")</f>
        <v>46202</v>
      </c>
      <c r="S17" s="30">
        <f>IFERROR(INDEX('[1]Link Out Monthly BY'!$L$6:$L$491,MATCH($J17,'[1]Link Out Monthly BY'!$C$6:$C$491,0),1),"")</f>
        <v>48854</v>
      </c>
      <c r="T17" s="30">
        <f>IFERROR(INDEX('[1]Link Out Monthly BY'!$M$6:$M$491,MATCH($J17,'[1]Link Out Monthly BY'!$C$6:$C$491,0),1),"")</f>
        <v>48854</v>
      </c>
      <c r="U17" s="30">
        <f>IFERROR(INDEX('[1]Link Out Monthly BY'!$N$6:$N$491,MATCH($J17,'[1]Link Out Monthly BY'!$C$6:$C$491,0),1),"")</f>
        <v>48854</v>
      </c>
      <c r="V17" s="30">
        <f>IFERROR(INDEX('[1]Link Out Monthly BY'!$O$6:$O$491,MATCH($J17,'[1]Link Out Monthly BY'!$C$6:$C$491,0),1),"")</f>
        <v>48854</v>
      </c>
      <c r="W17" s="30">
        <f>IFERROR(INDEX('[1]Link Out Monthly BY'!$P$6:$P$491,MATCH($J17,'[1]Link Out Monthly BY'!$C$6:$C$491,0),1),"")</f>
        <v>47716</v>
      </c>
      <c r="X17" s="30">
        <f>IFERROR(INDEX('[1]Link Out Monthly BY'!$Q$6:$Q$491,MATCH($J17,'[1]Link Out Monthly BY'!$C$6:$C$491,0),1),"")</f>
        <v>47716</v>
      </c>
      <c r="Y17" s="30">
        <f t="shared" si="0"/>
        <v>570456</v>
      </c>
      <c r="Z17" s="70"/>
      <c r="AA17" s="9"/>
      <c r="AB17" s="116">
        <f>IFERROR(INDEX('[1]Link Out Monthly BY'!$T$6:$T$491,MATCH($J17,'[1]Link Out Monthly BY'!$C$6:$C$491,0),1),"")</f>
        <v>0.46218566571179681</v>
      </c>
      <c r="AC17" s="66">
        <f t="shared" si="1"/>
        <v>0.49095</v>
      </c>
    </row>
    <row r="18" spans="1:29">
      <c r="Z18" s="70"/>
      <c r="AA18" s="9"/>
    </row>
    <row r="19" spans="1:29">
      <c r="A19" s="25" t="str">
        <f>'[1]Rate Case Constants'!$A$30</f>
        <v>Witness Responsible:</v>
      </c>
      <c r="B19" s="26"/>
      <c r="M19" s="43">
        <f>SUM(M12:M18)</f>
        <v>90097</v>
      </c>
      <c r="N19" s="43">
        <f t="shared" ref="N19:Y19" si="2">SUM(N12:N18)</f>
        <v>98865</v>
      </c>
      <c r="O19" s="43">
        <f t="shared" si="2"/>
        <v>106744</v>
      </c>
      <c r="P19" s="43">
        <f t="shared" si="2"/>
        <v>97079</v>
      </c>
      <c r="Q19" s="43">
        <f t="shared" si="2"/>
        <v>103525</v>
      </c>
      <c r="R19" s="43">
        <f t="shared" si="2"/>
        <v>108659</v>
      </c>
      <c r="S19" s="43">
        <f t="shared" si="2"/>
        <v>95753</v>
      </c>
      <c r="T19" s="43">
        <f t="shared" si="2"/>
        <v>91554</v>
      </c>
      <c r="U19" s="43">
        <f t="shared" si="2"/>
        <v>93733</v>
      </c>
      <c r="V19" s="43">
        <f t="shared" si="2"/>
        <v>90043</v>
      </c>
      <c r="W19" s="43">
        <f t="shared" si="2"/>
        <v>92251</v>
      </c>
      <c r="X19" s="43">
        <f t="shared" si="2"/>
        <v>93644</v>
      </c>
      <c r="Y19" s="43">
        <f t="shared" si="2"/>
        <v>1161947</v>
      </c>
      <c r="Z19" s="70"/>
      <c r="AA19" s="70"/>
      <c r="AB19" s="118">
        <f>SUM(AB12:AB17)</f>
        <v>1</v>
      </c>
      <c r="AC19" s="127">
        <f>SUM(AC12:AC17)</f>
        <v>1</v>
      </c>
    </row>
    <row r="20" spans="1:29">
      <c r="A20" s="27" t="str">
        <f>+'[1]Rate Case Constants'!$C$37</f>
        <v>Witness Responsible:   James Pellock</v>
      </c>
      <c r="Z20" s="9"/>
      <c r="AA20" s="9"/>
    </row>
    <row r="21" spans="1:29">
      <c r="M21" s="9"/>
      <c r="N21" s="9"/>
      <c r="O21" s="9"/>
      <c r="P21" s="9"/>
      <c r="Q21" s="9"/>
      <c r="R21" s="9"/>
      <c r="S21" s="9"/>
      <c r="T21" s="9"/>
      <c r="U21" s="9"/>
      <c r="V21" s="120"/>
      <c r="W21" s="9"/>
      <c r="X21" s="120"/>
    </row>
    <row r="22" spans="1:29">
      <c r="A22" s="28" t="str">
        <f>+'[1]Link Out WP'!$D$53</f>
        <v>Customer Accounting-Postage</v>
      </c>
      <c r="B22" s="2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9">
      <c r="A23" s="6" t="str">
        <f>CONCATENATE(A8, " ", A22)</f>
        <v>Base Year Adjustment Customer Accounting-Postage</v>
      </c>
      <c r="B23" s="29"/>
    </row>
    <row r="24" spans="1:29">
      <c r="A24" s="6"/>
      <c r="B24" s="29"/>
    </row>
    <row r="25" spans="1:29">
      <c r="A25" s="28" t="str">
        <f>+'[1]Link Out WP'!$F$53</f>
        <v>W/P - 3-9</v>
      </c>
      <c r="B25" s="29"/>
    </row>
    <row r="26" spans="1:29">
      <c r="A26" s="6" t="str">
        <f>'[1]Link Out Filing Exhibits'!$M$80</f>
        <v>Schedule D-2.3</v>
      </c>
      <c r="B26" s="29"/>
    </row>
    <row r="27" spans="1:29">
      <c r="A27" s="6"/>
      <c r="B27" s="29"/>
      <c r="H27" s="6" t="s">
        <v>24</v>
      </c>
      <c r="Q27" s="30"/>
    </row>
    <row r="28" spans="1:29">
      <c r="A28" s="59"/>
      <c r="B28" s="29"/>
      <c r="H28" s="31" t="s">
        <v>25</v>
      </c>
      <c r="I28" s="31" t="s">
        <v>13</v>
      </c>
      <c r="J28" s="31" t="s">
        <v>14</v>
      </c>
      <c r="K28" s="31" t="s">
        <v>6</v>
      </c>
      <c r="L28" s="10" t="s">
        <v>15</v>
      </c>
      <c r="M28" s="32">
        <v>43647</v>
      </c>
      <c r="N28" s="32">
        <v>43678</v>
      </c>
      <c r="O28" s="32">
        <v>43709</v>
      </c>
      <c r="P28" s="32">
        <v>43739</v>
      </c>
      <c r="Q28" s="32">
        <v>43770</v>
      </c>
      <c r="R28" s="32">
        <v>43800</v>
      </c>
      <c r="S28" s="32">
        <v>43831</v>
      </c>
      <c r="T28" s="32">
        <v>43862</v>
      </c>
      <c r="U28" s="32">
        <v>43891</v>
      </c>
      <c r="V28" s="32">
        <v>43922</v>
      </c>
      <c r="W28" s="32">
        <v>43952</v>
      </c>
      <c r="X28" s="32">
        <v>43983</v>
      </c>
      <c r="Y28" s="31" t="s">
        <v>26</v>
      </c>
    </row>
    <row r="29" spans="1:29">
      <c r="A29" s="54"/>
      <c r="B29" s="56"/>
      <c r="C29" s="56"/>
      <c r="D29" s="57"/>
      <c r="E29" s="57"/>
      <c r="F29" s="57"/>
      <c r="G29" s="3"/>
    </row>
    <row r="30" spans="1:29">
      <c r="A30" s="44"/>
      <c r="B30" s="55"/>
      <c r="C30" s="55"/>
      <c r="D30" s="55"/>
      <c r="E30" s="55"/>
      <c r="F30" s="55"/>
      <c r="H30" s="2" t="str">
        <f>IFERROR(INDEX('[1]Link Out Forecast'!$A$6:$A$250,MATCH($J30,'[1]Link Out Forecast'!$C$6:$C$250,0),1),"")</f>
        <v>P34</v>
      </c>
      <c r="I30" s="2" t="str">
        <f>IFERROR(INDEX('[1]Link Out Forecast'!$B$6:$B$250,MATCH($J30,'[1]Link Out Forecast'!$C$6:$C$250,0),1),"")</f>
        <v>Customer accounting, other</v>
      </c>
      <c r="J30" s="63">
        <v>52501500</v>
      </c>
      <c r="K30" s="2" t="str">
        <f>IFERROR(INDEX('[1]Link Out Forecast'!$D$6:$D$250,MATCH($J30,'[1]Link Out Forecast'!$C$6:$C$250,0),1),"")</f>
        <v>Misc Oper CA</v>
      </c>
      <c r="L30" s="2" t="str">
        <f>IFERROR(INDEX('[1]Link Out Forecast'!$E$6:$E$250,MATCH($J30,'[1]Link Out Forecast'!$C$6:$C$250,0),1),"")</f>
        <v>675.7</v>
      </c>
      <c r="M30" s="30">
        <f>IFERROR(INDEX('[1]Link Out Forecast'!$F$6:$F$250,MATCH($J30,'[1]Link Out Forecast'!$C$6:$C$250,0),1),"")</f>
        <v>0</v>
      </c>
      <c r="N30" s="30">
        <f>IFERROR(INDEX('[1]Link Out Forecast'!$G$6:$G$250,MATCH($J30,'[1]Link Out Forecast'!$C$6:$C$250,0),1),"")</f>
        <v>0</v>
      </c>
      <c r="O30" s="30">
        <f>IFERROR(INDEX('[1]Link Out Forecast'!$H$6:$H$250,MATCH($J30,'[1]Link Out Forecast'!$C$6:$C$250,0),1),"")</f>
        <v>0</v>
      </c>
      <c r="P30" s="30">
        <f>IFERROR(INDEX('[1]Link Out Forecast'!$I$6:$I$250,MATCH($J30,'[1]Link Out Forecast'!$C$6:$C$250,0),1),"")</f>
        <v>0</v>
      </c>
      <c r="Q30" s="30">
        <f>IFERROR(INDEX('[1]Link Out Forecast'!$J$6:$J$250,MATCH($J30,'[1]Link Out Forecast'!$C$6:$C$250,0),1),"")</f>
        <v>0</v>
      </c>
      <c r="R30" s="30">
        <f>IFERROR(INDEX('[1]Link Out Forecast'!$K$6:$K$250,MATCH($J30,'[1]Link Out Forecast'!$C$6:$C$250,0),1),"")</f>
        <v>0</v>
      </c>
      <c r="S30" s="30">
        <f>IFERROR(INDEX('[1]Link Out Forecast'!$L$6:$L$250,MATCH($J30,'[1]Link Out Forecast'!$C$6:$C$250,0),1),"")</f>
        <v>101476</v>
      </c>
      <c r="T30" s="30">
        <f>IFERROR(INDEX('[1]Link Out Forecast'!$M$6:$M$250,MATCH($J30,'[1]Link Out Forecast'!$C$6:$C$250,0),1),"")</f>
        <v>103009</v>
      </c>
      <c r="U30" s="30">
        <f>IFERROR(INDEX('[1]Link Out Forecast'!$N$6:$N$250,MATCH($J30,'[1]Link Out Forecast'!$C$6:$C$250,0),1),"")</f>
        <v>100911</v>
      </c>
      <c r="V30" s="30">
        <f>IFERROR(INDEX('[1]Link Out Forecast'!$O$6:$O$250,MATCH($J30,'[1]Link Out Forecast'!$C$6:$C$250,0),1),"")</f>
        <v>103965</v>
      </c>
      <c r="W30" s="30">
        <f>IFERROR(INDEX('[1]Link Out Forecast'!$P$6:$P$250,MATCH($J30,'[1]Link Out Forecast'!$C$6:$C$250,0),1),"")</f>
        <v>114001</v>
      </c>
      <c r="X30" s="30">
        <f>IFERROR(INDEX('[1]Link Out Forecast'!$Q$6:$Q$250,MATCH($J30,'[1]Link Out Forecast'!$C$6:$C$250,0),1),"")</f>
        <v>107480</v>
      </c>
      <c r="Y30" s="30">
        <f>IFERROR(INDEX('[1]Link Out Forecast'!$R$6:$R$250,MATCH($J30,'[1]Link Out Forecast'!$C$6:$C$250,0),1),"")</f>
        <v>630842</v>
      </c>
    </row>
    <row r="31" spans="1:29">
      <c r="A31" s="44"/>
      <c r="B31" s="55"/>
      <c r="C31" s="55"/>
      <c r="D31" s="55"/>
      <c r="E31" s="55"/>
      <c r="F31" s="58"/>
      <c r="H31" s="2" t="str">
        <f>IFERROR(INDEX('[1]Link Out Forecast'!$A$6:$A$250,MATCH($J31,'[1]Link Out Forecast'!$C$6:$C$250,0),1),"")</f>
        <v>P34</v>
      </c>
      <c r="I31" s="2" t="str">
        <f>IFERROR(INDEX('[1]Link Out Forecast'!$B$6:$B$250,MATCH($J31,'[1]Link Out Forecast'!$C$6:$C$250,0),1),"")</f>
        <v>Customer accounting, other</v>
      </c>
      <c r="J31" s="64">
        <v>52510015</v>
      </c>
      <c r="K31" s="2" t="str">
        <f>IFERROR(INDEX('[1]Link Out Forecast'!$D$6:$D$250,MATCH($J31,'[1]Link Out Forecast'!$C$6:$C$250,0),1),"")</f>
        <v>Bank Svc Charges-CA</v>
      </c>
      <c r="L31" s="2" t="str">
        <f>IFERROR(INDEX('[1]Link Out Forecast'!$E$6:$E$250,MATCH($J31,'[1]Link Out Forecast'!$C$6:$C$250,0),1),"")</f>
        <v>675.7</v>
      </c>
      <c r="M31" s="30">
        <f>IFERROR(INDEX('[1]Link Out Forecast'!$F$6:$F$250,MATCH($J31,'[1]Link Out Forecast'!$C$6:$C$250,0),1),"")</f>
        <v>10532</v>
      </c>
      <c r="N31" s="30">
        <f>IFERROR(INDEX('[1]Link Out Forecast'!$G$6:$G$250,MATCH($J31,'[1]Link Out Forecast'!$C$6:$C$250,0),1),"")</f>
        <v>10735</v>
      </c>
      <c r="O31" s="30">
        <f>IFERROR(INDEX('[1]Link Out Forecast'!$H$6:$H$250,MATCH($J31,'[1]Link Out Forecast'!$C$6:$C$250,0),1),"")</f>
        <v>11343</v>
      </c>
      <c r="P31" s="30">
        <f>IFERROR(INDEX('[1]Link Out Forecast'!$I$6:$I$250,MATCH($J31,'[1]Link Out Forecast'!$C$6:$C$250,0),1),"")</f>
        <v>11484</v>
      </c>
      <c r="Q31" s="30">
        <f>IFERROR(INDEX('[1]Link Out Forecast'!$J$6:$J$250,MATCH($J31,'[1]Link Out Forecast'!$C$6:$C$250,0),1),"")</f>
        <v>11858</v>
      </c>
      <c r="R31" s="30">
        <f>IFERROR(INDEX('[1]Link Out Forecast'!$K$6:$K$250,MATCH($J31,'[1]Link Out Forecast'!$C$6:$C$250,0),1),"")</f>
        <v>10601</v>
      </c>
      <c r="S31" s="30">
        <f>IFERROR(INDEX('[1]Link Out Forecast'!$L$6:$L$250,MATCH($J31,'[1]Link Out Forecast'!$C$6:$C$250,0),1),"")</f>
        <v>0</v>
      </c>
      <c r="T31" s="30">
        <f>IFERROR(INDEX('[1]Link Out Forecast'!$M$6:$M$250,MATCH($J31,'[1]Link Out Forecast'!$C$6:$C$250,0),1),"")</f>
        <v>0</v>
      </c>
      <c r="U31" s="30">
        <f>IFERROR(INDEX('[1]Link Out Forecast'!$N$6:$N$250,MATCH($J31,'[1]Link Out Forecast'!$C$6:$C$250,0),1),"")</f>
        <v>0</v>
      </c>
      <c r="V31" s="30">
        <f>IFERROR(INDEX('[1]Link Out Forecast'!$O$6:$O$250,MATCH($J31,'[1]Link Out Forecast'!$C$6:$C$250,0),1),"")</f>
        <v>0</v>
      </c>
      <c r="W31" s="30">
        <f>IFERROR(INDEX('[1]Link Out Forecast'!$P$6:$P$250,MATCH($J31,'[1]Link Out Forecast'!$C$6:$C$250,0),1),"")</f>
        <v>0</v>
      </c>
      <c r="X31" s="30">
        <f>IFERROR(INDEX('[1]Link Out Forecast'!$Q$6:$Q$250,MATCH($J31,'[1]Link Out Forecast'!$C$6:$C$250,0),1),"")</f>
        <v>0</v>
      </c>
      <c r="Y31" s="30">
        <f>IFERROR(INDEX('[1]Link Out Forecast'!$R$6:$R$250,MATCH($J31,'[1]Link Out Forecast'!$C$6:$C$250,0),1),"")</f>
        <v>66553</v>
      </c>
    </row>
    <row r="32" spans="1:29">
      <c r="A32" s="44"/>
      <c r="B32" s="55"/>
      <c r="C32" s="55"/>
      <c r="D32" s="55"/>
      <c r="E32" s="55"/>
      <c r="F32" s="58"/>
      <c r="H32" s="2" t="str">
        <f>IFERROR(INDEX('[1]Link Out Forecast'!$A$6:$A$250,MATCH($J32,'[1]Link Out Forecast'!$C$6:$C$250,0),1),"")</f>
        <v>P34</v>
      </c>
      <c r="I32" s="2" t="str">
        <f>IFERROR(INDEX('[1]Link Out Forecast'!$B$6:$B$250,MATCH($J32,'[1]Link Out Forecast'!$C$6:$C$250,0),1),"")</f>
        <v>Customer accounting, other</v>
      </c>
      <c r="J32" s="64">
        <v>52514906</v>
      </c>
      <c r="K32" s="2" t="str">
        <f>IFERROR(INDEX('[1]Link Out Forecast'!$D$6:$D$250,MATCH($J32,'[1]Link Out Forecast'!$C$6:$C$250,0),1),"")</f>
        <v>Cust Edu-Bill Insert</v>
      </c>
      <c r="L32" s="2" t="str">
        <f>IFERROR(INDEX('[1]Link Out Forecast'!$E$6:$E$250,MATCH($J32,'[1]Link Out Forecast'!$C$6:$C$250,0),1),"")</f>
        <v>675.8</v>
      </c>
      <c r="M32" s="30">
        <f>IFERROR(INDEX('[1]Link Out Forecast'!$F$6:$F$250,MATCH($J32,'[1]Link Out Forecast'!$C$6:$C$250,0),1),"")</f>
        <v>1666</v>
      </c>
      <c r="N32" s="30">
        <f>IFERROR(INDEX('[1]Link Out Forecast'!$G$6:$G$250,MATCH($J32,'[1]Link Out Forecast'!$C$6:$C$250,0),1),"")</f>
        <v>1666</v>
      </c>
      <c r="O32" s="30">
        <f>IFERROR(INDEX('[1]Link Out Forecast'!$H$6:$H$250,MATCH($J32,'[1]Link Out Forecast'!$C$6:$C$250,0),1),"")</f>
        <v>1666</v>
      </c>
      <c r="P32" s="30">
        <f>IFERROR(INDEX('[1]Link Out Forecast'!$I$6:$I$250,MATCH($J32,'[1]Link Out Forecast'!$C$6:$C$250,0),1),"")</f>
        <v>1666</v>
      </c>
      <c r="Q32" s="30">
        <f>IFERROR(INDEX('[1]Link Out Forecast'!$J$6:$J$250,MATCH($J32,'[1]Link Out Forecast'!$C$6:$C$250,0),1),"")</f>
        <v>1666</v>
      </c>
      <c r="R32" s="30">
        <f>IFERROR(INDEX('[1]Link Out Forecast'!$K$6:$K$250,MATCH($J32,'[1]Link Out Forecast'!$C$6:$C$250,0),1),"")</f>
        <v>1666</v>
      </c>
      <c r="S32" s="30">
        <f>IFERROR(INDEX('[1]Link Out Forecast'!$L$6:$L$250,MATCH($J32,'[1]Link Out Forecast'!$C$6:$C$250,0),1),"")</f>
        <v>0</v>
      </c>
      <c r="T32" s="30">
        <f>IFERROR(INDEX('[1]Link Out Forecast'!$M$6:$M$250,MATCH($J32,'[1]Link Out Forecast'!$C$6:$C$250,0),1),"")</f>
        <v>0</v>
      </c>
      <c r="U32" s="30">
        <f>IFERROR(INDEX('[1]Link Out Forecast'!$N$6:$N$250,MATCH($J32,'[1]Link Out Forecast'!$C$6:$C$250,0),1),"")</f>
        <v>0</v>
      </c>
      <c r="V32" s="30">
        <f>IFERROR(INDEX('[1]Link Out Forecast'!$O$6:$O$250,MATCH($J32,'[1]Link Out Forecast'!$C$6:$C$250,0),1),"")</f>
        <v>0</v>
      </c>
      <c r="W32" s="30">
        <f>IFERROR(INDEX('[1]Link Out Forecast'!$P$6:$P$250,MATCH($J32,'[1]Link Out Forecast'!$C$6:$C$250,0),1),"")</f>
        <v>0</v>
      </c>
      <c r="X32" s="30">
        <f>IFERROR(INDEX('[1]Link Out Forecast'!$Q$6:$Q$250,MATCH($J32,'[1]Link Out Forecast'!$C$6:$C$250,0),1),"")</f>
        <v>0</v>
      </c>
      <c r="Y32" s="30">
        <f>IFERROR(INDEX('[1]Link Out Forecast'!$R$6:$R$250,MATCH($J32,'[1]Link Out Forecast'!$C$6:$C$250,0),1),"")</f>
        <v>9996</v>
      </c>
    </row>
    <row r="33" spans="1:25">
      <c r="A33" s="44"/>
      <c r="B33" s="55"/>
      <c r="C33" s="55"/>
      <c r="D33" s="55"/>
      <c r="E33" s="55"/>
      <c r="F33" s="58"/>
      <c r="H33" s="2" t="str">
        <f>IFERROR(INDEX('[1]Link Out Forecast'!$A$6:$A$250,MATCH($J33,'[1]Link Out Forecast'!$C$6:$C$250,0),1),"")</f>
        <v>P34</v>
      </c>
      <c r="I33" s="2" t="str">
        <f>IFERROR(INDEX('[1]Link Out Forecast'!$B$6:$B$250,MATCH($J33,'[1]Link Out Forecast'!$C$6:$C$250,0),1),"")</f>
        <v>Customer accounting, other</v>
      </c>
      <c r="J33" s="64">
        <v>52520000</v>
      </c>
      <c r="K33" s="2" t="str">
        <f>IFERROR(INDEX('[1]Link Out Forecast'!$D$6:$D$250,MATCH($J33,'[1]Link Out Forecast'!$C$6:$C$250,0),1),"")</f>
        <v>Collection Agencies</v>
      </c>
      <c r="L33" s="2" t="str">
        <f>IFERROR(INDEX('[1]Link Out Forecast'!$E$6:$E$250,MATCH($J33,'[1]Link Out Forecast'!$C$6:$C$250,0),1),"")</f>
        <v>675.7</v>
      </c>
      <c r="M33" s="30">
        <f>IFERROR(INDEX('[1]Link Out Forecast'!$F$6:$F$250,MATCH($J33,'[1]Link Out Forecast'!$C$6:$C$250,0),1),"")</f>
        <v>18958</v>
      </c>
      <c r="N33" s="30">
        <f>IFERROR(INDEX('[1]Link Out Forecast'!$G$6:$G$250,MATCH($J33,'[1]Link Out Forecast'!$C$6:$C$250,0),1),"")</f>
        <v>18958</v>
      </c>
      <c r="O33" s="30">
        <f>IFERROR(INDEX('[1]Link Out Forecast'!$H$6:$H$250,MATCH($J33,'[1]Link Out Forecast'!$C$6:$C$250,0),1),"")</f>
        <v>18958</v>
      </c>
      <c r="P33" s="30">
        <f>IFERROR(INDEX('[1]Link Out Forecast'!$I$6:$I$250,MATCH($J33,'[1]Link Out Forecast'!$C$6:$C$250,0),1),"")</f>
        <v>18958</v>
      </c>
      <c r="Q33" s="30">
        <f>IFERROR(INDEX('[1]Link Out Forecast'!$J$6:$J$250,MATCH($J33,'[1]Link Out Forecast'!$C$6:$C$250,0),1),"")</f>
        <v>18958</v>
      </c>
      <c r="R33" s="30">
        <f>IFERROR(INDEX('[1]Link Out Forecast'!$K$6:$K$250,MATCH($J33,'[1]Link Out Forecast'!$C$6:$C$250,0),1),"")</f>
        <v>18958</v>
      </c>
      <c r="S33" s="30">
        <f>IFERROR(INDEX('[1]Link Out Forecast'!$L$6:$L$250,MATCH($J33,'[1]Link Out Forecast'!$C$6:$C$250,0),1),"")</f>
        <v>0</v>
      </c>
      <c r="T33" s="30">
        <f>IFERROR(INDEX('[1]Link Out Forecast'!$M$6:$M$250,MATCH($J33,'[1]Link Out Forecast'!$C$6:$C$250,0),1),"")</f>
        <v>0</v>
      </c>
      <c r="U33" s="30">
        <f>IFERROR(INDEX('[1]Link Out Forecast'!$N$6:$N$250,MATCH($J33,'[1]Link Out Forecast'!$C$6:$C$250,0),1),"")</f>
        <v>0</v>
      </c>
      <c r="V33" s="30">
        <f>IFERROR(INDEX('[1]Link Out Forecast'!$O$6:$O$250,MATCH($J33,'[1]Link Out Forecast'!$C$6:$C$250,0),1),"")</f>
        <v>0</v>
      </c>
      <c r="W33" s="30">
        <f>IFERROR(INDEX('[1]Link Out Forecast'!$P$6:$P$250,MATCH($J33,'[1]Link Out Forecast'!$C$6:$C$250,0),1),"")</f>
        <v>0</v>
      </c>
      <c r="X33" s="30">
        <f>IFERROR(INDEX('[1]Link Out Forecast'!$Q$6:$Q$250,MATCH($J33,'[1]Link Out Forecast'!$C$6:$C$250,0),1),"")</f>
        <v>0</v>
      </c>
      <c r="Y33" s="30">
        <f>IFERROR(INDEX('[1]Link Out Forecast'!$R$6:$R$250,MATCH($J33,'[1]Link Out Forecast'!$C$6:$C$250,0),1),"")</f>
        <v>113748</v>
      </c>
    </row>
    <row r="34" spans="1:25">
      <c r="A34" s="44"/>
      <c r="B34" s="55"/>
      <c r="C34" s="55"/>
      <c r="D34" s="55"/>
      <c r="E34" s="55"/>
      <c r="F34" s="58"/>
      <c r="H34" s="2" t="str">
        <f>IFERROR(INDEX('[1]Link Out Forecast'!$A$6:$A$250,MATCH($J34,'[1]Link Out Forecast'!$C$6:$C$250,0),1),"")</f>
        <v>P34</v>
      </c>
      <c r="I34" s="2" t="str">
        <f>IFERROR(INDEX('[1]Link Out Forecast'!$B$6:$B$250,MATCH($J34,'[1]Link Out Forecast'!$C$6:$C$250,0),1),"")</f>
        <v>Customer accounting, other</v>
      </c>
      <c r="J34" s="64">
        <v>52542015</v>
      </c>
      <c r="K34" s="2" t="str">
        <f>IFERROR(INDEX('[1]Link Out Forecast'!$D$6:$D$250,MATCH($J34,'[1]Link Out Forecast'!$C$6:$C$250,0),1),"")</f>
        <v>Forms CA</v>
      </c>
      <c r="L34" s="2" t="str">
        <f>IFERROR(INDEX('[1]Link Out Forecast'!$E$6:$E$250,MATCH($J34,'[1]Link Out Forecast'!$C$6:$C$250,0),1),"")</f>
        <v>675.7</v>
      </c>
      <c r="M34" s="30">
        <f>IFERROR(INDEX('[1]Link Out Forecast'!$F$6:$F$250,MATCH($J34,'[1]Link Out Forecast'!$C$6:$C$250,0),1),"")</f>
        <v>13627</v>
      </c>
      <c r="N34" s="30">
        <f>IFERROR(INDEX('[1]Link Out Forecast'!$G$6:$G$250,MATCH($J34,'[1]Link Out Forecast'!$C$6:$C$250,0),1),"")</f>
        <v>13627</v>
      </c>
      <c r="O34" s="30">
        <f>IFERROR(INDEX('[1]Link Out Forecast'!$H$6:$H$250,MATCH($J34,'[1]Link Out Forecast'!$C$6:$C$250,0),1),"")</f>
        <v>13627</v>
      </c>
      <c r="P34" s="30">
        <f>IFERROR(INDEX('[1]Link Out Forecast'!$I$6:$I$250,MATCH($J34,'[1]Link Out Forecast'!$C$6:$C$250,0),1),"")</f>
        <v>13627</v>
      </c>
      <c r="Q34" s="30">
        <f>IFERROR(INDEX('[1]Link Out Forecast'!$J$6:$J$250,MATCH($J34,'[1]Link Out Forecast'!$C$6:$C$250,0),1),"")</f>
        <v>13627</v>
      </c>
      <c r="R34" s="30">
        <f>IFERROR(INDEX('[1]Link Out Forecast'!$K$6:$K$250,MATCH($J34,'[1]Link Out Forecast'!$C$6:$C$250,0),1),"")</f>
        <v>13627</v>
      </c>
      <c r="S34" s="30">
        <f>IFERROR(INDEX('[1]Link Out Forecast'!$L$6:$L$250,MATCH($J34,'[1]Link Out Forecast'!$C$6:$C$250,0),1),"")</f>
        <v>0</v>
      </c>
      <c r="T34" s="30">
        <f>IFERROR(INDEX('[1]Link Out Forecast'!$M$6:$M$250,MATCH($J34,'[1]Link Out Forecast'!$C$6:$C$250,0),1),"")</f>
        <v>0</v>
      </c>
      <c r="U34" s="30">
        <f>IFERROR(INDEX('[1]Link Out Forecast'!$N$6:$N$250,MATCH($J34,'[1]Link Out Forecast'!$C$6:$C$250,0),1),"")</f>
        <v>0</v>
      </c>
      <c r="V34" s="30">
        <f>IFERROR(INDEX('[1]Link Out Forecast'!$O$6:$O$250,MATCH($J34,'[1]Link Out Forecast'!$C$6:$C$250,0),1),"")</f>
        <v>0</v>
      </c>
      <c r="W34" s="30">
        <f>IFERROR(INDEX('[1]Link Out Forecast'!$P$6:$P$250,MATCH($J34,'[1]Link Out Forecast'!$C$6:$C$250,0),1),"")</f>
        <v>0</v>
      </c>
      <c r="X34" s="30">
        <f>IFERROR(INDEX('[1]Link Out Forecast'!$Q$6:$Q$250,MATCH($J34,'[1]Link Out Forecast'!$C$6:$C$250,0),1),"")</f>
        <v>0</v>
      </c>
      <c r="Y34" s="30">
        <f>IFERROR(INDEX('[1]Link Out Forecast'!$R$6:$R$250,MATCH($J34,'[1]Link Out Forecast'!$C$6:$C$250,0),1),"")</f>
        <v>81762</v>
      </c>
    </row>
    <row r="35" spans="1:25">
      <c r="A35" s="44"/>
      <c r="B35" s="55"/>
      <c r="C35" s="55"/>
      <c r="D35" s="55"/>
      <c r="E35" s="55"/>
      <c r="F35" s="58"/>
      <c r="H35" s="2" t="str">
        <f>IFERROR(INDEX('[1]Link Out Forecast'!$A$6:$A$250,MATCH($J35,'[1]Link Out Forecast'!$C$6:$C$250,0),1),"")</f>
        <v>P34</v>
      </c>
      <c r="I35" s="2" t="str">
        <f>IFERROR(INDEX('[1]Link Out Forecast'!$B$6:$B$250,MATCH($J35,'[1]Link Out Forecast'!$C$6:$C$250,0),1),"")</f>
        <v>Customer accounting, other</v>
      </c>
      <c r="J35" s="64">
        <v>52566015</v>
      </c>
      <c r="K35" s="2" t="str">
        <f>IFERROR(INDEX('[1]Link Out Forecast'!$D$6:$D$250,MATCH($J35,'[1]Link Out Forecast'!$C$6:$C$250,0),1),"")</f>
        <v>Postage CA</v>
      </c>
      <c r="L35" s="2" t="str">
        <f>IFERROR(INDEX('[1]Link Out Forecast'!$E$6:$E$250,MATCH($J35,'[1]Link Out Forecast'!$C$6:$C$250,0),1),"")</f>
        <v>675.7</v>
      </c>
      <c r="M35" s="30">
        <f>IFERROR(INDEX('[1]Link Out Forecast'!$F$6:$F$250,MATCH($J35,'[1]Link Out Forecast'!$C$6:$C$250,0),1),"")</f>
        <v>47716</v>
      </c>
      <c r="N35" s="30">
        <f>IFERROR(INDEX('[1]Link Out Forecast'!$G$6:$G$250,MATCH($J35,'[1]Link Out Forecast'!$C$6:$C$250,0),1),"")</f>
        <v>47716</v>
      </c>
      <c r="O35" s="30">
        <f>IFERROR(INDEX('[1]Link Out Forecast'!$H$6:$H$250,MATCH($J35,'[1]Link Out Forecast'!$C$6:$C$250,0),1),"")</f>
        <v>47716</v>
      </c>
      <c r="P35" s="30">
        <f>IFERROR(INDEX('[1]Link Out Forecast'!$I$6:$I$250,MATCH($J35,'[1]Link Out Forecast'!$C$6:$C$250,0),1),"")</f>
        <v>47716</v>
      </c>
      <c r="Q35" s="30">
        <f>IFERROR(INDEX('[1]Link Out Forecast'!$J$6:$J$250,MATCH($J35,'[1]Link Out Forecast'!$C$6:$C$250,0),1),"")</f>
        <v>47716</v>
      </c>
      <c r="R35" s="30">
        <f>IFERROR(INDEX('[1]Link Out Forecast'!$K$6:$K$250,MATCH($J35,'[1]Link Out Forecast'!$C$6:$C$250,0),1),"")</f>
        <v>47716</v>
      </c>
      <c r="S35" s="30">
        <f>IFERROR(INDEX('[1]Link Out Forecast'!$L$6:$L$250,MATCH($J35,'[1]Link Out Forecast'!$C$6:$C$250,0),1),"")</f>
        <v>0</v>
      </c>
      <c r="T35" s="30">
        <f>IFERROR(INDEX('[1]Link Out Forecast'!$M$6:$M$250,MATCH($J35,'[1]Link Out Forecast'!$C$6:$C$250,0),1),"")</f>
        <v>0</v>
      </c>
      <c r="U35" s="30">
        <f>IFERROR(INDEX('[1]Link Out Forecast'!$N$6:$N$250,MATCH($J35,'[1]Link Out Forecast'!$C$6:$C$250,0),1),"")</f>
        <v>0</v>
      </c>
      <c r="V35" s="30">
        <f>IFERROR(INDEX('[1]Link Out Forecast'!$O$6:$O$250,MATCH($J35,'[1]Link Out Forecast'!$C$6:$C$250,0),1),"")</f>
        <v>0</v>
      </c>
      <c r="W35" s="30">
        <f>IFERROR(INDEX('[1]Link Out Forecast'!$P$6:$P$250,MATCH($J35,'[1]Link Out Forecast'!$C$6:$C$250,0),1),"")</f>
        <v>0</v>
      </c>
      <c r="X35" s="30">
        <f>IFERROR(INDEX('[1]Link Out Forecast'!$Q$6:$Q$250,MATCH($J35,'[1]Link Out Forecast'!$C$6:$C$250,0),1),"")</f>
        <v>0</v>
      </c>
      <c r="Y35" s="30">
        <f>IFERROR(INDEX('[1]Link Out Forecast'!$R$6:$R$250,MATCH($J35,'[1]Link Out Forecast'!$C$6:$C$250,0),1),"")</f>
        <v>286296</v>
      </c>
    </row>
    <row r="36" spans="1:25">
      <c r="A36" s="44"/>
      <c r="B36" s="55"/>
      <c r="C36" s="55"/>
      <c r="D36" s="55"/>
      <c r="E36" s="55"/>
      <c r="F36" s="5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5" thickBot="1">
      <c r="A37" s="44"/>
      <c r="B37" s="55"/>
      <c r="C37" s="55"/>
      <c r="D37" s="55"/>
      <c r="E37" s="55"/>
      <c r="F37" s="58"/>
      <c r="K37" s="2" t="s">
        <v>26</v>
      </c>
      <c r="M37" s="33">
        <f t="shared" ref="M37:Y37" si="3">SUM(M30:M36)</f>
        <v>92499</v>
      </c>
      <c r="N37" s="33">
        <f t="shared" si="3"/>
        <v>92702</v>
      </c>
      <c r="O37" s="33">
        <f t="shared" si="3"/>
        <v>93310</v>
      </c>
      <c r="P37" s="33">
        <f t="shared" si="3"/>
        <v>93451</v>
      </c>
      <c r="Q37" s="33">
        <f t="shared" si="3"/>
        <v>93825</v>
      </c>
      <c r="R37" s="33">
        <f t="shared" si="3"/>
        <v>92568</v>
      </c>
      <c r="S37" s="33">
        <f t="shared" si="3"/>
        <v>101476</v>
      </c>
      <c r="T37" s="33">
        <f t="shared" si="3"/>
        <v>103009</v>
      </c>
      <c r="U37" s="33">
        <f t="shared" si="3"/>
        <v>100911</v>
      </c>
      <c r="V37" s="33">
        <f t="shared" si="3"/>
        <v>103965</v>
      </c>
      <c r="W37" s="33">
        <f t="shared" si="3"/>
        <v>114001</v>
      </c>
      <c r="X37" s="33">
        <f t="shared" si="3"/>
        <v>107480</v>
      </c>
      <c r="Y37" s="33">
        <f t="shared" si="3"/>
        <v>1189197</v>
      </c>
    </row>
    <row r="38" spans="1:25" ht="15" thickTop="1">
      <c r="A38" s="44"/>
      <c r="B38" s="55"/>
      <c r="C38" s="55"/>
      <c r="D38" s="55"/>
      <c r="E38" s="55"/>
      <c r="F38" s="58"/>
    </row>
    <row r="39" spans="1:25">
      <c r="A39" s="44"/>
      <c r="B39" s="55"/>
      <c r="C39" s="55"/>
      <c r="D39" s="55"/>
      <c r="E39" s="55"/>
      <c r="F39" s="55"/>
      <c r="Y39" s="65"/>
    </row>
    <row r="40" spans="1:25">
      <c r="A40" s="44"/>
      <c r="Y40" s="66"/>
    </row>
    <row r="41" spans="1:25">
      <c r="Y41" s="66"/>
    </row>
    <row r="44" spans="1:25">
      <c r="S44" s="9"/>
      <c r="T44" s="9"/>
      <c r="U44" s="9"/>
    </row>
    <row r="45" spans="1:25">
      <c r="S45" s="9"/>
      <c r="T45" s="9"/>
      <c r="U45" s="9"/>
    </row>
    <row r="46" spans="1:25">
      <c r="S46" s="9"/>
      <c r="T46" s="9"/>
      <c r="U46" s="9"/>
    </row>
    <row r="50" spans="1:4">
      <c r="A50" s="6"/>
      <c r="B50" s="2"/>
    </row>
    <row r="51" spans="1:4">
      <c r="A51" s="6"/>
      <c r="B51" s="2"/>
    </row>
    <row r="52" spans="1:4">
      <c r="B52" s="68"/>
      <c r="D52" s="30"/>
    </row>
    <row r="53" spans="1:4">
      <c r="B53" s="78"/>
    </row>
    <row r="54" spans="1:4">
      <c r="B54" s="2"/>
    </row>
    <row r="60" spans="1:4">
      <c r="A60" s="76" t="s">
        <v>36</v>
      </c>
      <c r="B60" s="77" t="s">
        <v>37</v>
      </c>
    </row>
    <row r="61" spans="1:4">
      <c r="A61" s="69" t="s">
        <v>63</v>
      </c>
      <c r="B61" s="70">
        <f>+'[1]Link Out North Middletown'!$C$8</f>
        <v>401</v>
      </c>
    </row>
    <row r="62" spans="1:4">
      <c r="A62" s="68"/>
      <c r="B62" s="70"/>
    </row>
    <row r="63" spans="1:4">
      <c r="A63" s="76" t="s">
        <v>39</v>
      </c>
    </row>
    <row r="64" spans="1:4">
      <c r="A64" s="68" t="str">
        <f>+'[1]Rate Case Constants'!A47</f>
        <v>Total Water Customers</v>
      </c>
      <c r="B64" s="68"/>
    </row>
    <row r="65" spans="1:2">
      <c r="A65" s="68" t="str">
        <f>+'[1]Rate Case Constants'!A48</f>
        <v>Average - July 2019-June 2020</v>
      </c>
      <c r="B65" s="110">
        <f>+'[1]Rate Case Constants'!C48</f>
        <v>133284</v>
      </c>
    </row>
    <row r="66" spans="1:2">
      <c r="A66" s="68" t="str">
        <f>+'[1]Rate Case Constants'!A49</f>
        <v>Wastewater as of 8/31/18</v>
      </c>
      <c r="B66" s="111">
        <f>+'[1]Rate Case Constants'!C49</f>
        <v>695</v>
      </c>
    </row>
    <row r="67" spans="1:2">
      <c r="A67" s="68" t="str">
        <f>+'[1]Rate Case Constants'!A50</f>
        <v>Total Customers</v>
      </c>
      <c r="B67" s="110">
        <f>+'[1]Rate Case Constants'!C50</f>
        <v>133979</v>
      </c>
    </row>
    <row r="68" spans="1:2">
      <c r="A68" s="68" t="str">
        <f>+'[1]Rate Case Constants'!A51</f>
        <v>Less Dual</v>
      </c>
      <c r="B68" s="111">
        <f>+'[1]Rate Case Constants'!C51</f>
        <v>-550</v>
      </c>
    </row>
    <row r="69" spans="1:2">
      <c r="A69" s="68"/>
      <c r="B69" s="110">
        <f>+'[1]Rate Case Constants'!C52</f>
        <v>133429</v>
      </c>
    </row>
    <row r="70" spans="1:2">
      <c r="A70" s="68"/>
      <c r="B70" s="112"/>
    </row>
    <row r="71" spans="1:2">
      <c r="A71" s="68" t="str">
        <f>+'[1]Rate Case Constants'!A54</f>
        <v>Water Percentage</v>
      </c>
      <c r="B71" s="113">
        <f>+'[1]Rate Case Constants'!C54</f>
        <v>0.99891327972179966</v>
      </c>
    </row>
    <row r="72" spans="1:2">
      <c r="A72" s="68" t="str">
        <f>+'[1]Rate Case Constants'!A55</f>
        <v>Wastewater Percentage</v>
      </c>
      <c r="B72" s="113">
        <f>+'[1]Rate Case Constants'!C55</f>
        <v>1.0867202782003371E-3</v>
      </c>
    </row>
  </sheetData>
  <printOptions horizontalCentered="1" verticalCentered="1"/>
  <pageMargins left="0.75" right="0.75" top="0.75" bottom="0.75" header="0.3" footer="0.3"/>
  <pageSetup scale="30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2" t="str">
        <f>'Link In'!C7</f>
        <v>Base Year for the 12 Months Ended 2/28/19</v>
      </c>
      <c r="E1" s="13" t="s">
        <v>19</v>
      </c>
      <c r="F1" s="13" t="s">
        <v>20</v>
      </c>
    </row>
    <row r="2" spans="1:6">
      <c r="A2" s="8"/>
    </row>
    <row r="3" spans="1:6" ht="15" thickBot="1">
      <c r="A3" s="8" t="str">
        <f>'Link In'!H12</f>
        <v>P34</v>
      </c>
      <c r="B3" s="2" t="str">
        <f>'Link In'!A22</f>
        <v>Customer Accounting-Postage</v>
      </c>
      <c r="C3" s="2" t="str">
        <f>'Link In'!A26</f>
        <v>Schedule D-2.3</v>
      </c>
      <c r="D3" s="62">
        <f>ROUND(Exhibit!C15,0)</f>
        <v>1161947</v>
      </c>
      <c r="E3" s="62">
        <f>ROUND(Exhibit!E23,0)</f>
        <v>180101</v>
      </c>
      <c r="F3" s="62">
        <f>ROUND(Exhibit!E26,0)</f>
        <v>1342048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4" t="s">
        <v>9</v>
      </c>
      <c r="D7" s="10" t="s">
        <v>23</v>
      </c>
    </row>
    <row r="8" spans="1:6">
      <c r="A8" s="15">
        <f>'Summary by Account'!A14</f>
        <v>52501500</v>
      </c>
      <c r="B8" s="16" t="str">
        <f>'Summary by Account'!B14</f>
        <v>Misc Oper CA</v>
      </c>
      <c r="C8" s="8"/>
      <c r="D8" s="109">
        <f>ROUND('Summary by Account'!E14,2)+'Summary by Account'!G14</f>
        <v>1467</v>
      </c>
    </row>
    <row r="9" spans="1:6">
      <c r="A9" s="15">
        <f>'Summary by Account'!A15</f>
        <v>52510015</v>
      </c>
      <c r="B9" s="16" t="str">
        <f>'Summary by Account'!B15</f>
        <v>Bank Svc Charges-CA</v>
      </c>
      <c r="C9" s="8"/>
      <c r="D9" s="17">
        <f>ROUND('Summary by Account'!E15,2)+'Summary by Account'!G15</f>
        <v>144373</v>
      </c>
    </row>
    <row r="10" spans="1:6">
      <c r="A10" s="15">
        <f>'Summary by Account'!A16</f>
        <v>52514906</v>
      </c>
      <c r="B10" s="16" t="str">
        <f>'Summary by Account'!B16</f>
        <v>Cust Edu-Bill Insert</v>
      </c>
      <c r="C10" s="8"/>
      <c r="D10" s="17">
        <f>ROUND('Summary by Account'!E16,2)+'Summary by Account'!G16</f>
        <v>10270</v>
      </c>
    </row>
    <row r="11" spans="1:6">
      <c r="A11" s="15">
        <f>'Summary by Account'!A17</f>
        <v>52520000</v>
      </c>
      <c r="B11" s="16" t="str">
        <f>'Summary by Account'!B17</f>
        <v>Collection Agencies</v>
      </c>
      <c r="C11" s="8"/>
      <c r="D11" s="17">
        <f>ROUND('Summary by Account'!E17,2)+'Summary by Account'!E23+'Summary by Account'!E24+'Summary by Account'!G17</f>
        <v>460850</v>
      </c>
    </row>
    <row r="12" spans="1:6">
      <c r="A12" s="15">
        <f>'Summary by Account'!A18</f>
        <v>52542015</v>
      </c>
      <c r="B12" s="16" t="str">
        <f>'Summary by Account'!B18</f>
        <v>Forms CA</v>
      </c>
      <c r="C12" s="8"/>
      <c r="D12" s="17">
        <f>ROUND('Summary by Account'!E18,2)+'Summary by Account'!G18</f>
        <v>139496</v>
      </c>
    </row>
    <row r="13" spans="1:6">
      <c r="A13" s="15">
        <f>'Summary by Account'!A19</f>
        <v>52566015</v>
      </c>
      <c r="B13" s="16" t="str">
        <f>'Summary by Account'!B19</f>
        <v>Postage CA</v>
      </c>
      <c r="C13" s="8"/>
      <c r="D13" s="17">
        <f>ROUND('Summary by Account'!E19,2)+'Summary by Account'!G19</f>
        <v>585592</v>
      </c>
    </row>
    <row r="14" spans="1:6">
      <c r="A14" s="15"/>
      <c r="B14" s="16"/>
      <c r="C14" s="8"/>
      <c r="D14" s="17"/>
    </row>
    <row r="15" spans="1:6">
      <c r="A15" s="15"/>
      <c r="B15" s="16"/>
      <c r="C15" s="8"/>
      <c r="D15" s="17"/>
    </row>
    <row r="16" spans="1:6">
      <c r="A16" s="15"/>
      <c r="B16" s="16"/>
      <c r="C16" s="8"/>
      <c r="D16" s="17"/>
    </row>
    <row r="17" spans="1:4">
      <c r="A17" s="15"/>
      <c r="B17" s="16"/>
      <c r="C17" s="8"/>
      <c r="D17" s="17"/>
    </row>
    <row r="18" spans="1:4" ht="15" thickBot="1">
      <c r="A18" s="8"/>
      <c r="B18" s="18"/>
      <c r="C18" s="8"/>
      <c r="D18" s="49">
        <f>SUM(D8:D17)</f>
        <v>1342048</v>
      </c>
    </row>
    <row r="19" spans="1:4" ht="15" thickTop="1">
      <c r="A19" s="8"/>
      <c r="B19" s="8"/>
      <c r="C19" s="8"/>
      <c r="D19" s="8"/>
    </row>
    <row r="20" spans="1:4">
      <c r="A20" s="14" t="s">
        <v>12</v>
      </c>
      <c r="B20" s="8"/>
      <c r="C20" s="8"/>
      <c r="D20" s="8"/>
    </row>
    <row r="22" spans="1:4">
      <c r="A22" s="2" t="str">
        <f>'Link In'!A25</f>
        <v>W/P - 3-9</v>
      </c>
    </row>
    <row r="23" spans="1:4">
      <c r="A23" s="2" t="str">
        <f ca="1">Exhibit!F2</f>
        <v>O&amp;M\[KAWC 2018 Rate Case - Customer Accounting-Postage Exhibit.xlsx]Exhibit</v>
      </c>
    </row>
    <row r="28" spans="1:4">
      <c r="A28" s="6" t="s">
        <v>36</v>
      </c>
    </row>
    <row r="29" spans="1:4">
      <c r="A29" s="2" t="str">
        <f>+'Link In'!A61</f>
        <v>North Middletown Acquisition</v>
      </c>
      <c r="D29" s="35">
        <f>+'Workpaper 3'!E26</f>
        <v>3578</v>
      </c>
    </row>
    <row r="30" spans="1:4">
      <c r="D30" s="35"/>
    </row>
    <row r="31" spans="1:4">
      <c r="D31" s="35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43.6640625" style="2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- 3-9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Customer Accounting-Postage Exhibit.xlsx]Exhibit</v>
      </c>
    </row>
    <row r="4" spans="1:6">
      <c r="A4" s="128" t="str">
        <f>'Link In'!A1</f>
        <v>Kentucky American Water Company</v>
      </c>
      <c r="B4" s="128"/>
      <c r="C4" s="128"/>
      <c r="D4" s="128"/>
      <c r="E4" s="128"/>
      <c r="F4" s="128"/>
    </row>
    <row r="5" spans="1:6">
      <c r="A5" s="128" t="str">
        <f>'Link In'!A3</f>
        <v>Case No. 2018-00358</v>
      </c>
      <c r="B5" s="128"/>
      <c r="C5" s="128"/>
      <c r="D5" s="128"/>
      <c r="E5" s="128"/>
      <c r="F5" s="128"/>
    </row>
    <row r="6" spans="1:6">
      <c r="A6" s="128" t="str">
        <f>'Link In'!A23</f>
        <v>Base Year Adjustment Customer Accounting-Postage</v>
      </c>
      <c r="B6" s="128"/>
      <c r="C6" s="128"/>
      <c r="D6" s="128"/>
      <c r="E6" s="128"/>
      <c r="F6" s="128"/>
    </row>
    <row r="7" spans="1:6">
      <c r="A7" s="129" t="str">
        <f>'Link In'!A6</f>
        <v>For the 12 Months Ending June 30, 2020</v>
      </c>
      <c r="B7" s="129"/>
      <c r="C7" s="129"/>
      <c r="D7" s="129"/>
      <c r="E7" s="129"/>
      <c r="F7" s="129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0">
        <f>ROUND('Link In'!Y19,0)</f>
        <v>1161947</v>
      </c>
      <c r="D15" s="51">
        <v>0</v>
      </c>
      <c r="E15" s="51">
        <f>C15</f>
        <v>1161947</v>
      </c>
    </row>
    <row r="16" spans="1:6">
      <c r="A16" s="8">
        <v>2</v>
      </c>
    </row>
    <row r="17" spans="1:6">
      <c r="A17" s="8">
        <v>3</v>
      </c>
      <c r="C17" s="34"/>
      <c r="D17" s="34"/>
      <c r="E17" s="34"/>
    </row>
    <row r="18" spans="1:6">
      <c r="A18" s="8">
        <v>4</v>
      </c>
      <c r="B18" s="6" t="s">
        <v>4</v>
      </c>
      <c r="C18" s="34"/>
      <c r="D18" s="34"/>
      <c r="E18" s="34"/>
    </row>
    <row r="19" spans="1:6">
      <c r="A19" s="8">
        <v>5</v>
      </c>
      <c r="B19" s="67" t="s">
        <v>49</v>
      </c>
      <c r="C19" s="34"/>
      <c r="D19" s="42">
        <f>ROUND('Summary by Account'!D21,0)</f>
        <v>27250</v>
      </c>
      <c r="E19" s="34"/>
      <c r="F19" s="9" t="str">
        <f>'Link In'!A26</f>
        <v>Schedule D-2.3</v>
      </c>
    </row>
    <row r="20" spans="1:6">
      <c r="A20" s="8">
        <v>6</v>
      </c>
      <c r="B20" s="67" t="s">
        <v>35</v>
      </c>
      <c r="C20" s="34"/>
      <c r="D20" s="42">
        <f>+'Summary by Account'!E23</f>
        <v>149435</v>
      </c>
      <c r="E20" s="34"/>
    </row>
    <row r="21" spans="1:6">
      <c r="A21" s="8">
        <v>7</v>
      </c>
      <c r="B21" s="67" t="str">
        <f>+'Summary by Account'!D24</f>
        <v xml:space="preserve">Call Handling Overflow Agents Waste Water </v>
      </c>
      <c r="C21" s="34"/>
      <c r="D21" s="42">
        <f>+'Summary by Account'!E24</f>
        <v>-162</v>
      </c>
      <c r="E21" s="34"/>
    </row>
    <row r="22" spans="1:6">
      <c r="A22" s="8">
        <v>8</v>
      </c>
      <c r="B22" s="67" t="str">
        <f>+'Link In'!A61</f>
        <v>North Middletown Acquisition</v>
      </c>
      <c r="C22" s="34"/>
      <c r="D22" s="42">
        <f>+'Summary by Account'!E25</f>
        <v>3578</v>
      </c>
      <c r="E22" s="34"/>
    </row>
    <row r="23" spans="1:6">
      <c r="A23" s="8">
        <v>9</v>
      </c>
      <c r="B23" s="6" t="s">
        <v>5</v>
      </c>
      <c r="C23" s="34"/>
      <c r="D23" s="61">
        <f>SUM(D19:D22)</f>
        <v>180101</v>
      </c>
      <c r="E23" s="61">
        <f>D23</f>
        <v>180101</v>
      </c>
    </row>
    <row r="24" spans="1:6">
      <c r="A24" s="8">
        <v>10</v>
      </c>
      <c r="C24" s="34"/>
      <c r="D24" s="34"/>
      <c r="E24" s="34"/>
    </row>
    <row r="25" spans="1:6">
      <c r="A25" s="8">
        <v>11</v>
      </c>
    </row>
    <row r="26" spans="1:6" ht="15" thickBot="1">
      <c r="A26" s="8">
        <v>12</v>
      </c>
      <c r="B26" s="6" t="str">
        <f>'Link In'!C9</f>
        <v>Forecasted Year at Present Rates</v>
      </c>
      <c r="E26" s="52">
        <f>E15+E23</f>
        <v>1342048</v>
      </c>
    </row>
    <row r="27" spans="1:6" ht="15" thickTop="1">
      <c r="A27" s="8">
        <v>13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scale="92"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/>
  </sheetViews>
  <sheetFormatPr defaultColWidth="9.109375" defaultRowHeight="14.4"/>
  <cols>
    <col min="1" max="1" width="18.5546875" style="2" customWidth="1"/>
    <col min="2" max="2" width="23" style="2" customWidth="1"/>
    <col min="3" max="3" width="11.6640625" style="2" bestFit="1" customWidth="1"/>
    <col min="4" max="4" width="41.109375" style="2" bestFit="1" customWidth="1"/>
    <col min="5" max="5" width="14.6640625" style="2" customWidth="1"/>
    <col min="6" max="6" width="9.109375" style="2"/>
    <col min="7" max="7" width="12.5546875" style="2" customWidth="1"/>
    <col min="8" max="8" width="9.109375" style="2"/>
    <col min="9" max="9" width="12.5546875" style="2" bestFit="1" customWidth="1"/>
    <col min="10" max="16384" width="9.109375" style="2"/>
  </cols>
  <sheetData>
    <row r="1" spans="1:10">
      <c r="A1" s="1" t="s">
        <v>10</v>
      </c>
      <c r="B1" s="1"/>
      <c r="C1" s="1"/>
      <c r="D1" s="1"/>
      <c r="G1" s="4" t="str">
        <f>'Link In'!A25</f>
        <v>W/P - 3-9</v>
      </c>
    </row>
    <row r="2" spans="1:10">
      <c r="A2" s="1" t="s">
        <v>11</v>
      </c>
      <c r="B2" s="1"/>
      <c r="C2" s="1"/>
      <c r="D2" s="1"/>
      <c r="G2" s="5" t="str">
        <f ca="1">RIGHT(CELL("filename",$A$1),LEN(CELL("filename",$A$1))-SEARCH("\O&amp;M",CELL("filename",$A$1),1))</f>
        <v>O&amp;M\[KAWC 2018 Rate Case - Customer Accounting-Postage Exhibit.xlsx]Summary by Account</v>
      </c>
    </row>
    <row r="4" spans="1:10">
      <c r="A4" s="128" t="str">
        <f>'Link In'!A1</f>
        <v>Kentucky American Water Company</v>
      </c>
      <c r="B4" s="128"/>
      <c r="C4" s="128"/>
      <c r="D4" s="128"/>
      <c r="E4" s="128"/>
    </row>
    <row r="5" spans="1:10">
      <c r="A5" s="128" t="str">
        <f>'Link In'!A3</f>
        <v>Case No. 2018-00358</v>
      </c>
      <c r="B5" s="128"/>
      <c r="C5" s="128"/>
      <c r="D5" s="128"/>
      <c r="E5" s="128"/>
    </row>
    <row r="6" spans="1:10">
      <c r="A6" s="128" t="str">
        <f>'Link In'!A23</f>
        <v>Base Year Adjustment Customer Accounting-Postage</v>
      </c>
      <c r="B6" s="128"/>
      <c r="C6" s="128"/>
      <c r="D6" s="128"/>
      <c r="E6" s="128"/>
    </row>
    <row r="7" spans="1:10">
      <c r="A7" s="129" t="str">
        <f>'Link In'!A6</f>
        <v>For the 12 Months Ending June 30, 2020</v>
      </c>
      <c r="B7" s="129"/>
      <c r="C7" s="129"/>
      <c r="D7" s="129"/>
      <c r="E7" s="129"/>
    </row>
    <row r="9" spans="1:10">
      <c r="A9" s="6" t="str">
        <f>'Link In'!A20</f>
        <v>Witness Responsible:   James Pellock</v>
      </c>
    </row>
    <row r="10" spans="1:10">
      <c r="A10" s="6" t="str">
        <f>'Link In'!A15</f>
        <v>Type of Filing: __X__ Original  _____ Updated  _____ Revised</v>
      </c>
    </row>
    <row r="11" spans="1:10">
      <c r="A11" s="6"/>
    </row>
    <row r="12" spans="1:10" ht="28.8">
      <c r="A12" s="10" t="s">
        <v>21</v>
      </c>
      <c r="B12" s="10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  <c r="F12" s="126" t="s">
        <v>60</v>
      </c>
      <c r="G12" s="126" t="s">
        <v>61</v>
      </c>
    </row>
    <row r="14" spans="1:10">
      <c r="A14" s="2">
        <f>'Link In'!J12</f>
        <v>52501500</v>
      </c>
      <c r="B14" s="11" t="str">
        <f>'Link In'!K12</f>
        <v>Misc Oper CA</v>
      </c>
      <c r="C14" s="35">
        <f>'Link In'!Y12</f>
        <v>1424</v>
      </c>
      <c r="D14" s="35">
        <f t="shared" ref="D14:D19" si="0">E14-C14</f>
        <v>39</v>
      </c>
      <c r="E14" s="35">
        <f>ROUND(SUM(VLOOKUP(A14,'Link In'!J:AC,20,FALSE)*$E$21),0)</f>
        <v>1463</v>
      </c>
      <c r="F14" s="66">
        <f t="shared" ref="F14:F19" si="1">ROUND(E14/$E$21,4)</f>
        <v>1.1999999999999999E-3</v>
      </c>
      <c r="G14" s="35">
        <f t="shared" ref="G14:G19" si="2">ROUND(F14*$E$25,0)</f>
        <v>4</v>
      </c>
      <c r="I14" s="30"/>
      <c r="J14" s="30"/>
    </row>
    <row r="15" spans="1:10">
      <c r="A15" s="2">
        <f>'Link In'!J13</f>
        <v>52510015</v>
      </c>
      <c r="B15" s="11" t="str">
        <f>'Link In'!K13</f>
        <v>Bank Svc Charges-CA</v>
      </c>
      <c r="C15" s="36">
        <f>'Link In'!Y13</f>
        <v>140647</v>
      </c>
      <c r="D15" s="36">
        <f t="shared" si="0"/>
        <v>3293</v>
      </c>
      <c r="E15" s="36">
        <f>ROUND(SUM(VLOOKUP(A15,'Link In'!J:AC,20,FALSE)*$E$21),0)</f>
        <v>143940</v>
      </c>
      <c r="F15" s="66">
        <f t="shared" si="1"/>
        <v>0.121</v>
      </c>
      <c r="G15" s="36">
        <f t="shared" si="2"/>
        <v>433</v>
      </c>
      <c r="I15" s="30"/>
      <c r="J15" s="30"/>
    </row>
    <row r="16" spans="1:10">
      <c r="A16" s="2">
        <f>'Link In'!J14</f>
        <v>52514906</v>
      </c>
      <c r="B16" s="11" t="str">
        <f>'Link In'!K14</f>
        <v>Cust Edu-Bill Insert</v>
      </c>
      <c r="C16" s="36">
        <f>'Link In'!Y14</f>
        <v>10004</v>
      </c>
      <c r="D16" s="36">
        <f t="shared" si="0"/>
        <v>235</v>
      </c>
      <c r="E16" s="36">
        <f>ROUND(SUM(VLOOKUP(A16,'Link In'!J:AC,20,FALSE)*$E$21),0)</f>
        <v>10239</v>
      </c>
      <c r="F16" s="66">
        <f t="shared" si="1"/>
        <v>8.6E-3</v>
      </c>
      <c r="G16" s="36">
        <f t="shared" si="2"/>
        <v>31</v>
      </c>
      <c r="I16" s="30"/>
      <c r="J16" s="30"/>
    </row>
    <row r="17" spans="1:10">
      <c r="A17" s="2">
        <f>'Link In'!J15</f>
        <v>52520000</v>
      </c>
      <c r="B17" s="11" t="str">
        <f>'Link In'!K15</f>
        <v>Collection Agencies</v>
      </c>
      <c r="C17" s="36">
        <f>'Link In'!Y15</f>
        <v>303523</v>
      </c>
      <c r="D17" s="36">
        <f t="shared" si="0"/>
        <v>7119</v>
      </c>
      <c r="E17" s="36">
        <f>ROUND(SUM(VLOOKUP(A17,'Link In'!J:AC,20,FALSE)*$E$21),0)</f>
        <v>310642</v>
      </c>
      <c r="F17" s="66">
        <f t="shared" si="1"/>
        <v>0.26119999999999999</v>
      </c>
      <c r="G17" s="36">
        <f t="shared" si="2"/>
        <v>935</v>
      </c>
      <c r="I17" s="30"/>
      <c r="J17" s="30"/>
    </row>
    <row r="18" spans="1:10">
      <c r="A18" s="2">
        <f>'Link In'!J16</f>
        <v>52542015</v>
      </c>
      <c r="B18" s="11" t="str">
        <f>'Link In'!K16</f>
        <v>Forms CA</v>
      </c>
      <c r="C18" s="36">
        <f>'Link In'!Y16</f>
        <v>135893</v>
      </c>
      <c r="D18" s="36">
        <f t="shared" si="0"/>
        <v>3184</v>
      </c>
      <c r="E18" s="36">
        <f>ROUND(SUM(VLOOKUP(A18,'Link In'!J:AC,20,FALSE)*$E$21),0)</f>
        <v>139077</v>
      </c>
      <c r="F18" s="66">
        <f t="shared" si="1"/>
        <v>0.11700000000000001</v>
      </c>
      <c r="G18" s="36">
        <f t="shared" si="2"/>
        <v>419</v>
      </c>
      <c r="I18" s="30"/>
      <c r="J18" s="30"/>
    </row>
    <row r="19" spans="1:10">
      <c r="A19" s="2">
        <f>'Link In'!J17</f>
        <v>52566015</v>
      </c>
      <c r="B19" s="11" t="str">
        <f>'Link In'!K17</f>
        <v>Postage CA</v>
      </c>
      <c r="C19" s="36">
        <f>'Link In'!Y17</f>
        <v>570456</v>
      </c>
      <c r="D19" s="36">
        <f t="shared" si="0"/>
        <v>13380</v>
      </c>
      <c r="E19" s="36">
        <f>ROUND(SUM(VLOOKUP(A19,'Link In'!J:AC,20,FALSE)*$E$21),0)</f>
        <v>583836</v>
      </c>
      <c r="F19" s="66">
        <f t="shared" si="1"/>
        <v>0.4909</v>
      </c>
      <c r="G19" s="36">
        <f t="shared" si="2"/>
        <v>1756</v>
      </c>
      <c r="I19" s="30"/>
      <c r="J19" s="30"/>
    </row>
    <row r="20" spans="1:10">
      <c r="B20" s="11"/>
      <c r="C20" s="36"/>
      <c r="D20" s="36"/>
      <c r="E20" s="36"/>
    </row>
    <row r="21" spans="1:10" ht="15" thickBot="1">
      <c r="C21" s="37">
        <f>SUM(C14:C20)</f>
        <v>1161947</v>
      </c>
      <c r="D21" s="37">
        <f>SUM(D14:D20)</f>
        <v>27250</v>
      </c>
      <c r="E21" s="39">
        <f>'Base &amp; Forecast Detail'!O37</f>
        <v>1189197</v>
      </c>
      <c r="G21" s="37">
        <f>SUM(G14:G20)</f>
        <v>3578</v>
      </c>
      <c r="I21" s="65"/>
      <c r="J21" s="65"/>
    </row>
    <row r="22" spans="1:10" ht="15" thickTop="1"/>
    <row r="23" spans="1:10">
      <c r="A23" s="2">
        <f>+A17</f>
        <v>52520000</v>
      </c>
      <c r="B23" s="11" t="str">
        <f>+B17</f>
        <v>Collection Agencies</v>
      </c>
      <c r="D23" s="68" t="str">
        <f>+Exhibit!B20</f>
        <v>Call Handling Overflow Agents</v>
      </c>
      <c r="E23" s="39">
        <f>+'Workpaper 1'!D30</f>
        <v>149435</v>
      </c>
    </row>
    <row r="24" spans="1:10">
      <c r="A24" s="2">
        <f>+A17</f>
        <v>52520000</v>
      </c>
      <c r="B24" s="11" t="str">
        <f>+B17</f>
        <v>Collection Agencies</v>
      </c>
      <c r="D24" s="68" t="str">
        <f>+'Workpaper 2'!B37</f>
        <v xml:space="preserve">Call Handling Overflow Agents Waste Water </v>
      </c>
      <c r="E24" s="39">
        <f>+-'Workpaper 2'!I37</f>
        <v>-162</v>
      </c>
    </row>
    <row r="25" spans="1:10">
      <c r="B25" s="11"/>
      <c r="D25" s="68" t="str">
        <f>+Exhibit!B22</f>
        <v>North Middletown Acquisition</v>
      </c>
      <c r="E25" s="39">
        <f>+'Workpaper 3'!E26</f>
        <v>3578</v>
      </c>
    </row>
    <row r="26" spans="1:10" ht="15" thickBot="1">
      <c r="E26" s="37">
        <f>SUM(E21:E25)</f>
        <v>1342048</v>
      </c>
    </row>
    <row r="27" spans="1:10" ht="1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94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/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2.88671875" style="2" bestFit="1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- 3-9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Customer Accounting-Postage Exhibit.xlsx]Base &amp; Forecast Detail</v>
      </c>
    </row>
    <row r="3" spans="1:15">
      <c r="A3" s="128" t="s">
        <v>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>
      <c r="A4" s="128" t="str">
        <f>'Link In'!A3</f>
        <v>Case No. 2018-00358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>
      <c r="A5" s="128" t="str">
        <f>'Link In'!A7</f>
        <v>Base Year for the 12 Months Ended February 28, 2019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>
      <c r="A6" s="128" t="str">
        <f>'Link In'!A9</f>
        <v>Forecast Year for the 12 Months Ended June 30, 2020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>
      <c r="A7" s="128" t="str">
        <f>'Link In'!A22</f>
        <v>Customer Accounting-Postage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>
      <c r="A8" s="6" t="str">
        <f>'Link In'!A20</f>
        <v>Witness Responsible:   James Pellock</v>
      </c>
    </row>
    <row r="9" spans="1:15">
      <c r="A9" s="25" t="str">
        <f>'Link In'!A15</f>
        <v>Type of Filing: __X__ Original  _____ Updated  _____ Revised</v>
      </c>
    </row>
    <row r="10" spans="1:15">
      <c r="A10" s="25"/>
    </row>
    <row r="11" spans="1:15">
      <c r="C11" s="130" t="str">
        <f>'Link In'!A7</f>
        <v>Base Year for the 12 Months Ended February 28, 2019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>
      <c r="A12" s="60" t="s">
        <v>14</v>
      </c>
      <c r="B12" s="60" t="s">
        <v>6</v>
      </c>
      <c r="C12" s="32">
        <f>+'Link In'!M10</f>
        <v>43160</v>
      </c>
      <c r="D12" s="32">
        <f>+'Link In'!N10</f>
        <v>43191</v>
      </c>
      <c r="E12" s="32">
        <f>+'Link In'!O10</f>
        <v>43221</v>
      </c>
      <c r="F12" s="32">
        <f>+'Link In'!P10</f>
        <v>43252</v>
      </c>
      <c r="G12" s="32">
        <f>+'Link In'!Q10</f>
        <v>43282</v>
      </c>
      <c r="H12" s="32">
        <f>+'Link In'!R10</f>
        <v>43313</v>
      </c>
      <c r="I12" s="32">
        <f>+'Link In'!S10</f>
        <v>43344</v>
      </c>
      <c r="J12" s="32">
        <f>+'Link In'!T10</f>
        <v>43374</v>
      </c>
      <c r="K12" s="32">
        <f>+'Link In'!U10</f>
        <v>43405</v>
      </c>
      <c r="L12" s="32">
        <f>+'Link In'!V10</f>
        <v>43435</v>
      </c>
      <c r="M12" s="32">
        <f>+'Link In'!W10</f>
        <v>43466</v>
      </c>
      <c r="N12" s="32">
        <f>+'Link In'!X10</f>
        <v>43497</v>
      </c>
      <c r="O12" s="60" t="s">
        <v>7</v>
      </c>
    </row>
    <row r="13" spans="1:15">
      <c r="A13" s="44"/>
      <c r="B13" s="44"/>
      <c r="C13" s="44"/>
    </row>
    <row r="14" spans="1:15">
      <c r="A14" s="2">
        <f>'Link In'!J12</f>
        <v>52501500</v>
      </c>
      <c r="B14" s="11" t="str">
        <f>'Link In'!K12</f>
        <v>Misc Oper CA</v>
      </c>
      <c r="C14" s="46">
        <f>'Link In'!M12</f>
        <v>901</v>
      </c>
      <c r="D14" s="46">
        <f>'Link In'!N12</f>
        <v>-54</v>
      </c>
      <c r="E14" s="46">
        <f>'Link In'!O12</f>
        <v>27</v>
      </c>
      <c r="F14" s="46">
        <f>'Link In'!P12</f>
        <v>0</v>
      </c>
      <c r="G14" s="46">
        <f>'Link In'!Q12</f>
        <v>0</v>
      </c>
      <c r="H14" s="46">
        <f>'Link In'!R12</f>
        <v>450</v>
      </c>
      <c r="I14" s="46">
        <f>'Link In'!S12</f>
        <v>0</v>
      </c>
      <c r="J14" s="46">
        <f>'Link In'!T12</f>
        <v>0</v>
      </c>
      <c r="K14" s="46">
        <f>'Link In'!U12</f>
        <v>0</v>
      </c>
      <c r="L14" s="46">
        <f>'Link In'!V12</f>
        <v>0</v>
      </c>
      <c r="M14" s="46">
        <f>'Link In'!W12</f>
        <v>100</v>
      </c>
      <c r="N14" s="46">
        <f>'Link In'!X12</f>
        <v>0</v>
      </c>
      <c r="O14" s="35">
        <f t="shared" ref="O14:O23" si="0">SUM(C14:N14)</f>
        <v>1424</v>
      </c>
    </row>
    <row r="15" spans="1:15">
      <c r="A15" s="2">
        <f>'Link In'!J13</f>
        <v>52510015</v>
      </c>
      <c r="B15" s="11" t="str">
        <f>'Link In'!K13</f>
        <v>Bank Svc Charges-CA</v>
      </c>
      <c r="C15" s="42">
        <f>'Link In'!M13</f>
        <v>9770</v>
      </c>
      <c r="D15" s="42">
        <f>'Link In'!N13</f>
        <v>12547</v>
      </c>
      <c r="E15" s="42">
        <f>'Link In'!O13</f>
        <v>10676</v>
      </c>
      <c r="F15" s="42">
        <f>'Link In'!P13</f>
        <v>11848</v>
      </c>
      <c r="G15" s="42">
        <f>'Link In'!Q13</f>
        <v>9755</v>
      </c>
      <c r="H15" s="42">
        <f>'Link In'!R13</f>
        <v>11479</v>
      </c>
      <c r="I15" s="42">
        <f>'Link In'!S13</f>
        <v>16162</v>
      </c>
      <c r="J15" s="42">
        <f>'Link In'!T13</f>
        <v>11963</v>
      </c>
      <c r="K15" s="42">
        <f>'Link In'!U13</f>
        <v>14142</v>
      </c>
      <c r="L15" s="42">
        <f>'Link In'!V13</f>
        <v>10444</v>
      </c>
      <c r="M15" s="42">
        <f>'Link In'!W13</f>
        <v>10184</v>
      </c>
      <c r="N15" s="42">
        <f>'Link In'!X13</f>
        <v>11677</v>
      </c>
      <c r="O15" s="36">
        <f t="shared" si="0"/>
        <v>140647</v>
      </c>
    </row>
    <row r="16" spans="1:15">
      <c r="A16" s="2">
        <f>'Link In'!J14</f>
        <v>52514906</v>
      </c>
      <c r="B16" s="11" t="str">
        <f>'Link In'!K14</f>
        <v>Cust Edu-Bill Insert</v>
      </c>
      <c r="C16" s="42">
        <f>'Link In'!M14</f>
        <v>0</v>
      </c>
      <c r="D16" s="42">
        <f>'Link In'!N14</f>
        <v>0</v>
      </c>
      <c r="E16" s="42">
        <f>'Link In'!O14</f>
        <v>0</v>
      </c>
      <c r="F16" s="42">
        <f>'Link In'!P14</f>
        <v>0</v>
      </c>
      <c r="G16" s="42">
        <f>'Link In'!Q14</f>
        <v>0</v>
      </c>
      <c r="H16" s="42">
        <f>'Link In'!R14</f>
        <v>0</v>
      </c>
      <c r="I16" s="42">
        <f>'Link In'!S14</f>
        <v>1666</v>
      </c>
      <c r="J16" s="42">
        <f>'Link In'!T14</f>
        <v>1666</v>
      </c>
      <c r="K16" s="42">
        <f>'Link In'!U14</f>
        <v>1666</v>
      </c>
      <c r="L16" s="42">
        <f>'Link In'!V14</f>
        <v>1674</v>
      </c>
      <c r="M16" s="42">
        <f>'Link In'!W14</f>
        <v>1666</v>
      </c>
      <c r="N16" s="42">
        <f>'Link In'!X14</f>
        <v>1666</v>
      </c>
      <c r="O16" s="36">
        <f t="shared" si="0"/>
        <v>10004</v>
      </c>
    </row>
    <row r="17" spans="1:15">
      <c r="A17" s="2">
        <f>'Link In'!J15</f>
        <v>52520000</v>
      </c>
      <c r="B17" s="11" t="str">
        <f>'Link In'!K15</f>
        <v>Collection Agencies</v>
      </c>
      <c r="C17" s="42">
        <f>'Link In'!M15</f>
        <v>23368</v>
      </c>
      <c r="D17" s="42">
        <f>'Link In'!N15</f>
        <v>26741</v>
      </c>
      <c r="E17" s="42">
        <f>'Link In'!O15</f>
        <v>38009</v>
      </c>
      <c r="F17" s="42">
        <f>'Link In'!P15</f>
        <v>33126</v>
      </c>
      <c r="G17" s="42">
        <f>'Link In'!Q15</f>
        <v>33733</v>
      </c>
      <c r="H17" s="42">
        <f>'Link In'!R15</f>
        <v>42678</v>
      </c>
      <c r="I17" s="42">
        <f>'Link In'!S15</f>
        <v>16988</v>
      </c>
      <c r="J17" s="42">
        <f>'Link In'!T15</f>
        <v>16988</v>
      </c>
      <c r="K17" s="42">
        <f>'Link In'!U15</f>
        <v>16988</v>
      </c>
      <c r="L17" s="42">
        <f>'Link In'!V15</f>
        <v>16988</v>
      </c>
      <c r="M17" s="42">
        <f>'Link In'!W15</f>
        <v>18958</v>
      </c>
      <c r="N17" s="42">
        <f>'Link In'!X15</f>
        <v>18958</v>
      </c>
      <c r="O17" s="36">
        <f t="shared" si="0"/>
        <v>303523</v>
      </c>
    </row>
    <row r="18" spans="1:15">
      <c r="A18" s="2">
        <f>'Link In'!J16</f>
        <v>52542015</v>
      </c>
      <c r="B18" s="11" t="str">
        <f>'Link In'!K16</f>
        <v>Forms CA</v>
      </c>
      <c r="C18" s="42">
        <f>'Link In'!M16</f>
        <v>10166</v>
      </c>
      <c r="D18" s="42">
        <f>'Link In'!N16</f>
        <v>11850</v>
      </c>
      <c r="E18" s="42">
        <f>'Link In'!O16</f>
        <v>11058</v>
      </c>
      <c r="F18" s="42">
        <f>'Link In'!P16</f>
        <v>10041</v>
      </c>
      <c r="G18" s="42">
        <f>'Link In'!Q16</f>
        <v>9342</v>
      </c>
      <c r="H18" s="42">
        <f>'Link In'!R16</f>
        <v>7850</v>
      </c>
      <c r="I18" s="42">
        <f>'Link In'!S16</f>
        <v>12083</v>
      </c>
      <c r="J18" s="42">
        <f>'Link In'!T16</f>
        <v>12083</v>
      </c>
      <c r="K18" s="42">
        <f>'Link In'!U16</f>
        <v>12083</v>
      </c>
      <c r="L18" s="42">
        <f>'Link In'!V16</f>
        <v>12083</v>
      </c>
      <c r="M18" s="42">
        <f>'Link In'!W16</f>
        <v>13627</v>
      </c>
      <c r="N18" s="42">
        <f>'Link In'!X16</f>
        <v>13627</v>
      </c>
      <c r="O18" s="36">
        <f t="shared" si="0"/>
        <v>135893</v>
      </c>
    </row>
    <row r="19" spans="1:15">
      <c r="A19" s="2">
        <f>'Link In'!J17</f>
        <v>52566015</v>
      </c>
      <c r="B19" s="11" t="str">
        <f>'Link In'!K17</f>
        <v>Postage CA</v>
      </c>
      <c r="C19" s="42">
        <f>'Link In'!M17</f>
        <v>45892</v>
      </c>
      <c r="D19" s="42">
        <f>'Link In'!N17</f>
        <v>47781</v>
      </c>
      <c r="E19" s="42">
        <f>'Link In'!O17</f>
        <v>46974</v>
      </c>
      <c r="F19" s="42">
        <f>'Link In'!P17</f>
        <v>42064</v>
      </c>
      <c r="G19" s="42">
        <f>'Link In'!Q17</f>
        <v>50695</v>
      </c>
      <c r="H19" s="42">
        <f>'Link In'!R17</f>
        <v>46202</v>
      </c>
      <c r="I19" s="42">
        <f>'Link In'!S17</f>
        <v>48854</v>
      </c>
      <c r="J19" s="42">
        <f>'Link In'!T17</f>
        <v>48854</v>
      </c>
      <c r="K19" s="42">
        <f>'Link In'!U17</f>
        <v>48854</v>
      </c>
      <c r="L19" s="42">
        <f>'Link In'!V17</f>
        <v>48854</v>
      </c>
      <c r="M19" s="42">
        <f>'Link In'!W17</f>
        <v>47716</v>
      </c>
      <c r="N19" s="42">
        <f>'Link In'!X17</f>
        <v>47716</v>
      </c>
      <c r="O19" s="36">
        <f t="shared" si="0"/>
        <v>570456</v>
      </c>
    </row>
    <row r="20" spans="1:15">
      <c r="B20" s="11"/>
      <c r="C20" s="4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f t="shared" si="0"/>
        <v>0</v>
      </c>
    </row>
    <row r="21" spans="1:15">
      <c r="B21" s="11"/>
      <c r="C21" s="4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>
        <f t="shared" si="0"/>
        <v>0</v>
      </c>
    </row>
    <row r="22" spans="1:15">
      <c r="B22" s="11"/>
      <c r="C22" s="4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>
        <f t="shared" si="0"/>
        <v>0</v>
      </c>
    </row>
    <row r="23" spans="1:15">
      <c r="B23" s="11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>
        <f t="shared" si="0"/>
        <v>0</v>
      </c>
    </row>
    <row r="24" spans="1:15">
      <c r="A24" s="44"/>
      <c r="B24" s="44"/>
      <c r="C24" s="4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>
      <c r="A25" s="44"/>
      <c r="B25" s="44"/>
      <c r="C25" s="45"/>
      <c r="O25" s="47">
        <f>SUM(O14:O24)</f>
        <v>1161947</v>
      </c>
    </row>
    <row r="26" spans="1:15">
      <c r="A26" s="44"/>
      <c r="B26" s="44"/>
      <c r="C26" s="45"/>
    </row>
    <row r="27" spans="1:15">
      <c r="C27" s="130" t="str">
        <f>'Link In'!A9</f>
        <v>Forecast Year for the 12 Months Ended June 30, 2020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>
      <c r="A28" s="60" t="s">
        <v>14</v>
      </c>
      <c r="B28" s="60" t="s">
        <v>6</v>
      </c>
      <c r="C28" s="32">
        <f>+'Link In'!M28</f>
        <v>43647</v>
      </c>
      <c r="D28" s="32">
        <f>+'Link In'!N28</f>
        <v>43678</v>
      </c>
      <c r="E28" s="32">
        <f>+'Link In'!O28</f>
        <v>43709</v>
      </c>
      <c r="F28" s="32">
        <f>+'Link In'!P28</f>
        <v>43739</v>
      </c>
      <c r="G28" s="32">
        <f>+'Link In'!Q28</f>
        <v>43770</v>
      </c>
      <c r="H28" s="32">
        <f>+'Link In'!R28</f>
        <v>43800</v>
      </c>
      <c r="I28" s="32">
        <f>+'Link In'!S28</f>
        <v>43831</v>
      </c>
      <c r="J28" s="32">
        <f>+'Link In'!T28</f>
        <v>43862</v>
      </c>
      <c r="K28" s="32">
        <f>+'Link In'!U28</f>
        <v>43891</v>
      </c>
      <c r="L28" s="32">
        <f>+'Link In'!V28</f>
        <v>43922</v>
      </c>
      <c r="M28" s="32">
        <f>+'Link In'!W28</f>
        <v>43952</v>
      </c>
      <c r="N28" s="32">
        <f>+'Link In'!X28</f>
        <v>43983</v>
      </c>
      <c r="O28" s="60" t="s">
        <v>27</v>
      </c>
    </row>
    <row r="30" spans="1:15">
      <c r="A30" s="2">
        <f>'Link In'!J30</f>
        <v>52501500</v>
      </c>
      <c r="B30" s="2" t="str">
        <f>'Link In'!K30</f>
        <v>Misc Oper CA</v>
      </c>
      <c r="C30" s="46">
        <f>'Link In'!M30</f>
        <v>0</v>
      </c>
      <c r="D30" s="46">
        <f>'Link In'!N30</f>
        <v>0</v>
      </c>
      <c r="E30" s="46">
        <f>'Link In'!O30</f>
        <v>0</v>
      </c>
      <c r="F30" s="46">
        <f>'Link In'!P30</f>
        <v>0</v>
      </c>
      <c r="G30" s="46">
        <f>'Link In'!Q30</f>
        <v>0</v>
      </c>
      <c r="H30" s="46">
        <f>'Link In'!R30</f>
        <v>0</v>
      </c>
      <c r="I30" s="46">
        <f>'Link In'!S30</f>
        <v>101476</v>
      </c>
      <c r="J30" s="46">
        <f>'Link In'!T30</f>
        <v>103009</v>
      </c>
      <c r="K30" s="46">
        <f>'Link In'!U30</f>
        <v>100911</v>
      </c>
      <c r="L30" s="46">
        <f>'Link In'!V30</f>
        <v>103965</v>
      </c>
      <c r="M30" s="46">
        <f>'Link In'!W30</f>
        <v>114001</v>
      </c>
      <c r="N30" s="46">
        <f>'Link In'!X30</f>
        <v>107480</v>
      </c>
      <c r="O30" s="46">
        <f t="shared" ref="O30:O35" si="1">SUM(C30:N30)</f>
        <v>630842</v>
      </c>
    </row>
    <row r="31" spans="1:15">
      <c r="A31" s="2">
        <f>'Link In'!J31</f>
        <v>52510015</v>
      </c>
      <c r="B31" s="2" t="str">
        <f>'Link In'!K31</f>
        <v>Bank Svc Charges-CA</v>
      </c>
      <c r="C31" s="40">
        <f>'Link In'!M31</f>
        <v>10532</v>
      </c>
      <c r="D31" s="40">
        <f>'Link In'!N31</f>
        <v>10735</v>
      </c>
      <c r="E31" s="40">
        <f>'Link In'!O31</f>
        <v>11343</v>
      </c>
      <c r="F31" s="40">
        <f>'Link In'!P31</f>
        <v>11484</v>
      </c>
      <c r="G31" s="40">
        <f>'Link In'!Q31</f>
        <v>11858</v>
      </c>
      <c r="H31" s="40">
        <f>'Link In'!R31</f>
        <v>10601</v>
      </c>
      <c r="I31" s="40">
        <f>'Link In'!S31</f>
        <v>0</v>
      </c>
      <c r="J31" s="40">
        <f>'Link In'!T31</f>
        <v>0</v>
      </c>
      <c r="K31" s="40">
        <f>'Link In'!U31</f>
        <v>0</v>
      </c>
      <c r="L31" s="40">
        <f>'Link In'!V31</f>
        <v>0</v>
      </c>
      <c r="M31" s="40">
        <f>'Link In'!W31</f>
        <v>0</v>
      </c>
      <c r="N31" s="40">
        <f>'Link In'!X31</f>
        <v>0</v>
      </c>
      <c r="O31" s="40">
        <f t="shared" si="1"/>
        <v>66553</v>
      </c>
    </row>
    <row r="32" spans="1:15">
      <c r="A32" s="2">
        <f>'Link In'!J32</f>
        <v>52514906</v>
      </c>
      <c r="B32" s="2" t="str">
        <f>'Link In'!K32</f>
        <v>Cust Edu-Bill Insert</v>
      </c>
      <c r="C32" s="40">
        <f>'Link In'!M32</f>
        <v>1666</v>
      </c>
      <c r="D32" s="40">
        <f>'Link In'!N32</f>
        <v>1666</v>
      </c>
      <c r="E32" s="40">
        <f>'Link In'!O32</f>
        <v>1666</v>
      </c>
      <c r="F32" s="40">
        <f>'Link In'!P32</f>
        <v>1666</v>
      </c>
      <c r="G32" s="40">
        <f>'Link In'!Q32</f>
        <v>1666</v>
      </c>
      <c r="H32" s="40">
        <f>'Link In'!R32</f>
        <v>1666</v>
      </c>
      <c r="I32" s="40">
        <f>'Link In'!S32</f>
        <v>0</v>
      </c>
      <c r="J32" s="40">
        <f>'Link In'!T32</f>
        <v>0</v>
      </c>
      <c r="K32" s="40">
        <f>'Link In'!U32</f>
        <v>0</v>
      </c>
      <c r="L32" s="40">
        <f>'Link In'!V32</f>
        <v>0</v>
      </c>
      <c r="M32" s="40">
        <f>'Link In'!W32</f>
        <v>0</v>
      </c>
      <c r="N32" s="40">
        <f>'Link In'!X32</f>
        <v>0</v>
      </c>
      <c r="O32" s="40">
        <f t="shared" si="1"/>
        <v>9996</v>
      </c>
    </row>
    <row r="33" spans="1:15">
      <c r="A33" s="2">
        <f>'Link In'!J33</f>
        <v>52520000</v>
      </c>
      <c r="B33" s="2" t="str">
        <f>'Link In'!K33</f>
        <v>Collection Agencies</v>
      </c>
      <c r="C33" s="40">
        <f>'Link In'!M33</f>
        <v>18958</v>
      </c>
      <c r="D33" s="40">
        <f>'Link In'!N33</f>
        <v>18958</v>
      </c>
      <c r="E33" s="40">
        <f>'Link In'!O33</f>
        <v>18958</v>
      </c>
      <c r="F33" s="40">
        <f>'Link In'!P33</f>
        <v>18958</v>
      </c>
      <c r="G33" s="40">
        <f>'Link In'!Q33</f>
        <v>18958</v>
      </c>
      <c r="H33" s="40">
        <f>'Link In'!R33</f>
        <v>18958</v>
      </c>
      <c r="I33" s="40">
        <f>'Link In'!S33</f>
        <v>0</v>
      </c>
      <c r="J33" s="40">
        <f>'Link In'!T33</f>
        <v>0</v>
      </c>
      <c r="K33" s="40">
        <f>'Link In'!U33</f>
        <v>0</v>
      </c>
      <c r="L33" s="40">
        <f>'Link In'!V33</f>
        <v>0</v>
      </c>
      <c r="M33" s="40">
        <f>'Link In'!W33</f>
        <v>0</v>
      </c>
      <c r="N33" s="40">
        <f>'Link In'!X33</f>
        <v>0</v>
      </c>
      <c r="O33" s="40">
        <f t="shared" si="1"/>
        <v>113748</v>
      </c>
    </row>
    <row r="34" spans="1:15">
      <c r="A34" s="2">
        <f>'Link In'!J34</f>
        <v>52542015</v>
      </c>
      <c r="B34" s="2" t="str">
        <f>'Link In'!K34</f>
        <v>Forms CA</v>
      </c>
      <c r="C34" s="40">
        <f>'Link In'!M34</f>
        <v>13627</v>
      </c>
      <c r="D34" s="40">
        <f>'Link In'!N34</f>
        <v>13627</v>
      </c>
      <c r="E34" s="40">
        <f>'Link In'!O34</f>
        <v>13627</v>
      </c>
      <c r="F34" s="40">
        <f>'Link In'!P34</f>
        <v>13627</v>
      </c>
      <c r="G34" s="40">
        <f>'Link In'!Q34</f>
        <v>13627</v>
      </c>
      <c r="H34" s="40">
        <f>'Link In'!R34</f>
        <v>13627</v>
      </c>
      <c r="I34" s="40">
        <f>'Link In'!S34</f>
        <v>0</v>
      </c>
      <c r="J34" s="40">
        <f>'Link In'!T34</f>
        <v>0</v>
      </c>
      <c r="K34" s="40">
        <f>'Link In'!U34</f>
        <v>0</v>
      </c>
      <c r="L34" s="40">
        <f>'Link In'!V34</f>
        <v>0</v>
      </c>
      <c r="M34" s="40">
        <f>'Link In'!W34</f>
        <v>0</v>
      </c>
      <c r="N34" s="40">
        <f>'Link In'!X34</f>
        <v>0</v>
      </c>
      <c r="O34" s="40">
        <f t="shared" si="1"/>
        <v>81762</v>
      </c>
    </row>
    <row r="35" spans="1:15">
      <c r="A35" s="2">
        <f>'Link In'!J35</f>
        <v>52566015</v>
      </c>
      <c r="B35" s="2" t="str">
        <f>'Link In'!K35</f>
        <v>Postage CA</v>
      </c>
      <c r="C35" s="40">
        <f>'Link In'!M35</f>
        <v>47716</v>
      </c>
      <c r="D35" s="40">
        <f>'Link In'!N35</f>
        <v>47716</v>
      </c>
      <c r="E35" s="40">
        <f>'Link In'!O35</f>
        <v>47716</v>
      </c>
      <c r="F35" s="40">
        <f>'Link In'!P35</f>
        <v>47716</v>
      </c>
      <c r="G35" s="40">
        <f>'Link In'!Q35</f>
        <v>47716</v>
      </c>
      <c r="H35" s="40">
        <f>'Link In'!R35</f>
        <v>47716</v>
      </c>
      <c r="I35" s="40">
        <f>'Link In'!S35</f>
        <v>0</v>
      </c>
      <c r="J35" s="40">
        <f>'Link In'!T35</f>
        <v>0</v>
      </c>
      <c r="K35" s="40">
        <f>'Link In'!U35</f>
        <v>0</v>
      </c>
      <c r="L35" s="40">
        <f>'Link In'!V35</f>
        <v>0</v>
      </c>
      <c r="M35" s="40">
        <f>'Link In'!W35</f>
        <v>0</v>
      </c>
      <c r="N35" s="40">
        <f>'Link In'!X35</f>
        <v>0</v>
      </c>
      <c r="O35" s="40">
        <f t="shared" si="1"/>
        <v>286296</v>
      </c>
    </row>
    <row r="37" spans="1:15">
      <c r="O37" s="47">
        <f>SUM(O30:O36)</f>
        <v>1189197</v>
      </c>
    </row>
  </sheetData>
  <mergeCells count="7">
    <mergeCell ref="C27:O27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70" orientation="landscape" blackAndWhite="1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- 3-9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Customer Accounting-Postage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3" t="s">
        <v>32</v>
      </c>
    </row>
    <row r="8" spans="1:12">
      <c r="B8" s="53" t="s">
        <v>30</v>
      </c>
    </row>
    <row r="10" spans="1:12">
      <c r="A10" s="6" t="s">
        <v>31</v>
      </c>
      <c r="B10" s="2" t="s">
        <v>34</v>
      </c>
    </row>
    <row r="11" spans="1:12">
      <c r="B11" s="2" t="s">
        <v>33</v>
      </c>
    </row>
    <row r="12" spans="1:12">
      <c r="B12" s="2" t="s">
        <v>65</v>
      </c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defaultColWidth="9.109375" defaultRowHeight="14.4"/>
  <cols>
    <col min="1" max="1" width="9.109375" style="2"/>
    <col min="2" max="2" width="55.5546875" style="2" bestFit="1" customWidth="1"/>
    <col min="3" max="3" width="19" style="2" bestFit="1" customWidth="1"/>
    <col min="4" max="4" width="10.88671875" style="2" bestFit="1" customWidth="1"/>
    <col min="5" max="8" width="9.109375" style="2"/>
    <col min="9" max="9" width="10.88671875" style="2" bestFit="1" customWidth="1"/>
    <col min="10" max="16384" width="9.109375" style="2"/>
  </cols>
  <sheetData>
    <row r="1" spans="1:9">
      <c r="A1" s="1" t="s">
        <v>10</v>
      </c>
      <c r="B1" s="1"/>
      <c r="C1" s="1"/>
      <c r="D1" s="1"/>
      <c r="I1" s="4" t="str">
        <f>'Link In'!A25</f>
        <v>W/P - 3-9</v>
      </c>
    </row>
    <row r="2" spans="1:9">
      <c r="A2" s="1" t="s">
        <v>11</v>
      </c>
      <c r="B2" s="1"/>
      <c r="C2" s="1"/>
      <c r="D2" s="1"/>
      <c r="I2" s="5" t="str">
        <f ca="1">RIGHT(CELL("filename",$A$1),LEN(CELL("filename",$A$1))-SEARCH("\O&amp;M",CELL("filename",$A$1),1))</f>
        <v>O&amp;M\[KAWC 2018 Rate Case - Customer Accounting-Postage Exhibit.xlsx]Workpaper 1</v>
      </c>
    </row>
    <row r="3" spans="1:9">
      <c r="A3" s="1"/>
      <c r="B3" s="1"/>
      <c r="C3" s="1"/>
      <c r="D3" s="1"/>
      <c r="I3" s="5"/>
    </row>
    <row r="4" spans="1:9">
      <c r="A4" s="128" t="s">
        <v>29</v>
      </c>
      <c r="B4" s="128"/>
      <c r="C4" s="128"/>
      <c r="D4" s="128"/>
      <c r="E4" s="128"/>
      <c r="F4" s="128"/>
      <c r="G4" s="128"/>
      <c r="H4" s="128"/>
      <c r="I4" s="128"/>
    </row>
    <row r="5" spans="1:9">
      <c r="A5" s="128" t="str">
        <f>'Link In'!A3</f>
        <v>Case No. 2018-00358</v>
      </c>
      <c r="B5" s="128"/>
      <c r="C5" s="128"/>
      <c r="D5" s="128"/>
      <c r="E5" s="128"/>
      <c r="F5" s="128"/>
      <c r="G5" s="128"/>
      <c r="H5" s="128"/>
      <c r="I5" s="128"/>
    </row>
    <row r="6" spans="1:9">
      <c r="A6" s="128" t="str">
        <f>'Link In'!A7</f>
        <v>Base Year for the 12 Months Ended February 28, 2019</v>
      </c>
      <c r="B6" s="128"/>
      <c r="C6" s="128"/>
      <c r="D6" s="128"/>
      <c r="E6" s="128"/>
      <c r="F6" s="128"/>
      <c r="G6" s="128"/>
      <c r="H6" s="128"/>
      <c r="I6" s="128"/>
    </row>
    <row r="7" spans="1:9">
      <c r="A7" s="128" t="str">
        <f>'Link In'!A9</f>
        <v>Forecast Year for the 12 Months Ended June 30, 2020</v>
      </c>
      <c r="B7" s="128"/>
      <c r="C7" s="128"/>
      <c r="D7" s="128"/>
      <c r="E7" s="128"/>
      <c r="F7" s="128"/>
      <c r="G7" s="128"/>
      <c r="H7" s="128"/>
      <c r="I7" s="128"/>
    </row>
    <row r="8" spans="1:9">
      <c r="A8" s="128" t="str">
        <f>+'Link In'!A22</f>
        <v>Customer Accounting-Postage</v>
      </c>
      <c r="B8" s="128"/>
      <c r="C8" s="128"/>
      <c r="D8" s="128"/>
      <c r="E8" s="128"/>
      <c r="F8" s="128"/>
      <c r="G8" s="128"/>
      <c r="H8" s="128"/>
      <c r="I8" s="128"/>
    </row>
    <row r="9" spans="1:9">
      <c r="A9" s="79"/>
      <c r="B9" s="79"/>
      <c r="C9" s="79"/>
      <c r="D9" s="79"/>
      <c r="E9" s="79"/>
      <c r="F9" s="79"/>
      <c r="G9" s="79"/>
      <c r="H9" s="79"/>
      <c r="I9" s="79"/>
    </row>
    <row r="10" spans="1:9">
      <c r="A10" s="79"/>
      <c r="B10" s="79"/>
      <c r="C10" s="79"/>
      <c r="D10" s="79"/>
      <c r="E10" s="79"/>
      <c r="F10" s="79"/>
      <c r="G10" s="79"/>
      <c r="H10" s="79"/>
      <c r="I10" s="79"/>
    </row>
    <row r="11" spans="1:9">
      <c r="A11" s="6" t="str">
        <f>'Link In'!A20</f>
        <v>Witness Responsible:   James Pellock</v>
      </c>
    </row>
    <row r="12" spans="1:9">
      <c r="A12" s="25" t="str">
        <f>'Link In'!A15</f>
        <v>Type of Filing: __X__ Original  _____ Updated  _____ Revised</v>
      </c>
      <c r="D12" s="128"/>
      <c r="E12" s="128"/>
      <c r="F12" s="128"/>
      <c r="G12" s="128"/>
      <c r="H12" s="128"/>
      <c r="I12" s="128"/>
    </row>
    <row r="13" spans="1:9">
      <c r="A13" s="25"/>
      <c r="D13" s="79"/>
      <c r="E13" s="79"/>
      <c r="F13" s="79"/>
      <c r="G13" s="79"/>
      <c r="H13" s="79"/>
      <c r="I13" s="79"/>
    </row>
    <row r="14" spans="1:9">
      <c r="A14" s="25"/>
      <c r="D14" s="79"/>
      <c r="E14" s="79"/>
      <c r="F14" s="79"/>
      <c r="G14" s="79"/>
      <c r="H14" s="79"/>
      <c r="I14" s="79"/>
    </row>
    <row r="16" spans="1:9" ht="15" thickBot="1">
      <c r="A16" s="71" t="s">
        <v>0</v>
      </c>
      <c r="B16" s="71" t="s">
        <v>1</v>
      </c>
      <c r="C16" s="72"/>
      <c r="D16" s="72"/>
      <c r="E16" s="72"/>
      <c r="F16" s="73"/>
      <c r="G16" s="73"/>
      <c r="H16" s="73"/>
      <c r="I16" s="73"/>
    </row>
    <row r="19" spans="1:9">
      <c r="G19" s="44"/>
      <c r="H19" s="44"/>
      <c r="I19" s="44"/>
    </row>
    <row r="20" spans="1:9">
      <c r="A20" s="8">
        <v>1</v>
      </c>
      <c r="G20" s="44"/>
      <c r="H20" s="44"/>
      <c r="I20" s="83"/>
    </row>
    <row r="21" spans="1:9">
      <c r="A21" s="8">
        <v>2</v>
      </c>
      <c r="B21" s="74" t="str">
        <f>+Exhibit!B20</f>
        <v>Call Handling Overflow Agents</v>
      </c>
      <c r="G21" s="44"/>
      <c r="H21" s="44"/>
      <c r="I21" s="41"/>
    </row>
    <row r="22" spans="1:9">
      <c r="A22" s="8">
        <v>3</v>
      </c>
      <c r="G22" s="44"/>
      <c r="H22" s="44"/>
      <c r="I22" s="84"/>
    </row>
    <row r="23" spans="1:9">
      <c r="A23" s="8">
        <v>4</v>
      </c>
      <c r="B23" s="91" t="s">
        <v>48</v>
      </c>
      <c r="D23" s="66">
        <f>+D40</f>
        <v>3.996802373826306E-2</v>
      </c>
      <c r="G23" s="44"/>
      <c r="H23" s="44"/>
      <c r="I23" s="41"/>
    </row>
    <row r="24" spans="1:9">
      <c r="A24" s="8">
        <v>5</v>
      </c>
      <c r="G24" s="44"/>
      <c r="H24" s="44"/>
      <c r="I24" s="83"/>
    </row>
    <row r="25" spans="1:9">
      <c r="A25" s="8">
        <v>6</v>
      </c>
      <c r="B25" s="80" t="s">
        <v>40</v>
      </c>
      <c r="C25" s="9"/>
      <c r="D25" s="9"/>
      <c r="G25" s="44"/>
      <c r="H25" s="44"/>
      <c r="I25" s="41"/>
    </row>
    <row r="26" spans="1:9">
      <c r="A26" s="8">
        <v>7</v>
      </c>
      <c r="B26" s="9" t="s">
        <v>41</v>
      </c>
      <c r="C26" s="9"/>
      <c r="D26" s="38">
        <f>24.87*2088</f>
        <v>51928.560000000005</v>
      </c>
      <c r="G26" s="44"/>
      <c r="H26" s="44"/>
      <c r="I26" s="41"/>
    </row>
    <row r="27" spans="1:9">
      <c r="A27" s="8">
        <v>8</v>
      </c>
      <c r="B27" s="9" t="s">
        <v>42</v>
      </c>
      <c r="C27" s="9"/>
      <c r="D27" s="70">
        <f>220-148</f>
        <v>72</v>
      </c>
      <c r="G27" s="44"/>
      <c r="H27" s="44"/>
      <c r="I27" s="83"/>
    </row>
    <row r="28" spans="1:9">
      <c r="A28" s="8">
        <v>9</v>
      </c>
      <c r="B28" s="55" t="s">
        <v>43</v>
      </c>
      <c r="C28" s="81"/>
      <c r="D28" s="89">
        <f>D26*D27</f>
        <v>3738856.3200000003</v>
      </c>
      <c r="G28" s="44"/>
      <c r="H28" s="44"/>
      <c r="I28" s="44"/>
    </row>
    <row r="29" spans="1:9">
      <c r="A29" s="8">
        <v>10</v>
      </c>
      <c r="G29" s="44"/>
      <c r="H29" s="44"/>
      <c r="I29" s="44"/>
    </row>
    <row r="30" spans="1:9" ht="15" thickBot="1">
      <c r="A30" s="8">
        <v>11</v>
      </c>
      <c r="B30" s="55" t="s">
        <v>26</v>
      </c>
      <c r="C30" s="81"/>
      <c r="D30" s="82">
        <f>ROUND(D28*D23,0)</f>
        <v>149435</v>
      </c>
    </row>
    <row r="31" spans="1:9" ht="15" thickTop="1">
      <c r="A31" s="8">
        <v>12</v>
      </c>
      <c r="B31" s="59"/>
      <c r="C31" s="59"/>
      <c r="D31" s="88"/>
    </row>
    <row r="32" spans="1:9">
      <c r="A32" s="8">
        <v>13</v>
      </c>
      <c r="B32" s="80" t="s">
        <v>47</v>
      </c>
      <c r="C32" s="9"/>
      <c r="D32" s="9"/>
      <c r="E32" s="9"/>
    </row>
    <row r="33" spans="1:7">
      <c r="A33" s="8">
        <v>14</v>
      </c>
      <c r="C33" s="90" t="s">
        <v>46</v>
      </c>
      <c r="D33" s="90" t="s">
        <v>44</v>
      </c>
      <c r="E33" s="9"/>
      <c r="F33" s="9"/>
      <c r="G33" s="9"/>
    </row>
    <row r="34" spans="1:7">
      <c r="A34" s="8">
        <v>15</v>
      </c>
      <c r="B34" s="55"/>
      <c r="C34" s="93">
        <v>43160</v>
      </c>
      <c r="D34" s="85">
        <v>3.809942746615054E-2</v>
      </c>
      <c r="E34" s="9"/>
      <c r="F34" s="9"/>
      <c r="G34" s="9"/>
    </row>
    <row r="35" spans="1:7">
      <c r="A35" s="8">
        <v>16</v>
      </c>
      <c r="B35" s="92"/>
      <c r="C35" s="93">
        <v>43191</v>
      </c>
      <c r="D35" s="86">
        <v>3.8099349900596088E-2</v>
      </c>
    </row>
    <row r="36" spans="1:7">
      <c r="A36" s="8">
        <v>17</v>
      </c>
      <c r="B36" s="92"/>
      <c r="C36" s="93">
        <v>43221</v>
      </c>
      <c r="D36" s="86">
        <v>3.9101933333333366E-2</v>
      </c>
    </row>
    <row r="37" spans="1:7">
      <c r="A37" s="8">
        <v>18</v>
      </c>
      <c r="C37" s="93">
        <v>43252</v>
      </c>
      <c r="D37" s="86">
        <v>4.1297124324324308E-2</v>
      </c>
    </row>
    <row r="38" spans="1:7">
      <c r="A38" s="8">
        <v>19</v>
      </c>
      <c r="B38" s="9"/>
      <c r="C38" s="93">
        <v>43282</v>
      </c>
      <c r="D38" s="86">
        <v>4.1602591093117286E-2</v>
      </c>
    </row>
    <row r="39" spans="1:7">
      <c r="A39" s="8">
        <v>20</v>
      </c>
      <c r="B39" s="9"/>
      <c r="C39" s="94">
        <v>43313</v>
      </c>
      <c r="D39" s="86">
        <v>4.1607716312056793E-2</v>
      </c>
    </row>
    <row r="40" spans="1:7" ht="15" thickBot="1">
      <c r="A40" s="8">
        <v>21</v>
      </c>
      <c r="B40" s="91" t="s">
        <v>45</v>
      </c>
      <c r="D40" s="87">
        <f>AVERAGE(D34:D39)</f>
        <v>3.996802373826306E-2</v>
      </c>
    </row>
    <row r="41" spans="1:7" ht="15" thickTop="1">
      <c r="A41" s="8">
        <v>22</v>
      </c>
    </row>
  </sheetData>
  <mergeCells count="6">
    <mergeCell ref="D12:I12"/>
    <mergeCell ref="A4:I4"/>
    <mergeCell ref="A5:I5"/>
    <mergeCell ref="A6:I6"/>
    <mergeCell ref="A7:I7"/>
    <mergeCell ref="A8:I8"/>
  </mergeCells>
  <printOptions horizontalCentered="1" verticalCentered="1"/>
  <pageMargins left="0.75" right="0.75" top="0.75" bottom="0.75" header="0.3" footer="0.3"/>
  <pageSetup scale="84" orientation="landscape" blackAndWhite="1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/>
  </sheetViews>
  <sheetFormatPr defaultRowHeight="14.4"/>
  <cols>
    <col min="2" max="2" width="55.33203125" bestFit="1" customWidth="1"/>
    <col min="3" max="3" width="10.44140625" bestFit="1" customWidth="1"/>
    <col min="4" max="4" width="11.88671875" bestFit="1" customWidth="1"/>
    <col min="7" max="8" width="10.44140625" bestFit="1" customWidth="1"/>
    <col min="9" max="9" width="11.109375" customWidth="1"/>
  </cols>
  <sheetData>
    <row r="1" spans="1:9">
      <c r="A1" s="1" t="s">
        <v>10</v>
      </c>
      <c r="C1" s="1"/>
      <c r="D1" s="1"/>
      <c r="E1" s="1"/>
      <c r="F1" s="2"/>
      <c r="G1" s="2"/>
      <c r="H1" s="2"/>
      <c r="I1" s="4" t="str">
        <f>+'Link In'!A25</f>
        <v>W/P - 3-9</v>
      </c>
    </row>
    <row r="2" spans="1:9">
      <c r="A2" s="1" t="s">
        <v>11</v>
      </c>
      <c r="C2" s="1"/>
      <c r="D2" s="1"/>
      <c r="E2" s="1"/>
      <c r="F2" s="2"/>
      <c r="G2" s="2"/>
      <c r="H2" s="2"/>
      <c r="I2" s="5" t="str">
        <f ca="1">RIGHT(CELL("filename",$A$1),LEN(CELL("filename",$A$1))-SEARCH("\O&amp;M",CELL("filename",$A$1),1))</f>
        <v>O&amp;M\[KAWC 2018 Rate Case - Customer Accounting-Postage Exhibit.xlsx]Workpaper 2</v>
      </c>
    </row>
    <row r="3" spans="1:9">
      <c r="A3" s="1"/>
      <c r="C3" s="1"/>
      <c r="D3" s="1"/>
      <c r="E3" s="1"/>
      <c r="F3" s="2"/>
      <c r="G3" s="2"/>
      <c r="H3" s="2"/>
      <c r="I3" s="5"/>
    </row>
    <row r="4" spans="1:9">
      <c r="B4" s="128" t="s">
        <v>29</v>
      </c>
      <c r="C4" s="128"/>
      <c r="D4" s="128"/>
      <c r="E4" s="128"/>
      <c r="F4" s="128"/>
      <c r="G4" s="128"/>
      <c r="H4" s="128"/>
      <c r="I4" s="128"/>
    </row>
    <row r="5" spans="1:9">
      <c r="B5" s="128" t="str">
        <f>+'Link In'!A3</f>
        <v>Case No. 2018-00358</v>
      </c>
      <c r="C5" s="128"/>
      <c r="D5" s="128"/>
      <c r="E5" s="128"/>
      <c r="F5" s="128"/>
      <c r="G5" s="128"/>
      <c r="H5" s="128"/>
      <c r="I5" s="128"/>
    </row>
    <row r="6" spans="1:9">
      <c r="B6" s="128" t="str">
        <f>+'Link In'!A7</f>
        <v>Base Year for the 12 Months Ended February 28, 2019</v>
      </c>
      <c r="C6" s="128"/>
      <c r="D6" s="128"/>
      <c r="E6" s="128"/>
      <c r="F6" s="128"/>
      <c r="G6" s="128"/>
      <c r="H6" s="128"/>
      <c r="I6" s="128"/>
    </row>
    <row r="7" spans="1:9">
      <c r="B7" s="128" t="str">
        <f>+'Link In'!A9</f>
        <v>Forecast Year for the 12 Months Ended June 30, 2020</v>
      </c>
      <c r="C7" s="128"/>
      <c r="D7" s="128"/>
      <c r="E7" s="128"/>
      <c r="F7" s="128"/>
      <c r="G7" s="128"/>
      <c r="H7" s="128"/>
      <c r="I7" s="128"/>
    </row>
    <row r="8" spans="1:9">
      <c r="B8" s="128" t="str">
        <f>+'Link In'!A22</f>
        <v>Customer Accounting-Postage</v>
      </c>
      <c r="C8" s="128"/>
      <c r="D8" s="128"/>
      <c r="E8" s="128"/>
      <c r="F8" s="128"/>
      <c r="G8" s="128"/>
      <c r="H8" s="128"/>
      <c r="I8" s="128"/>
    </row>
    <row r="9" spans="1:9">
      <c r="B9" s="95"/>
      <c r="C9" s="95"/>
      <c r="D9" s="95"/>
      <c r="E9" s="95"/>
      <c r="F9" s="95"/>
      <c r="G9" s="95"/>
      <c r="H9" s="95"/>
      <c r="I9" s="95"/>
    </row>
    <row r="10" spans="1:9">
      <c r="B10" s="95"/>
      <c r="C10" s="95"/>
      <c r="D10" s="95"/>
      <c r="E10" s="95"/>
      <c r="F10" s="95"/>
      <c r="G10" s="95"/>
      <c r="H10" s="95"/>
      <c r="I10" s="95"/>
    </row>
    <row r="11" spans="1:9">
      <c r="A11" s="1" t="str">
        <f>+'Link In'!A22</f>
        <v>Customer Accounting-Postage</v>
      </c>
      <c r="C11" s="1"/>
      <c r="D11" s="1"/>
      <c r="E11" s="1"/>
      <c r="F11" s="1"/>
      <c r="G11" s="1"/>
      <c r="H11" s="1"/>
      <c r="I11" s="1"/>
    </row>
    <row r="12" spans="1:9">
      <c r="A12" s="6" t="str">
        <f>+'Link In'!A20</f>
        <v>Witness Responsible:   James Pellock</v>
      </c>
      <c r="C12" s="2"/>
      <c r="D12" s="2"/>
      <c r="E12" s="2"/>
      <c r="F12" s="2"/>
      <c r="G12" s="2"/>
      <c r="H12" s="2"/>
      <c r="I12" s="2"/>
    </row>
    <row r="13" spans="1:9">
      <c r="A13" s="25" t="str">
        <f>+'Link In'!A15</f>
        <v>Type of Filing: __X__ Original  _____ Updated  _____ Revised</v>
      </c>
      <c r="C13" s="2"/>
      <c r="D13" s="2"/>
      <c r="E13" s="2"/>
      <c r="F13" s="2"/>
      <c r="G13" s="2"/>
      <c r="H13" s="2"/>
      <c r="I13" s="2"/>
    </row>
    <row r="17" spans="1:10" ht="15" thickBot="1">
      <c r="A17" s="71" t="s">
        <v>0</v>
      </c>
      <c r="B17" s="71" t="s">
        <v>1</v>
      </c>
      <c r="C17" s="72"/>
      <c r="D17" s="72"/>
      <c r="E17" s="72"/>
      <c r="F17" s="73"/>
      <c r="G17" s="73"/>
      <c r="H17" s="73"/>
      <c r="I17" s="73"/>
    </row>
    <row r="18" spans="1:10">
      <c r="A18" s="59"/>
      <c r="B18" s="59"/>
      <c r="C18" s="96"/>
      <c r="D18" s="96"/>
      <c r="E18" s="96"/>
      <c r="F18" s="44"/>
      <c r="G18" s="44"/>
      <c r="H18" s="44"/>
      <c r="I18" s="44"/>
    </row>
    <row r="19" spans="1:10">
      <c r="B19" s="59"/>
      <c r="C19" s="59"/>
      <c r="D19" s="96"/>
      <c r="E19" s="96"/>
      <c r="F19" s="96"/>
      <c r="G19" s="44"/>
      <c r="H19" s="44"/>
      <c r="I19" s="44"/>
    </row>
    <row r="20" spans="1:10">
      <c r="A20" s="75"/>
      <c r="B20" s="74" t="s">
        <v>54</v>
      </c>
    </row>
    <row r="21" spans="1:10">
      <c r="A21" s="75"/>
    </row>
    <row r="22" spans="1:10">
      <c r="A22" s="98">
        <v>1</v>
      </c>
      <c r="B22" s="29" t="s">
        <v>38</v>
      </c>
      <c r="C22" s="99"/>
      <c r="D22" s="99"/>
      <c r="E22" s="99"/>
      <c r="G22" t="s">
        <v>37</v>
      </c>
      <c r="H22" s="97"/>
      <c r="I22" t="s">
        <v>50</v>
      </c>
      <c r="J22" s="99"/>
    </row>
    <row r="23" spans="1:10">
      <c r="A23" s="98">
        <v>2</v>
      </c>
      <c r="B23" s="99"/>
      <c r="C23" s="99"/>
      <c r="D23" s="99"/>
      <c r="E23" s="99"/>
      <c r="F23" s="100" t="str">
        <f>+'Link In'!A64</f>
        <v>Total Water Customers</v>
      </c>
      <c r="G23" s="100"/>
      <c r="H23" s="101"/>
      <c r="I23" s="102"/>
      <c r="J23" s="99"/>
    </row>
    <row r="24" spans="1:10">
      <c r="A24" s="98">
        <v>3</v>
      </c>
      <c r="B24" s="99"/>
      <c r="C24" s="99"/>
      <c r="D24" s="99"/>
      <c r="E24" s="99"/>
      <c r="F24" s="100" t="str">
        <f>+'Link In'!A65</f>
        <v>Average - July 2019-June 2020</v>
      </c>
      <c r="G24" s="101">
        <f>+'Link In'!B65</f>
        <v>133284</v>
      </c>
      <c r="H24" s="101"/>
      <c r="I24" s="102"/>
      <c r="J24" s="99"/>
    </row>
    <row r="25" spans="1:10">
      <c r="A25" s="98">
        <v>4</v>
      </c>
      <c r="B25" s="99"/>
      <c r="C25" s="99"/>
      <c r="D25" s="99"/>
      <c r="E25" s="99"/>
      <c r="F25" s="100" t="str">
        <f>+'Link In'!A66</f>
        <v>Wastewater as of 8/31/18</v>
      </c>
      <c r="G25" s="101">
        <f>+'Link In'!B66</f>
        <v>695</v>
      </c>
      <c r="H25" s="99"/>
      <c r="I25" s="102"/>
      <c r="J25" s="99"/>
    </row>
    <row r="26" spans="1:10">
      <c r="A26" s="98">
        <v>5</v>
      </c>
      <c r="B26" s="99"/>
      <c r="C26" s="99"/>
      <c r="D26" s="99"/>
      <c r="E26" s="99"/>
      <c r="F26" s="100" t="str">
        <f>+'Link In'!A67</f>
        <v>Total Customers</v>
      </c>
      <c r="G26" s="101">
        <f>+'Link In'!B67</f>
        <v>133979</v>
      </c>
      <c r="H26" s="99"/>
      <c r="I26" s="102"/>
      <c r="J26" s="99"/>
    </row>
    <row r="27" spans="1:10">
      <c r="A27" s="98">
        <v>6</v>
      </c>
      <c r="B27" s="99"/>
      <c r="C27" s="99"/>
      <c r="D27" s="99"/>
      <c r="E27" s="99"/>
      <c r="F27" s="100" t="str">
        <f>+'Link In'!A68</f>
        <v>Less Dual</v>
      </c>
      <c r="G27" s="101">
        <f>+'Link In'!B68</f>
        <v>-550</v>
      </c>
      <c r="H27" s="101"/>
      <c r="I27" s="102"/>
      <c r="J27" s="99"/>
    </row>
    <row r="28" spans="1:10">
      <c r="A28" s="98">
        <v>7</v>
      </c>
      <c r="B28" s="99"/>
      <c r="C28" s="99"/>
      <c r="D28" s="99"/>
      <c r="E28" s="99"/>
      <c r="F28" s="100"/>
      <c r="G28" s="101"/>
      <c r="H28" s="101"/>
      <c r="I28" s="102"/>
      <c r="J28" s="99"/>
    </row>
    <row r="29" spans="1:10">
      <c r="A29" s="98">
        <v>8</v>
      </c>
      <c r="B29" s="99"/>
      <c r="C29" s="99"/>
      <c r="D29" s="99"/>
      <c r="E29" s="99"/>
      <c r="F29" s="100" t="str">
        <f>+'Link In'!A71</f>
        <v>Water Percentage</v>
      </c>
      <c r="G29" s="114">
        <f>+'Link In'!B71</f>
        <v>0.99891327972179966</v>
      </c>
      <c r="H29" s="101"/>
      <c r="I29" s="102">
        <f>+G29</f>
        <v>0.99891327972179966</v>
      </c>
      <c r="J29" s="99"/>
    </row>
    <row r="30" spans="1:10">
      <c r="A30" s="98">
        <v>9</v>
      </c>
      <c r="B30" s="99"/>
      <c r="C30" s="99"/>
      <c r="D30" s="99"/>
      <c r="E30" s="99"/>
      <c r="F30" s="100" t="str">
        <f>+'Link In'!A72</f>
        <v>Wastewater Percentage</v>
      </c>
      <c r="G30" s="115">
        <f>+'Link In'!B72</f>
        <v>1.0867202782003371E-3</v>
      </c>
      <c r="H30" s="99"/>
      <c r="I30" s="103">
        <f>+G30</f>
        <v>1.0867202782003371E-3</v>
      </c>
      <c r="J30" s="99"/>
    </row>
    <row r="31" spans="1:10">
      <c r="A31" s="98">
        <v>10</v>
      </c>
      <c r="B31" s="99"/>
      <c r="C31" s="99"/>
      <c r="D31" s="99"/>
      <c r="E31" s="99"/>
      <c r="F31" s="100"/>
      <c r="G31" s="115"/>
      <c r="H31" s="99"/>
      <c r="I31" s="103">
        <f>SUM(I29:I30)</f>
        <v>1</v>
      </c>
      <c r="J31" s="99"/>
    </row>
    <row r="32" spans="1:10">
      <c r="A32" s="98">
        <v>11</v>
      </c>
      <c r="B32" s="99"/>
      <c r="C32" s="99"/>
      <c r="D32" s="99"/>
      <c r="E32" s="99"/>
      <c r="F32" s="99"/>
      <c r="G32" s="99"/>
      <c r="H32" s="99"/>
      <c r="I32" s="101"/>
      <c r="J32" s="99"/>
    </row>
    <row r="33" spans="1:10">
      <c r="A33" s="98">
        <v>12</v>
      </c>
      <c r="B33" s="29" t="s">
        <v>51</v>
      </c>
      <c r="C33" s="99"/>
      <c r="D33" s="99"/>
      <c r="E33" s="99"/>
      <c r="F33" s="99"/>
      <c r="G33" s="99"/>
      <c r="H33" s="99"/>
      <c r="I33" s="104" t="s">
        <v>52</v>
      </c>
      <c r="J33" s="99"/>
    </row>
    <row r="34" spans="1:10" ht="15" thickBot="1">
      <c r="A34" s="98">
        <v>13</v>
      </c>
      <c r="B34" s="99" t="str">
        <f>+Exhibit!B20</f>
        <v>Call Handling Overflow Agents</v>
      </c>
      <c r="C34" s="99"/>
      <c r="D34" s="99"/>
      <c r="E34" s="99"/>
      <c r="F34" s="99"/>
      <c r="G34" s="99"/>
      <c r="H34" s="99"/>
      <c r="I34" s="107">
        <f>+'Workpaper 1'!D30</f>
        <v>149435</v>
      </c>
      <c r="J34" s="99"/>
    </row>
    <row r="35" spans="1:10" ht="15" thickTop="1">
      <c r="A35" s="98">
        <v>14</v>
      </c>
      <c r="C35" s="99"/>
      <c r="D35" s="99"/>
      <c r="E35" s="99"/>
      <c r="F35" s="99"/>
      <c r="G35" s="99"/>
      <c r="H35" s="105"/>
      <c r="I35" s="106"/>
      <c r="J35" s="99"/>
    </row>
    <row r="36" spans="1:10">
      <c r="A36" s="98">
        <v>15</v>
      </c>
      <c r="B36" s="29" t="s">
        <v>53</v>
      </c>
      <c r="C36" s="99"/>
      <c r="D36" s="99"/>
      <c r="E36" s="99"/>
      <c r="F36" s="99"/>
      <c r="G36" s="99"/>
      <c r="H36" s="99"/>
      <c r="I36" s="99"/>
      <c r="J36" s="99"/>
    </row>
    <row r="37" spans="1:10" ht="15" thickBot="1">
      <c r="A37" s="98">
        <v>16</v>
      </c>
      <c r="B37" s="99" t="s">
        <v>55</v>
      </c>
      <c r="C37" s="99"/>
      <c r="D37" s="99"/>
      <c r="E37" s="99"/>
      <c r="F37" s="99"/>
      <c r="G37" s="99"/>
      <c r="H37" s="99"/>
      <c r="I37" s="107">
        <f>ROUND(I34*I30,0)</f>
        <v>162</v>
      </c>
      <c r="J37" s="99"/>
    </row>
    <row r="38" spans="1:10" ht="15" thickTop="1">
      <c r="A38" s="98">
        <v>17</v>
      </c>
      <c r="B38" s="99"/>
      <c r="C38" s="99"/>
      <c r="D38" s="99"/>
      <c r="E38" s="99"/>
      <c r="F38" s="99"/>
      <c r="G38" s="99"/>
      <c r="H38" s="99"/>
      <c r="I38" s="106"/>
      <c r="J38" s="99"/>
    </row>
    <row r="39" spans="1:10">
      <c r="A39" s="98"/>
      <c r="B39" s="99"/>
      <c r="C39" s="99"/>
      <c r="D39" s="99"/>
      <c r="E39" s="99"/>
      <c r="F39" s="99"/>
      <c r="G39" s="99"/>
      <c r="H39" s="99"/>
      <c r="I39" s="108"/>
      <c r="J39" s="99"/>
    </row>
    <row r="40" spans="1:10">
      <c r="A40" s="98"/>
      <c r="B40" s="99"/>
      <c r="C40" s="99"/>
      <c r="D40" s="99"/>
      <c r="E40" s="99"/>
      <c r="F40" s="99"/>
      <c r="G40" s="99"/>
      <c r="H40" s="99"/>
      <c r="I40" s="99"/>
      <c r="J40" s="99"/>
    </row>
    <row r="41" spans="1:10">
      <c r="A41" s="75"/>
    </row>
  </sheetData>
  <mergeCells count="5">
    <mergeCell ref="B4:I4"/>
    <mergeCell ref="B5:I5"/>
    <mergeCell ref="B6:I6"/>
    <mergeCell ref="B7:I7"/>
    <mergeCell ref="B8:I8"/>
  </mergeCells>
  <printOptions horizontalCentered="1" verticalCentered="1"/>
  <pageMargins left="0.75" right="0.75" top="0.75" bottom="0.75" header="0.3" footer="0.3"/>
  <pageSetup scale="84" orientation="landscape" blackAndWhite="1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/>
  </sheetViews>
  <sheetFormatPr defaultRowHeight="14.4"/>
  <cols>
    <col min="2" max="2" width="60.33203125" customWidth="1"/>
    <col min="3" max="3" width="10.6640625" customWidth="1"/>
    <col min="4" max="4" width="9.6640625" bestFit="1" customWidth="1"/>
    <col min="5" max="5" width="10.88671875" bestFit="1" customWidth="1"/>
  </cols>
  <sheetData>
    <row r="1" spans="1:5">
      <c r="A1" s="1" t="s">
        <v>10</v>
      </c>
      <c r="B1" s="1"/>
      <c r="C1" s="1"/>
      <c r="D1" s="2"/>
      <c r="E1" s="4" t="str">
        <f>+'Link In'!A25</f>
        <v>W/P - 3-9</v>
      </c>
    </row>
    <row r="2" spans="1:5">
      <c r="A2" s="1" t="s">
        <v>11</v>
      </c>
      <c r="B2" s="1"/>
      <c r="C2" s="1"/>
      <c r="D2" s="2"/>
      <c r="E2" s="5" t="str">
        <f ca="1">RIGHT(CELL("filename",$A$1),LEN(CELL("filename",$A$1))-SEARCH("\O&amp;M",CELL("filename",$A$1),1))</f>
        <v>O&amp;M\[KAWC 2018 Rate Case - Customer Accounting-Postage Exhibit.xlsx]Workpaper 3</v>
      </c>
    </row>
    <row r="3" spans="1:5">
      <c r="A3" s="1"/>
      <c r="B3" s="1"/>
      <c r="C3" s="1"/>
      <c r="D3" s="2"/>
      <c r="E3" s="5"/>
    </row>
    <row r="4" spans="1:5">
      <c r="A4" s="128" t="s">
        <v>29</v>
      </c>
      <c r="B4" s="128"/>
      <c r="C4" s="128"/>
      <c r="D4" s="128"/>
      <c r="E4" s="128"/>
    </row>
    <row r="5" spans="1:5">
      <c r="A5" s="128" t="str">
        <f>+'Link In'!A3</f>
        <v>Case No. 2018-00358</v>
      </c>
      <c r="B5" s="128"/>
      <c r="C5" s="128"/>
      <c r="D5" s="128"/>
      <c r="E5" s="128"/>
    </row>
    <row r="6" spans="1:5">
      <c r="A6" s="128" t="str">
        <f>+'Link In'!A7</f>
        <v>Base Year for the 12 Months Ended February 28, 2019</v>
      </c>
      <c r="B6" s="128"/>
      <c r="C6" s="128"/>
      <c r="D6" s="128"/>
      <c r="E6" s="128"/>
    </row>
    <row r="7" spans="1:5">
      <c r="A7" s="128" t="str">
        <f>+'Link In'!A9</f>
        <v>Forecast Year for the 12 Months Ended June 30, 2020</v>
      </c>
      <c r="B7" s="128"/>
      <c r="C7" s="128"/>
      <c r="D7" s="128"/>
      <c r="E7" s="128"/>
    </row>
    <row r="8" spans="1:5">
      <c r="A8" s="128" t="str">
        <f>+'Link In'!A22</f>
        <v>Customer Accounting-Postage</v>
      </c>
      <c r="B8" s="128"/>
      <c r="C8" s="128"/>
      <c r="D8" s="128"/>
      <c r="E8" s="128"/>
    </row>
    <row r="9" spans="1:5">
      <c r="A9" s="121"/>
      <c r="B9" s="121"/>
      <c r="C9" s="121"/>
      <c r="D9" s="121"/>
      <c r="E9" s="121"/>
    </row>
    <row r="10" spans="1:5">
      <c r="A10" s="121"/>
      <c r="B10" s="121"/>
      <c r="C10" s="121"/>
      <c r="D10" s="121"/>
      <c r="E10" s="121"/>
    </row>
    <row r="11" spans="1:5">
      <c r="A11" s="6" t="str">
        <f>+'Link In'!A20</f>
        <v>Witness Responsible:   James Pellock</v>
      </c>
      <c r="B11" s="2"/>
      <c r="C11" s="2"/>
      <c r="D11" s="2"/>
      <c r="E11" s="2"/>
    </row>
    <row r="12" spans="1:5">
      <c r="A12" s="25" t="str">
        <f>+'Link In'!A15</f>
        <v>Type of Filing: __X__ Original  _____ Updated  _____ Revised</v>
      </c>
      <c r="B12" s="2"/>
      <c r="C12" s="2"/>
      <c r="D12" s="128"/>
      <c r="E12" s="128"/>
    </row>
    <row r="13" spans="1:5">
      <c r="A13" s="25"/>
      <c r="B13" s="2"/>
      <c r="C13" s="2"/>
      <c r="D13" s="121"/>
      <c r="E13" s="121"/>
    </row>
    <row r="14" spans="1:5">
      <c r="A14" s="25"/>
      <c r="B14" s="2"/>
      <c r="C14" s="2"/>
      <c r="D14" s="121"/>
      <c r="E14" s="121"/>
    </row>
    <row r="16" spans="1:5" ht="15" thickBot="1">
      <c r="A16" s="71" t="s">
        <v>0</v>
      </c>
      <c r="B16" s="71" t="s">
        <v>1</v>
      </c>
      <c r="C16" s="72"/>
      <c r="D16" s="73"/>
      <c r="E16" s="73"/>
    </row>
    <row r="19" spans="1:5">
      <c r="B19" s="74" t="s">
        <v>64</v>
      </c>
    </row>
    <row r="21" spans="1:5">
      <c r="A21" s="75">
        <v>1</v>
      </c>
      <c r="B21" t="s">
        <v>57</v>
      </c>
      <c r="E21" s="122">
        <f>+'Base &amp; Forecast Detail'!O37</f>
        <v>1189197</v>
      </c>
    </row>
    <row r="22" spans="1:5">
      <c r="A22" s="75">
        <v>2</v>
      </c>
      <c r="B22" t="s">
        <v>38</v>
      </c>
      <c r="E22" s="123">
        <f>+'Link In'!B65</f>
        <v>133284</v>
      </c>
    </row>
    <row r="23" spans="1:5">
      <c r="A23" s="75">
        <v>3</v>
      </c>
      <c r="B23" t="s">
        <v>58</v>
      </c>
      <c r="E23" s="124">
        <f>+E21/E22</f>
        <v>8.9222787431349602</v>
      </c>
    </row>
    <row r="24" spans="1:5">
      <c r="A24" s="75">
        <v>4</v>
      </c>
    </row>
    <row r="25" spans="1:5">
      <c r="A25" s="75">
        <v>5</v>
      </c>
      <c r="B25" t="str">
        <f>+'Link In'!A61</f>
        <v>North Middletown Acquisition</v>
      </c>
      <c r="D25" t="s">
        <v>37</v>
      </c>
      <c r="E25" s="123">
        <f>+'Link In'!B61</f>
        <v>401</v>
      </c>
    </row>
    <row r="26" spans="1:5" ht="15" thickBot="1">
      <c r="A26" s="75">
        <v>6</v>
      </c>
      <c r="B26" t="str">
        <f>+'Link In'!A61</f>
        <v>North Middletown Acquisition</v>
      </c>
      <c r="D26" t="s">
        <v>59</v>
      </c>
      <c r="E26" s="125">
        <f>ROUND(+E25*E23,0)</f>
        <v>3578</v>
      </c>
    </row>
    <row r="27" spans="1:5" ht="15" thickTop="1">
      <c r="A27" s="75">
        <v>7</v>
      </c>
      <c r="E27" s="123"/>
    </row>
  </sheetData>
  <mergeCells count="6">
    <mergeCell ref="D12:E12"/>
    <mergeCell ref="A4:E4"/>
    <mergeCell ref="A5:E5"/>
    <mergeCell ref="A6:E6"/>
    <mergeCell ref="A7:E7"/>
    <mergeCell ref="A8:E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Link In</vt:lpstr>
      <vt:lpstr>Link Out</vt:lpstr>
      <vt:lpstr>Exhibit</vt:lpstr>
      <vt:lpstr>Summary by Account</vt:lpstr>
      <vt:lpstr>Base &amp; Forecast Detail</vt:lpstr>
      <vt:lpstr>Notes</vt:lpstr>
      <vt:lpstr>Workpaper 1</vt:lpstr>
      <vt:lpstr>Workpaper 2</vt:lpstr>
      <vt:lpstr>Workpaper 3</vt:lpstr>
      <vt:lpstr>'Workpaper 2'!Print_Area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2018-12-03T16:34:59Z</cp:lastPrinted>
  <dcterms:created xsi:type="dcterms:W3CDTF">2012-08-27T14:54:09Z</dcterms:created>
  <dcterms:modified xsi:type="dcterms:W3CDTF">2018-12-06T15:45:43Z</dcterms:modified>
</cp:coreProperties>
</file>