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chwarml\Desktop\"/>
    </mc:Choice>
  </mc:AlternateContent>
  <xr:revisionPtr revIDLastSave="0" documentId="13_ncr:1_{3DC4FB6F-8C51-446E-A218-94A43C28657B}" xr6:coauthVersionLast="36" xr6:coauthVersionMax="36" xr10:uidLastSave="{00000000-0000-0000-0000-000000000000}"/>
  <bookViews>
    <workbookView xWindow="0" yWindow="0" windowWidth="28800" windowHeight="10500" xr2:uid="{00000000-000D-0000-FFFF-FFFF00000000}"/>
  </bookViews>
  <sheets>
    <sheet name="Respons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0" l="1"/>
  <c r="G48" i="10" l="1"/>
  <c r="H48" i="10"/>
  <c r="D19" i="10"/>
  <c r="H3" i="10" l="1"/>
  <c r="H34" i="10" l="1"/>
  <c r="G34" i="10"/>
  <c r="E34" i="10"/>
  <c r="F34" i="10"/>
  <c r="H9" i="10"/>
  <c r="G8" i="10"/>
  <c r="I9" i="10"/>
  <c r="I8" i="10"/>
  <c r="I10" i="10" s="1"/>
  <c r="H8" i="10"/>
  <c r="H10" i="10" s="1"/>
  <c r="G9" i="10"/>
  <c r="G10" i="10" l="1"/>
  <c r="H37" i="10"/>
  <c r="H36" i="10"/>
  <c r="H38" i="10"/>
  <c r="H40" i="10"/>
  <c r="H42" i="10"/>
  <c r="H44" i="10"/>
  <c r="H45" i="10"/>
  <c r="H35" i="10"/>
  <c r="H43" i="10"/>
  <c r="H39" i="10"/>
  <c r="H41" i="10"/>
  <c r="F36" i="10"/>
  <c r="F40" i="10"/>
  <c r="F42" i="10"/>
  <c r="F35" i="10"/>
  <c r="F37" i="10"/>
  <c r="F39" i="10"/>
  <c r="F41" i="10"/>
  <c r="F43" i="10"/>
  <c r="F45" i="10"/>
  <c r="F38" i="10"/>
  <c r="F44" i="10"/>
  <c r="E38" i="10"/>
  <c r="E35" i="10"/>
  <c r="E37" i="10"/>
  <c r="E39" i="10"/>
  <c r="E41" i="10"/>
  <c r="E43" i="10"/>
  <c r="E45" i="10"/>
  <c r="E40" i="10"/>
  <c r="E36" i="10"/>
  <c r="E44" i="10"/>
  <c r="E42" i="10"/>
  <c r="G36" i="10"/>
  <c r="G38" i="10"/>
  <c r="G40" i="10"/>
  <c r="G42" i="10"/>
  <c r="G44" i="10"/>
  <c r="G39" i="10"/>
  <c r="G46" i="10" s="1"/>
  <c r="G50" i="10" s="1"/>
  <c r="G35" i="10"/>
  <c r="G43" i="10"/>
  <c r="G37" i="10"/>
  <c r="G41" i="10"/>
  <c r="G45" i="10"/>
  <c r="C10" i="10"/>
  <c r="E10" i="10"/>
  <c r="D10" i="10"/>
  <c r="D18" i="10" s="1"/>
  <c r="D34" i="10" s="1"/>
  <c r="H46" i="10" l="1"/>
  <c r="H50" i="10" s="1"/>
  <c r="D43" i="10"/>
  <c r="I43" i="10" s="1"/>
  <c r="D35" i="10"/>
  <c r="I35" i="10" s="1"/>
  <c r="D39" i="10"/>
  <c r="I39" i="10" s="1"/>
  <c r="D38" i="10"/>
  <c r="I38" i="10" s="1"/>
  <c r="I34" i="10"/>
  <c r="D42" i="10"/>
  <c r="I42" i="10" s="1"/>
  <c r="D37" i="10"/>
  <c r="I37" i="10" s="1"/>
  <c r="D44" i="10"/>
  <c r="I44" i="10" s="1"/>
  <c r="D41" i="10"/>
  <c r="I41" i="10" s="1"/>
  <c r="D40" i="10"/>
  <c r="I40" i="10" s="1"/>
  <c r="D45" i="10"/>
  <c r="I45" i="10" s="1"/>
  <c r="D36" i="10"/>
  <c r="I36" i="10" s="1"/>
  <c r="F48" i="10"/>
  <c r="I48" i="10"/>
  <c r="E48" i="10"/>
  <c r="I33" i="10"/>
  <c r="E20" i="10"/>
  <c r="E22" i="10" s="1"/>
  <c r="F22" i="10" s="1"/>
  <c r="E19" i="10"/>
  <c r="E21" i="10" s="1"/>
  <c r="F21" i="10" s="1"/>
  <c r="F20" i="10" l="1"/>
  <c r="F19" i="10"/>
  <c r="D24" i="10"/>
  <c r="F18" i="10"/>
  <c r="F24" i="10" s="1"/>
  <c r="D46" i="10" l="1"/>
  <c r="D50" i="10" s="1"/>
  <c r="F46" i="10" l="1"/>
  <c r="F50" i="10" s="1"/>
  <c r="E46" i="10"/>
  <c r="E50" i="10" s="1"/>
  <c r="I46" i="10" l="1"/>
  <c r="I50" i="10" s="1"/>
</calcChain>
</file>

<file path=xl/sharedStrings.xml><?xml version="1.0" encoding="utf-8"?>
<sst xmlns="http://schemas.openxmlformats.org/spreadsheetml/2006/main" count="51" uniqueCount="34">
  <si>
    <t>Federal</t>
  </si>
  <si>
    <t>State</t>
  </si>
  <si>
    <t>Total</t>
  </si>
  <si>
    <t>Stub Period</t>
  </si>
  <si>
    <t>Test Period</t>
  </si>
  <si>
    <t>State Test Period</t>
  </si>
  <si>
    <t>Federal Test Period</t>
  </si>
  <si>
    <t>Expense Gross Up</t>
  </si>
  <si>
    <t>Tax Expense (Benefit)</t>
  </si>
  <si>
    <t>Kentucky-American Water Company</t>
  </si>
  <si>
    <t>Total EADIT Amortization per Month</t>
  </si>
  <si>
    <t>Pretax Return</t>
  </si>
  <si>
    <t>13 Mo Avg Rate Base</t>
  </si>
  <si>
    <t>Case # 2018-00358</t>
  </si>
  <si>
    <t>Commission Staff Post Hearing DR #8</t>
  </si>
  <si>
    <t>Summary</t>
  </si>
  <si>
    <t>a</t>
  </si>
  <si>
    <t>b</t>
  </si>
  <si>
    <t>c</t>
  </si>
  <si>
    <t xml:space="preserve">State </t>
  </si>
  <si>
    <t>Blended</t>
  </si>
  <si>
    <t>Net</t>
  </si>
  <si>
    <t>Gross</t>
  </si>
  <si>
    <t>Federal Protected</t>
  </si>
  <si>
    <t>Federal Protected - Repairs</t>
  </si>
  <si>
    <t>Federal Unprotected</t>
  </si>
  <si>
    <t>Federal Test Pd sum</t>
  </si>
  <si>
    <t>Tax Expense (Benefit) Revenue Requirement</t>
  </si>
  <si>
    <t>Expense Impact Portion of Revenue Requirement</t>
  </si>
  <si>
    <t>Rate Base Portion of Revenue Requirement</t>
  </si>
  <si>
    <t>Excess ADIT Monthly Amortization (Net)</t>
  </si>
  <si>
    <t>Excess ADIT Amortization (Gross)</t>
  </si>
  <si>
    <t>Total Expense Related Revenue Requirement</t>
  </si>
  <si>
    <t>Rate Base Related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</si>
</sst>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37" fontId="0" fillId="0" borderId="0" xfId="0" applyNumberFormat="1"/>
    <xf numFmtId="10" fontId="0" fillId="0" borderId="0" xfId="2" applyNumberFormat="1" applyFont="1"/>
    <xf numFmtId="5" fontId="0" fillId="0" borderId="2" xfId="0" applyNumberFormat="1" applyBorder="1"/>
    <xf numFmtId="10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center"/>
    </xf>
    <xf numFmtId="37" fontId="0" fillId="0" borderId="0" xfId="0" applyNumberFormat="1" applyBorder="1"/>
    <xf numFmtId="5" fontId="0" fillId="0" borderId="0" xfId="0" applyNumberFormat="1" applyBorder="1"/>
    <xf numFmtId="165" fontId="0" fillId="0" borderId="0" xfId="1" applyNumberFormat="1" applyFont="1" applyBorder="1"/>
    <xf numFmtId="165" fontId="0" fillId="0" borderId="0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4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2" xfId="1" applyNumberFormat="1" applyFont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164" fontId="0" fillId="0" borderId="3" xfId="0" applyNumberForma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3" xfId="0" applyNumberFormat="1" applyBorder="1"/>
    <xf numFmtId="0" fontId="0" fillId="0" borderId="0" xfId="0" applyBorder="1" applyAlignment="1">
      <alignment horizontal="center" wrapText="1"/>
    </xf>
  </cellXfs>
  <cellStyles count="4">
    <cellStyle name="Comma" xfId="1" builtinId="3"/>
    <cellStyle name="Comma 11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50"/>
  <sheetViews>
    <sheetView tabSelected="1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I50" sqref="D50:I50"/>
    </sheetView>
  </sheetViews>
  <sheetFormatPr defaultRowHeight="15" x14ac:dyDescent="0.25"/>
  <cols>
    <col min="1" max="1" width="5.85546875" customWidth="1"/>
    <col min="2" max="3" width="28" customWidth="1"/>
    <col min="4" max="17" width="12.7109375" customWidth="1"/>
  </cols>
  <sheetData>
    <row r="1" spans="1:9" x14ac:dyDescent="0.25">
      <c r="A1" s="1" t="s">
        <v>9</v>
      </c>
      <c r="G1" t="s">
        <v>0</v>
      </c>
      <c r="H1" s="4">
        <v>0.21</v>
      </c>
    </row>
    <row r="2" spans="1:9" x14ac:dyDescent="0.25">
      <c r="A2" s="1" t="s">
        <v>13</v>
      </c>
      <c r="G2" t="s">
        <v>19</v>
      </c>
      <c r="H2" s="4">
        <v>0.05</v>
      </c>
    </row>
    <row r="3" spans="1:9" x14ac:dyDescent="0.25">
      <c r="A3" s="1" t="s">
        <v>14</v>
      </c>
      <c r="G3" t="s">
        <v>20</v>
      </c>
      <c r="H3" s="4">
        <f>+H2*0.79+H1</f>
        <v>0.2495</v>
      </c>
    </row>
    <row r="6" spans="1:9" x14ac:dyDescent="0.25">
      <c r="A6" s="1" t="s">
        <v>15</v>
      </c>
      <c r="C6" t="s">
        <v>22</v>
      </c>
      <c r="G6" t="s">
        <v>21</v>
      </c>
    </row>
    <row r="7" spans="1:9" x14ac:dyDescent="0.25">
      <c r="C7" s="26" t="s">
        <v>2</v>
      </c>
      <c r="D7" s="26" t="s">
        <v>3</v>
      </c>
      <c r="E7" s="26" t="s">
        <v>4</v>
      </c>
      <c r="G7" s="26" t="s">
        <v>2</v>
      </c>
      <c r="H7" s="26" t="s">
        <v>3</v>
      </c>
      <c r="I7" s="26" t="s">
        <v>4</v>
      </c>
    </row>
    <row r="8" spans="1:9" x14ac:dyDescent="0.25">
      <c r="B8" t="s">
        <v>1</v>
      </c>
      <c r="C8" s="24">
        <v>133625</v>
      </c>
      <c r="D8" s="24">
        <v>23695</v>
      </c>
      <c r="E8" s="24">
        <v>109930</v>
      </c>
      <c r="G8" s="7">
        <f>+C8*(1-$H$3)</f>
        <v>100285.56249999999</v>
      </c>
      <c r="H8" s="7">
        <f t="shared" ref="H8:I9" si="0">+D8*(1-$H$3)</f>
        <v>17783.0975</v>
      </c>
      <c r="I8" s="7">
        <f t="shared" si="0"/>
        <v>82502.464999999997</v>
      </c>
    </row>
    <row r="9" spans="1:9" x14ac:dyDescent="0.25">
      <c r="B9" t="s">
        <v>0</v>
      </c>
      <c r="C9" s="24">
        <v>1079219</v>
      </c>
      <c r="D9" s="24">
        <v>362162</v>
      </c>
      <c r="E9" s="24">
        <v>717057</v>
      </c>
      <c r="G9" s="7">
        <f>+C9*(1-$H$3)</f>
        <v>809953.8594999999</v>
      </c>
      <c r="H9" s="7">
        <f t="shared" si="0"/>
        <v>271802.58100000001</v>
      </c>
      <c r="I9" s="7">
        <f t="shared" si="0"/>
        <v>538151.27850000001</v>
      </c>
    </row>
    <row r="10" spans="1:9" x14ac:dyDescent="0.25">
      <c r="C10" s="25">
        <f>+C8+C9</f>
        <v>1212844</v>
      </c>
      <c r="D10" s="25">
        <f>+D8+D9</f>
        <v>385857</v>
      </c>
      <c r="E10" s="25">
        <f>+E8+E9</f>
        <v>826987</v>
      </c>
      <c r="G10" s="28">
        <f>SUM(G8:G9)</f>
        <v>910239.4219999999</v>
      </c>
      <c r="H10" s="28">
        <f t="shared" ref="H10:I10" si="1">SUM(H8:H9)</f>
        <v>289585.67849999998</v>
      </c>
      <c r="I10" s="28">
        <f t="shared" si="1"/>
        <v>620653.74349999998</v>
      </c>
    </row>
    <row r="11" spans="1:9" x14ac:dyDescent="0.25">
      <c r="C11" s="27"/>
      <c r="D11" s="27"/>
      <c r="E11" s="27"/>
    </row>
    <row r="12" spans="1:9" x14ac:dyDescent="0.25">
      <c r="C12" s="27"/>
      <c r="D12" s="27"/>
      <c r="E12" s="27"/>
    </row>
    <row r="14" spans="1:9" x14ac:dyDescent="0.25">
      <c r="A14" s="1" t="s">
        <v>28</v>
      </c>
    </row>
    <row r="15" spans="1:9" x14ac:dyDescent="0.25">
      <c r="A15" s="1" t="s">
        <v>31</v>
      </c>
    </row>
    <row r="17" spans="1:13" ht="60" x14ac:dyDescent="0.25">
      <c r="D17" s="16" t="s">
        <v>8</v>
      </c>
      <c r="E17" s="16" t="s">
        <v>7</v>
      </c>
      <c r="F17" s="16" t="s">
        <v>27</v>
      </c>
    </row>
    <row r="18" spans="1:13" x14ac:dyDescent="0.25">
      <c r="A18" t="s">
        <v>16</v>
      </c>
      <c r="B18" t="s">
        <v>3</v>
      </c>
      <c r="D18" s="8">
        <f>-D10</f>
        <v>-385857</v>
      </c>
      <c r="E18" s="14">
        <v>1.0113000000000001</v>
      </c>
      <c r="F18" s="7">
        <f>ROUND(+D18*E18,0)</f>
        <v>-390217</v>
      </c>
    </row>
    <row r="19" spans="1:13" x14ac:dyDescent="0.25">
      <c r="A19" t="s">
        <v>17</v>
      </c>
      <c r="B19" t="s">
        <v>5</v>
      </c>
      <c r="D19" s="8">
        <f>-E8</f>
        <v>-109930</v>
      </c>
      <c r="E19" s="15">
        <f>+E18</f>
        <v>1.0113000000000001</v>
      </c>
      <c r="F19" s="7">
        <f t="shared" ref="F19:F22" si="2">ROUND(+D19*E19,0)</f>
        <v>-111172</v>
      </c>
    </row>
    <row r="20" spans="1:13" x14ac:dyDescent="0.25">
      <c r="A20" t="s">
        <v>18</v>
      </c>
      <c r="B20" t="s">
        <v>23</v>
      </c>
      <c r="D20" s="8">
        <v>-651217</v>
      </c>
      <c r="E20" s="15">
        <f>+E18</f>
        <v>1.0113000000000001</v>
      </c>
      <c r="F20" s="7">
        <f t="shared" si="2"/>
        <v>-658576</v>
      </c>
    </row>
    <row r="21" spans="1:13" x14ac:dyDescent="0.25">
      <c r="A21" t="s">
        <v>18</v>
      </c>
      <c r="B21" t="s">
        <v>24</v>
      </c>
      <c r="D21" s="8">
        <v>-196631</v>
      </c>
      <c r="E21" s="15">
        <f t="shared" ref="E21:E22" si="3">+E19</f>
        <v>1.0113000000000001</v>
      </c>
      <c r="F21" s="7">
        <f t="shared" si="2"/>
        <v>-198853</v>
      </c>
    </row>
    <row r="22" spans="1:13" x14ac:dyDescent="0.25">
      <c r="A22" t="s">
        <v>18</v>
      </c>
      <c r="B22" t="s">
        <v>25</v>
      </c>
      <c r="D22" s="8">
        <v>130791</v>
      </c>
      <c r="E22" s="15">
        <f t="shared" si="3"/>
        <v>1.0113000000000001</v>
      </c>
      <c r="F22" s="7">
        <f t="shared" si="2"/>
        <v>132269</v>
      </c>
    </row>
    <row r="24" spans="1:13" ht="15.75" thickBot="1" x14ac:dyDescent="0.3">
      <c r="B24" t="s">
        <v>32</v>
      </c>
      <c r="D24" s="19">
        <f>SUM(D18:D23)</f>
        <v>-1212844</v>
      </c>
      <c r="F24" s="19">
        <f>SUM(F18:F23)</f>
        <v>-1226549</v>
      </c>
    </row>
    <row r="25" spans="1:13" ht="15.75" thickTop="1" x14ac:dyDescent="0.25"/>
    <row r="26" spans="1:13" x14ac:dyDescent="0.25">
      <c r="B26" t="s">
        <v>26</v>
      </c>
      <c r="C26" s="8">
        <f>SUM(D20:D22)</f>
        <v>-717057</v>
      </c>
    </row>
    <row r="28" spans="1:13" x14ac:dyDescent="0.25">
      <c r="A28" s="1" t="s">
        <v>29</v>
      </c>
    </row>
    <row r="29" spans="1:13" x14ac:dyDescent="0.25">
      <c r="A29" s="1" t="s">
        <v>30</v>
      </c>
    </row>
    <row r="30" spans="1:13" x14ac:dyDescent="0.25">
      <c r="D30" s="11" t="s">
        <v>16</v>
      </c>
      <c r="E30" s="11" t="s">
        <v>17</v>
      </c>
      <c r="F30" s="11" t="s">
        <v>18</v>
      </c>
      <c r="G30" s="11" t="s">
        <v>18</v>
      </c>
      <c r="H30" s="11" t="s">
        <v>18</v>
      </c>
    </row>
    <row r="31" spans="1:13" ht="28.9" customHeight="1" x14ac:dyDescent="0.25">
      <c r="F31" s="29" t="s">
        <v>6</v>
      </c>
      <c r="G31" s="29"/>
      <c r="H31" s="29"/>
      <c r="I31" s="20"/>
      <c r="J31" s="2"/>
      <c r="K31" s="2"/>
      <c r="L31" s="2"/>
      <c r="M31" s="2"/>
    </row>
    <row r="32" spans="1:13" ht="45" x14ac:dyDescent="0.25">
      <c r="D32" s="17" t="s">
        <v>3</v>
      </c>
      <c r="E32" s="17" t="s">
        <v>5</v>
      </c>
      <c r="F32" s="17" t="s">
        <v>23</v>
      </c>
      <c r="G32" s="17" t="s">
        <v>24</v>
      </c>
      <c r="H32" s="17" t="s">
        <v>25</v>
      </c>
      <c r="I32" s="17" t="s">
        <v>10</v>
      </c>
      <c r="J32" s="2"/>
      <c r="K32" s="21"/>
      <c r="L32" s="21"/>
      <c r="M32" s="2"/>
    </row>
    <row r="33" spans="2:13" x14ac:dyDescent="0.25">
      <c r="B33" s="18">
        <v>43646</v>
      </c>
      <c r="D33" s="7">
        <v>0</v>
      </c>
      <c r="E33" s="7">
        <v>0</v>
      </c>
      <c r="F33" s="7">
        <v>0</v>
      </c>
      <c r="I33" s="7">
        <f>SUM(D33:F33)</f>
        <v>0</v>
      </c>
      <c r="J33" s="2"/>
      <c r="K33" s="13"/>
      <c r="L33" s="13"/>
      <c r="M33" s="2"/>
    </row>
    <row r="34" spans="2:13" x14ac:dyDescent="0.25">
      <c r="B34" s="18">
        <v>43677</v>
      </c>
      <c r="D34" s="3">
        <f>-ROUND(+D18*(1-H3)/12,0)</f>
        <v>24132</v>
      </c>
      <c r="E34" s="3">
        <f>-ROUND(+D19*(1-H3)/12,0)</f>
        <v>6875</v>
      </c>
      <c r="F34" s="7">
        <f>-ROUND(+D20*(1-H3)/12,0)</f>
        <v>40728</v>
      </c>
      <c r="G34" s="7">
        <f>-ROUND(+D21*(1-H3)/12,0)</f>
        <v>12298</v>
      </c>
      <c r="H34" s="7">
        <f>-ROUND(+D22*(1-H3)/12,0)</f>
        <v>-8180</v>
      </c>
      <c r="I34" s="7">
        <f>SUM(D34:H34)</f>
        <v>75853</v>
      </c>
      <c r="J34" s="2"/>
      <c r="K34" s="12"/>
      <c r="L34" s="12"/>
      <c r="M34" s="2"/>
    </row>
    <row r="35" spans="2:13" x14ac:dyDescent="0.25">
      <c r="B35" s="18">
        <v>43708</v>
      </c>
      <c r="D35" s="3">
        <f>+D$34*2</f>
        <v>48264</v>
      </c>
      <c r="E35" s="3">
        <f t="shared" ref="E35:H35" si="4">+E$34*2</f>
        <v>13750</v>
      </c>
      <c r="F35" s="3">
        <f t="shared" si="4"/>
        <v>81456</v>
      </c>
      <c r="G35" s="3">
        <f t="shared" si="4"/>
        <v>24596</v>
      </c>
      <c r="H35" s="3">
        <f t="shared" si="4"/>
        <v>-16360</v>
      </c>
      <c r="I35" s="7">
        <f t="shared" ref="I35:I45" si="5">SUM(D35:H35)</f>
        <v>151706</v>
      </c>
      <c r="J35" s="2"/>
      <c r="K35" s="12"/>
      <c r="L35" s="12"/>
      <c r="M35" s="2"/>
    </row>
    <row r="36" spans="2:13" x14ac:dyDescent="0.25">
      <c r="B36" s="18">
        <v>43738</v>
      </c>
      <c r="D36" s="3">
        <f>+D$34*3</f>
        <v>72396</v>
      </c>
      <c r="E36" s="3">
        <f t="shared" ref="E36:H36" si="6">+E$34*3</f>
        <v>20625</v>
      </c>
      <c r="F36" s="3">
        <f t="shared" si="6"/>
        <v>122184</v>
      </c>
      <c r="G36" s="3">
        <f t="shared" si="6"/>
        <v>36894</v>
      </c>
      <c r="H36" s="3">
        <f t="shared" si="6"/>
        <v>-24540</v>
      </c>
      <c r="I36" s="7">
        <f t="shared" si="5"/>
        <v>227559</v>
      </c>
      <c r="J36" s="2"/>
      <c r="K36" s="12"/>
      <c r="L36" s="12"/>
      <c r="M36" s="2"/>
    </row>
    <row r="37" spans="2:13" x14ac:dyDescent="0.25">
      <c r="B37" s="18">
        <v>43769</v>
      </c>
      <c r="D37" s="3">
        <f>+D$34*4</f>
        <v>96528</v>
      </c>
      <c r="E37" s="3">
        <f t="shared" ref="E37:H37" si="7">+E$34*4</f>
        <v>27500</v>
      </c>
      <c r="F37" s="3">
        <f t="shared" si="7"/>
        <v>162912</v>
      </c>
      <c r="G37" s="3">
        <f t="shared" si="7"/>
        <v>49192</v>
      </c>
      <c r="H37" s="3">
        <f t="shared" si="7"/>
        <v>-32720</v>
      </c>
      <c r="I37" s="7">
        <f t="shared" si="5"/>
        <v>303412</v>
      </c>
      <c r="J37" s="2"/>
      <c r="K37" s="12"/>
      <c r="L37" s="12"/>
      <c r="M37" s="2"/>
    </row>
    <row r="38" spans="2:13" x14ac:dyDescent="0.25">
      <c r="B38" s="18">
        <v>43799</v>
      </c>
      <c r="D38" s="3">
        <f>+D$34*5</f>
        <v>120660</v>
      </c>
      <c r="E38" s="3">
        <f t="shared" ref="E38:H38" si="8">+E$34*5</f>
        <v>34375</v>
      </c>
      <c r="F38" s="3">
        <f t="shared" si="8"/>
        <v>203640</v>
      </c>
      <c r="G38" s="3">
        <f t="shared" si="8"/>
        <v>61490</v>
      </c>
      <c r="H38" s="3">
        <f t="shared" si="8"/>
        <v>-40900</v>
      </c>
      <c r="I38" s="7">
        <f t="shared" si="5"/>
        <v>379265</v>
      </c>
      <c r="J38" s="2"/>
      <c r="K38" s="12"/>
      <c r="L38" s="12"/>
      <c r="M38" s="2"/>
    </row>
    <row r="39" spans="2:13" x14ac:dyDescent="0.25">
      <c r="B39" s="18">
        <v>43830</v>
      </c>
      <c r="D39" s="3">
        <f>+D$34*6</f>
        <v>144792</v>
      </c>
      <c r="E39" s="3">
        <f t="shared" ref="E39:H39" si="9">+E$34*6</f>
        <v>41250</v>
      </c>
      <c r="F39" s="3">
        <f t="shared" si="9"/>
        <v>244368</v>
      </c>
      <c r="G39" s="3">
        <f t="shared" si="9"/>
        <v>73788</v>
      </c>
      <c r="H39" s="3">
        <f t="shared" si="9"/>
        <v>-49080</v>
      </c>
      <c r="I39" s="7">
        <f t="shared" si="5"/>
        <v>455118</v>
      </c>
      <c r="J39" s="2"/>
      <c r="K39" s="12"/>
      <c r="L39" s="12"/>
      <c r="M39" s="2"/>
    </row>
    <row r="40" spans="2:13" x14ac:dyDescent="0.25">
      <c r="B40" s="18">
        <v>43861</v>
      </c>
      <c r="D40" s="3">
        <f>+D$34*7</f>
        <v>168924</v>
      </c>
      <c r="E40" s="3">
        <f t="shared" ref="E40:H40" si="10">+E$34*7</f>
        <v>48125</v>
      </c>
      <c r="F40" s="3">
        <f t="shared" si="10"/>
        <v>285096</v>
      </c>
      <c r="G40" s="3">
        <f t="shared" si="10"/>
        <v>86086</v>
      </c>
      <c r="H40" s="3">
        <f t="shared" si="10"/>
        <v>-57260</v>
      </c>
      <c r="I40" s="7">
        <f t="shared" si="5"/>
        <v>530971</v>
      </c>
      <c r="J40" s="2"/>
      <c r="K40" s="12"/>
      <c r="L40" s="12"/>
      <c r="M40" s="2"/>
    </row>
    <row r="41" spans="2:13" x14ac:dyDescent="0.25">
      <c r="B41" s="18">
        <v>43890</v>
      </c>
      <c r="D41" s="3">
        <f>+D$34*8</f>
        <v>193056</v>
      </c>
      <c r="E41" s="3">
        <f t="shared" ref="E41:H41" si="11">+E$34*8</f>
        <v>55000</v>
      </c>
      <c r="F41" s="3">
        <f t="shared" si="11"/>
        <v>325824</v>
      </c>
      <c r="G41" s="3">
        <f t="shared" si="11"/>
        <v>98384</v>
      </c>
      <c r="H41" s="3">
        <f t="shared" si="11"/>
        <v>-65440</v>
      </c>
      <c r="I41" s="7">
        <f t="shared" si="5"/>
        <v>606824</v>
      </c>
      <c r="J41" s="2"/>
      <c r="K41" s="12"/>
      <c r="L41" s="12"/>
      <c r="M41" s="2"/>
    </row>
    <row r="42" spans="2:13" x14ac:dyDescent="0.25">
      <c r="B42" s="18">
        <v>43921</v>
      </c>
      <c r="D42" s="3">
        <f>+D$34*9</f>
        <v>217188</v>
      </c>
      <c r="E42" s="3">
        <f t="shared" ref="E42:H42" si="12">+E$34*9</f>
        <v>61875</v>
      </c>
      <c r="F42" s="3">
        <f t="shared" si="12"/>
        <v>366552</v>
      </c>
      <c r="G42" s="3">
        <f t="shared" si="12"/>
        <v>110682</v>
      </c>
      <c r="H42" s="3">
        <f t="shared" si="12"/>
        <v>-73620</v>
      </c>
      <c r="I42" s="7">
        <f t="shared" si="5"/>
        <v>682677</v>
      </c>
      <c r="J42" s="2"/>
      <c r="K42" s="12"/>
      <c r="L42" s="12"/>
      <c r="M42" s="2"/>
    </row>
    <row r="43" spans="2:13" x14ac:dyDescent="0.25">
      <c r="B43" s="18">
        <v>43951</v>
      </c>
      <c r="D43" s="3">
        <f>+D$34*10</f>
        <v>241320</v>
      </c>
      <c r="E43" s="3">
        <f t="shared" ref="E43:H43" si="13">+E$34*10</f>
        <v>68750</v>
      </c>
      <c r="F43" s="3">
        <f t="shared" si="13"/>
        <v>407280</v>
      </c>
      <c r="G43" s="3">
        <f t="shared" si="13"/>
        <v>122980</v>
      </c>
      <c r="H43" s="3">
        <f t="shared" si="13"/>
        <v>-81800</v>
      </c>
      <c r="I43" s="7">
        <f t="shared" si="5"/>
        <v>758530</v>
      </c>
      <c r="J43" s="2"/>
      <c r="K43" s="12"/>
      <c r="L43" s="12"/>
      <c r="M43" s="2"/>
    </row>
    <row r="44" spans="2:13" x14ac:dyDescent="0.25">
      <c r="B44" s="18">
        <v>43982</v>
      </c>
      <c r="D44" s="3">
        <f>+D$34*11</f>
        <v>265452</v>
      </c>
      <c r="E44" s="3">
        <f t="shared" ref="E44:H44" si="14">+E$34*11</f>
        <v>75625</v>
      </c>
      <c r="F44" s="3">
        <f t="shared" si="14"/>
        <v>448008</v>
      </c>
      <c r="G44" s="3">
        <f t="shared" si="14"/>
        <v>135278</v>
      </c>
      <c r="H44" s="3">
        <f t="shared" si="14"/>
        <v>-89980</v>
      </c>
      <c r="I44" s="7">
        <f t="shared" si="5"/>
        <v>834383</v>
      </c>
      <c r="J44" s="2"/>
      <c r="K44" s="12"/>
      <c r="L44" s="12"/>
      <c r="M44" s="2"/>
    </row>
    <row r="45" spans="2:13" x14ac:dyDescent="0.25">
      <c r="B45" s="18">
        <v>44012</v>
      </c>
      <c r="D45" s="3">
        <f>+D$34*12</f>
        <v>289584</v>
      </c>
      <c r="E45" s="3">
        <f t="shared" ref="E45:H45" si="15">+E$34*12</f>
        <v>82500</v>
      </c>
      <c r="F45" s="3">
        <f t="shared" si="15"/>
        <v>488736</v>
      </c>
      <c r="G45" s="3">
        <f t="shared" si="15"/>
        <v>147576</v>
      </c>
      <c r="H45" s="3">
        <f t="shared" si="15"/>
        <v>-98160</v>
      </c>
      <c r="I45" s="7">
        <f t="shared" si="5"/>
        <v>910236</v>
      </c>
      <c r="J45" s="2"/>
      <c r="K45" s="12"/>
      <c r="L45" s="12"/>
      <c r="M45" s="2"/>
    </row>
    <row r="46" spans="2:13" x14ac:dyDescent="0.25">
      <c r="B46" s="23" t="s">
        <v>12</v>
      </c>
      <c r="D46" s="10">
        <f>AVERAGE(D33:D45)</f>
        <v>144792</v>
      </c>
      <c r="E46" s="5">
        <f>AVERAGE(E33:E45)</f>
        <v>41250</v>
      </c>
      <c r="F46" s="5">
        <f>AVERAGE(F33:F45)</f>
        <v>244368</v>
      </c>
      <c r="G46" s="5">
        <f t="shared" ref="G46:H46" si="16">AVERAGE(G33:G45)</f>
        <v>79937</v>
      </c>
      <c r="H46" s="5">
        <f t="shared" si="16"/>
        <v>-53170</v>
      </c>
      <c r="I46" s="22">
        <f>AVERAGE(I33:I45)</f>
        <v>455118</v>
      </c>
      <c r="J46" s="2"/>
      <c r="K46" s="13"/>
      <c r="L46" s="13"/>
      <c r="M46" s="2"/>
    </row>
    <row r="47" spans="2:13" x14ac:dyDescent="0.25">
      <c r="D47" s="3"/>
      <c r="F47" s="9"/>
      <c r="J47" s="2"/>
      <c r="K47" s="2"/>
      <c r="L47" s="2"/>
      <c r="M47" s="2"/>
    </row>
    <row r="48" spans="2:13" x14ac:dyDescent="0.25">
      <c r="B48" t="s">
        <v>11</v>
      </c>
      <c r="D48" s="4">
        <v>0.10050000000000001</v>
      </c>
      <c r="E48" s="6">
        <f>+$D$48</f>
        <v>0.10050000000000001</v>
      </c>
      <c r="F48" s="6">
        <f>+$D$48</f>
        <v>0.10050000000000001</v>
      </c>
      <c r="G48" s="6">
        <f t="shared" ref="G48:H48" si="17">+$D$48</f>
        <v>0.10050000000000001</v>
      </c>
      <c r="H48" s="6">
        <f t="shared" si="17"/>
        <v>0.10050000000000001</v>
      </c>
      <c r="I48" s="6">
        <f>+$D$48</f>
        <v>0.10050000000000001</v>
      </c>
      <c r="J48" s="2"/>
      <c r="K48" s="2"/>
      <c r="L48" s="2"/>
      <c r="M48" s="2"/>
    </row>
    <row r="50" spans="2:9" x14ac:dyDescent="0.25">
      <c r="B50" t="s">
        <v>33</v>
      </c>
      <c r="D50" s="7">
        <f>+D46*D48</f>
        <v>14551.596000000001</v>
      </c>
      <c r="E50" s="7">
        <f t="shared" ref="E50:H50" si="18">+E46*E48</f>
        <v>4145.625</v>
      </c>
      <c r="F50" s="7">
        <f t="shared" si="18"/>
        <v>24558.984</v>
      </c>
      <c r="G50" s="7">
        <f t="shared" si="18"/>
        <v>8033.6685000000007</v>
      </c>
      <c r="H50" s="7">
        <f t="shared" si="18"/>
        <v>-5343.585</v>
      </c>
      <c r="I50" s="7">
        <f>+I46*I48</f>
        <v>45739.359000000004</v>
      </c>
    </row>
  </sheetData>
  <mergeCells count="1">
    <mergeCell ref="F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wenm</dc:creator>
  <cp:lastModifiedBy>Melissa L Schwarzell</cp:lastModifiedBy>
  <dcterms:created xsi:type="dcterms:W3CDTF">2019-05-16T18:05:42Z</dcterms:created>
  <dcterms:modified xsi:type="dcterms:W3CDTF">2019-05-25T01:05:42Z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