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Discovery 2018 - PSC Post Hearing DRs/"/>
    </mc:Choice>
  </mc:AlternateContent>
  <xr:revisionPtr revIDLastSave="56" documentId="11_B0CB4CEA843DDD2EC743595A85A90DEA8F1A032C" xr6:coauthVersionLast="36" xr6:coauthVersionMax="36" xr10:uidLastSave="{F02B3ACF-F6ED-4BF1-860D-2B2B2A046977}"/>
  <bookViews>
    <workbookView xWindow="0" yWindow="0" windowWidth="23040" windowHeight="9195" xr2:uid="{00000000-000D-0000-FFFF-FFFF00000000}"/>
  </bookViews>
  <sheets>
    <sheet name="Rev Req Impact" sheetId="2" r:id="rId1"/>
    <sheet name="Def Tax" sheetId="3" r:id="rId2"/>
    <sheet name="Working Capital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2" l="1"/>
  <c r="B24" i="2" s="1"/>
  <c r="D24" i="2" s="1"/>
  <c r="B22" i="2"/>
  <c r="D13" i="4"/>
  <c r="K16" i="3" l="1"/>
  <c r="L16" i="3" s="1"/>
  <c r="K12" i="3"/>
  <c r="L12" i="3" s="1"/>
  <c r="K8" i="3"/>
  <c r="L8" i="3" s="1"/>
  <c r="J17" i="3"/>
  <c r="K17" i="3" s="1"/>
  <c r="L17" i="3" s="1"/>
  <c r="J16" i="3"/>
  <c r="J15" i="3"/>
  <c r="K15" i="3" s="1"/>
  <c r="L15" i="3" s="1"/>
  <c r="J14" i="3"/>
  <c r="K14" i="3" s="1"/>
  <c r="L14" i="3" s="1"/>
  <c r="J13" i="3"/>
  <c r="K13" i="3" s="1"/>
  <c r="L13" i="3" s="1"/>
  <c r="J12" i="3"/>
  <c r="J11" i="3"/>
  <c r="K11" i="3" s="1"/>
  <c r="L11" i="3" s="1"/>
  <c r="J10" i="3"/>
  <c r="K10" i="3" s="1"/>
  <c r="L10" i="3" s="1"/>
  <c r="J9" i="3"/>
  <c r="K9" i="3" s="1"/>
  <c r="L9" i="3" s="1"/>
  <c r="J8" i="3"/>
  <c r="J7" i="3"/>
  <c r="K7" i="3" s="1"/>
  <c r="L7" i="3" s="1"/>
  <c r="J6" i="3"/>
  <c r="K6" i="3" s="1"/>
  <c r="L6" i="3" s="1"/>
  <c r="J5" i="3"/>
  <c r="K5" i="3" s="1"/>
  <c r="L5" i="3" s="1"/>
  <c r="L18" i="3" s="1"/>
  <c r="I18" i="3"/>
  <c r="J18" i="3" l="1"/>
  <c r="K18" i="3"/>
  <c r="H18" i="3"/>
  <c r="C10" i="4" l="1"/>
  <c r="B10" i="4"/>
  <c r="C6" i="4"/>
  <c r="C12" i="4" s="1"/>
  <c r="C13" i="4" s="1"/>
  <c r="B6" i="4"/>
  <c r="B12" i="4" s="1"/>
  <c r="B13" i="4" s="1"/>
  <c r="D5" i="4"/>
  <c r="D6" i="4" l="1"/>
  <c r="C5" i="3" l="1"/>
  <c r="B5" i="3"/>
  <c r="D5" i="3" l="1"/>
  <c r="E5" i="3" l="1"/>
  <c r="F5" i="3" l="1"/>
  <c r="D12" i="2"/>
  <c r="D11" i="2"/>
  <c r="C11" i="2" l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B11" i="2"/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C12" i="2" l="1"/>
  <c r="B12" i="2"/>
  <c r="B16" i="2" s="1"/>
  <c r="D16" i="2" s="1"/>
  <c r="B18" i="3" l="1"/>
  <c r="D7" i="3" l="1"/>
  <c r="D6" i="3"/>
  <c r="E6" i="3" l="1"/>
  <c r="F6" i="3" s="1"/>
  <c r="D8" i="3"/>
  <c r="E7" i="3"/>
  <c r="F7" i="3" s="1"/>
  <c r="D9" i="3" l="1"/>
  <c r="E8" i="3"/>
  <c r="F8" i="3" s="1"/>
  <c r="D10" i="3" l="1"/>
  <c r="E9" i="3"/>
  <c r="F9" i="3" s="1"/>
  <c r="E10" i="3" l="1"/>
  <c r="F10" i="3" s="1"/>
  <c r="D11" i="3"/>
  <c r="E11" i="3" l="1"/>
  <c r="F11" i="3" s="1"/>
  <c r="D12" i="3"/>
  <c r="E12" i="3" l="1"/>
  <c r="F12" i="3" s="1"/>
  <c r="D13" i="3"/>
  <c r="E13" i="3" l="1"/>
  <c r="F13" i="3" s="1"/>
  <c r="D14" i="3"/>
  <c r="E14" i="3" l="1"/>
  <c r="F14" i="3" s="1"/>
  <c r="D15" i="3"/>
  <c r="D16" i="3" l="1"/>
  <c r="E15" i="3"/>
  <c r="F15" i="3" s="1"/>
  <c r="D17" i="3" l="1"/>
  <c r="D18" i="3" s="1"/>
  <c r="B21" i="2" s="1"/>
  <c r="C18" i="3"/>
  <c r="E16" i="3"/>
  <c r="F16" i="3" s="1"/>
  <c r="E17" i="3" l="1"/>
  <c r="E18" i="3" s="1"/>
  <c r="F17" i="3" l="1"/>
  <c r="F18" i="3" s="1"/>
</calcChain>
</file>

<file path=xl/sharedStrings.xml><?xml version="1.0" encoding="utf-8"?>
<sst xmlns="http://schemas.openxmlformats.org/spreadsheetml/2006/main" count="62" uniqueCount="50">
  <si>
    <t>Hydrotreator #9 Rehab &amp; Painting</t>
  </si>
  <si>
    <t>Hydrotreator #10 Rehab &amp; Painting</t>
  </si>
  <si>
    <t>B12-02-0048</t>
  </si>
  <si>
    <t>B12-02-0049</t>
  </si>
  <si>
    <t>Amort Period</t>
  </si>
  <si>
    <t>Annual Amort</t>
  </si>
  <si>
    <t>Starting Date</t>
  </si>
  <si>
    <t>Ending Date</t>
  </si>
  <si>
    <t>WBS</t>
  </si>
  <si>
    <t>Maintenance Expense</t>
  </si>
  <si>
    <t>Rate Base</t>
  </si>
  <si>
    <t>Deferred Maintenance</t>
  </si>
  <si>
    <t>Monthly Amort</t>
  </si>
  <si>
    <t>13 Mo Avg</t>
  </si>
  <si>
    <t>Monthly Balances</t>
  </si>
  <si>
    <t>Working Capital Allowance</t>
  </si>
  <si>
    <t>Deferred Income Taxes</t>
  </si>
  <si>
    <t>Total</t>
  </si>
  <si>
    <t>Def State Income Taxes</t>
  </si>
  <si>
    <t>Def Federal Income Taxes</t>
  </si>
  <si>
    <t>Muddy Ford Tank Rehab</t>
  </si>
  <si>
    <t>B12-02-0044</t>
  </si>
  <si>
    <t>Kentucky-American Water Company</t>
  </si>
  <si>
    <t>Deferred Income Tax Calculation</t>
  </si>
  <si>
    <t>Base Year Update</t>
  </si>
  <si>
    <t>Removal of Hyrdrotreators</t>
  </si>
  <si>
    <t>Total Operating Funds</t>
  </si>
  <si>
    <t>Average Daily Operating Funds</t>
  </si>
  <si>
    <t>Composite Average Days Interval Between:</t>
  </si>
  <si>
    <t>(A) Date Service Furnished and Date Collections Deposited</t>
  </si>
  <si>
    <t>(B) Date Expenses Incurred and Date of Payment</t>
  </si>
  <si>
    <t>(C) Net Interval</t>
  </si>
  <si>
    <t>Total Working Capital</t>
  </si>
  <si>
    <t>Rounded</t>
  </si>
  <si>
    <t>Difference</t>
  </si>
  <si>
    <t>Working Capital</t>
  </si>
  <si>
    <t>Rate Base:</t>
  </si>
  <si>
    <t>Revenue Requirement Impact</t>
  </si>
  <si>
    <t>for the Adjustment of Deferred Maintenance</t>
  </si>
  <si>
    <t>Cost</t>
  </si>
  <si>
    <t>Original Filing</t>
  </si>
  <si>
    <t>Variance</t>
  </si>
  <si>
    <t>Expense Impact</t>
  </si>
  <si>
    <t>Expense Gross Up</t>
  </si>
  <si>
    <t>Total Revenue Requirement</t>
  </si>
  <si>
    <t>Rate Base Impact</t>
  </si>
  <si>
    <t>Pre-Tax Return</t>
  </si>
  <si>
    <t>a</t>
  </si>
  <si>
    <t>b</t>
  </si>
  <si>
    <t>c = a 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</si>
</sst>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/dd/yy;@"/>
    <numFmt numFmtId="166" formatCode="&quot;$&quot;#,##0;[Red]&quot;$&quot;#,##0"/>
    <numFmt numFmtId="168" formatCode="_(* #,##0.0000_);_(* \(#,##0.0000\);_(* &quot;-&quot;??_);_(@_)"/>
    <numFmt numFmtId="170" formatCode="_(&quot;$&quot;* #,##0_);_(&quot;$&quot;* \(#,##0\);_(&quot;$&quot;* &quot;-&quot;??_);_(@_)"/>
    <numFmt numFmtId="171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37" fontId="0" fillId="0" borderId="0" xfId="0" applyNumberFormat="1"/>
    <xf numFmtId="0" fontId="4" fillId="0" borderId="0" xfId="4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left"/>
    </xf>
    <xf numFmtId="165" fontId="4" fillId="0" borderId="0" xfId="4" applyNumberFormat="1" applyFont="1" applyFill="1" applyBorder="1" applyAlignment="1" applyProtection="1">
      <alignment horizontal="right"/>
    </xf>
    <xf numFmtId="166" fontId="0" fillId="0" borderId="0" xfId="0" applyNumberFormat="1"/>
    <xf numFmtId="5" fontId="0" fillId="0" borderId="0" xfId="0" applyNumberFormat="1"/>
    <xf numFmtId="165" fontId="4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39" fontId="4" fillId="0" borderId="1" xfId="0" applyNumberFormat="1" applyFont="1" applyFill="1" applyBorder="1" applyAlignment="1" applyProtection="1">
      <alignment horizontal="center" wrapText="1"/>
    </xf>
    <xf numFmtId="37" fontId="0" fillId="0" borderId="1" xfId="0" applyNumberFormat="1" applyBorder="1"/>
    <xf numFmtId="37" fontId="4" fillId="0" borderId="0" xfId="0" applyNumberFormat="1" applyFont="1" applyFill="1" applyAlignment="1"/>
    <xf numFmtId="0" fontId="0" fillId="0" borderId="0" xfId="0" applyBorder="1" applyAlignment="1">
      <alignment horizontal="center"/>
    </xf>
    <xf numFmtId="39" fontId="4" fillId="0" borderId="0" xfId="0" applyNumberFormat="1" applyFont="1" applyFill="1" applyBorder="1" applyAlignment="1" applyProtection="1">
      <alignment horizontal="center" wrapText="1"/>
    </xf>
    <xf numFmtId="166" fontId="0" fillId="0" borderId="0" xfId="0" applyNumberFormat="1" applyBorder="1"/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1" applyFont="1" applyBorder="1"/>
    <xf numFmtId="5" fontId="0" fillId="0" borderId="2" xfId="0" applyNumberFormat="1" applyBorder="1"/>
    <xf numFmtId="1" fontId="0" fillId="0" borderId="0" xfId="0" applyNumberFormat="1"/>
    <xf numFmtId="0" fontId="2" fillId="0" borderId="0" xfId="0" applyFont="1"/>
    <xf numFmtId="166" fontId="0" fillId="0" borderId="1" xfId="0" applyNumberFormat="1" applyBorder="1" applyAlignment="1">
      <alignment horizontal="center" wrapText="1"/>
    </xf>
    <xf numFmtId="37" fontId="0" fillId="0" borderId="0" xfId="0" applyNumberFormat="1" applyBorder="1"/>
    <xf numFmtId="14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1" applyNumberFormat="1" applyFont="1"/>
    <xf numFmtId="170" fontId="0" fillId="0" borderId="0" xfId="5" applyNumberFormat="1" applyFont="1"/>
    <xf numFmtId="166" fontId="0" fillId="0" borderId="1" xfId="0" applyNumberFormat="1" applyBorder="1"/>
    <xf numFmtId="0" fontId="0" fillId="0" borderId="1" xfId="0" applyBorder="1"/>
    <xf numFmtId="171" fontId="0" fillId="0" borderId="0" xfId="2" applyNumberFormat="1" applyFont="1"/>
    <xf numFmtId="10" fontId="0" fillId="0" borderId="0" xfId="2" applyNumberFormat="1" applyFont="1"/>
    <xf numFmtId="5" fontId="0" fillId="0" borderId="0" xfId="0" applyNumberFormat="1" applyFont="1"/>
  </cellXfs>
  <cellStyles count="6">
    <cellStyle name="Comma" xfId="1" builtinId="3"/>
    <cellStyle name="Currency" xfId="5" builtinId="4"/>
    <cellStyle name="Normal" xfId="0" builtinId="0"/>
    <cellStyle name="Normal 4" xfId="3" xr:uid="{00000000-0005-0000-0000-000002000000}"/>
    <cellStyle name="Normal_defmaint-new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="80" zoomScaleNormal="80" workbookViewId="0">
      <selection activeCell="B24" sqref="B24"/>
    </sheetView>
  </sheetViews>
  <sheetFormatPr defaultRowHeight="15" x14ac:dyDescent="0.25"/>
  <cols>
    <col min="1" max="1" width="27.7109375" customWidth="1"/>
    <col min="2" max="2" width="19.28515625" customWidth="1"/>
    <col min="3" max="3" width="18.85546875" bestFit="1" customWidth="1"/>
    <col min="4" max="4" width="29.140625" bestFit="1" customWidth="1"/>
    <col min="5" max="5" width="14.28515625" customWidth="1"/>
    <col min="6" max="6" width="14.7109375" customWidth="1"/>
    <col min="7" max="7" width="9.5703125" bestFit="1" customWidth="1"/>
    <col min="8" max="8" width="10.85546875" bestFit="1" customWidth="1"/>
    <col min="9" max="9" width="10" customWidth="1"/>
    <col min="10" max="10" width="11" bestFit="1" customWidth="1"/>
    <col min="11" max="11" width="12.42578125" customWidth="1"/>
    <col min="12" max="12" width="13.28515625" bestFit="1" customWidth="1"/>
  </cols>
  <sheetData>
    <row r="1" spans="1:8" x14ac:dyDescent="0.25">
      <c r="A1" s="20" t="s">
        <v>22</v>
      </c>
    </row>
    <row r="2" spans="1:8" x14ac:dyDescent="0.25">
      <c r="A2" s="20" t="s">
        <v>37</v>
      </c>
    </row>
    <row r="3" spans="1:8" x14ac:dyDescent="0.25">
      <c r="A3" s="20" t="s">
        <v>38</v>
      </c>
    </row>
    <row r="5" spans="1:8" ht="30" x14ac:dyDescent="0.25">
      <c r="B5" s="9" t="s">
        <v>0</v>
      </c>
      <c r="C5" s="9" t="s">
        <v>1</v>
      </c>
      <c r="D5" s="9" t="s">
        <v>20</v>
      </c>
      <c r="E5" s="13"/>
    </row>
    <row r="6" spans="1:8" x14ac:dyDescent="0.25">
      <c r="A6" t="s">
        <v>8</v>
      </c>
      <c r="B6" s="2" t="s">
        <v>2</v>
      </c>
      <c r="C6" s="2" t="s">
        <v>3</v>
      </c>
      <c r="D6" s="12" t="s">
        <v>21</v>
      </c>
      <c r="E6" s="12"/>
    </row>
    <row r="7" spans="1:8" x14ac:dyDescent="0.25">
      <c r="A7" t="s">
        <v>39</v>
      </c>
      <c r="B7" s="6">
        <v>806835</v>
      </c>
      <c r="C7" s="6">
        <v>806835</v>
      </c>
      <c r="D7" s="6">
        <v>950000</v>
      </c>
      <c r="E7" s="5"/>
    </row>
    <row r="8" spans="1:8" x14ac:dyDescent="0.25">
      <c r="A8" s="3" t="s">
        <v>6</v>
      </c>
      <c r="B8" s="4">
        <v>43647</v>
      </c>
      <c r="C8" s="4">
        <v>43647</v>
      </c>
      <c r="D8" s="4">
        <v>43617</v>
      </c>
      <c r="E8" s="4"/>
      <c r="F8" s="23"/>
    </row>
    <row r="9" spans="1:8" x14ac:dyDescent="0.25">
      <c r="A9" s="3" t="s">
        <v>7</v>
      </c>
      <c r="B9" s="4">
        <v>49125</v>
      </c>
      <c r="C9" s="4">
        <v>49125</v>
      </c>
      <c r="D9" s="4">
        <v>12175</v>
      </c>
      <c r="E9" s="4"/>
    </row>
    <row r="10" spans="1:8" x14ac:dyDescent="0.25">
      <c r="A10" t="s">
        <v>4</v>
      </c>
      <c r="B10" s="19">
        <v>180</v>
      </c>
      <c r="C10" s="19">
        <v>180</v>
      </c>
      <c r="D10" s="19">
        <v>180</v>
      </c>
    </row>
    <row r="11" spans="1:8" x14ac:dyDescent="0.25">
      <c r="A11" t="s">
        <v>12</v>
      </c>
      <c r="B11" s="6">
        <f>B7/B10</f>
        <v>4482.416666666667</v>
      </c>
      <c r="C11" s="6">
        <f>C7/C10</f>
        <v>4482.416666666667</v>
      </c>
      <c r="D11" s="6">
        <f>D7/D10</f>
        <v>5277.7777777777774</v>
      </c>
      <c r="E11" s="5"/>
    </row>
    <row r="12" spans="1:8" x14ac:dyDescent="0.25">
      <c r="A12" t="s">
        <v>5</v>
      </c>
      <c r="B12" s="6">
        <f>B7/15</f>
        <v>53789</v>
      </c>
      <c r="C12" s="6">
        <f>C7/15</f>
        <v>53789</v>
      </c>
      <c r="D12" s="6">
        <f>D7/15</f>
        <v>63333.333333333336</v>
      </c>
      <c r="E12" s="5"/>
      <c r="F12" s="6"/>
      <c r="H12" s="6"/>
    </row>
    <row r="14" spans="1:8" x14ac:dyDescent="0.25">
      <c r="B14" s="15" t="s">
        <v>47</v>
      </c>
      <c r="C14" s="15" t="s">
        <v>48</v>
      </c>
      <c r="D14" s="15" t="s">
        <v>49</v>
      </c>
    </row>
    <row r="15" spans="1:8" x14ac:dyDescent="0.25">
      <c r="B15" s="27" t="s">
        <v>42</v>
      </c>
      <c r="C15" s="27" t="s">
        <v>43</v>
      </c>
      <c r="D15" s="27" t="s">
        <v>44</v>
      </c>
      <c r="E15" s="14"/>
      <c r="F15" s="14"/>
    </row>
    <row r="16" spans="1:8" x14ac:dyDescent="0.25">
      <c r="A16" t="s">
        <v>9</v>
      </c>
      <c r="B16" s="6">
        <f>SUM(B12+C12)</f>
        <v>107578</v>
      </c>
      <c r="C16" s="25">
        <v>1.0113000000000001</v>
      </c>
      <c r="D16" s="26">
        <f>B16*C16</f>
        <v>108793.63140000001</v>
      </c>
    </row>
    <row r="17" spans="1:4" x14ac:dyDescent="0.25">
      <c r="B17" s="6"/>
      <c r="C17" s="25"/>
      <c r="D17" s="26"/>
    </row>
    <row r="18" spans="1:4" x14ac:dyDescent="0.25">
      <c r="B18" s="15" t="s">
        <v>47</v>
      </c>
      <c r="C18" s="15" t="s">
        <v>48</v>
      </c>
      <c r="D18" s="15" t="s">
        <v>49</v>
      </c>
    </row>
    <row r="19" spans="1:4" x14ac:dyDescent="0.25">
      <c r="B19" s="10" t="s">
        <v>45</v>
      </c>
      <c r="C19" s="28" t="s">
        <v>46</v>
      </c>
      <c r="D19" s="28" t="s">
        <v>44</v>
      </c>
    </row>
    <row r="20" spans="1:4" x14ac:dyDescent="0.25">
      <c r="A20" t="s">
        <v>36</v>
      </c>
      <c r="B20" s="1"/>
    </row>
    <row r="21" spans="1:4" x14ac:dyDescent="0.25">
      <c r="A21" t="s">
        <v>11</v>
      </c>
      <c r="B21" s="6">
        <f>'Def Tax'!D18+'Def Tax'!J18</f>
        <v>1586269.888888889</v>
      </c>
    </row>
    <row r="22" spans="1:4" x14ac:dyDescent="0.25">
      <c r="A22" s="11" t="s">
        <v>15</v>
      </c>
      <c r="B22" s="1">
        <f>-'Working Capital'!D13</f>
        <v>12000</v>
      </c>
      <c r="C22" s="29"/>
      <c r="D22" s="6"/>
    </row>
    <row r="23" spans="1:4" x14ac:dyDescent="0.25">
      <c r="A23" s="11" t="s">
        <v>16</v>
      </c>
      <c r="B23" s="10">
        <f>-('Def Tax'!E18+'Def Tax'!F18+'Def Tax'!K18+'Def Tax'!L18)</f>
        <v>-395774.33727777784</v>
      </c>
      <c r="C23" s="29"/>
      <c r="D23" s="6"/>
    </row>
    <row r="24" spans="1:4" x14ac:dyDescent="0.25">
      <c r="A24" s="11" t="s">
        <v>10</v>
      </c>
      <c r="B24" s="1">
        <f>SUM(B21:B23)</f>
        <v>1202495.551611111</v>
      </c>
      <c r="C24" s="30">
        <v>0.10050000000000001</v>
      </c>
      <c r="D24" s="31">
        <f>B24*C24</f>
        <v>120850.80293691666</v>
      </c>
    </row>
    <row r="25" spans="1:4" x14ac:dyDescent="0.25">
      <c r="B25" s="1"/>
    </row>
    <row r="26" spans="1:4" x14ac:dyDescent="0.25">
      <c r="B26" s="1"/>
    </row>
    <row r="27" spans="1:4" x14ac:dyDescent="0.25">
      <c r="B27" s="1"/>
    </row>
    <row r="28" spans="1:4" x14ac:dyDescent="0.25">
      <c r="B28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"/>
  <sheetViews>
    <sheetView zoomScale="90" zoomScaleNormal="90" workbookViewId="0">
      <selection activeCell="E18" sqref="E18:F18"/>
    </sheetView>
  </sheetViews>
  <sheetFormatPr defaultRowHeight="15" x14ac:dyDescent="0.25"/>
  <cols>
    <col min="1" max="1" width="10.7109375" customWidth="1"/>
    <col min="2" max="3" width="13.140625" customWidth="1"/>
    <col min="4" max="4" width="11.5703125" bestFit="1" customWidth="1"/>
    <col min="5" max="5" width="12.5703125" customWidth="1"/>
    <col min="6" max="6" width="13.140625" customWidth="1"/>
    <col min="8" max="8" width="13.28515625" customWidth="1"/>
    <col min="9" max="9" width="16.42578125" customWidth="1"/>
    <col min="10" max="10" width="9.42578125" customWidth="1"/>
    <col min="11" max="12" width="11.7109375" customWidth="1"/>
  </cols>
  <sheetData>
    <row r="1" spans="1:12" x14ac:dyDescent="0.25">
      <c r="A1" s="20" t="s">
        <v>22</v>
      </c>
    </row>
    <row r="2" spans="1:12" x14ac:dyDescent="0.25">
      <c r="A2" s="20" t="s">
        <v>23</v>
      </c>
    </row>
    <row r="3" spans="1:12" x14ac:dyDescent="0.25">
      <c r="H3" s="24" t="s">
        <v>40</v>
      </c>
      <c r="I3" s="24" t="s">
        <v>24</v>
      </c>
    </row>
    <row r="4" spans="1:12" ht="45" x14ac:dyDescent="0.25">
      <c r="B4" s="8" t="s">
        <v>14</v>
      </c>
      <c r="C4" s="8" t="s">
        <v>14</v>
      </c>
      <c r="D4" s="8" t="s">
        <v>17</v>
      </c>
      <c r="E4" s="8" t="s">
        <v>18</v>
      </c>
      <c r="F4" s="8" t="s">
        <v>19</v>
      </c>
      <c r="H4" s="9" t="s">
        <v>20</v>
      </c>
      <c r="I4" s="9" t="s">
        <v>20</v>
      </c>
      <c r="J4" s="9" t="s">
        <v>41</v>
      </c>
      <c r="K4" s="8" t="s">
        <v>18</v>
      </c>
      <c r="L4" s="8" t="s">
        <v>19</v>
      </c>
    </row>
    <row r="5" spans="1:12" x14ac:dyDescent="0.25">
      <c r="A5" s="7">
        <v>43646</v>
      </c>
      <c r="B5" s="6">
        <f>'Rev Req Impact'!B7</f>
        <v>806835</v>
      </c>
      <c r="C5" s="6">
        <f>'Rev Req Impact'!C7</f>
        <v>806835</v>
      </c>
      <c r="D5" s="6">
        <f>B5+C5</f>
        <v>1613670</v>
      </c>
      <c r="E5" s="6">
        <f>D5*0.05</f>
        <v>80683.5</v>
      </c>
      <c r="F5" s="6">
        <f>SUM(D5-E5)*0.21</f>
        <v>321927.16499999998</v>
      </c>
      <c r="H5" s="6">
        <v>918333.33333333349</v>
      </c>
      <c r="I5" s="6">
        <v>944722.22222222225</v>
      </c>
      <c r="J5" s="6">
        <f>I5-H5</f>
        <v>26388.88888888876</v>
      </c>
      <c r="K5" s="6">
        <f>J5*0.05</f>
        <v>1319.444444444438</v>
      </c>
      <c r="L5" s="6">
        <f>SUM(J5-K5)*0.21</f>
        <v>5264.5833333333076</v>
      </c>
    </row>
    <row r="6" spans="1:12" x14ac:dyDescent="0.25">
      <c r="A6" s="7">
        <v>43677</v>
      </c>
      <c r="B6" s="1">
        <f>B5-'Rev Req Impact'!$B$11</f>
        <v>802352.58333333337</v>
      </c>
      <c r="C6" s="1">
        <f>C5-'Rev Req Impact'!$C$11</f>
        <v>802352.58333333337</v>
      </c>
      <c r="D6" s="1">
        <f t="shared" ref="D6:D17" si="0">B6+C6</f>
        <v>1604705.1666666667</v>
      </c>
      <c r="E6" s="1">
        <f t="shared" ref="E6:E17" si="1">D6*0.05</f>
        <v>80235.258333333346</v>
      </c>
      <c r="F6" s="1">
        <f t="shared" ref="F6:F17" si="2">SUM(D6-E6)*0.21</f>
        <v>320138.68075</v>
      </c>
      <c r="H6" s="1">
        <v>913055.55555555574</v>
      </c>
      <c r="I6" s="1">
        <v>939444.4444444445</v>
      </c>
      <c r="J6" s="1">
        <f>I6-H6</f>
        <v>26388.88888888876</v>
      </c>
      <c r="K6" s="1">
        <f t="shared" ref="K6" si="3">J6*0.05</f>
        <v>1319.444444444438</v>
      </c>
      <c r="L6" s="1">
        <f t="shared" ref="L6" si="4">SUM(J6-K6)*0.21</f>
        <v>5264.5833333333076</v>
      </c>
    </row>
    <row r="7" spans="1:12" x14ac:dyDescent="0.25">
      <c r="A7" s="7">
        <v>43708</v>
      </c>
      <c r="B7" s="1">
        <f>B6-'Rev Req Impact'!$B$11</f>
        <v>797870.16666666674</v>
      </c>
      <c r="C7" s="1">
        <f>C6-'Rev Req Impact'!$C$11</f>
        <v>797870.16666666674</v>
      </c>
      <c r="D7" s="1">
        <f t="shared" si="0"/>
        <v>1595740.3333333335</v>
      </c>
      <c r="E7" s="1">
        <f t="shared" si="1"/>
        <v>79787.016666666677</v>
      </c>
      <c r="F7" s="1">
        <f t="shared" si="2"/>
        <v>318350.19650000002</v>
      </c>
      <c r="H7" s="1">
        <v>907777.77777777798</v>
      </c>
      <c r="I7" s="1">
        <v>934166.66666666674</v>
      </c>
      <c r="J7" s="1">
        <f t="shared" ref="J7:J17" si="5">I7-H7</f>
        <v>26388.88888888876</v>
      </c>
      <c r="K7" s="1">
        <f t="shared" ref="K7:K17" si="6">J7*0.05</f>
        <v>1319.444444444438</v>
      </c>
      <c r="L7" s="1">
        <f t="shared" ref="L7:L17" si="7">SUM(J7-K7)*0.21</f>
        <v>5264.5833333333076</v>
      </c>
    </row>
    <row r="8" spans="1:12" x14ac:dyDescent="0.25">
      <c r="A8" s="7">
        <v>43738</v>
      </c>
      <c r="B8" s="1">
        <f>B7-'Rev Req Impact'!$B$11</f>
        <v>793387.75000000012</v>
      </c>
      <c r="C8" s="1">
        <f>C7-'Rev Req Impact'!$C$11</f>
        <v>793387.75000000012</v>
      </c>
      <c r="D8" s="1">
        <f t="shared" si="0"/>
        <v>1586775.5000000002</v>
      </c>
      <c r="E8" s="1">
        <f t="shared" si="1"/>
        <v>79338.775000000023</v>
      </c>
      <c r="F8" s="1">
        <f t="shared" si="2"/>
        <v>316561.71224999998</v>
      </c>
      <c r="H8" s="1">
        <v>902500.00000000023</v>
      </c>
      <c r="I8" s="1">
        <v>928888.88888888899</v>
      </c>
      <c r="J8" s="1">
        <f t="shared" si="5"/>
        <v>26388.88888888876</v>
      </c>
      <c r="K8" s="1">
        <f t="shared" si="6"/>
        <v>1319.444444444438</v>
      </c>
      <c r="L8" s="1">
        <f t="shared" si="7"/>
        <v>5264.5833333333076</v>
      </c>
    </row>
    <row r="9" spans="1:12" x14ac:dyDescent="0.25">
      <c r="A9" s="7">
        <v>43769</v>
      </c>
      <c r="B9" s="1">
        <f>B8-'Rev Req Impact'!$B$11</f>
        <v>788905.33333333349</v>
      </c>
      <c r="C9" s="1">
        <f>C8-'Rev Req Impact'!$C$11</f>
        <v>788905.33333333349</v>
      </c>
      <c r="D9" s="1">
        <f t="shared" si="0"/>
        <v>1577810.666666667</v>
      </c>
      <c r="E9" s="1">
        <f t="shared" si="1"/>
        <v>78890.533333333355</v>
      </c>
      <c r="F9" s="1">
        <f t="shared" si="2"/>
        <v>314773.228</v>
      </c>
      <c r="H9" s="1">
        <v>897222.22222222248</v>
      </c>
      <c r="I9" s="1">
        <v>923611.11111111124</v>
      </c>
      <c r="J9" s="1">
        <f t="shared" si="5"/>
        <v>26388.88888888876</v>
      </c>
      <c r="K9" s="1">
        <f t="shared" si="6"/>
        <v>1319.444444444438</v>
      </c>
      <c r="L9" s="1">
        <f t="shared" si="7"/>
        <v>5264.5833333333076</v>
      </c>
    </row>
    <row r="10" spans="1:12" x14ac:dyDescent="0.25">
      <c r="A10" s="7">
        <v>43799</v>
      </c>
      <c r="B10" s="1">
        <f>B9-'Rev Req Impact'!$B$11</f>
        <v>784422.91666666686</v>
      </c>
      <c r="C10" s="1">
        <f>C9-'Rev Req Impact'!$C$11</f>
        <v>784422.91666666686</v>
      </c>
      <c r="D10" s="1">
        <f t="shared" si="0"/>
        <v>1568845.8333333337</v>
      </c>
      <c r="E10" s="1">
        <f t="shared" si="1"/>
        <v>78442.291666666686</v>
      </c>
      <c r="F10" s="1">
        <f t="shared" si="2"/>
        <v>312984.74375000008</v>
      </c>
      <c r="H10" s="1">
        <v>891944.44444444473</v>
      </c>
      <c r="I10" s="1">
        <v>918333.33333333349</v>
      </c>
      <c r="J10" s="1">
        <f t="shared" si="5"/>
        <v>26388.88888888876</v>
      </c>
      <c r="K10" s="1">
        <f t="shared" si="6"/>
        <v>1319.444444444438</v>
      </c>
      <c r="L10" s="1">
        <f t="shared" si="7"/>
        <v>5264.5833333333076</v>
      </c>
    </row>
    <row r="11" spans="1:12" x14ac:dyDescent="0.25">
      <c r="A11" s="7">
        <v>43830</v>
      </c>
      <c r="B11" s="1">
        <f>B10-'Rev Req Impact'!$B$11</f>
        <v>779940.50000000023</v>
      </c>
      <c r="C11" s="1">
        <f>C10-'Rev Req Impact'!$C$11</f>
        <v>779940.50000000023</v>
      </c>
      <c r="D11" s="1">
        <f t="shared" si="0"/>
        <v>1559881.0000000005</v>
      </c>
      <c r="E11" s="1">
        <f t="shared" si="1"/>
        <v>77994.050000000032</v>
      </c>
      <c r="F11" s="1">
        <f t="shared" si="2"/>
        <v>311196.2595000001</v>
      </c>
      <c r="H11" s="1">
        <v>886666.66666666698</v>
      </c>
      <c r="I11" s="1">
        <v>913055.55555555574</v>
      </c>
      <c r="J11" s="1">
        <f t="shared" si="5"/>
        <v>26388.88888888876</v>
      </c>
      <c r="K11" s="1">
        <f t="shared" si="6"/>
        <v>1319.444444444438</v>
      </c>
      <c r="L11" s="1">
        <f t="shared" si="7"/>
        <v>5264.5833333333076</v>
      </c>
    </row>
    <row r="12" spans="1:12" x14ac:dyDescent="0.25">
      <c r="A12" s="7">
        <v>43861</v>
      </c>
      <c r="B12" s="1">
        <f>B11-'Rev Req Impact'!$B$11</f>
        <v>775458.0833333336</v>
      </c>
      <c r="C12" s="1">
        <f>C11-'Rev Req Impact'!$C$11</f>
        <v>775458.0833333336</v>
      </c>
      <c r="D12" s="1">
        <f t="shared" si="0"/>
        <v>1550916.1666666672</v>
      </c>
      <c r="E12" s="1">
        <f t="shared" si="1"/>
        <v>77545.808333333363</v>
      </c>
      <c r="F12" s="1">
        <f t="shared" si="2"/>
        <v>309407.77525000012</v>
      </c>
      <c r="H12" s="1">
        <v>881388.88888888923</v>
      </c>
      <c r="I12" s="1">
        <v>907777.77777777798</v>
      </c>
      <c r="J12" s="1">
        <f t="shared" si="5"/>
        <v>26388.88888888876</v>
      </c>
      <c r="K12" s="1">
        <f t="shared" si="6"/>
        <v>1319.444444444438</v>
      </c>
      <c r="L12" s="1">
        <f t="shared" si="7"/>
        <v>5264.5833333333076</v>
      </c>
    </row>
    <row r="13" spans="1:12" x14ac:dyDescent="0.25">
      <c r="A13" s="7">
        <v>43890</v>
      </c>
      <c r="B13" s="1">
        <f>B12-'Rev Req Impact'!$B$11</f>
        <v>770975.66666666698</v>
      </c>
      <c r="C13" s="1">
        <f>C12-'Rev Req Impact'!$C$11</f>
        <v>770975.66666666698</v>
      </c>
      <c r="D13" s="1">
        <f t="shared" si="0"/>
        <v>1541951.333333334</v>
      </c>
      <c r="E13" s="1">
        <f t="shared" si="1"/>
        <v>77097.566666666695</v>
      </c>
      <c r="F13" s="1">
        <f t="shared" si="2"/>
        <v>307619.29100000014</v>
      </c>
      <c r="H13" s="1">
        <v>876111.11111111147</v>
      </c>
      <c r="I13" s="1">
        <v>902500.00000000023</v>
      </c>
      <c r="J13" s="1">
        <f t="shared" si="5"/>
        <v>26388.88888888876</v>
      </c>
      <c r="K13" s="1">
        <f t="shared" si="6"/>
        <v>1319.444444444438</v>
      </c>
      <c r="L13" s="1">
        <f t="shared" si="7"/>
        <v>5264.5833333333076</v>
      </c>
    </row>
    <row r="14" spans="1:12" x14ac:dyDescent="0.25">
      <c r="A14" s="7">
        <v>43921</v>
      </c>
      <c r="B14" s="1">
        <f>B13-'Rev Req Impact'!$B$11</f>
        <v>766493.25000000035</v>
      </c>
      <c r="C14" s="1">
        <f>C13-'Rev Req Impact'!$C$11</f>
        <v>766493.25000000035</v>
      </c>
      <c r="D14" s="1">
        <f t="shared" si="0"/>
        <v>1532986.5000000007</v>
      </c>
      <c r="E14" s="1">
        <f t="shared" si="1"/>
        <v>76649.325000000041</v>
      </c>
      <c r="F14" s="1">
        <f t="shared" si="2"/>
        <v>305830.80675000016</v>
      </c>
      <c r="H14" s="1">
        <v>870833.33333333372</v>
      </c>
      <c r="I14" s="1">
        <v>897222.22222222248</v>
      </c>
      <c r="J14" s="1">
        <f t="shared" si="5"/>
        <v>26388.88888888876</v>
      </c>
      <c r="K14" s="1">
        <f t="shared" si="6"/>
        <v>1319.444444444438</v>
      </c>
      <c r="L14" s="1">
        <f t="shared" si="7"/>
        <v>5264.5833333333076</v>
      </c>
    </row>
    <row r="15" spans="1:12" x14ac:dyDescent="0.25">
      <c r="A15" s="7">
        <v>43951</v>
      </c>
      <c r="B15" s="1">
        <f>B14-'Rev Req Impact'!$B$11</f>
        <v>762010.83333333372</v>
      </c>
      <c r="C15" s="1">
        <f>C14-'Rev Req Impact'!$C$11</f>
        <v>762010.83333333372</v>
      </c>
      <c r="D15" s="1">
        <f t="shared" si="0"/>
        <v>1524021.6666666674</v>
      </c>
      <c r="E15" s="1">
        <f t="shared" si="1"/>
        <v>76201.083333333372</v>
      </c>
      <c r="F15" s="1">
        <f t="shared" si="2"/>
        <v>304042.32250000013</v>
      </c>
      <c r="H15" s="1">
        <v>865555.55555555597</v>
      </c>
      <c r="I15" s="1">
        <v>891944.44444444473</v>
      </c>
      <c r="J15" s="1">
        <f t="shared" si="5"/>
        <v>26388.88888888876</v>
      </c>
      <c r="K15" s="1">
        <f t="shared" si="6"/>
        <v>1319.444444444438</v>
      </c>
      <c r="L15" s="1">
        <f t="shared" si="7"/>
        <v>5264.5833333333076</v>
      </c>
    </row>
    <row r="16" spans="1:12" x14ac:dyDescent="0.25">
      <c r="A16" s="7">
        <v>43982</v>
      </c>
      <c r="B16" s="1">
        <f>B15-'Rev Req Impact'!$B$11</f>
        <v>757528.41666666709</v>
      </c>
      <c r="C16" s="1">
        <f>C15-'Rev Req Impact'!$C$11</f>
        <v>757528.41666666709</v>
      </c>
      <c r="D16" s="1">
        <f t="shared" si="0"/>
        <v>1515056.8333333342</v>
      </c>
      <c r="E16" s="1">
        <f t="shared" si="1"/>
        <v>75752.841666666718</v>
      </c>
      <c r="F16" s="1">
        <f t="shared" si="2"/>
        <v>302253.83825000015</v>
      </c>
      <c r="H16" s="1">
        <v>860277.77777777822</v>
      </c>
      <c r="I16" s="1">
        <v>886666.66666666698</v>
      </c>
      <c r="J16" s="1">
        <f t="shared" si="5"/>
        <v>26388.88888888876</v>
      </c>
      <c r="K16" s="1">
        <f t="shared" si="6"/>
        <v>1319.444444444438</v>
      </c>
      <c r="L16" s="1">
        <f t="shared" si="7"/>
        <v>5264.5833333333076</v>
      </c>
    </row>
    <row r="17" spans="1:12" x14ac:dyDescent="0.25">
      <c r="A17" s="7">
        <v>43983</v>
      </c>
      <c r="B17" s="1">
        <f>B16-'Rev Req Impact'!$B$11</f>
        <v>753046.00000000047</v>
      </c>
      <c r="C17" s="1">
        <f>C16-'Rev Req Impact'!$C$11</f>
        <v>753046.00000000047</v>
      </c>
      <c r="D17" s="1">
        <f t="shared" si="0"/>
        <v>1506092.0000000009</v>
      </c>
      <c r="E17" s="1">
        <f t="shared" si="1"/>
        <v>75304.600000000049</v>
      </c>
      <c r="F17" s="1">
        <f t="shared" si="2"/>
        <v>300465.35400000017</v>
      </c>
      <c r="H17" s="1">
        <v>855000.00000000047</v>
      </c>
      <c r="I17" s="1">
        <v>881388.88888888923</v>
      </c>
      <c r="J17" s="1">
        <f t="shared" si="5"/>
        <v>26388.88888888876</v>
      </c>
      <c r="K17" s="1">
        <f t="shared" si="6"/>
        <v>1319.444444444438</v>
      </c>
      <c r="L17" s="1">
        <f t="shared" si="7"/>
        <v>5264.5833333333076</v>
      </c>
    </row>
    <row r="18" spans="1:12" x14ac:dyDescent="0.25">
      <c r="A18" s="15" t="s">
        <v>13</v>
      </c>
      <c r="B18" s="18">
        <f>AVERAGE(B5:B17)</f>
        <v>779940.50000000012</v>
      </c>
      <c r="C18" s="18">
        <f>AVERAGE(C5:C17)</f>
        <v>779940.50000000012</v>
      </c>
      <c r="D18" s="18">
        <f>AVERAGE(D5:D17)</f>
        <v>1559881.0000000002</v>
      </c>
      <c r="E18" s="18">
        <f>AVERAGE(E5:E17)</f>
        <v>77994.050000000017</v>
      </c>
      <c r="F18" s="18">
        <f>AVERAGE(F5:F17)</f>
        <v>311196.25950000004</v>
      </c>
      <c r="H18" s="18">
        <f>AVERAGE(H5:H17)</f>
        <v>886666.66666666686</v>
      </c>
      <c r="I18" s="18">
        <f>AVERAGE(I5:I17)</f>
        <v>913055.55555555585</v>
      </c>
      <c r="J18" s="18">
        <f>AVERAGE(J5:J17)</f>
        <v>26388.88888888876</v>
      </c>
      <c r="K18" s="18">
        <f>AVERAGE(K5:K17)</f>
        <v>1319.444444444438</v>
      </c>
      <c r="L18" s="18">
        <f>AVERAGE(L5:L17)</f>
        <v>5264.5833333333076</v>
      </c>
    </row>
  </sheetData>
  <pageMargins left="0.7" right="0.7" top="0.75" bottom="0.75" header="0.3" footer="0.3"/>
  <pageSetup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zoomScale="90" zoomScaleNormal="90" workbookViewId="0">
      <selection activeCell="E14" sqref="E14"/>
    </sheetView>
  </sheetViews>
  <sheetFormatPr defaultRowHeight="15" x14ac:dyDescent="0.25"/>
  <cols>
    <col min="1" max="1" width="49.28515625" bestFit="1" customWidth="1"/>
    <col min="2" max="2" width="14.85546875" customWidth="1"/>
    <col min="3" max="3" width="14.28515625" customWidth="1"/>
    <col min="4" max="4" width="11.7109375" customWidth="1"/>
  </cols>
  <sheetData>
    <row r="1" spans="1:4" x14ac:dyDescent="0.25">
      <c r="A1" s="20" t="s">
        <v>22</v>
      </c>
    </row>
    <row r="2" spans="1:4" x14ac:dyDescent="0.25">
      <c r="A2" s="20" t="s">
        <v>35</v>
      </c>
    </row>
    <row r="4" spans="1:4" ht="30" x14ac:dyDescent="0.25">
      <c r="B4" s="21" t="s">
        <v>24</v>
      </c>
      <c r="C4" s="21" t="s">
        <v>25</v>
      </c>
      <c r="D4" s="21" t="s">
        <v>34</v>
      </c>
    </row>
    <row r="5" spans="1:4" x14ac:dyDescent="0.25">
      <c r="A5" t="s">
        <v>26</v>
      </c>
      <c r="B5" s="1">
        <v>106767687.77132231</v>
      </c>
      <c r="C5" s="11">
        <v>106541819.23921062</v>
      </c>
      <c r="D5" s="22">
        <f>B5-C5</f>
        <v>225868.53211168945</v>
      </c>
    </row>
    <row r="6" spans="1:4" x14ac:dyDescent="0.25">
      <c r="A6" t="s">
        <v>27</v>
      </c>
      <c r="B6" s="1">
        <f>B5/365</f>
        <v>292514.2130721159</v>
      </c>
      <c r="C6" s="1">
        <f>C5/365</f>
        <v>291895.39517591952</v>
      </c>
      <c r="D6" s="22">
        <f>B6-C6</f>
        <v>618.81789619638585</v>
      </c>
    </row>
    <row r="7" spans="1:4" x14ac:dyDescent="0.25">
      <c r="A7" t="s">
        <v>28</v>
      </c>
      <c r="B7" s="1"/>
      <c r="C7" s="14"/>
      <c r="D7" s="14"/>
    </row>
    <row r="8" spans="1:4" x14ac:dyDescent="0.25">
      <c r="A8" t="s">
        <v>29</v>
      </c>
      <c r="B8" s="16">
        <v>43.379999999999995</v>
      </c>
      <c r="C8" s="16">
        <v>43.38</v>
      </c>
      <c r="D8" s="14"/>
    </row>
    <row r="9" spans="1:4" x14ac:dyDescent="0.25">
      <c r="A9" t="s">
        <v>30</v>
      </c>
      <c r="B9" s="17">
        <v>29.84</v>
      </c>
      <c r="C9" s="17">
        <v>29.85</v>
      </c>
      <c r="D9" s="14"/>
    </row>
    <row r="10" spans="1:4" x14ac:dyDescent="0.25">
      <c r="A10" t="s">
        <v>31</v>
      </c>
      <c r="B10" s="17">
        <f>B8-B9</f>
        <v>13.539999999999996</v>
      </c>
      <c r="C10" s="17">
        <f>C8-C9</f>
        <v>13.530000000000001</v>
      </c>
      <c r="D10" s="14"/>
    </row>
    <row r="11" spans="1:4" x14ac:dyDescent="0.25">
      <c r="B11" s="14"/>
      <c r="C11" s="14"/>
      <c r="D11" s="14"/>
    </row>
    <row r="12" spans="1:4" x14ac:dyDescent="0.25">
      <c r="A12" s="11" t="s">
        <v>32</v>
      </c>
      <c r="B12" s="22">
        <f>B6*B10</f>
        <v>3960642.4449964482</v>
      </c>
      <c r="C12" s="22">
        <f>C6*C10</f>
        <v>3949344.6967301914</v>
      </c>
      <c r="D12" s="22"/>
    </row>
    <row r="13" spans="1:4" x14ac:dyDescent="0.25">
      <c r="A13" t="s">
        <v>33</v>
      </c>
      <c r="B13" s="22">
        <f>ROUND(B12,-3)</f>
        <v>3961000</v>
      </c>
      <c r="C13" s="22">
        <f>ROUND(C12,-3)</f>
        <v>3949000</v>
      </c>
      <c r="D13" s="22">
        <f>C13-B13</f>
        <v>-12000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 xsi:nil="true"/>
    <Document_x0020_Type xmlns="00c1cf47-8665-4c73-8994-ff3a5e26da0f">Attachment</Document_x0020_Type>
    <_ip_UnifiedCompliancePolicyProperties xmlns="http://schemas.microsoft.com/sharepoint/v3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A46348EB-82D2-4251-BFBD-AE3C12B05F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39A2E0-05E5-4C79-B7E4-C0AB9CC06D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27BF6F-27A6-47D3-AAFB-DBF13EBA6BBE"/>
    <ds:schemaRef ds:uri="00c1cf47-8665-4c73-8994-ff3a5e26da0f"/>
    <ds:schemaRef ds:uri="7312d0bd-5bb3-4d44-9c84-f993550bd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38BE24-A908-4332-9A33-969458DEFBDA}">
  <ds:schemaRefs>
    <ds:schemaRef ds:uri="3527BF6F-27A6-47D3-AAFB-DBF13EBA6BB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0c1cf47-8665-4c73-8994-ff3a5e26da0f"/>
    <ds:schemaRef ds:uri="http://schemas.microsoft.com/office/2006/metadata/properties"/>
    <ds:schemaRef ds:uri="http://purl.org/dc/elements/1.1/"/>
    <ds:schemaRef ds:uri="7312d0bd-5bb3-4d44-9c84-f993550bda7e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 Req Impact</vt:lpstr>
      <vt:lpstr>Def Tax</vt:lpstr>
      <vt:lpstr>Working Capital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KAW_R_PSCPHDR_NUM006_052419_Attachment</dc:title>
  <dc:subject/>
  <dc:creator>Lori N O'Malley</dc:creator>
  <cp:lastModifiedBy>Melissa L Schwarzell</cp:lastModifiedBy>
  <cp:lastPrinted>2019-05-23T20:21:16Z</cp:lastPrinted>
  <dcterms:created xsi:type="dcterms:W3CDTF">2019-05-17T13:22:52Z</dcterms:created>
  <dcterms:modified xsi:type="dcterms:W3CDTF">2019-05-24T02:21:41Z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</Properties>
</file>