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0" yWindow="0" windowWidth="28800" windowHeight="12588" tabRatio="768" activeTab="1"/>
  </bookViews>
  <sheets>
    <sheet name="Link In" sheetId="1" r:id="rId1"/>
    <sheet name="Link Out" sheetId="2" r:id="rId2"/>
    <sheet name="Exhibit" sheetId="3" r:id="rId3"/>
    <sheet name="Summary by Account" sheetId="4" r:id="rId4"/>
    <sheet name="Summary" sheetId="5" r:id="rId5"/>
    <sheet name="Labor &amp; Related" sheetId="9" r:id="rId6"/>
    <sheet name="Other costs" sheetId="10" r:id="rId7"/>
    <sheet name="Total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con4050" hidden="1">{#N/A,"Anonymous",FALSE,"30 30k Table";#N/A,#N/A,FALSE,"30 50k Table";#N/A,#N/A,FALSE,"40 100k Table"}</definedName>
    <definedName name="_con4050" hidden="1">{#N/A,"Anonymous",FALSE,"30 30k Table";#N/A,#N/A,FALSE,"30 50k Table";#N/A,#N/A,FALSE,"40 100k Table"}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Out" hidden="1">#REF!</definedName>
    <definedName name="AdjustedBaseYear_Corporate">'[1]Link Out'!#REF!</definedName>
    <definedName name="AdjustedBaseYear_TotalCompany">'[1]Link Out'!#REF!</definedName>
    <definedName name="AdjustedBaseYear_TotalWater">'[1]Link Out'!#REF!</definedName>
    <definedName name="AdjustedBaseYear_TotalWW">'[1]Link Out'!#REF!</definedName>
    <definedName name="AdjustedFutureTestYear_Corporate">'[1]Link Out'!#REF!</definedName>
    <definedName name="AdjustedFutureTestYear_TotalCompany">'[1]Link Out'!#REF!</definedName>
    <definedName name="AdjustedFutureTestYear_TotalWater">'[1]Link Out'!#REF!</definedName>
    <definedName name="AdjustedFutureTestYear_TotalWW">'[1]Link Out'!#REF!</definedName>
    <definedName name="as" hidden="1">{"Summary",#N/A,FALSE,"Options "}</definedName>
    <definedName name="ashwin" hidden="1">{#N/A,"Anonymous",FALSE,"30 30k Table";#N/A,#N/A,FALSE,"30 50k Table";#N/A,#N/A,FALSE,"40 100k Table"}</definedName>
    <definedName name="Assessment_FooterType" hidden="1">"NONE"</definedName>
    <definedName name="Assessments_FooterType" hidden="1">"NONE"</definedName>
    <definedName name="AssumpTbl2">'[2]Ad Hoc Assump Extract'!$D$8:$I$101</definedName>
    <definedName name="AWE_Percent">'[3]Rev-QtySqFt'!$M$9</definedName>
    <definedName name="bad" hidden="1">{#N/A,"Anonymous",FALSE,"30 30k Table";#N/A,#N/A,FALSE,"30 50k Table";#N/A,#N/A,FALSE,"40 100k Table"}</definedName>
    <definedName name="badger" hidden="1">{"TOT_QTR_TO_PREV",#N/A,FALSE,"Site Sum"}</definedName>
    <definedName name="badger1" hidden="1">{"TOT_QTR_TO_PREV",#N/A,FALSE,"Site Sum"}</definedName>
    <definedName name="Base_Rent_Escalator">'[3]Rev-BldgLease'!$D$4</definedName>
    <definedName name="BaseRentYr1">#REF!</definedName>
    <definedName name="BaseYear_Corporate">'[1]Link Out'!#REF!</definedName>
    <definedName name="BaseYear_TotalCompany">'[1]Link Out'!#REF!</definedName>
    <definedName name="BaseYear_TotalWater">'[1]Link Out'!#REF!</definedName>
    <definedName name="BaseYear_TotalWW">'[1]Link Out'!#REF!</definedName>
    <definedName name="BaseYearAdj_Corporate">'[1]Link Out'!#REF!</definedName>
    <definedName name="BaseYearAdj_TotalCompany">'[1]Link Out'!#REF!</definedName>
    <definedName name="BaseYearAdj_TotalWater">'[1]Link Out'!#REF!</definedName>
    <definedName name="BaseYearAdj_TotalWW">'[1]Link Out'!#REF!</definedName>
    <definedName name="CapexGrowth">'[3]Invest-ConstruxEst'!$E$48</definedName>
    <definedName name="CBWorkbookPriority" hidden="1">-1523877792</definedName>
    <definedName name="con0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onnectOpt">[4]Assumptions!$N$15:$N$17</definedName>
    <definedName name="copy" hidden="1">"Kingca"</definedName>
    <definedName name="CurrentCostInflator">'[3]Rev-BldgPricePSqFt'!$B$3</definedName>
    <definedName name="DiscountRate">'[3]Discount Rate'!$G$27</definedName>
    <definedName name="edf" hidden="1">{#N/A,"Anonymous",FALSE,"30 30k Table";#N/A,#N/A,FALSE,"30 50k Table";#N/A,#N/A,FALSE,"40 100k Table"}</definedName>
    <definedName name="Entity">[4]Assumptions!$AU$2:$AU$42</definedName>
    <definedName name="ETRNew">'[3]IncStmt-ConsolAll'!$E$23</definedName>
    <definedName name="FFEEscalator">'[3]Rev-FFE'!$D$4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utureTestYear_Corporate">'[1]Link Out'!#REF!</definedName>
    <definedName name="FutureTestYear_TotalCompany">'[1]Link Out'!#REF!</definedName>
    <definedName name="FutureTestYear_TotalWater">'[1]Link Out'!#REF!</definedName>
    <definedName name="FutureTestYear_TotalWW">'[1]Link Out'!#REF!</definedName>
    <definedName name="FutureTestYearAdj_Corporate">'[1]Link Out'!#REF!</definedName>
    <definedName name="FutureTestYearAdj_TotalWater">'[1]Link Out'!#REF!</definedName>
    <definedName name="FutureTestYearAdj_TotalWW">'[1]Link Out'!#REF!</definedName>
    <definedName name="holdflat">#REF!</definedName>
    <definedName name="InterestRate">'[3]Exp-DeprCapexIntrst'!$G$2</definedName>
    <definedName name="IntRate">'[5]Cap Lease HQO'!$J$3</definedName>
    <definedName name="IntRateYr0">'[6]Lease Additions'!$K$4</definedName>
    <definedName name="IntRateYr1">'[6]Lease Additions'!$M$4</definedName>
    <definedName name="IntRateYr10">'[6]Lease Additions'!$V$4</definedName>
    <definedName name="IntRateYr2">'[6]Lease Additions'!$N$4</definedName>
    <definedName name="IntRateYr3">'[6]Lease Additions'!$O$4</definedName>
    <definedName name="IntRateYr4">'[6]Lease Additions'!$P$4</definedName>
    <definedName name="IntRateYr5">'[6]Lease Additions'!$Q$4</definedName>
    <definedName name="IntRateYr6">'[6]Lease Additions'!$R$4</definedName>
    <definedName name="IntRateYr7">'[6]Lease Additions'!$S$4</definedName>
    <definedName name="IntRateYr8">'[6]Lease Additions'!$T$4</definedName>
    <definedName name="IntRateYr9">'[6]Lease Additions'!$U$4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ListOffset" hidden="1">1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MoComplete">'[7]Additions CWIP'!$F$7</definedName>
    <definedName name="nam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JAWC_Percent">'[3]Rev-QtySqFt'!$M$11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OandMYr1">#REF!</definedName>
    <definedName name="OM_Rent_Inflation">'[3]Rev-BldgLease'!$D$5</definedName>
    <definedName name="Parent_Percent">'[3]Rev-QtySqFt'!$M$10</definedName>
    <definedName name="PriceFFE">'[3]Rev-FFEPricePSqFt'!#REF!</definedName>
    <definedName name="_xlnm.Print_Area" localSheetId="4">Summary!$A$1:$R$29</definedName>
    <definedName name="_xlnm.Print_Area" localSheetId="7">Total!$A$1:$O$44</definedName>
    <definedName name="PriorYr">'[7]Existing Depr Assets'!$ES$1</definedName>
    <definedName name="Proforma_Corporate">'[1]Link Out'!#REF!</definedName>
    <definedName name="Proforma_TotalCompany">'[1]Link Out'!#REF!</definedName>
    <definedName name="Proforma_TotalWater">'[1]Link Out'!#REF!</definedName>
    <definedName name="Proforma_TotalWW">'[1]Link Out'!#REF!</definedName>
    <definedName name="ProformaAdj_Corporate">'[1]Link Out'!#REF!</definedName>
    <definedName name="ProformaAdj_TotalCompany">'[1]Link Out'!#REF!</definedName>
    <definedName name="ProformaAdj_TotalWater">'[1]Link Out'!#REF!</definedName>
    <definedName name="ProformaAdj_TotalWW">'[1]Link Out'!#REF!</definedName>
    <definedName name="Regulated_Percent">'[3]Rev-QtySqFt'!$M$8</definedName>
    <definedName name="Scenario">[4]Assumptions!$AT$2:$AT$17</definedName>
    <definedName name="shee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1_FooterType" hidden="1">"NONE"</definedName>
    <definedName name="Sheet2_FooterType" hidden="1">"NONE"</definedName>
    <definedName name="testing" hidden="1">{#N/A,"Anonymous",FALSE,"30 30k Table";#N/A,#N/A,FALSE,"30 50k Table";#N/A,#N/A,FALSE,"40 100k Table"}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P_Footer_Path" hidden="1">"S:\00270\05ret\othsys\team\"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"oneilbr"</definedName>
    <definedName name="tp_footer_user2" hidden="1">"PEREZM"</definedName>
    <definedName name="tp_footer_user3" hidden="1">"DECRISS"</definedName>
    <definedName name="TP_Footer_Version" hidden="1">"v4.00"</definedName>
    <definedName name="Version">[4]Assumptions!$AS$2:$AS$18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hat" hidden="1">{"TOT_QTR_TO_PREV",#N/A,FALSE,"Site Sum"}</definedName>
    <definedName name="what1" hidden="1">{"TOT_QTR_TO_PREV",#N/A,FALSE,"Site Sum"}</definedName>
    <definedName name="what2" hidden="1">{"TOT_QTR_TO_PREV",#N/A,FALSE,"Site Sum"}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Graph._.SBU._.by._.Year._.1997_2000." hidden="1">{"Graph SBU by Year 1997_2000",#N/A,FALSE,"Strategic Business Lines"}</definedName>
    <definedName name="wrn.Graph._.SBU._.Contribution._.1997_2000." hidden="1">{"Graph_SBU_Contirbution 1991_2000",#N/A,FALSE,"Strategic Business Lines"}</definedName>
    <definedName name="wrn.Initial." hidden="1">{#N/A,"Anonymous",FALSE,"30 30k Table";#N/A,#N/A,FALSE,"30 50k Table";#N/A,#N/A,FALSE,"40 100k Table"}</definedName>
    <definedName name="wrn.Percentage." hidden="1">{"Summary",#N/A,FALSE,"Options 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Table._.SBU._.1996_2002." hidden="1">{"SBU Numbers 1996_2002",#N/A,FALSE,"Strategic Business Lines"}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Year1">'[7]Existing Depr Assets'!$ET$1</definedName>
    <definedName name="Year2">'[7]Existing Depr Assets'!$EZ$1</definedName>
    <definedName name="Year3">'[7]Existing Depr Assets'!$FA$1</definedName>
    <definedName name="Year4">'[7]Existing Depr Assets'!$FB$1</definedName>
    <definedName name="Year5">'[7]Existing Depr Assets'!$FC$1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1" i="1" l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L51" i="1"/>
  <c r="K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L50" i="1"/>
  <c r="K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L49" i="1"/>
  <c r="K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L48" i="1"/>
  <c r="K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L47" i="1"/>
  <c r="K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L46" i="1"/>
  <c r="K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L45" i="1"/>
  <c r="K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L44" i="1"/>
  <c r="K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L43" i="1"/>
  <c r="K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L42" i="1"/>
  <c r="K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L41" i="1"/>
  <c r="K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L40" i="1"/>
  <c r="K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L38" i="1"/>
  <c r="K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L37" i="1"/>
  <c r="K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L36" i="1"/>
  <c r="K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L35" i="1"/>
  <c r="K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L34" i="1"/>
  <c r="K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L33" i="1"/>
  <c r="K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L32" i="1"/>
  <c r="K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L31" i="1"/>
  <c r="K31" i="1"/>
  <c r="I51" i="1"/>
  <c r="G51" i="1"/>
  <c r="E51" i="1"/>
  <c r="B51" i="1"/>
  <c r="A51" i="1"/>
  <c r="I50" i="1"/>
  <c r="G50" i="1"/>
  <c r="E50" i="1"/>
  <c r="B50" i="1"/>
  <c r="A50" i="1"/>
  <c r="I49" i="1"/>
  <c r="I48" i="1"/>
  <c r="I47" i="1"/>
  <c r="G47" i="1"/>
  <c r="E47" i="1"/>
  <c r="B47" i="1"/>
  <c r="A47" i="1"/>
  <c r="I46" i="1"/>
  <c r="G46" i="1"/>
  <c r="E46" i="1"/>
  <c r="B46" i="1"/>
  <c r="A46" i="1"/>
  <c r="I45" i="1"/>
  <c r="G45" i="1"/>
  <c r="E45" i="1"/>
  <c r="B45" i="1"/>
  <c r="A45" i="1"/>
  <c r="I44" i="1"/>
  <c r="G44" i="1"/>
  <c r="E44" i="1"/>
  <c r="B44" i="1"/>
  <c r="A44" i="1"/>
  <c r="I43" i="1"/>
  <c r="G43" i="1"/>
  <c r="E43" i="1"/>
  <c r="B43" i="1"/>
  <c r="A43" i="1"/>
  <c r="I42" i="1"/>
  <c r="G42" i="1"/>
  <c r="E42" i="1"/>
  <c r="B42" i="1"/>
  <c r="A42" i="1"/>
  <c r="I41" i="1"/>
  <c r="G41" i="1"/>
  <c r="E41" i="1"/>
  <c r="B41" i="1"/>
  <c r="A41" i="1"/>
  <c r="I40" i="1"/>
  <c r="G40" i="1"/>
  <c r="E40" i="1"/>
  <c r="B40" i="1"/>
  <c r="A40" i="1"/>
  <c r="I39" i="1"/>
  <c r="G39" i="1"/>
  <c r="E39" i="1"/>
  <c r="B39" i="1"/>
  <c r="A39" i="1"/>
  <c r="I38" i="1"/>
  <c r="G38" i="1"/>
  <c r="E38" i="1"/>
  <c r="B38" i="1"/>
  <c r="A38" i="1"/>
  <c r="I37" i="1"/>
  <c r="G37" i="1"/>
  <c r="E37" i="1"/>
  <c r="B37" i="1"/>
  <c r="A37" i="1"/>
  <c r="I36" i="1"/>
  <c r="G36" i="1"/>
  <c r="E36" i="1"/>
  <c r="B36" i="1"/>
  <c r="A36" i="1"/>
  <c r="I35" i="1"/>
  <c r="G35" i="1"/>
  <c r="E35" i="1"/>
  <c r="B35" i="1"/>
  <c r="A35" i="1"/>
  <c r="I34" i="1"/>
  <c r="G34" i="1"/>
  <c r="E34" i="1"/>
  <c r="B34" i="1"/>
  <c r="A34" i="1"/>
  <c r="I33" i="1"/>
  <c r="G33" i="1"/>
  <c r="E33" i="1"/>
  <c r="B33" i="1"/>
  <c r="A33" i="1"/>
  <c r="I32" i="1"/>
  <c r="G32" i="1"/>
  <c r="E32" i="1"/>
  <c r="B32" i="1"/>
  <c r="A32" i="1"/>
  <c r="I31" i="1"/>
  <c r="G31" i="1"/>
  <c r="E31" i="1"/>
  <c r="B31" i="1"/>
  <c r="A31" i="1"/>
  <c r="A26" i="1"/>
  <c r="A25" i="1"/>
  <c r="A22" i="1"/>
  <c r="B67" i="1"/>
  <c r="A67" i="1"/>
  <c r="B66" i="1"/>
  <c r="A66" i="1"/>
  <c r="B63" i="1"/>
  <c r="B62" i="1"/>
  <c r="A62" i="1"/>
  <c r="B61" i="1"/>
  <c r="A61" i="1"/>
  <c r="B60" i="1"/>
  <c r="A60" i="1"/>
  <c r="B59" i="1"/>
  <c r="A59" i="1"/>
  <c r="A58" i="1"/>
  <c r="G9" i="1"/>
  <c r="A20" i="1"/>
  <c r="A19" i="1"/>
  <c r="A17" i="1"/>
  <c r="A16" i="1"/>
  <c r="A15" i="1"/>
  <c r="A13" i="1"/>
  <c r="A12" i="1"/>
  <c r="A11" i="1"/>
  <c r="A10" i="1"/>
  <c r="C9" i="1"/>
  <c r="B9" i="1"/>
  <c r="A9" i="1"/>
  <c r="A8" i="1"/>
  <c r="C7" i="1"/>
  <c r="B7" i="1"/>
  <c r="A7" i="1"/>
  <c r="A6" i="1"/>
  <c r="A5" i="1"/>
  <c r="A4" i="1"/>
  <c r="A3" i="1"/>
  <c r="A2" i="1"/>
  <c r="A1" i="1"/>
  <c r="Q27" i="5" l="1"/>
  <c r="AC16" i="9" l="1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15" i="9"/>
  <c r="AC14" i="9"/>
  <c r="H24" i="5" l="1"/>
  <c r="D27" i="3" s="1"/>
  <c r="Q8" i="5"/>
  <c r="D35" i="2" l="1"/>
  <c r="Q9" i="5" l="1"/>
  <c r="R9" i="5" s="1"/>
  <c r="Q10" i="5"/>
  <c r="R10" i="5" s="1"/>
  <c r="Q11" i="5"/>
  <c r="R11" i="5" s="1"/>
  <c r="Q12" i="5"/>
  <c r="R12" i="5" s="1"/>
  <c r="Q13" i="5"/>
  <c r="R13" i="5" s="1"/>
  <c r="Q14" i="5"/>
  <c r="R14" i="5" s="1"/>
  <c r="Q15" i="5"/>
  <c r="R15" i="5" s="1"/>
  <c r="Q16" i="5"/>
  <c r="R16" i="5" s="1"/>
  <c r="Q17" i="5"/>
  <c r="R17" i="5" s="1"/>
  <c r="Q18" i="5"/>
  <c r="R18" i="5" s="1"/>
  <c r="Q19" i="5"/>
  <c r="R19" i="5" s="1"/>
  <c r="Q20" i="5"/>
  <c r="R20" i="5" s="1"/>
  <c r="Q21" i="5"/>
  <c r="R21" i="5" s="1"/>
  <c r="Q22" i="5"/>
  <c r="R22" i="5" s="1"/>
  <c r="Q23" i="5"/>
  <c r="R23" i="5" s="1"/>
  <c r="R8" i="5"/>
  <c r="D24" i="5"/>
  <c r="E24" i="5"/>
  <c r="F24" i="5"/>
  <c r="G24" i="5"/>
  <c r="I24" i="5"/>
  <c r="J24" i="5"/>
  <c r="K24" i="5"/>
  <c r="L24" i="5"/>
  <c r="M24" i="5"/>
  <c r="N24" i="5"/>
  <c r="D23" i="3" s="1"/>
  <c r="O24" i="5"/>
  <c r="P24" i="5"/>
  <c r="C24" i="5"/>
  <c r="Q24" i="5" l="1"/>
  <c r="N14" i="11"/>
  <c r="L7" i="11"/>
  <c r="I7" i="11"/>
  <c r="C7" i="11"/>
  <c r="B5" i="11"/>
  <c r="E29" i="10"/>
  <c r="E28" i="10"/>
  <c r="G27" i="10"/>
  <c r="G26" i="10"/>
  <c r="J26" i="10" s="1"/>
  <c r="E26" i="10"/>
  <c r="E25" i="10"/>
  <c r="E23" i="10"/>
  <c r="G23" i="10"/>
  <c r="G22" i="10"/>
  <c r="J22" i="10" s="1"/>
  <c r="E22" i="10"/>
  <c r="E21" i="10"/>
  <c r="G18" i="10"/>
  <c r="E18" i="10"/>
  <c r="L30" i="10"/>
  <c r="H30" i="10"/>
  <c r="F30" i="10"/>
  <c r="M9" i="10"/>
  <c r="K9" i="10"/>
  <c r="J9" i="10"/>
  <c r="H9" i="10"/>
  <c r="K7" i="10"/>
  <c r="H7" i="10"/>
  <c r="C7" i="10"/>
  <c r="B5" i="10"/>
  <c r="Z30" i="9"/>
  <c r="AB29" i="9"/>
  <c r="Y29" i="9"/>
  <c r="S29" i="9"/>
  <c r="P29" i="9"/>
  <c r="J29" i="9"/>
  <c r="L29" i="9"/>
  <c r="U29" i="9" s="1"/>
  <c r="AD29" i="9" s="1"/>
  <c r="E29" i="9"/>
  <c r="AB28" i="9"/>
  <c r="Y28" i="9"/>
  <c r="P28" i="9"/>
  <c r="L28" i="9"/>
  <c r="J28" i="9"/>
  <c r="E28" i="9"/>
  <c r="E28" i="11" s="1"/>
  <c r="AB27" i="9"/>
  <c r="Y27" i="9"/>
  <c r="S27" i="9"/>
  <c r="P27" i="9"/>
  <c r="J27" i="9"/>
  <c r="E27" i="9"/>
  <c r="K27" i="9"/>
  <c r="AB26" i="9"/>
  <c r="S26" i="9"/>
  <c r="P26" i="9"/>
  <c r="K26" i="9"/>
  <c r="J26" i="9"/>
  <c r="L26" i="9"/>
  <c r="U26" i="9" s="1"/>
  <c r="AD26" i="9" s="1"/>
  <c r="AB25" i="9"/>
  <c r="Y25" i="9"/>
  <c r="S25" i="9"/>
  <c r="P25" i="9"/>
  <c r="L25" i="9"/>
  <c r="U25" i="9" s="1"/>
  <c r="AD25" i="9" s="1"/>
  <c r="J25" i="9"/>
  <c r="E25" i="9"/>
  <c r="AB24" i="9"/>
  <c r="Y24" i="9"/>
  <c r="S24" i="9"/>
  <c r="P24" i="9"/>
  <c r="J24" i="9"/>
  <c r="E24" i="9"/>
  <c r="K24" i="9"/>
  <c r="T24" i="9" s="1"/>
  <c r="AB23" i="9"/>
  <c r="Y23" i="9"/>
  <c r="S23" i="9"/>
  <c r="P23" i="9"/>
  <c r="J23" i="9"/>
  <c r="E23" i="9"/>
  <c r="L23" i="9"/>
  <c r="U23" i="9" s="1"/>
  <c r="AD23" i="9" s="1"/>
  <c r="K23" i="9"/>
  <c r="AB22" i="9"/>
  <c r="Y22" i="9"/>
  <c r="S22" i="9"/>
  <c r="P22" i="9"/>
  <c r="J22" i="9"/>
  <c r="L22" i="9"/>
  <c r="U22" i="9" s="1"/>
  <c r="AD22" i="9" s="1"/>
  <c r="K22" i="9"/>
  <c r="AB21" i="9"/>
  <c r="Y21" i="9"/>
  <c r="S21" i="9"/>
  <c r="P21" i="9"/>
  <c r="J21" i="9"/>
  <c r="E21" i="9"/>
  <c r="E21" i="11" s="1"/>
  <c r="L21" i="9"/>
  <c r="U21" i="9" s="1"/>
  <c r="AD21" i="9" s="1"/>
  <c r="K21" i="9"/>
  <c r="AB20" i="9"/>
  <c r="Y20" i="9"/>
  <c r="S20" i="9"/>
  <c r="P20" i="9"/>
  <c r="J20" i="9"/>
  <c r="L20" i="9"/>
  <c r="U20" i="9" s="1"/>
  <c r="AD20" i="9" s="1"/>
  <c r="K20" i="9"/>
  <c r="AB19" i="9"/>
  <c r="Y19" i="9"/>
  <c r="S19" i="9"/>
  <c r="P19" i="9"/>
  <c r="J19" i="9"/>
  <c r="L19" i="9"/>
  <c r="U19" i="9" s="1"/>
  <c r="AD19" i="9" s="1"/>
  <c r="E19" i="9"/>
  <c r="AB18" i="9"/>
  <c r="Y18" i="9"/>
  <c r="S18" i="9"/>
  <c r="P18" i="9"/>
  <c r="J18" i="9"/>
  <c r="L18" i="9"/>
  <c r="U18" i="9" s="1"/>
  <c r="AD18" i="9" s="1"/>
  <c r="E18" i="9"/>
  <c r="AB17" i="9"/>
  <c r="Y17" i="9"/>
  <c r="S17" i="9"/>
  <c r="P17" i="9"/>
  <c r="J17" i="9"/>
  <c r="E17" i="9"/>
  <c r="L17" i="9"/>
  <c r="U17" i="9" s="1"/>
  <c r="AD17" i="9" s="1"/>
  <c r="K17" i="9"/>
  <c r="AB16" i="9"/>
  <c r="Y16" i="9"/>
  <c r="S16" i="9"/>
  <c r="P16" i="9"/>
  <c r="J16" i="9"/>
  <c r="E16" i="9"/>
  <c r="G16" i="9" s="1"/>
  <c r="L16" i="9"/>
  <c r="U16" i="9" s="1"/>
  <c r="AD16" i="9" s="1"/>
  <c r="K16" i="9"/>
  <c r="AB15" i="9"/>
  <c r="Y15" i="9"/>
  <c r="S15" i="9"/>
  <c r="P15" i="9"/>
  <c r="J15" i="9"/>
  <c r="L15" i="9"/>
  <c r="U15" i="9" s="1"/>
  <c r="AD15" i="9" s="1"/>
  <c r="E15" i="9"/>
  <c r="AB14" i="9"/>
  <c r="X30" i="9"/>
  <c r="S14" i="9"/>
  <c r="R30" i="9"/>
  <c r="P14" i="9"/>
  <c r="N30" i="9"/>
  <c r="J14" i="9"/>
  <c r="F30" i="9"/>
  <c r="D30" i="9"/>
  <c r="E27" i="11" l="1"/>
  <c r="M26" i="10"/>
  <c r="E17" i="11"/>
  <c r="E23" i="11"/>
  <c r="M22" i="10"/>
  <c r="E18" i="11"/>
  <c r="G18" i="9"/>
  <c r="M17" i="9"/>
  <c r="T17" i="9"/>
  <c r="T16" i="9"/>
  <c r="M16" i="9"/>
  <c r="T20" i="9"/>
  <c r="M20" i="9"/>
  <c r="E24" i="11"/>
  <c r="G24" i="9"/>
  <c r="E25" i="11"/>
  <c r="G25" i="9"/>
  <c r="T27" i="9"/>
  <c r="T22" i="9"/>
  <c r="M22" i="9"/>
  <c r="AB30" i="9"/>
  <c r="J30" i="9"/>
  <c r="P30" i="9"/>
  <c r="E15" i="11"/>
  <c r="G15" i="9"/>
  <c r="G19" i="9"/>
  <c r="M21" i="9"/>
  <c r="T21" i="9"/>
  <c r="T23" i="9"/>
  <c r="M23" i="9"/>
  <c r="E29" i="11"/>
  <c r="G29" i="9"/>
  <c r="C30" i="9"/>
  <c r="K14" i="9"/>
  <c r="O30" i="9"/>
  <c r="W30" i="9"/>
  <c r="K18" i="9"/>
  <c r="E20" i="9"/>
  <c r="G23" i="9"/>
  <c r="L24" i="9"/>
  <c r="U24" i="9" s="1"/>
  <c r="AD24" i="9" s="1"/>
  <c r="K25" i="9"/>
  <c r="Y26" i="9"/>
  <c r="L27" i="9"/>
  <c r="U27" i="9" s="1"/>
  <c r="AD27" i="9" s="1"/>
  <c r="U28" i="9"/>
  <c r="AD28" i="9" s="1"/>
  <c r="S28" i="9"/>
  <c r="S30" i="9" s="1"/>
  <c r="K29" i="9"/>
  <c r="D30" i="10"/>
  <c r="G20" i="10"/>
  <c r="H30" i="9"/>
  <c r="G15" i="10"/>
  <c r="E24" i="10"/>
  <c r="J27" i="10"/>
  <c r="L14" i="9"/>
  <c r="E14" i="9"/>
  <c r="Q30" i="9"/>
  <c r="Y14" i="9"/>
  <c r="E22" i="9"/>
  <c r="M26" i="9"/>
  <c r="T26" i="9"/>
  <c r="K28" i="9"/>
  <c r="E20" i="10"/>
  <c r="J23" i="10"/>
  <c r="G28" i="10"/>
  <c r="K15" i="9"/>
  <c r="K19" i="9"/>
  <c r="I30" i="9"/>
  <c r="AA30" i="9"/>
  <c r="G17" i="9"/>
  <c r="G21" i="9"/>
  <c r="E26" i="9"/>
  <c r="G27" i="9"/>
  <c r="G28" i="9"/>
  <c r="E14" i="10"/>
  <c r="G14" i="10"/>
  <c r="E15" i="10"/>
  <c r="G16" i="10"/>
  <c r="E16" i="10"/>
  <c r="J18" i="10"/>
  <c r="G24" i="10"/>
  <c r="K30" i="10"/>
  <c r="E17" i="10"/>
  <c r="G17" i="10"/>
  <c r="I30" i="10"/>
  <c r="G21" i="10"/>
  <c r="G25" i="10"/>
  <c r="E27" i="10"/>
  <c r="G29" i="10"/>
  <c r="Y30" i="9" l="1"/>
  <c r="N22" i="10"/>
  <c r="N26" i="10"/>
  <c r="M24" i="9"/>
  <c r="J25" i="10"/>
  <c r="J21" i="10"/>
  <c r="M18" i="10"/>
  <c r="V24" i="9"/>
  <c r="J28" i="10"/>
  <c r="T29" i="9"/>
  <c r="M29" i="9"/>
  <c r="G20" i="9"/>
  <c r="E20" i="11"/>
  <c r="J14" i="10"/>
  <c r="M14" i="10" s="1"/>
  <c r="M19" i="9"/>
  <c r="T19" i="9"/>
  <c r="M23" i="10"/>
  <c r="H26" i="11"/>
  <c r="V26" i="9"/>
  <c r="E30" i="9"/>
  <c r="G14" i="9"/>
  <c r="M25" i="9"/>
  <c r="T25" i="9"/>
  <c r="M18" i="9"/>
  <c r="T18" i="9"/>
  <c r="K30" i="9"/>
  <c r="M14" i="9"/>
  <c r="T14" i="9"/>
  <c r="V21" i="9"/>
  <c r="H22" i="11"/>
  <c r="V22" i="9"/>
  <c r="V17" i="9"/>
  <c r="G19" i="10"/>
  <c r="G30" i="10" s="1"/>
  <c r="E19" i="10"/>
  <c r="E30" i="10" s="1"/>
  <c r="D30" i="11"/>
  <c r="V20" i="9"/>
  <c r="J29" i="10"/>
  <c r="J24" i="10"/>
  <c r="J16" i="10"/>
  <c r="M15" i="9"/>
  <c r="T15" i="9"/>
  <c r="E22" i="11"/>
  <c r="G22" i="9"/>
  <c r="L30" i="9"/>
  <c r="U14" i="9"/>
  <c r="J15" i="10"/>
  <c r="J20" i="10"/>
  <c r="H23" i="11"/>
  <c r="V23" i="9"/>
  <c r="M27" i="9"/>
  <c r="V16" i="9"/>
  <c r="J17" i="10"/>
  <c r="C30" i="10"/>
  <c r="E26" i="11"/>
  <c r="G26" i="9"/>
  <c r="E16" i="11"/>
  <c r="M28" i="9"/>
  <c r="T28" i="9"/>
  <c r="M27" i="10"/>
  <c r="E19" i="11" l="1"/>
  <c r="H16" i="11"/>
  <c r="H24" i="11"/>
  <c r="H20" i="11"/>
  <c r="H21" i="11"/>
  <c r="K23" i="11"/>
  <c r="AE23" i="9"/>
  <c r="M24" i="10"/>
  <c r="AE26" i="9"/>
  <c r="AF26" i="9" s="1"/>
  <c r="K26" i="11"/>
  <c r="M21" i="10"/>
  <c r="AE16" i="9"/>
  <c r="M29" i="10"/>
  <c r="H17" i="11"/>
  <c r="AE21" i="9"/>
  <c r="G30" i="9"/>
  <c r="V19" i="9"/>
  <c r="N27" i="10"/>
  <c r="M15" i="10"/>
  <c r="M16" i="10"/>
  <c r="K22" i="11"/>
  <c r="AE22" i="9"/>
  <c r="T30" i="9"/>
  <c r="AC30" i="9"/>
  <c r="H18" i="11"/>
  <c r="V18" i="9"/>
  <c r="M28" i="10"/>
  <c r="N18" i="10"/>
  <c r="M25" i="10"/>
  <c r="AE17" i="9"/>
  <c r="H25" i="11"/>
  <c r="V25" i="9"/>
  <c r="H28" i="11"/>
  <c r="V28" i="9"/>
  <c r="U30" i="9"/>
  <c r="AD14" i="9"/>
  <c r="AD30" i="9" s="1"/>
  <c r="M17" i="10"/>
  <c r="H27" i="11"/>
  <c r="V27" i="9"/>
  <c r="M20" i="10"/>
  <c r="H15" i="11"/>
  <c r="V15" i="9"/>
  <c r="AE20" i="9"/>
  <c r="G30" i="11"/>
  <c r="G33" i="11" s="1"/>
  <c r="J19" i="10"/>
  <c r="M30" i="9"/>
  <c r="V14" i="9"/>
  <c r="C30" i="11"/>
  <c r="E14" i="11"/>
  <c r="E30" i="11" s="1"/>
  <c r="N23" i="10"/>
  <c r="V29" i="9"/>
  <c r="H29" i="11"/>
  <c r="AE24" i="9"/>
  <c r="K20" i="11" l="1"/>
  <c r="K24" i="11"/>
  <c r="K17" i="11"/>
  <c r="H14" i="11"/>
  <c r="F30" i="11"/>
  <c r="F32" i="11" s="1"/>
  <c r="N17" i="10"/>
  <c r="M19" i="10"/>
  <c r="M30" i="10" s="1"/>
  <c r="K15" i="11"/>
  <c r="AE15" i="9"/>
  <c r="K27" i="11"/>
  <c r="AE27" i="9"/>
  <c r="K28" i="11"/>
  <c r="AE28" i="9"/>
  <c r="N17" i="11"/>
  <c r="O17" i="11" s="1"/>
  <c r="AF17" i="9"/>
  <c r="J30" i="10"/>
  <c r="K18" i="11"/>
  <c r="AE18" i="9"/>
  <c r="N22" i="11"/>
  <c r="O22" i="11" s="1"/>
  <c r="AF22" i="9"/>
  <c r="AF21" i="9"/>
  <c r="N29" i="10"/>
  <c r="N21" i="10"/>
  <c r="N24" i="10"/>
  <c r="AE14" i="9"/>
  <c r="V30" i="9"/>
  <c r="N14" i="10"/>
  <c r="N15" i="10"/>
  <c r="K19" i="11"/>
  <c r="AE19" i="9"/>
  <c r="K21" i="11"/>
  <c r="AF16" i="9"/>
  <c r="N23" i="11"/>
  <c r="O23" i="11" s="1"/>
  <c r="AF23" i="9"/>
  <c r="K29" i="11"/>
  <c r="AE29" i="9"/>
  <c r="N25" i="10"/>
  <c r="AF24" i="9"/>
  <c r="AF20" i="9"/>
  <c r="N20" i="10"/>
  <c r="K25" i="11"/>
  <c r="AE25" i="9"/>
  <c r="N28" i="10"/>
  <c r="J30" i="11"/>
  <c r="J36" i="11" s="1"/>
  <c r="N16" i="10"/>
  <c r="H19" i="11"/>
  <c r="K16" i="11"/>
  <c r="N26" i="11"/>
  <c r="O26" i="11" s="1"/>
  <c r="N24" i="11" l="1"/>
  <c r="O24" i="11" s="1"/>
  <c r="N16" i="11"/>
  <c r="O16" i="11" s="1"/>
  <c r="N28" i="11"/>
  <c r="O28" i="11" s="1"/>
  <c r="AF28" i="9"/>
  <c r="N20" i="11"/>
  <c r="O20" i="11" s="1"/>
  <c r="AF15" i="9"/>
  <c r="N15" i="11"/>
  <c r="O15" i="11" s="1"/>
  <c r="AF19" i="9"/>
  <c r="K14" i="11"/>
  <c r="K30" i="11" s="1"/>
  <c r="I30" i="11"/>
  <c r="I35" i="11" s="1"/>
  <c r="AF27" i="9"/>
  <c r="N27" i="11"/>
  <c r="O27" i="11" s="1"/>
  <c r="AF25" i="9"/>
  <c r="N25" i="11"/>
  <c r="O25" i="11" s="1"/>
  <c r="N29" i="11"/>
  <c r="O29" i="11" s="1"/>
  <c r="AF29" i="9"/>
  <c r="AE30" i="9"/>
  <c r="AF14" i="9"/>
  <c r="N21" i="11"/>
  <c r="O21" i="11" s="1"/>
  <c r="N18" i="11"/>
  <c r="O18" i="11" s="1"/>
  <c r="AF18" i="9"/>
  <c r="M30" i="11"/>
  <c r="N19" i="10"/>
  <c r="N30" i="10" s="1"/>
  <c r="H30" i="11"/>
  <c r="AF30" i="9" l="1"/>
  <c r="M39" i="11"/>
  <c r="L30" i="11"/>
  <c r="L38" i="11" s="1"/>
  <c r="N19" i="11"/>
  <c r="O19" i="11" s="1"/>
  <c r="O43" i="11" l="1"/>
  <c r="N30" i="11"/>
  <c r="O14" i="11"/>
  <c r="O30" i="11" s="1"/>
  <c r="A29" i="4" l="1"/>
  <c r="A28" i="4"/>
  <c r="A27" i="4"/>
  <c r="A26" i="4"/>
  <c r="A25" i="4"/>
  <c r="A24" i="4"/>
  <c r="A23" i="4"/>
  <c r="A17" i="2" s="1"/>
  <c r="A22" i="4"/>
  <c r="A16" i="2" s="1"/>
  <c r="A21" i="4"/>
  <c r="A20" i="4"/>
  <c r="A14" i="2" s="1"/>
  <c r="A19" i="4"/>
  <c r="A18" i="4"/>
  <c r="A12" i="2" s="1"/>
  <c r="A17" i="4"/>
  <c r="A11" i="2" s="1"/>
  <c r="A16" i="4"/>
  <c r="A15" i="4"/>
  <c r="A9" i="2" s="1"/>
  <c r="A14" i="4"/>
  <c r="A8" i="2" s="1"/>
  <c r="E2" i="4"/>
  <c r="D22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F2" i="3"/>
  <c r="A29" i="2" s="1"/>
  <c r="A23" i="2"/>
  <c r="A22" i="2"/>
  <c r="A21" i="2"/>
  <c r="A20" i="2"/>
  <c r="A19" i="2"/>
  <c r="A18" i="2"/>
  <c r="A15" i="2"/>
  <c r="A13" i="2"/>
  <c r="A10" i="2"/>
  <c r="C29" i="4"/>
  <c r="B29" i="4"/>
  <c r="B23" i="2" s="1"/>
  <c r="C28" i="4"/>
  <c r="B28" i="4"/>
  <c r="B22" i="2" s="1"/>
  <c r="C27" i="4"/>
  <c r="B27" i="4"/>
  <c r="B21" i="2" s="1"/>
  <c r="C26" i="4"/>
  <c r="B26" i="4"/>
  <c r="B20" i="2" s="1"/>
  <c r="C25" i="4"/>
  <c r="B25" i="4"/>
  <c r="B19" i="2" s="1"/>
  <c r="C24" i="4"/>
  <c r="B24" i="4"/>
  <c r="B18" i="2" s="1"/>
  <c r="C23" i="4"/>
  <c r="B23" i="4"/>
  <c r="B17" i="2" s="1"/>
  <c r="C22" i="4"/>
  <c r="B22" i="4"/>
  <c r="B16" i="2" s="1"/>
  <c r="C21" i="4"/>
  <c r="B21" i="4"/>
  <c r="B15" i="2" s="1"/>
  <c r="C20" i="4"/>
  <c r="B20" i="4"/>
  <c r="B14" i="2" s="1"/>
  <c r="C19" i="4"/>
  <c r="B19" i="4"/>
  <c r="B13" i="2" s="1"/>
  <c r="C18" i="4"/>
  <c r="B18" i="4"/>
  <c r="B12" i="2" s="1"/>
  <c r="C17" i="4"/>
  <c r="B17" i="4"/>
  <c r="B11" i="2" s="1"/>
  <c r="C16" i="4"/>
  <c r="B16" i="4"/>
  <c r="B10" i="2" s="1"/>
  <c r="C15" i="4"/>
  <c r="B15" i="4"/>
  <c r="B9" i="2" s="1"/>
  <c r="B14" i="4"/>
  <c r="B8" i="2" s="1"/>
  <c r="A3" i="2"/>
  <c r="F28" i="3"/>
  <c r="F1" i="3"/>
  <c r="B3" i="2"/>
  <c r="A9" i="4"/>
  <c r="A10" i="3"/>
  <c r="B31" i="3"/>
  <c r="E13" i="3"/>
  <c r="D1" i="2"/>
  <c r="C12" i="4"/>
  <c r="A7" i="3"/>
  <c r="A5" i="3"/>
  <c r="A4" i="4"/>
  <c r="I52" i="1" l="1"/>
  <c r="C15" i="3" s="1"/>
  <c r="D3" i="2" s="1"/>
  <c r="S52" i="1"/>
  <c r="W52" i="1"/>
  <c r="AA52" i="1"/>
  <c r="V52" i="1"/>
  <c r="Z52" i="1"/>
  <c r="P52" i="1"/>
  <c r="T52" i="1"/>
  <c r="X52" i="1"/>
  <c r="AB52" i="1"/>
  <c r="Q52" i="1"/>
  <c r="U52" i="1"/>
  <c r="Y52" i="1"/>
  <c r="B15" i="3"/>
  <c r="E12" i="4"/>
  <c r="A28" i="2"/>
  <c r="E1" i="4"/>
  <c r="R52" i="1"/>
  <c r="A4" i="3"/>
  <c r="A7" i="4"/>
  <c r="D21" i="3"/>
  <c r="D20" i="3"/>
  <c r="R24" i="5"/>
  <c r="A9" i="3"/>
  <c r="C13" i="3"/>
  <c r="D25" i="3"/>
  <c r="A10" i="4"/>
  <c r="A23" i="1"/>
  <c r="C3" i="2"/>
  <c r="D26" i="3"/>
  <c r="A5" i="4"/>
  <c r="C14" i="4"/>
  <c r="R27" i="5" l="1"/>
  <c r="R29" i="5" s="1"/>
  <c r="E15" i="3"/>
  <c r="D24" i="3"/>
  <c r="C30" i="4"/>
  <c r="A6" i="3"/>
  <c r="A6" i="4"/>
  <c r="D19" i="3" l="1"/>
  <c r="D28" i="3" s="1"/>
  <c r="E28" i="3" s="1"/>
  <c r="E3" i="2" l="1"/>
  <c r="E31" i="3"/>
  <c r="E30" i="4"/>
  <c r="E17" i="4" l="1"/>
  <c r="E27" i="4"/>
  <c r="E28" i="4"/>
  <c r="D22" i="2" s="1"/>
  <c r="E19" i="4"/>
  <c r="E20" i="4"/>
  <c r="E29" i="4"/>
  <c r="D23" i="2" s="1"/>
  <c r="E24" i="4"/>
  <c r="E22" i="4"/>
  <c r="E23" i="4"/>
  <c r="E16" i="4"/>
  <c r="E26" i="4"/>
  <c r="E21" i="4"/>
  <c r="E25" i="4"/>
  <c r="E18" i="4"/>
  <c r="E15" i="4"/>
  <c r="E14" i="4"/>
  <c r="F3" i="2"/>
  <c r="D14" i="2" l="1"/>
  <c r="D20" i="4"/>
  <c r="D21" i="4"/>
  <c r="D15" i="2"/>
  <c r="D27" i="4"/>
  <c r="D21" i="2"/>
  <c r="D28" i="4"/>
  <c r="D23" i="4"/>
  <c r="D17" i="2"/>
  <c r="D25" i="4"/>
  <c r="D19" i="2"/>
  <c r="D18" i="2"/>
  <c r="D24" i="4"/>
  <c r="D8" i="2"/>
  <c r="D14" i="4"/>
  <c r="D12" i="2"/>
  <c r="D18" i="4"/>
  <c r="D29" i="4"/>
  <c r="D26" i="4"/>
  <c r="D20" i="2"/>
  <c r="D22" i="4"/>
  <c r="D16" i="2"/>
  <c r="D15" i="4"/>
  <c r="D9" i="2"/>
  <c r="D10" i="2"/>
  <c r="D16" i="4"/>
  <c r="D17" i="4"/>
  <c r="D11" i="2"/>
  <c r="D19" i="4"/>
  <c r="D13" i="2"/>
  <c r="D30" i="4" l="1"/>
  <c r="D24" i="2"/>
</calcChain>
</file>

<file path=xl/sharedStrings.xml><?xml version="1.0" encoding="utf-8"?>
<sst xmlns="http://schemas.openxmlformats.org/spreadsheetml/2006/main" count="456" uniqueCount="204">
  <si>
    <t>Base Year Financial Data:</t>
  </si>
  <si>
    <t>Forecasted Test Year Financial Data:</t>
  </si>
  <si>
    <t>Line</t>
  </si>
  <si>
    <t>Line Description</t>
  </si>
  <si>
    <t>Account</t>
  </si>
  <si>
    <t>Account Description</t>
  </si>
  <si>
    <t>NARUC</t>
  </si>
  <si>
    <t>Base Year Total</t>
  </si>
  <si>
    <t>Line #</t>
  </si>
  <si>
    <t>Total</t>
  </si>
  <si>
    <t>Line Number</t>
  </si>
  <si>
    <t>Description</t>
  </si>
  <si>
    <t>Supporting Exhibit Reference</t>
  </si>
  <si>
    <t>Adjustment for Forecast at Present Rates</t>
  </si>
  <si>
    <t>Adjustments for Proposed Rates</t>
  </si>
  <si>
    <t>Adjustment by Account</t>
  </si>
  <si>
    <t>Forecast</t>
  </si>
  <si>
    <t>Work Paper Reference:</t>
  </si>
  <si>
    <t>Workpaper #:</t>
  </si>
  <si>
    <t>Excel Reference:</t>
  </si>
  <si>
    <t>Line No.</t>
  </si>
  <si>
    <t xml:space="preserve"> Adjustments</t>
  </si>
  <si>
    <t>Reference</t>
  </si>
  <si>
    <t>Adjustments:</t>
  </si>
  <si>
    <t>Adjustment for allocation to KY Wastewater</t>
  </si>
  <si>
    <t>Adjustment for Labor and Related (Merit Increases)</t>
  </si>
  <si>
    <t>Adjustment for Depreciation and Capital Lease Interest</t>
  </si>
  <si>
    <t>Adjustment for Office Rent</t>
  </si>
  <si>
    <t>Adjustment for Union APP</t>
  </si>
  <si>
    <t>Additional Adjustment for Labor and Related (CSC Costs &amp; Pension/OPEB)</t>
  </si>
  <si>
    <t>Total Adjustments:</t>
  </si>
  <si>
    <t>Account No.</t>
  </si>
  <si>
    <t>Account Name</t>
  </si>
  <si>
    <t>Kentucky American Water Company</t>
  </si>
  <si>
    <t>Support Services</t>
  </si>
  <si>
    <t>Adjustments</t>
  </si>
  <si>
    <t>Function</t>
  </si>
  <si>
    <t>12 months ended 2/28/19</t>
  </si>
  <si>
    <t>Removed one-time items</t>
  </si>
  <si>
    <t>Normalize base year for merit (average increase) Labor and Labor related</t>
  </si>
  <si>
    <t>Normalize base year Pension/OPEB</t>
  </si>
  <si>
    <t>4/1/19 Merit Increase - Labor and Related</t>
  </si>
  <si>
    <t>CSC Costs</t>
  </si>
  <si>
    <t>Office Rent</t>
  </si>
  <si>
    <t>Pension/OPEB</t>
  </si>
  <si>
    <t xml:space="preserve">2019 Depreciation and LOP Interest </t>
  </si>
  <si>
    <t>4/1/20 Merit Increase - Labor and Related</t>
  </si>
  <si>
    <t>2020 Union APP</t>
  </si>
  <si>
    <t xml:space="preserve">2020 Depreciation and LOP Interest </t>
  </si>
  <si>
    <t>Total Adjustments</t>
  </si>
  <si>
    <t>12 months ended 6/30/20</t>
  </si>
  <si>
    <t>Business Development</t>
  </si>
  <si>
    <t>Central Lab</t>
  </si>
  <si>
    <t>Corp Admin</t>
  </si>
  <si>
    <t>Engineering</t>
  </si>
  <si>
    <t>External Affairs &amp; Public Policy</t>
  </si>
  <si>
    <t>Finance</t>
  </si>
  <si>
    <t>Regulated Ops</t>
  </si>
  <si>
    <t>Human Resources</t>
  </si>
  <si>
    <t>Investor Relations</t>
  </si>
  <si>
    <t>Legal</t>
  </si>
  <si>
    <t>Supply Chain</t>
  </si>
  <si>
    <t>Corporate Security</t>
  </si>
  <si>
    <t>Customer Service Organization (CSO)</t>
  </si>
  <si>
    <t>Facilities</t>
  </si>
  <si>
    <t>Safety &amp; Environmental Compliance</t>
  </si>
  <si>
    <t>Technology and Innovation (T&amp;I)</t>
  </si>
  <si>
    <t>Sewer %</t>
  </si>
  <si>
    <t>Total RYE Pro Forma Expenses</t>
  </si>
  <si>
    <t>Rate Year Ended (RYE) - 12 Months Ending 6/30/20</t>
  </si>
  <si>
    <t xml:space="preserve">Support Services </t>
  </si>
  <si>
    <t>Labor &amp; Related Expenses</t>
  </si>
  <si>
    <t>12 Months February 2019</t>
  </si>
  <si>
    <t>12 Months December 2019</t>
  </si>
  <si>
    <t>12 Months June 2020</t>
  </si>
  <si>
    <t xml:space="preserve"> </t>
  </si>
  <si>
    <t>(1a)</t>
  </si>
  <si>
    <t>(1b)</t>
  </si>
  <si>
    <t>(1)</t>
  </si>
  <si>
    <t>(2)</t>
  </si>
  <si>
    <t>(3)</t>
  </si>
  <si>
    <t>(4a)</t>
  </si>
  <si>
    <t>(4b)</t>
  </si>
  <si>
    <t>(4)</t>
  </si>
  <si>
    <t>(5a)</t>
  </si>
  <si>
    <t>(5b)</t>
  </si>
  <si>
    <t>(5)</t>
  </si>
  <si>
    <t>(6a)</t>
  </si>
  <si>
    <t>(6b)</t>
  </si>
  <si>
    <t>(6)</t>
  </si>
  <si>
    <t>(7a)</t>
  </si>
  <si>
    <t>(7b)</t>
  </si>
  <si>
    <t>(7)</t>
  </si>
  <si>
    <t>(8a)</t>
  </si>
  <si>
    <t>(8b)</t>
  </si>
  <si>
    <t>(8)</t>
  </si>
  <si>
    <t>(9a)</t>
  </si>
  <si>
    <t>(9b)</t>
  </si>
  <si>
    <t>(9)</t>
  </si>
  <si>
    <t>(10a)</t>
  </si>
  <si>
    <t>(10b)</t>
  </si>
  <si>
    <t>(10)</t>
  </si>
  <si>
    <t>(11a)</t>
  </si>
  <si>
    <t>(11b)</t>
  </si>
  <si>
    <t>(11)</t>
  </si>
  <si>
    <t>(12)</t>
  </si>
  <si>
    <t>12 Mo</t>
  </si>
  <si>
    <t>Adjusted</t>
  </si>
  <si>
    <t xml:space="preserve">Additional </t>
  </si>
  <si>
    <r>
      <rPr>
        <b/>
        <sz val="11"/>
        <rFont val="Calibri"/>
        <family val="2"/>
        <scheme val="minor"/>
      </rPr>
      <t>2019</t>
    </r>
    <r>
      <rPr>
        <sz val="11"/>
        <rFont val="Calibri"/>
        <family val="2"/>
        <scheme val="minor"/>
      </rPr>
      <t xml:space="preserve"> Merit</t>
    </r>
  </si>
  <si>
    <r>
      <rPr>
        <b/>
        <sz val="11"/>
        <rFont val="Calibri"/>
        <family val="2"/>
        <scheme val="minor"/>
      </rPr>
      <t>2020</t>
    </r>
    <r>
      <rPr>
        <sz val="11"/>
        <rFont val="Calibri"/>
        <family val="2"/>
        <scheme val="minor"/>
      </rPr>
      <t xml:space="preserve"> Merit</t>
    </r>
  </si>
  <si>
    <t>Base Year</t>
  </si>
  <si>
    <t>to Base Year</t>
  </si>
  <si>
    <r>
      <t xml:space="preserve">Inc for </t>
    </r>
    <r>
      <rPr>
        <b/>
        <sz val="11"/>
        <rFont val="Calibri"/>
        <family val="2"/>
        <scheme val="minor"/>
      </rPr>
      <t>2019</t>
    </r>
  </si>
  <si>
    <t>Adjustment to</t>
  </si>
  <si>
    <t>12 Mo. Adjusted</t>
  </si>
  <si>
    <t>RYE 6/30/19</t>
  </si>
  <si>
    <r>
      <t xml:space="preserve">Inc for </t>
    </r>
    <r>
      <rPr>
        <b/>
        <sz val="11"/>
        <rFont val="Calibri"/>
        <family val="2"/>
        <scheme val="minor"/>
      </rPr>
      <t>2020</t>
    </r>
  </si>
  <si>
    <t>RYE 6/30/20</t>
  </si>
  <si>
    <t>Labor</t>
  </si>
  <si>
    <t>Labor &amp; OT</t>
  </si>
  <si>
    <t>Labor Related</t>
  </si>
  <si>
    <t>Labor &amp; Related</t>
  </si>
  <si>
    <t>Capitalized &amp;</t>
  </si>
  <si>
    <t>Total Labor</t>
  </si>
  <si>
    <t>Service Co.</t>
  </si>
  <si>
    <t>Expense</t>
  </si>
  <si>
    <t>Deferred</t>
  </si>
  <si>
    <t>&amp; Related</t>
  </si>
  <si>
    <t>Adjustment</t>
  </si>
  <si>
    <t>(1a)+(1b)</t>
  </si>
  <si>
    <t>(1)+(2)</t>
  </si>
  <si>
    <t>(4a)+(4b)</t>
  </si>
  <si>
    <t>(1a)+(4a)</t>
  </si>
  <si>
    <t>(1b)+(4b)</t>
  </si>
  <si>
    <t>(5a)+(5b)</t>
  </si>
  <si>
    <t>(6a)+(6b)</t>
  </si>
  <si>
    <t>(7a)+(7b)</t>
  </si>
  <si>
    <t>(5a)+(6a)+(7a)</t>
  </si>
  <si>
    <t>(5b)+(6b)+(7b)</t>
  </si>
  <si>
    <t>(5)+(6)+(7)</t>
  </si>
  <si>
    <t>(9a)+(9b)</t>
  </si>
  <si>
    <t>(10a)+(10b)</t>
  </si>
  <si>
    <t>(8a)+(9a)+(10a)</t>
  </si>
  <si>
    <t>(8b)+(9b)+(10b)</t>
  </si>
  <si>
    <t>(8)+(9)+(10)</t>
  </si>
  <si>
    <t>(11)-(1)</t>
  </si>
  <si>
    <t>Other Non-Labor &amp; Related  Costs</t>
  </si>
  <si>
    <t>Additional</t>
  </si>
  <si>
    <t>Other</t>
  </si>
  <si>
    <t>Other Capitalized</t>
  </si>
  <si>
    <t>Adjustments to</t>
  </si>
  <si>
    <t xml:space="preserve">Total </t>
  </si>
  <si>
    <t>Costs</t>
  </si>
  <si>
    <t>Other Costs</t>
  </si>
  <si>
    <t>Expenses</t>
  </si>
  <si>
    <t>Other Expenses</t>
  </si>
  <si>
    <t>Other Expense</t>
  </si>
  <si>
    <t>(1)+(4)</t>
  </si>
  <si>
    <t>(5) x %age</t>
  </si>
  <si>
    <t>(5)+(6)+(6a)</t>
  </si>
  <si>
    <t>(7) x %age</t>
  </si>
  <si>
    <t>(7)+(8)+(8a)</t>
  </si>
  <si>
    <t>(9)-(1)</t>
  </si>
  <si>
    <t>Total Costs</t>
  </si>
  <si>
    <t>(13)</t>
  </si>
  <si>
    <t>2019 Projected</t>
  </si>
  <si>
    <t>2020 Projected</t>
  </si>
  <si>
    <t>Labor &amp;</t>
  </si>
  <si>
    <t xml:space="preserve">Going Level </t>
  </si>
  <si>
    <t>Related</t>
  </si>
  <si>
    <t>Total Labor &amp;</t>
  </si>
  <si>
    <t>Related Expense</t>
  </si>
  <si>
    <t>LR (1)</t>
  </si>
  <si>
    <t>OC (1)</t>
  </si>
  <si>
    <t>(1) + (2)</t>
  </si>
  <si>
    <t>LR (5)</t>
  </si>
  <si>
    <t>OC (5)</t>
  </si>
  <si>
    <t>(4)+(5)</t>
  </si>
  <si>
    <t>LR (8)</t>
  </si>
  <si>
    <t>OC (7)</t>
  </si>
  <si>
    <t>(7)+(8)</t>
  </si>
  <si>
    <t>LR (11)</t>
  </si>
  <si>
    <t>OC (9)</t>
  </si>
  <si>
    <t>(12)-(3)</t>
  </si>
  <si>
    <t>Change in Test Year to Adjusted (Labor)</t>
  </si>
  <si>
    <t>Change in Test Year to Adjusted (Other)</t>
  </si>
  <si>
    <t>Change in Adjusted to 2019 Projected (Labor)</t>
  </si>
  <si>
    <t>Change in Adjusted to 2019 Projected (Other)</t>
  </si>
  <si>
    <t>Change in 2019 to 2020 (Labor)</t>
  </si>
  <si>
    <t>Change in 2019 to 2020 (Other)</t>
  </si>
  <si>
    <t>Change in 2016 to February 2017 (Labor)</t>
  </si>
  <si>
    <t>Change in 2016 to February 2017 (Other)</t>
  </si>
  <si>
    <t>Total Change in Test Year to Going Level</t>
  </si>
  <si>
    <t>Base Year - 12 Months Ending 2/28/19</t>
  </si>
  <si>
    <t>(10)+(11)</t>
  </si>
  <si>
    <t>Removed select expenses (Advertising, Charitable Contributions, etc.)</t>
  </si>
  <si>
    <t>Adjustment for Acquired Customers</t>
  </si>
  <si>
    <t>North Middletown</t>
  </si>
  <si>
    <t>Adjustment for Acquired Customers:</t>
  </si>
  <si>
    <t>Acquired Customers</t>
  </si>
  <si>
    <t>Security Adjustment</t>
  </si>
  <si>
    <t>Adjustment for Security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</si>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</sst>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Arial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" fillId="0" borderId="0"/>
    <xf numFmtId="0" fontId="8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Fill="1"/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2" fillId="0" borderId="0" xfId="0" applyNumberFormat="1" applyFont="1"/>
    <xf numFmtId="14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0" fillId="0" borderId="0" xfId="1" applyFont="1"/>
    <xf numFmtId="0" fontId="2" fillId="0" borderId="1" xfId="0" applyFont="1" applyBorder="1" applyAlignment="1">
      <alignment horizontal="center"/>
    </xf>
    <xf numFmtId="43" fontId="0" fillId="0" borderId="2" xfId="1" applyFont="1" applyBorder="1"/>
    <xf numFmtId="0" fontId="2" fillId="0" borderId="1" xfId="0" applyFont="1" applyBorder="1" applyAlignment="1">
      <alignment horizontal="center" wrapText="1"/>
    </xf>
    <xf numFmtId="14" fontId="6" fillId="0" borderId="1" xfId="4" applyNumberFormat="1" applyFont="1" applyFill="1" applyBorder="1" applyAlignment="1">
      <alignment horizontal="center" wrapText="1"/>
    </xf>
    <xf numFmtId="3" fontId="6" fillId="0" borderId="1" xfId="4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5" fontId="0" fillId="0" borderId="0" xfId="2" applyNumberFormat="1" applyFont="1" applyFill="1" applyBorder="1"/>
    <xf numFmtId="5" fontId="0" fillId="0" borderId="0" xfId="0" applyNumberFormat="1" applyFont="1" applyBorder="1"/>
    <xf numFmtId="37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 applyAlignment="1">
      <alignment horizontal="left" wrapText="1" indent="3"/>
    </xf>
    <xf numFmtId="37" fontId="0" fillId="0" borderId="0" xfId="1" applyNumberFormat="1" applyFont="1" applyFill="1" applyBorder="1"/>
    <xf numFmtId="37" fontId="0" fillId="0" borderId="0" xfId="1" applyNumberFormat="1" applyFont="1" applyBorder="1"/>
    <xf numFmtId="37" fontId="0" fillId="0" borderId="4" xfId="0" applyNumberFormat="1" applyFont="1" applyBorder="1"/>
    <xf numFmtId="0" fontId="7" fillId="0" borderId="0" xfId="0" applyFont="1"/>
    <xf numFmtId="7" fontId="7" fillId="0" borderId="0" xfId="0" applyNumberFormat="1" applyFont="1"/>
    <xf numFmtId="5" fontId="0" fillId="0" borderId="3" xfId="0" applyNumberFormat="1" applyFont="1" applyBorder="1"/>
    <xf numFmtId="5" fontId="0" fillId="0" borderId="0" xfId="0" applyNumberFormat="1" applyFont="1"/>
    <xf numFmtId="42" fontId="0" fillId="0" borderId="0" xfId="0" applyNumberFormat="1" applyFont="1"/>
    <xf numFmtId="5" fontId="0" fillId="0" borderId="0" xfId="2" applyNumberFormat="1" applyFont="1"/>
    <xf numFmtId="7" fontId="0" fillId="0" borderId="0" xfId="0" applyNumberFormat="1" applyFont="1"/>
    <xf numFmtId="37" fontId="0" fillId="0" borderId="0" xfId="1" applyNumberFormat="1" applyFont="1"/>
    <xf numFmtId="5" fontId="0" fillId="0" borderId="2" xfId="2" applyNumberFormat="1" applyFont="1" applyFill="1" applyBorder="1"/>
    <xf numFmtId="5" fontId="0" fillId="0" borderId="2" xfId="2" applyNumberFormat="1" applyFont="1" applyBorder="1"/>
    <xf numFmtId="3" fontId="4" fillId="0" borderId="0" xfId="5" applyNumberFormat="1" applyFont="1" applyAlignment="1"/>
    <xf numFmtId="0" fontId="2" fillId="0" borderId="1" xfId="0" applyFont="1" applyBorder="1"/>
    <xf numFmtId="0" fontId="2" fillId="0" borderId="0" xfId="0" applyFont="1" applyFill="1" applyBorder="1" applyAlignment="1">
      <alignment horizontal="center" wrapText="1"/>
    </xf>
    <xf numFmtId="167" fontId="0" fillId="0" borderId="0" xfId="0" applyNumberFormat="1" applyFont="1"/>
    <xf numFmtId="0" fontId="0" fillId="0" borderId="2" xfId="0" applyFont="1" applyBorder="1"/>
    <xf numFmtId="5" fontId="0" fillId="0" borderId="2" xfId="0" applyNumberFormat="1" applyFont="1" applyFill="1" applyBorder="1"/>
    <xf numFmtId="5" fontId="7" fillId="0" borderId="0" xfId="0" applyNumberFormat="1" applyFont="1"/>
    <xf numFmtId="0" fontId="0" fillId="0" borderId="0" xfId="0" applyFont="1" applyAlignment="1">
      <alignment horizontal="right"/>
    </xf>
    <xf numFmtId="10" fontId="0" fillId="0" borderId="0" xfId="3" applyNumberFormat="1" applyFont="1" applyFill="1"/>
    <xf numFmtId="9" fontId="0" fillId="0" borderId="0" xfId="3" applyNumberFormat="1" applyFont="1"/>
    <xf numFmtId="43" fontId="0" fillId="0" borderId="0" xfId="0" applyNumberFormat="1" applyFont="1"/>
    <xf numFmtId="0" fontId="9" fillId="0" borderId="0" xfId="0" applyFont="1" applyAlignment="1">
      <alignment horizontal="left"/>
    </xf>
    <xf numFmtId="167" fontId="0" fillId="0" borderId="0" xfId="0" applyNumberFormat="1" applyFont="1" applyFill="1"/>
    <xf numFmtId="0" fontId="11" fillId="0" borderId="0" xfId="6" applyFont="1" applyFill="1"/>
    <xf numFmtId="0" fontId="4" fillId="0" borderId="0" xfId="6" applyFont="1" applyFill="1"/>
    <xf numFmtId="14" fontId="4" fillId="0" borderId="0" xfId="6" applyNumberFormat="1" applyFont="1" applyFill="1" applyAlignment="1">
      <alignment horizontal="right"/>
    </xf>
    <xf numFmtId="0" fontId="4" fillId="0" borderId="0" xfId="6" applyFont="1" applyFill="1" applyAlignment="1">
      <alignment horizontal="centerContinuous"/>
    </xf>
    <xf numFmtId="0" fontId="11" fillId="0" borderId="0" xfId="6" applyFont="1" applyFill="1" applyAlignment="1">
      <alignment horizontal="centerContinuous"/>
    </xf>
    <xf numFmtId="0" fontId="4" fillId="0" borderId="7" xfId="6" applyFont="1" applyFill="1" applyBorder="1" applyAlignment="1">
      <alignment horizontal="centerContinuous"/>
    </xf>
    <xf numFmtId="0" fontId="4" fillId="0" borderId="8" xfId="6" applyFont="1" applyFill="1" applyBorder="1" applyAlignment="1">
      <alignment horizontal="centerContinuous"/>
    </xf>
    <xf numFmtId="0" fontId="4" fillId="0" borderId="9" xfId="6" applyFont="1" applyFill="1" applyBorder="1" applyAlignment="1">
      <alignment horizontal="centerContinuous"/>
    </xf>
    <xf numFmtId="0" fontId="4" fillId="0" borderId="0" xfId="6" applyFont="1" applyFill="1" applyAlignment="1">
      <alignment horizontal="center"/>
    </xf>
    <xf numFmtId="0" fontId="11" fillId="0" borderId="0" xfId="6" quotePrefix="1" applyFont="1" applyFill="1" applyBorder="1" applyAlignment="1">
      <alignment horizontal="center"/>
    </xf>
    <xf numFmtId="14" fontId="4" fillId="0" borderId="0" xfId="6" applyNumberFormat="1" applyFont="1" applyFill="1" applyAlignment="1">
      <alignment horizontal="center"/>
    </xf>
    <xf numFmtId="0" fontId="11" fillId="0" borderId="0" xfId="6" applyFont="1" applyFill="1" applyAlignment="1">
      <alignment horizontal="center"/>
    </xf>
    <xf numFmtId="10" fontId="12" fillId="0" borderId="0" xfId="7" applyNumberFormat="1" applyFont="1" applyFill="1" applyAlignment="1">
      <alignment horizontal="center"/>
    </xf>
    <xf numFmtId="10" fontId="4" fillId="0" borderId="0" xfId="7" applyNumberFormat="1" applyFont="1" applyFill="1" applyAlignment="1">
      <alignment horizontal="center"/>
    </xf>
    <xf numFmtId="10" fontId="11" fillId="0" borderId="0" xfId="7" applyNumberFormat="1" applyFont="1" applyFill="1" applyAlignment="1">
      <alignment horizontal="center"/>
    </xf>
    <xf numFmtId="0" fontId="11" fillId="0" borderId="1" xfId="6" applyFont="1" applyFill="1" applyBorder="1" applyAlignment="1">
      <alignment horizontal="center"/>
    </xf>
    <xf numFmtId="0" fontId="11" fillId="0" borderId="5" xfId="6" quotePrefix="1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5" fontId="1" fillId="0" borderId="0" xfId="8" applyNumberFormat="1" applyFont="1" applyFill="1"/>
    <xf numFmtId="5" fontId="1" fillId="0" borderId="0" xfId="8" quotePrefix="1" applyNumberFormat="1" applyFont="1" applyFill="1"/>
    <xf numFmtId="5" fontId="11" fillId="0" borderId="0" xfId="8" applyNumberFormat="1" applyFont="1" applyFill="1"/>
    <xf numFmtId="167" fontId="1" fillId="0" borderId="0" xfId="9" quotePrefix="1" applyNumberFormat="1" applyFont="1" applyFill="1" applyBorder="1" applyAlignment="1">
      <alignment horizontal="left"/>
    </xf>
    <xf numFmtId="167" fontId="1" fillId="0" borderId="0" xfId="9" quotePrefix="1" applyNumberFormat="1" applyFont="1" applyFill="1" applyBorder="1" applyAlignment="1">
      <alignment horizontal="center"/>
    </xf>
    <xf numFmtId="167" fontId="11" fillId="0" borderId="0" xfId="9" quotePrefix="1" applyNumberFormat="1" applyFont="1" applyFill="1" applyBorder="1" applyAlignment="1">
      <alignment horizontal="center"/>
    </xf>
    <xf numFmtId="167" fontId="1" fillId="0" borderId="0" xfId="9" applyNumberFormat="1" applyFont="1" applyFill="1" applyBorder="1"/>
    <xf numFmtId="0" fontId="14" fillId="0" borderId="0" xfId="6" applyFont="1" applyFill="1"/>
    <xf numFmtId="0" fontId="14" fillId="0" borderId="0" xfId="6" applyFont="1" applyFill="1" applyAlignment="1">
      <alignment horizontal="center"/>
    </xf>
    <xf numFmtId="167" fontId="14" fillId="0" borderId="0" xfId="6" applyNumberFormat="1" applyFont="1" applyFill="1" applyAlignment="1">
      <alignment horizontal="center"/>
    </xf>
    <xf numFmtId="167" fontId="11" fillId="0" borderId="0" xfId="6" applyNumberFormat="1" applyFont="1" applyFill="1" applyAlignment="1">
      <alignment horizontal="center"/>
    </xf>
    <xf numFmtId="166" fontId="4" fillId="0" borderId="10" xfId="10" applyNumberFormat="1" applyFont="1" applyFill="1" applyBorder="1"/>
    <xf numFmtId="5" fontId="2" fillId="0" borderId="10" xfId="10" applyNumberFormat="1" applyFont="1" applyFill="1" applyBorder="1"/>
    <xf numFmtId="0" fontId="11" fillId="0" borderId="0" xfId="6" applyFont="1" applyFill="1" applyBorder="1"/>
    <xf numFmtId="167" fontId="1" fillId="0" borderId="0" xfId="11" applyNumberFormat="1" applyFont="1" applyFill="1" applyBorder="1"/>
    <xf numFmtId="10" fontId="1" fillId="0" borderId="0" xfId="12" applyNumberFormat="1" applyFont="1" applyFill="1" applyBorder="1"/>
    <xf numFmtId="0" fontId="1" fillId="0" borderId="0" xfId="0" applyFont="1" applyFill="1"/>
    <xf numFmtId="167" fontId="15" fillId="0" borderId="0" xfId="11" applyNumberFormat="1" applyFont="1" applyFill="1" applyBorder="1" applyAlignment="1">
      <alignment horizontal="center"/>
    </xf>
    <xf numFmtId="43" fontId="1" fillId="0" borderId="0" xfId="9" applyFont="1" applyFill="1" applyBorder="1"/>
    <xf numFmtId="7" fontId="11" fillId="0" borderId="0" xfId="6" applyNumberFormat="1" applyFont="1" applyFill="1"/>
    <xf numFmtId="167" fontId="11" fillId="0" borderId="0" xfId="6" applyNumberFormat="1" applyFont="1" applyFill="1"/>
    <xf numFmtId="43" fontId="11" fillId="0" borderId="0" xfId="9" applyFont="1" applyFill="1"/>
    <xf numFmtId="0" fontId="11" fillId="0" borderId="0" xfId="6" quotePrefix="1" applyFont="1" applyFill="1" applyAlignment="1">
      <alignment horizontal="center"/>
    </xf>
    <xf numFmtId="0" fontId="11" fillId="0" borderId="4" xfId="6" quotePrefix="1" applyFont="1" applyFill="1" applyBorder="1" applyAlignment="1">
      <alignment horizontal="center"/>
    </xf>
    <xf numFmtId="0" fontId="11" fillId="0" borderId="4" xfId="6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4" fillId="0" borderId="0" xfId="6" applyFont="1" applyFill="1" applyBorder="1"/>
    <xf numFmtId="5" fontId="11" fillId="0" borderId="0" xfId="6" applyNumberFormat="1" applyFont="1" applyFill="1" applyBorder="1"/>
    <xf numFmtId="0" fontId="14" fillId="0" borderId="0" xfId="6" applyFont="1" applyFill="1" applyBorder="1"/>
    <xf numFmtId="7" fontId="14" fillId="0" borderId="0" xfId="6" applyNumberFormat="1" applyFont="1" applyFill="1"/>
    <xf numFmtId="39" fontId="11" fillId="0" borderId="0" xfId="6" applyNumberFormat="1" applyFont="1" applyFill="1"/>
    <xf numFmtId="169" fontId="1" fillId="0" borderId="0" xfId="11" applyNumberFormat="1" applyFont="1" applyFill="1" applyBorder="1"/>
    <xf numFmtId="37" fontId="11" fillId="0" borderId="0" xfId="6" applyNumberFormat="1" applyFont="1" applyFill="1"/>
    <xf numFmtId="166" fontId="1" fillId="0" borderId="0" xfId="8" applyNumberFormat="1" applyFont="1" applyFill="1" applyBorder="1"/>
    <xf numFmtId="39" fontId="11" fillId="0" borderId="0" xfId="6" applyNumberFormat="1" applyFont="1" applyFill="1" applyBorder="1"/>
    <xf numFmtId="166" fontId="11" fillId="0" borderId="0" xfId="6" applyNumberFormat="1" applyFont="1" applyFill="1"/>
    <xf numFmtId="10" fontId="11" fillId="0" borderId="0" xfId="12" applyNumberFormat="1" applyFont="1" applyFill="1" applyBorder="1"/>
    <xf numFmtId="14" fontId="4" fillId="0" borderId="0" xfId="6" applyNumberFormat="1" applyFont="1" applyFill="1"/>
    <xf numFmtId="0" fontId="4" fillId="0" borderId="0" xfId="6" applyFont="1" applyFill="1" applyAlignment="1">
      <alignment horizontal="right"/>
    </xf>
    <xf numFmtId="0" fontId="4" fillId="0" borderId="0" xfId="6" applyFont="1" applyFill="1" applyBorder="1" applyAlignment="1">
      <alignment horizontal="center"/>
    </xf>
    <xf numFmtId="10" fontId="4" fillId="0" borderId="0" xfId="12" applyNumberFormat="1" applyFont="1" applyFill="1" applyBorder="1" applyAlignment="1">
      <alignment horizontal="center"/>
    </xf>
    <xf numFmtId="5" fontId="1" fillId="0" borderId="0" xfId="8" applyNumberFormat="1" applyFont="1" applyFill="1" applyBorder="1"/>
    <xf numFmtId="167" fontId="11" fillId="0" borderId="0" xfId="9" applyNumberFormat="1" applyFont="1" applyFill="1" applyBorder="1"/>
    <xf numFmtId="0" fontId="4" fillId="0" borderId="0" xfId="6" applyFont="1" applyFill="1" applyBorder="1" applyAlignment="1">
      <alignment horizontal="centerContinuous"/>
    </xf>
    <xf numFmtId="10" fontId="11" fillId="0" borderId="0" xfId="6" applyNumberFormat="1" applyFont="1" applyFill="1" applyBorder="1"/>
    <xf numFmtId="0" fontId="0" fillId="0" borderId="0" xfId="0" applyAlignment="1">
      <alignment horizontal="left"/>
    </xf>
    <xf numFmtId="166" fontId="2" fillId="0" borderId="0" xfId="10" applyNumberFormat="1" applyFont="1" applyFill="1" applyBorder="1"/>
    <xf numFmtId="10" fontId="4" fillId="0" borderId="0" xfId="12" applyNumberFormat="1" applyFont="1" applyFill="1" applyBorder="1"/>
    <xf numFmtId="167" fontId="4" fillId="0" borderId="0" xfId="9" applyNumberFormat="1" applyFont="1" applyFill="1" applyBorder="1"/>
    <xf numFmtId="5" fontId="1" fillId="0" borderId="0" xfId="12" applyNumberFormat="1" applyFont="1" applyFill="1" applyBorder="1"/>
    <xf numFmtId="0" fontId="11" fillId="0" borderId="0" xfId="6" applyFont="1" applyFill="1" applyBorder="1" applyAlignment="1">
      <alignment horizontal="right"/>
    </xf>
    <xf numFmtId="167" fontId="11" fillId="0" borderId="0" xfId="6" applyNumberFormat="1" applyFont="1" applyFill="1" applyBorder="1"/>
    <xf numFmtId="5" fontId="11" fillId="0" borderId="0" xfId="6" applyNumberFormat="1" applyFont="1" applyFill="1"/>
    <xf numFmtId="167" fontId="1" fillId="0" borderId="0" xfId="11" quotePrefix="1" applyNumberFormat="1" applyFont="1" applyFill="1" applyBorder="1" applyAlignment="1">
      <alignment horizontal="right"/>
    </xf>
    <xf numFmtId="43" fontId="11" fillId="0" borderId="0" xfId="1" applyFont="1" applyFill="1" applyBorder="1" applyAlignment="1">
      <alignment horizontal="right"/>
    </xf>
    <xf numFmtId="43" fontId="11" fillId="0" borderId="0" xfId="6" applyNumberFormat="1" applyFont="1" applyFill="1"/>
    <xf numFmtId="0" fontId="11" fillId="0" borderId="5" xfId="6" applyFont="1" applyFill="1" applyBorder="1"/>
    <xf numFmtId="167" fontId="11" fillId="0" borderId="5" xfId="1" applyNumberFormat="1" applyFont="1" applyFill="1" applyBorder="1"/>
    <xf numFmtId="9" fontId="0" fillId="0" borderId="0" xfId="3" applyFont="1"/>
    <xf numFmtId="0" fontId="0" fillId="0" borderId="0" xfId="0" applyFont="1" applyFill="1" applyAlignment="1">
      <alignment horizontal="right"/>
    </xf>
    <xf numFmtId="168" fontId="0" fillId="0" borderId="6" xfId="1" applyNumberFormat="1" applyFont="1" applyFill="1" applyBorder="1"/>
    <xf numFmtId="167" fontId="0" fillId="0" borderId="0" xfId="1" applyNumberFormat="1" applyFont="1" applyFill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16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2" fillId="0" borderId="14" xfId="0" applyFont="1" applyBorder="1" applyAlignment="1">
      <alignment horizontal="left"/>
    </xf>
    <xf numFmtId="0" fontId="0" fillId="0" borderId="14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167" fontId="0" fillId="0" borderId="15" xfId="0" applyNumberFormat="1" applyFont="1" applyBorder="1"/>
    <xf numFmtId="167" fontId="0" fillId="0" borderId="16" xfId="0" applyNumberFormat="1" applyFont="1" applyBorder="1"/>
    <xf numFmtId="0" fontId="0" fillId="0" borderId="12" xfId="0" applyBorder="1"/>
    <xf numFmtId="0" fontId="0" fillId="0" borderId="13" xfId="0" applyBorder="1"/>
    <xf numFmtId="37" fontId="0" fillId="0" borderId="0" xfId="0" applyNumberFormat="1" applyBorder="1"/>
    <xf numFmtId="0" fontId="0" fillId="0" borderId="15" xfId="0" applyBorder="1"/>
    <xf numFmtId="0" fontId="0" fillId="0" borderId="0" xfId="0" applyBorder="1"/>
    <xf numFmtId="10" fontId="0" fillId="0" borderId="0" xfId="3" applyNumberFormat="1" applyFont="1" applyBorder="1"/>
    <xf numFmtId="0" fontId="0" fillId="0" borderId="18" xfId="0" applyBorder="1"/>
    <xf numFmtId="0" fontId="0" fillId="0" borderId="19" xfId="0" applyBorder="1"/>
    <xf numFmtId="37" fontId="0" fillId="0" borderId="2" xfId="0" applyNumberFormat="1" applyBorder="1"/>
    <xf numFmtId="0" fontId="16" fillId="0" borderId="11" xfId="0" applyFont="1" applyBorder="1"/>
    <xf numFmtId="5" fontId="0" fillId="0" borderId="3" xfId="2" applyNumberFormat="1" applyFont="1" applyFill="1" applyBorder="1"/>
    <xf numFmtId="5" fontId="0" fillId="0" borderId="3" xfId="2" applyNumberFormat="1" applyFont="1" applyBorder="1"/>
    <xf numFmtId="37" fontId="0" fillId="0" borderId="0" xfId="2" applyNumberFormat="1" applyFont="1" applyAlignment="1"/>
    <xf numFmtId="5" fontId="0" fillId="0" borderId="0" xfId="2" applyNumberFormat="1" applyFont="1" applyAlignment="1"/>
    <xf numFmtId="5" fontId="0" fillId="0" borderId="2" xfId="0" applyNumberFormat="1" applyFont="1" applyBorder="1" applyAlignment="1"/>
    <xf numFmtId="0" fontId="3" fillId="0" borderId="0" xfId="0" applyFont="1" applyFill="1"/>
    <xf numFmtId="43" fontId="0" fillId="0" borderId="0" xfId="1" applyFont="1" applyFill="1"/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0" borderId="8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</cellXfs>
  <cellStyles count="13">
    <cellStyle name="Comma" xfId="1" builtinId="3"/>
    <cellStyle name="Comma 10" xfId="11"/>
    <cellStyle name="Comma 12" xfId="9"/>
    <cellStyle name="Currency" xfId="2" builtinId="4"/>
    <cellStyle name="Currency 2" xfId="10"/>
    <cellStyle name="Currency 2 2" xfId="8"/>
    <cellStyle name="Normal" xfId="0" builtinId="0"/>
    <cellStyle name="Normal 2 2" xfId="6"/>
    <cellStyle name="Normal_Exhibits" xfId="4"/>
    <cellStyle name="Normal_LT DEBT" xfId="5"/>
    <cellStyle name="Percent" xfId="3" builtinId="5"/>
    <cellStyle name="Percent 2" xfId="12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N\2018%20Rate%20Case\Exhibits\Expense\INAWC%202018%20Rate%20Case%20-%20Support%20Serv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keevnl\AppData\Local\Temp\Temp1_WFP%20Model%202016%20Plan%20Revised%20-%20updated%2007.15.15%20-%20VAWC.zip\WFP%20Model%202016%20Plan%20Revised%20-%20updated%2007.15.15%20-%20VAW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N\2018%20Rate%20Case\O&amp;M\Service%20Company\Support\Project%20HQO%20Regulatory%20Model%202018%2006%2026%20-%20CONFIDENTIAL%20DRAFT%20DO%20NOT%20SHA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O\2017%20Rate%20Case\O&amp;M\Service%20Company\Support\2017%20Global%20Assumptions.2.17.17%20(Manfredo%20Man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N\2018%20Rate%20Case\O&amp;M\Service%20Company\Adjustment%20for%20AWWSCo%20Office%20Expense%20Sup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N\2018%20Rate%20Case\O&amp;M\Service%20Company\Support\Copy%20of%20Fixed%20Asset%20Model%20Deprec%20%20Int%202019-2023%2005.14.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N\2018%20Rate%20Case\O&amp;M\Service%20Company\Support\Copy%20of%20Fixed%20Asset%20Model%20Deprec%20%20Int%202019-2023%2006.26.18%20FFE%20OWS%20ONL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nk In"/>
      <sheetName val="Link Out"/>
      <sheetName val="Exhibit"/>
      <sheetName val="WP1 - Total Summary"/>
      <sheetName val="WP2 - Labor Related Summary"/>
      <sheetName val="WP3 - Other Summary"/>
      <sheetName val="WP4 - Adjustments Labor"/>
      <sheetName val="WP5 - Adjustments Other"/>
      <sheetName val="WP Page Pivots"/>
      <sheetName val="Office Rent"/>
      <sheetName val="CSC Costs"/>
      <sheetName val="Pension.OPEB"/>
      <sheetName val="Labor Pivot"/>
      <sheetName val="Labor Related Pivot"/>
      <sheetName val="Other Pivot"/>
      <sheetName val="IDEA Pivot"/>
      <sheetName val="vlookup"/>
      <sheetName val="MSFR 25 Breakdown"/>
      <sheetName val="Union A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sk List"/>
      <sheetName val="Input"/>
      <sheetName val="Consol Input"/>
      <sheetName val="Ad Hoc Assump Extract"/>
      <sheetName val="Assumptions"/>
      <sheetName val="BudgetYr1"/>
      <sheetName val="SummaryYr1"/>
      <sheetName val="BudgetYr2"/>
      <sheetName val="SummaryYr2"/>
      <sheetName val="BudgetYr3"/>
      <sheetName val="SummaryYr3"/>
      <sheetName val="BudgetYr4"/>
      <sheetName val="BudgetYr5"/>
      <sheetName val="SummaryYr4"/>
      <sheetName val="Hyp_Upload"/>
      <sheetName val="Hyp_Upload_Cap Cr CC"/>
      <sheetName val="SmartView Pre - Optional"/>
      <sheetName val="SmartView Upload"/>
      <sheetName val="SmartView Upload (2)"/>
      <sheetName val="SmartView Post - Optional"/>
      <sheetName val="Outer Yr Data"/>
      <sheetName val="Pensacola"/>
      <sheetName val="Alton"/>
      <sheetName val="CC - Upld Summary"/>
      <sheetName val="Sheet1"/>
      <sheetName val="headcoun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D8" t="str">
            <v>GA0002</v>
          </cell>
          <cell r="E8">
            <v>2.75E-2</v>
          </cell>
          <cell r="F8">
            <v>0.03</v>
          </cell>
          <cell r="G8">
            <v>0.03</v>
          </cell>
          <cell r="H8">
            <v>3.2500000000000001E-2</v>
          </cell>
          <cell r="I8">
            <v>3.2500000000000001E-2</v>
          </cell>
        </row>
        <row r="9">
          <cell r="D9" t="str">
            <v>GA0004</v>
          </cell>
          <cell r="E9">
            <v>11876.418750000003</v>
          </cell>
          <cell r="F9">
            <v>12470.239687499996</v>
          </cell>
          <cell r="G9">
            <v>13093.751671874999</v>
          </cell>
          <cell r="H9">
            <v>13748.439255468753</v>
          </cell>
          <cell r="I9">
            <v>13748.439255468753</v>
          </cell>
        </row>
        <row r="10">
          <cell r="D10" t="str">
            <v>GA0009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D11" t="str">
            <v>GA0028</v>
          </cell>
          <cell r="E11">
            <v>2.4999999999999998E-2</v>
          </cell>
          <cell r="F11">
            <v>2.4999999999999998E-2</v>
          </cell>
          <cell r="G11">
            <v>2.4999999999999998E-2</v>
          </cell>
          <cell r="H11">
            <v>2.4999999999999998E-2</v>
          </cell>
          <cell r="I11">
            <v>2.4999999999999998E-2</v>
          </cell>
        </row>
        <row r="12">
          <cell r="D12" t="str">
            <v>GA0029</v>
          </cell>
          <cell r="E12">
            <v>0.04</v>
          </cell>
          <cell r="F12">
            <v>0.04</v>
          </cell>
          <cell r="G12">
            <v>0.04</v>
          </cell>
          <cell r="H12">
            <v>0.04</v>
          </cell>
          <cell r="I12">
            <v>0.04</v>
          </cell>
        </row>
        <row r="13">
          <cell r="D13" t="str">
            <v>GA0030</v>
          </cell>
          <cell r="E13">
            <v>17500.000000000004</v>
          </cell>
          <cell r="F13">
            <v>17500.000000000004</v>
          </cell>
          <cell r="G13">
            <v>17500.000000000004</v>
          </cell>
          <cell r="H13">
            <v>17500.000000000004</v>
          </cell>
          <cell r="I13">
            <v>17500.000000000004</v>
          </cell>
        </row>
        <row r="14">
          <cell r="D14" t="str">
            <v>GA0031</v>
          </cell>
          <cell r="E14">
            <v>0.6</v>
          </cell>
          <cell r="F14">
            <v>0.6</v>
          </cell>
          <cell r="G14">
            <v>0.6</v>
          </cell>
          <cell r="H14">
            <v>0.6</v>
          </cell>
          <cell r="I14">
            <v>0.6</v>
          </cell>
        </row>
        <row r="15">
          <cell r="D15" t="str">
            <v>GA0032</v>
          </cell>
          <cell r="E15">
            <v>0.6</v>
          </cell>
          <cell r="F15">
            <v>0.6</v>
          </cell>
          <cell r="G15">
            <v>0.6</v>
          </cell>
          <cell r="H15">
            <v>0.6</v>
          </cell>
          <cell r="I15">
            <v>0.6</v>
          </cell>
        </row>
        <row r="16">
          <cell r="D16" t="str">
            <v>GA0033</v>
          </cell>
          <cell r="E16">
            <v>5.2499999999999984E-2</v>
          </cell>
          <cell r="F16">
            <v>5.2499999999999984E-2</v>
          </cell>
          <cell r="G16">
            <v>5.2499999999999984E-2</v>
          </cell>
          <cell r="H16">
            <v>5.2499999999999984E-2</v>
          </cell>
          <cell r="I16">
            <v>5.2499999999999984E-2</v>
          </cell>
        </row>
        <row r="17">
          <cell r="D17" t="str">
            <v>GA0034</v>
          </cell>
          <cell r="E17">
            <v>255000</v>
          </cell>
          <cell r="F17">
            <v>255000</v>
          </cell>
          <cell r="G17">
            <v>255000</v>
          </cell>
          <cell r="H17">
            <v>255000</v>
          </cell>
          <cell r="I17">
            <v>255000</v>
          </cell>
        </row>
        <row r="18">
          <cell r="D18" t="str">
            <v>GA0035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</row>
        <row r="19">
          <cell r="D19" t="str">
            <v>GA0036</v>
          </cell>
          <cell r="E19">
            <v>6.0000000000000019E-3</v>
          </cell>
          <cell r="F19">
            <v>6.0000000000000019E-3</v>
          </cell>
          <cell r="G19">
            <v>6.0000000000000019E-3</v>
          </cell>
          <cell r="H19">
            <v>6.0000000000000019E-3</v>
          </cell>
          <cell r="I19">
            <v>6.0000000000000019E-3</v>
          </cell>
        </row>
        <row r="20">
          <cell r="D20" t="str">
            <v>GA0037</v>
          </cell>
          <cell r="E20">
            <v>6999.9999999999991</v>
          </cell>
          <cell r="F20">
            <v>6999.9999999999991</v>
          </cell>
          <cell r="G20">
            <v>6999.9999999999991</v>
          </cell>
          <cell r="H20">
            <v>6999.9999999999991</v>
          </cell>
          <cell r="I20">
            <v>6999.9999999999991</v>
          </cell>
        </row>
        <row r="21">
          <cell r="D21" t="str">
            <v>GA0005</v>
          </cell>
          <cell r="E21">
            <v>6.2E-2</v>
          </cell>
          <cell r="F21">
            <v>6.2E-2</v>
          </cell>
          <cell r="G21">
            <v>6.2E-2</v>
          </cell>
          <cell r="H21">
            <v>6.2E-2</v>
          </cell>
          <cell r="I21">
            <v>6.2E-2</v>
          </cell>
        </row>
        <row r="22">
          <cell r="D22" t="str">
            <v>GA0006</v>
          </cell>
          <cell r="E22">
            <v>120858.99999999999</v>
          </cell>
          <cell r="F22">
            <v>124605</v>
          </cell>
          <cell r="G22">
            <v>128468.00000000001</v>
          </cell>
          <cell r="H22">
            <v>132450.99999999997</v>
          </cell>
          <cell r="I22">
            <v>132450.99999999997</v>
          </cell>
        </row>
        <row r="23">
          <cell r="D23" t="str">
            <v>GA0007</v>
          </cell>
          <cell r="E23">
            <v>1.4500000000000004E-2</v>
          </cell>
          <cell r="F23">
            <v>1.4500000000000004E-2</v>
          </cell>
          <cell r="G23">
            <v>1.4500000000000004E-2</v>
          </cell>
          <cell r="H23">
            <v>1.4500000000000004E-2</v>
          </cell>
          <cell r="I23">
            <v>1.4500000000000004E-2</v>
          </cell>
        </row>
        <row r="24">
          <cell r="D24" t="str">
            <v>GA0001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 t="str">
            <v>GA0010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GA0011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D27" t="str">
            <v>GA0027_ML2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 t="str">
            <v>GA0027_ML4</v>
          </cell>
          <cell r="E28">
            <v>0.3</v>
          </cell>
          <cell r="F28">
            <v>0.3</v>
          </cell>
          <cell r="G28">
            <v>0.3</v>
          </cell>
          <cell r="H28">
            <v>0.3</v>
          </cell>
          <cell r="I28">
            <v>0.3</v>
          </cell>
        </row>
        <row r="29">
          <cell r="D29" t="str">
            <v>GA0027_L05</v>
          </cell>
          <cell r="E29">
            <v>0.19999999999999998</v>
          </cell>
          <cell r="F29">
            <v>0.19999999999999998</v>
          </cell>
          <cell r="G29">
            <v>0.19999999999999998</v>
          </cell>
          <cell r="H29">
            <v>0.19999999999999998</v>
          </cell>
          <cell r="I29">
            <v>0.19999999999999998</v>
          </cell>
        </row>
        <row r="30">
          <cell r="D30" t="str">
            <v>GA0027_L06</v>
          </cell>
          <cell r="E30">
            <v>0.19999999999999998</v>
          </cell>
          <cell r="F30">
            <v>0.19999999999999998</v>
          </cell>
          <cell r="G30">
            <v>0.19999999999999998</v>
          </cell>
          <cell r="H30">
            <v>0.19999999999999998</v>
          </cell>
          <cell r="I30">
            <v>0.19999999999999998</v>
          </cell>
        </row>
        <row r="31">
          <cell r="D31" t="str">
            <v>GA0027_L07</v>
          </cell>
          <cell r="E31">
            <v>0.15</v>
          </cell>
          <cell r="F31">
            <v>0.15</v>
          </cell>
          <cell r="G31">
            <v>0.15</v>
          </cell>
          <cell r="H31">
            <v>0.15</v>
          </cell>
          <cell r="I31">
            <v>0.15</v>
          </cell>
        </row>
        <row r="32">
          <cell r="D32" t="str">
            <v>GA0027_L08</v>
          </cell>
          <cell r="E32">
            <v>9.9999999999999992E-2</v>
          </cell>
          <cell r="F32">
            <v>9.9999999999999992E-2</v>
          </cell>
          <cell r="G32">
            <v>9.9999999999999992E-2</v>
          </cell>
          <cell r="H32">
            <v>9.9999999999999992E-2</v>
          </cell>
          <cell r="I32">
            <v>9.9999999999999992E-2</v>
          </cell>
        </row>
        <row r="33">
          <cell r="D33" t="str">
            <v>GA0027_L09</v>
          </cell>
          <cell r="E33">
            <v>9.9999999999999992E-2</v>
          </cell>
          <cell r="F33">
            <v>9.9999999999999992E-2</v>
          </cell>
          <cell r="G33">
            <v>9.9999999999999992E-2</v>
          </cell>
          <cell r="H33">
            <v>9.9999999999999992E-2</v>
          </cell>
          <cell r="I33">
            <v>9.9999999999999992E-2</v>
          </cell>
        </row>
        <row r="34">
          <cell r="D34" t="str">
            <v>GA0027_L10</v>
          </cell>
          <cell r="E34">
            <v>4.9999999999999996E-2</v>
          </cell>
          <cell r="F34">
            <v>4.9999999999999996E-2</v>
          </cell>
          <cell r="G34">
            <v>4.9999999999999996E-2</v>
          </cell>
          <cell r="H34">
            <v>4.9999999999999996E-2</v>
          </cell>
          <cell r="I34">
            <v>4.9999999999999996E-2</v>
          </cell>
        </row>
        <row r="35">
          <cell r="D35" t="str">
            <v>GA0027_L11</v>
          </cell>
          <cell r="E35">
            <v>4.9999999999999996E-2</v>
          </cell>
          <cell r="F35">
            <v>4.9999999999999996E-2</v>
          </cell>
          <cell r="G35">
            <v>4.9999999999999996E-2</v>
          </cell>
          <cell r="H35">
            <v>4.9999999999999996E-2</v>
          </cell>
          <cell r="I35">
            <v>4.9999999999999996E-2</v>
          </cell>
        </row>
        <row r="36">
          <cell r="D36" t="str">
            <v>GA0027_L12</v>
          </cell>
          <cell r="E36">
            <v>4.9999999999999996E-2</v>
          </cell>
          <cell r="F36">
            <v>4.9999999999999996E-2</v>
          </cell>
          <cell r="G36">
            <v>4.9999999999999996E-2</v>
          </cell>
          <cell r="H36">
            <v>4.9999999999999996E-2</v>
          </cell>
          <cell r="I36">
            <v>4.9999999999999996E-2</v>
          </cell>
        </row>
        <row r="37">
          <cell r="D37" t="str">
            <v>GA0002_ML1</v>
          </cell>
          <cell r="E37">
            <v>2.75E-2</v>
          </cell>
          <cell r="F37">
            <v>0.03</v>
          </cell>
          <cell r="G37">
            <v>0.03</v>
          </cell>
          <cell r="H37">
            <v>3.2500000000000001E-2</v>
          </cell>
          <cell r="I37">
            <v>3.2500000000000001E-2</v>
          </cell>
        </row>
        <row r="38">
          <cell r="D38" t="str">
            <v>GA0002_ML2</v>
          </cell>
          <cell r="E38">
            <v>2.75E-2</v>
          </cell>
          <cell r="F38">
            <v>0.03</v>
          </cell>
          <cell r="G38">
            <v>0.03</v>
          </cell>
          <cell r="H38">
            <v>3.2500000000000001E-2</v>
          </cell>
          <cell r="I38">
            <v>3.2500000000000001E-2</v>
          </cell>
        </row>
        <row r="39">
          <cell r="D39" t="str">
            <v>GA0002_ML3</v>
          </cell>
          <cell r="E39">
            <v>2.75E-2</v>
          </cell>
          <cell r="F39">
            <v>0.03</v>
          </cell>
          <cell r="G39">
            <v>0.03</v>
          </cell>
          <cell r="H39">
            <v>3.2500000000000001E-2</v>
          </cell>
          <cell r="I39">
            <v>3.2500000000000001E-2</v>
          </cell>
        </row>
        <row r="40">
          <cell r="D40" t="str">
            <v>GA0002_ML4</v>
          </cell>
          <cell r="E40">
            <v>2.75E-2</v>
          </cell>
          <cell r="F40">
            <v>0.03</v>
          </cell>
          <cell r="G40">
            <v>0.03</v>
          </cell>
          <cell r="H40">
            <v>3.2500000000000001E-2</v>
          </cell>
          <cell r="I40">
            <v>3.2500000000000001E-2</v>
          </cell>
        </row>
        <row r="41">
          <cell r="D41" t="str">
            <v>GA0002_L05</v>
          </cell>
          <cell r="E41">
            <v>2.75E-2</v>
          </cell>
          <cell r="F41">
            <v>0.03</v>
          </cell>
          <cell r="G41">
            <v>0.03</v>
          </cell>
          <cell r="H41">
            <v>3.2500000000000001E-2</v>
          </cell>
          <cell r="I41">
            <v>3.2500000000000001E-2</v>
          </cell>
        </row>
        <row r="42">
          <cell r="D42" t="str">
            <v>GA0002_L06</v>
          </cell>
          <cell r="E42">
            <v>2.75E-2</v>
          </cell>
          <cell r="F42">
            <v>0.03</v>
          </cell>
          <cell r="G42">
            <v>0.03</v>
          </cell>
          <cell r="H42">
            <v>3.2500000000000001E-2</v>
          </cell>
          <cell r="I42">
            <v>3.2500000000000001E-2</v>
          </cell>
        </row>
        <row r="43">
          <cell r="D43" t="str">
            <v>GA0002_L07</v>
          </cell>
          <cell r="E43">
            <v>2.75E-2</v>
          </cell>
          <cell r="F43">
            <v>0.03</v>
          </cell>
          <cell r="G43">
            <v>0.03</v>
          </cell>
          <cell r="H43">
            <v>3.2500000000000001E-2</v>
          </cell>
          <cell r="I43">
            <v>3.2500000000000001E-2</v>
          </cell>
        </row>
        <row r="44">
          <cell r="D44" t="str">
            <v>GA0002_L08</v>
          </cell>
          <cell r="E44">
            <v>2.75E-2</v>
          </cell>
          <cell r="F44">
            <v>0.03</v>
          </cell>
          <cell r="G44">
            <v>0.03</v>
          </cell>
          <cell r="H44">
            <v>3.2500000000000001E-2</v>
          </cell>
          <cell r="I44">
            <v>3.2500000000000001E-2</v>
          </cell>
        </row>
        <row r="45">
          <cell r="D45" t="str">
            <v>GA0002_L09</v>
          </cell>
          <cell r="E45">
            <v>2.75E-2</v>
          </cell>
          <cell r="F45">
            <v>0.03</v>
          </cell>
          <cell r="G45">
            <v>0.03</v>
          </cell>
          <cell r="H45">
            <v>3.2500000000000001E-2</v>
          </cell>
          <cell r="I45">
            <v>3.2500000000000001E-2</v>
          </cell>
        </row>
        <row r="46">
          <cell r="D46" t="str">
            <v>GA0002_L10</v>
          </cell>
          <cell r="E46">
            <v>2.75E-2</v>
          </cell>
          <cell r="F46">
            <v>0.03</v>
          </cell>
          <cell r="G46">
            <v>0.03</v>
          </cell>
          <cell r="H46">
            <v>3.2500000000000001E-2</v>
          </cell>
          <cell r="I46">
            <v>3.2500000000000001E-2</v>
          </cell>
        </row>
        <row r="47">
          <cell r="D47" t="str">
            <v>GA0002_L11</v>
          </cell>
          <cell r="E47">
            <v>2.75E-2</v>
          </cell>
          <cell r="F47">
            <v>0.03</v>
          </cell>
          <cell r="G47">
            <v>0.03</v>
          </cell>
          <cell r="H47">
            <v>3.2500000000000001E-2</v>
          </cell>
          <cell r="I47">
            <v>3.2500000000000001E-2</v>
          </cell>
        </row>
        <row r="48">
          <cell r="D48" t="str">
            <v>GA0002_L12</v>
          </cell>
          <cell r="E48">
            <v>2.75E-2</v>
          </cell>
          <cell r="F48">
            <v>0.03</v>
          </cell>
          <cell r="G48">
            <v>0.03</v>
          </cell>
          <cell r="H48">
            <v>3.2500000000000001E-2</v>
          </cell>
          <cell r="I48">
            <v>3.2500000000000001E-2</v>
          </cell>
        </row>
        <row r="49">
          <cell r="D49" t="str">
            <v>GA0002_L13</v>
          </cell>
          <cell r="E49">
            <v>2.75E-2</v>
          </cell>
          <cell r="F49">
            <v>0.03</v>
          </cell>
          <cell r="G49">
            <v>0.03</v>
          </cell>
          <cell r="H49">
            <v>3.2500000000000001E-2</v>
          </cell>
          <cell r="I49">
            <v>3.2500000000000001E-2</v>
          </cell>
        </row>
        <row r="50">
          <cell r="D50" t="str">
            <v>GA0002_L14</v>
          </cell>
          <cell r="E50">
            <v>2.75E-2</v>
          </cell>
          <cell r="F50">
            <v>0.03</v>
          </cell>
          <cell r="G50">
            <v>0.03</v>
          </cell>
          <cell r="H50">
            <v>3.2500000000000001E-2</v>
          </cell>
          <cell r="I50">
            <v>3.2500000000000001E-2</v>
          </cell>
        </row>
        <row r="51">
          <cell r="D51" t="str">
            <v>GA0002_L15</v>
          </cell>
          <cell r="E51">
            <v>2.75E-2</v>
          </cell>
          <cell r="F51">
            <v>0.03</v>
          </cell>
          <cell r="G51">
            <v>0.03</v>
          </cell>
          <cell r="H51">
            <v>3.2500000000000001E-2</v>
          </cell>
          <cell r="I51">
            <v>3.2500000000000001E-2</v>
          </cell>
        </row>
        <row r="52">
          <cell r="D52" t="str">
            <v>GA0002_L16</v>
          </cell>
          <cell r="E52">
            <v>2.75E-2</v>
          </cell>
          <cell r="F52">
            <v>0.03</v>
          </cell>
          <cell r="G52">
            <v>0.03</v>
          </cell>
          <cell r="H52">
            <v>3.2500000000000001E-2</v>
          </cell>
          <cell r="I52">
            <v>3.2500000000000001E-2</v>
          </cell>
        </row>
        <row r="53">
          <cell r="D53" t="str">
            <v>GA0010_ML4</v>
          </cell>
          <cell r="E53">
            <v>0.3</v>
          </cell>
          <cell r="F53">
            <v>0.3</v>
          </cell>
          <cell r="G53">
            <v>0.3</v>
          </cell>
          <cell r="H53">
            <v>0.3</v>
          </cell>
          <cell r="I53">
            <v>0.3</v>
          </cell>
        </row>
        <row r="54">
          <cell r="D54" t="str">
            <v>GA0010_L05</v>
          </cell>
          <cell r="E54">
            <v>9.9999999999999992E-2</v>
          </cell>
          <cell r="F54">
            <v>9.9999999999999992E-2</v>
          </cell>
          <cell r="G54">
            <v>9.9999999999999992E-2</v>
          </cell>
          <cell r="H54">
            <v>9.9999999999999992E-2</v>
          </cell>
          <cell r="I54">
            <v>9.9999999999999992E-2</v>
          </cell>
        </row>
      </sheetData>
      <sheetData sheetId="5">
        <row r="2">
          <cell r="AS2" t="str">
            <v>Working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urce and ChangeLog"/>
      <sheetName val="Adjustment"/>
      <sheetName val="Adjust FFE Exist Cost"/>
      <sheetName val="Cash Differences"/>
      <sheetName val="FinStmt-ConsolAll"/>
      <sheetName val="IncStmt-ConsolAll"/>
      <sheetName val="IncStmt-ConsolBldgTaxCr"/>
      <sheetName val="TaxCred-Rev"/>
      <sheetName val="TaxCred-Calc"/>
      <sheetName val="IncStmt2018-04-13"/>
      <sheetName val="IncStmt-BldgAndFFE"/>
      <sheetName val="IncStmt-Bldg"/>
      <sheetName val="IncStmt-FFE"/>
      <sheetName val="Rev-FFE"/>
      <sheetName val="Rev-FFEPricePSqFt"/>
      <sheetName val="Rev-BldgLease"/>
      <sheetName val="Rev-QtySqFt"/>
      <sheetName val="Rev-BldgPricePSqFt"/>
      <sheetName val="Invest-ConstruxEst"/>
      <sheetName val="Exp-OandM"/>
      <sheetName val="Exp-DeprCapexIntrst"/>
      <sheetName val="STDebtRates"/>
      <sheetName val="Exp-PropTaxAbate"/>
      <sheetName val="Discount Rate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E23">
            <v>0.26500000000000001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D4">
            <v>0</v>
          </cell>
        </row>
      </sheetData>
      <sheetData sheetId="15"/>
      <sheetData sheetId="16">
        <row r="4">
          <cell r="D4">
            <v>2.75E-2</v>
          </cell>
        </row>
        <row r="5">
          <cell r="D5">
            <v>2.5000000000000001E-2</v>
          </cell>
        </row>
      </sheetData>
      <sheetData sheetId="17">
        <row r="8">
          <cell r="M8">
            <v>0.7334040502874537</v>
          </cell>
        </row>
        <row r="9">
          <cell r="M9">
            <v>0.19059584805662558</v>
          </cell>
        </row>
        <row r="10">
          <cell r="M10">
            <v>3.3191010746829903E-2</v>
          </cell>
        </row>
        <row r="11">
          <cell r="M11">
            <v>4.2813636363636366E-2</v>
          </cell>
        </row>
      </sheetData>
      <sheetData sheetId="18">
        <row r="3">
          <cell r="B3">
            <v>2.5000000000000001E-2</v>
          </cell>
        </row>
      </sheetData>
      <sheetData sheetId="19">
        <row r="48">
          <cell r="E48">
            <v>2.5000000000000001E-2</v>
          </cell>
        </row>
      </sheetData>
      <sheetData sheetId="20"/>
      <sheetData sheetId="21">
        <row r="2">
          <cell r="G2">
            <v>4.7500000000000001E-2</v>
          </cell>
        </row>
      </sheetData>
      <sheetData sheetId="22"/>
      <sheetData sheetId="23"/>
      <sheetData sheetId="24">
        <row r="27">
          <cell r="G27">
            <v>7.4898759999999995E-2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>
        <row r="2">
          <cell r="AU2" t="str">
            <v>E51_INPUT</v>
          </cell>
        </row>
        <row r="3">
          <cell r="AU3" t="str">
            <v>E56_INPUT</v>
          </cell>
        </row>
        <row r="4">
          <cell r="AU4" t="str">
            <v>E55_INPUT</v>
          </cell>
        </row>
        <row r="5">
          <cell r="AU5" t="str">
            <v>E54_INPUT</v>
          </cell>
        </row>
        <row r="6">
          <cell r="AU6" t="str">
            <v>E57_INPUT</v>
          </cell>
        </row>
        <row r="7">
          <cell r="AU7" t="str">
            <v>E14_INPUT</v>
          </cell>
        </row>
        <row r="8">
          <cell r="AU8" t="str">
            <v>E28_INPUT</v>
          </cell>
        </row>
        <row r="9">
          <cell r="AU9" t="str">
            <v>E27_INPUT</v>
          </cell>
        </row>
        <row r="10">
          <cell r="AU10" t="str">
            <v>E26_INPUT</v>
          </cell>
        </row>
        <row r="11">
          <cell r="AU11" t="str">
            <v>E13_INPUT</v>
          </cell>
        </row>
        <row r="12">
          <cell r="AU12" t="str">
            <v>E12_INPUT</v>
          </cell>
        </row>
        <row r="13">
          <cell r="AU13" t="str">
            <v>E10_INPUT</v>
          </cell>
        </row>
        <row r="14">
          <cell r="AU14" t="str">
            <v>E16_INPUT</v>
          </cell>
        </row>
        <row r="15">
          <cell r="AU15" t="str">
            <v>E22_INPUT</v>
          </cell>
        </row>
        <row r="16">
          <cell r="AU16" t="str">
            <v>E17_INPUT</v>
          </cell>
        </row>
        <row r="17">
          <cell r="AU17" t="str">
            <v>E11_INPUT</v>
          </cell>
        </row>
        <row r="18">
          <cell r="AU18" t="str">
            <v>E25_INPUT</v>
          </cell>
        </row>
        <row r="19">
          <cell r="AU19" t="str">
            <v>E44_INPUT</v>
          </cell>
        </row>
        <row r="20">
          <cell r="AU20" t="str">
            <v>E19_INPUT</v>
          </cell>
        </row>
        <row r="21">
          <cell r="AU21" t="str">
            <v>E30_INPUT</v>
          </cell>
        </row>
        <row r="22">
          <cell r="AU22" t="str">
            <v>E15_INPUT</v>
          </cell>
        </row>
        <row r="23">
          <cell r="AU23" t="str">
            <v>E23_INPUT</v>
          </cell>
        </row>
        <row r="24">
          <cell r="AU24" t="str">
            <v>E18_INPUT</v>
          </cell>
        </row>
        <row r="25">
          <cell r="AU25" t="str">
            <v>E3101_INPUT</v>
          </cell>
        </row>
        <row r="26">
          <cell r="AU26" t="str">
            <v>E3105_INPUT</v>
          </cell>
        </row>
        <row r="27">
          <cell r="AU27" t="str">
            <v>E3107_INPUT</v>
          </cell>
        </row>
        <row r="28">
          <cell r="AU28" t="str">
            <v>E3108_INPUT</v>
          </cell>
        </row>
        <row r="29">
          <cell r="AU29" t="str">
            <v>E3103_INPUT</v>
          </cell>
        </row>
        <row r="30">
          <cell r="AU30" t="str">
            <v>E3104_INPUT</v>
          </cell>
        </row>
        <row r="31">
          <cell r="AU31" t="str">
            <v>E3106_INPUT</v>
          </cell>
        </row>
        <row r="32">
          <cell r="AU32" t="str">
            <v>E80_INPUT</v>
          </cell>
        </row>
        <row r="33">
          <cell r="AU33" t="str">
            <v>E20_INPUT</v>
          </cell>
        </row>
        <row r="34">
          <cell r="AU34" t="str">
            <v>E255705</v>
          </cell>
        </row>
        <row r="35">
          <cell r="AU35" t="str">
            <v>E33_INPUT</v>
          </cell>
        </row>
        <row r="36">
          <cell r="AU36" t="str">
            <v>E24_INPUT</v>
          </cell>
        </row>
        <row r="37">
          <cell r="AU37" t="str">
            <v>E20_INPUT</v>
          </cell>
        </row>
        <row r="38">
          <cell r="AU38" t="str">
            <v>E38_INPUT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nt"/>
      <sheetName val="Dep &amp; Interest"/>
      <sheetName val="Rev-BldgPricePSqFt"/>
      <sheetName val="Rev-BldgLease"/>
      <sheetName val="Existing Depr Assets"/>
      <sheetName val="Additions CWIP"/>
      <sheetName val="Depr HQO"/>
      <sheetName val="Existing Leases"/>
      <sheetName val="Lease Additions"/>
      <sheetName val="Cap Lease HQO"/>
      <sheetName val="2017 Rents"/>
      <sheetName val="2018 Bud Dep Alloc %"/>
      <sheetName val="2018 Bud CP Alloc %"/>
    </sheetNames>
    <sheetDataSet>
      <sheetData sheetId="0" refreshError="1"/>
      <sheetData sheetId="1" refreshError="1"/>
      <sheetData sheetId="2" refreshError="1"/>
      <sheetData sheetId="3"/>
      <sheetData sheetId="4">
        <row r="4">
          <cell r="D4">
            <v>2.2800000000000001E-2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J3">
            <v>5.7500000000000002E-2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Existing Depr Assets"/>
      <sheetName val="Additions CWIP"/>
      <sheetName val="Additions Depr"/>
      <sheetName val="Depr Pivot"/>
      <sheetName val="Summary Depreciation"/>
      <sheetName val="Depr Plan1 Data"/>
      <sheetName val="Depr Plan1 Pre"/>
      <sheetName val="Depr Plan1 Upload"/>
      <sheetName val="Depr Plan1 Post"/>
      <sheetName val="Existing Leases"/>
      <sheetName val="Lease Additions"/>
      <sheetName val="Pivot Interest"/>
      <sheetName val="Summary Interest"/>
      <sheetName val="Int Plan1 Data"/>
      <sheetName val="Int Plan1 Pre"/>
      <sheetName val="Int Plan1 Upload"/>
      <sheetName val="Int Plan1 Post"/>
      <sheetName val="Bal Sheet"/>
      <sheetName val="Hardware Life"/>
    </sheetNames>
    <sheetDataSet>
      <sheetData sheetId="0" refreshError="1"/>
      <sheetData sheetId="1">
        <row r="1">
          <cell r="ES1">
            <v>2018</v>
          </cell>
        </row>
      </sheetData>
      <sheetData sheetId="2">
        <row r="7">
          <cell r="F7">
            <v>1</v>
          </cell>
        </row>
      </sheetData>
      <sheetData sheetId="3">
        <row r="7">
          <cell r="M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4">
          <cell r="K4">
            <v>6.0000000000000005E-2</v>
          </cell>
          <cell r="M4">
            <v>6.5000000000000002E-2</v>
          </cell>
          <cell r="N4">
            <v>7.2499999999999995E-2</v>
          </cell>
          <cell r="O4">
            <v>7.4999999999999997E-2</v>
          </cell>
          <cell r="P4">
            <v>7.4999999999999997E-2</v>
          </cell>
          <cell r="Q4">
            <v>7.2499999999999995E-2</v>
          </cell>
          <cell r="R4">
            <v>7.2499999999999995E-2</v>
          </cell>
          <cell r="S4">
            <v>6.9999999999999993E-2</v>
          </cell>
          <cell r="T4">
            <v>6.7500000000000004E-2</v>
          </cell>
          <cell r="U4">
            <v>6.7500000000000004E-2</v>
          </cell>
          <cell r="V4">
            <v>6.7500000000000004E-2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B4" t="str">
            <v>4yr Infrastructure, Operations, Computing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Existing Depr Assets"/>
      <sheetName val="FFE OWS"/>
      <sheetName val="Additions CWIP"/>
      <sheetName val="Additions Depr"/>
      <sheetName val="Depr Pivot"/>
      <sheetName val="Summary Depreciation"/>
      <sheetName val="Depr Plan1 Data"/>
      <sheetName val="Depr Plan1 Pre"/>
      <sheetName val="Depr Plan1 Upload"/>
      <sheetName val="Depr Plan1 Post"/>
      <sheetName val="Existing Leases"/>
      <sheetName val="Lease Additions"/>
      <sheetName val="Pivot Interest"/>
      <sheetName val="Summary Interest"/>
      <sheetName val="Int Plan1 Data"/>
      <sheetName val="Int Plan1 Pre"/>
      <sheetName val="Int Plan1 Upload"/>
      <sheetName val="Int Plan1 Post"/>
      <sheetName val="Bal Sheet"/>
      <sheetName val="Hardware Life"/>
    </sheetNames>
    <sheetDataSet>
      <sheetData sheetId="0"/>
      <sheetData sheetId="1">
        <row r="1">
          <cell r="ES1">
            <v>2018</v>
          </cell>
          <cell r="ET1">
            <v>2019</v>
          </cell>
          <cell r="EZ1">
            <v>2020</v>
          </cell>
          <cell r="FA1">
            <v>2021</v>
          </cell>
          <cell r="FB1">
            <v>2022</v>
          </cell>
          <cell r="FC1">
            <v>2023</v>
          </cell>
        </row>
      </sheetData>
      <sheetData sheetId="2"/>
      <sheetData sheetId="3">
        <row r="7">
          <cell r="F7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EA7">
            <v>0</v>
          </cell>
        </row>
      </sheetData>
      <sheetData sheetId="12">
        <row r="3">
          <cell r="J3">
            <v>5.7500000000000002E-2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9">
          <cell r="C39" t="str">
            <v>Witness Responsible:   Melissa Schwarzell</v>
          </cell>
        </row>
        <row r="47">
          <cell r="A47" t="str">
            <v>Total Water Customers</v>
          </cell>
        </row>
        <row r="48">
          <cell r="A48" t="str">
            <v>Average - July 2019-June 2020</v>
          </cell>
          <cell r="C48">
            <v>133284</v>
          </cell>
        </row>
        <row r="49">
          <cell r="A49" t="str">
            <v>Wastewater as of 8/31/18</v>
          </cell>
          <cell r="C49">
            <v>695</v>
          </cell>
        </row>
        <row r="50">
          <cell r="A50" t="str">
            <v>Total Customers</v>
          </cell>
          <cell r="C50">
            <v>133979</v>
          </cell>
        </row>
        <row r="51">
          <cell r="A51" t="str">
            <v>Less Dual</v>
          </cell>
          <cell r="C51">
            <v>-550</v>
          </cell>
        </row>
        <row r="52">
          <cell r="C52">
            <v>133429</v>
          </cell>
        </row>
        <row r="54">
          <cell r="A54" t="str">
            <v>Water Percentage</v>
          </cell>
          <cell r="C54">
            <v>0.99891327972179966</v>
          </cell>
        </row>
        <row r="55">
          <cell r="A55" t="str">
            <v>Wastewater Percentage</v>
          </cell>
          <cell r="C55">
            <v>1.0867202782003371E-3</v>
          </cell>
        </row>
      </sheetData>
      <sheetData sheetId="1">
        <row r="51">
          <cell r="D51" t="str">
            <v>Support Services</v>
          </cell>
          <cell r="F51" t="str">
            <v>W/P - 3-7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R6" t="str">
            <v>Sum of Base Year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R7">
            <v>-49744539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R8">
            <v>518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R9">
            <v>456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R10">
            <v>-416113</v>
          </cell>
        </row>
        <row r="11">
          <cell r="A11" t="str">
            <v>P02 Total</v>
          </cell>
          <cell r="R11">
            <v>-50159678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R12">
            <v>-22628762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R13">
            <v>-427146</v>
          </cell>
        </row>
        <row r="14">
          <cell r="A14" t="str">
            <v>P03 Total</v>
          </cell>
          <cell r="R14">
            <v>-23055908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R15">
            <v>-2813213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R16">
            <v>-28117</v>
          </cell>
        </row>
        <row r="17">
          <cell r="A17" t="str">
            <v>P04 Total</v>
          </cell>
          <cell r="R17">
            <v>-2841330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R18">
            <v>-3807205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R19">
            <v>6</v>
          </cell>
        </row>
        <row r="20">
          <cell r="A20" t="str">
            <v>P05 Total</v>
          </cell>
          <cell r="R20">
            <v>-3807199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R21">
            <v>-2801452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R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R23">
            <v>-11165</v>
          </cell>
        </row>
        <row r="24">
          <cell r="A24" t="str">
            <v>P06 Total</v>
          </cell>
          <cell r="R24">
            <v>-2812617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R25">
            <v>-5785621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R26">
            <v>-271611</v>
          </cell>
        </row>
        <row r="27">
          <cell r="A27" t="str">
            <v>P07 Total</v>
          </cell>
          <cell r="R27">
            <v>-6057232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R28">
            <v>-1882705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R29">
            <v>-15096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R30">
            <v>-39606</v>
          </cell>
        </row>
        <row r="31">
          <cell r="A31" t="str">
            <v>P08 Total</v>
          </cell>
          <cell r="R31">
            <v>-1937407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R32">
            <v>-80697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R33">
            <v>-150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R34">
            <v>1430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R35">
            <v>-15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R36">
            <v>1363581</v>
          </cell>
        </row>
        <row r="37">
          <cell r="A37" t="str">
            <v>P09 Total</v>
          </cell>
          <cell r="R37">
            <v>1284149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R38">
            <v>-837881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R39">
            <v>-95656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R40">
            <v>-154932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R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R42">
            <v>-30420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R43">
            <v>-776520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R44">
            <v>-51797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R45">
            <v>-573394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R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R47">
            <v>-165</v>
          </cell>
        </row>
        <row r="48">
          <cell r="A48" t="str">
            <v>P11 Total</v>
          </cell>
          <cell r="R48">
            <v>-2520765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R49">
            <v>299237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R50">
            <v>0</v>
          </cell>
        </row>
        <row r="51">
          <cell r="A51" t="str">
            <v>P13 Total</v>
          </cell>
          <cell r="R51">
            <v>299237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R52">
            <v>2141917.9799161823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R53">
            <v>91968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R54">
            <v>246430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R55">
            <v>1641892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R56">
            <v>8200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R57">
            <v>6000</v>
          </cell>
        </row>
        <row r="58">
          <cell r="A58" t="str">
            <v>P14 Total</v>
          </cell>
          <cell r="R58">
            <v>4136407.9799161823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R59">
            <v>1902436.9872043957</v>
          </cell>
        </row>
        <row r="60">
          <cell r="A60" t="str">
            <v>P15 Total</v>
          </cell>
          <cell r="R60">
            <v>1902436.9872043957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R61">
            <v>476720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R62">
            <v>33336</v>
          </cell>
        </row>
        <row r="63">
          <cell r="A63" t="str">
            <v>P16 Total</v>
          </cell>
          <cell r="R63">
            <v>510056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R64">
            <v>5971937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R65">
            <v>-61217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R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R67">
            <v>964606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R68">
            <v>54871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R69">
            <v>97942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R70">
            <v>26402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R71">
            <v>34635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R72">
            <v>367652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R73">
            <v>13171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R74">
            <v>134277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R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R76">
            <v>102255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R77">
            <v>362686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R78">
            <v>161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R79">
            <v>96528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R80">
            <v>277315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R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R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R83">
            <v>23681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R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R85">
            <v>59903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R86">
            <v>17852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R87">
            <v>9575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R88">
            <v>-2447639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R89">
            <v>639111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R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R91">
            <v>145972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R92">
            <v>15804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R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R94">
            <v>5351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R95">
            <v>48078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R96">
            <v>1089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R97">
            <v>17862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R98">
            <v>6274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R99">
            <v>122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R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R101">
            <v>24399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R102">
            <v>93016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R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R104">
            <v>8862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R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R106">
            <v>16804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R107">
            <v>3539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R108">
            <v>1634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R109">
            <v>-359649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R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R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R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R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R114">
            <v>393701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R115">
            <v>453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R116">
            <v>15109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R117">
            <v>0</v>
          </cell>
        </row>
        <row r="118">
          <cell r="A118" t="str">
            <v>P17 Total</v>
          </cell>
          <cell r="R118">
            <v>7184124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R119">
            <v>627714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R120">
            <v>-188553</v>
          </cell>
        </row>
        <row r="121">
          <cell r="A121" t="str">
            <v>P18 Total</v>
          </cell>
          <cell r="R121">
            <v>439161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R122">
            <v>169677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R123">
            <v>-55076</v>
          </cell>
        </row>
        <row r="124">
          <cell r="A124" t="str">
            <v>P19 Total</v>
          </cell>
          <cell r="R124">
            <v>114601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R125">
            <v>1978520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R126">
            <v>-563503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R127">
            <v>500</v>
          </cell>
        </row>
        <row r="128">
          <cell r="A128" t="str">
            <v>P20 Total</v>
          </cell>
          <cell r="R128">
            <v>1415517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R129">
            <v>267244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R130">
            <v>-74367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R131">
            <v>307187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R132">
            <v>-80324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R133">
            <v>14837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R134">
            <v>24707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R135">
            <v>-4729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R136">
            <v>18405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R137">
            <v>1556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R138">
            <v>2022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R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R140">
            <v>13196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R141">
            <v>13063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R142">
            <v>8057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R143">
            <v>39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R144">
            <v>26053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R145">
            <v>39890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R146">
            <v>1301</v>
          </cell>
        </row>
        <row r="147">
          <cell r="A147" t="str">
            <v>P21 Total</v>
          </cell>
          <cell r="R147">
            <v>578137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R148">
            <v>4778427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R149">
            <v>299355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R150">
            <v>579947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R151">
            <v>392082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R152">
            <v>698172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R153">
            <v>431481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R154">
            <v>65561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R155">
            <v>360212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R156">
            <v>102677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R157">
            <v>229269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R158">
            <v>274430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R159">
            <v>818645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R160">
            <v>328764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R161">
            <v>45533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R162">
            <v>-24705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R163">
            <v>5044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R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R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R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R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R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R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R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R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R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R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R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R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R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R177">
            <v>0</v>
          </cell>
        </row>
        <row r="178">
          <cell r="A178" t="str">
            <v>P22 Total</v>
          </cell>
          <cell r="R178">
            <v>9384894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R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R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R181">
            <v>11564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R182">
            <v>3304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R183">
            <v>175587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R184">
            <v>10163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R185">
            <v>35239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R186">
            <v>79016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R187">
            <v>-913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R188">
            <v>72219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R189">
            <v>1668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R190">
            <v>7139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R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R192">
            <v>20972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R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R194">
            <v>149874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R195">
            <v>348693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R196">
            <v>0</v>
          </cell>
        </row>
        <row r="197">
          <cell r="A197" t="str">
            <v>P23 Total</v>
          </cell>
          <cell r="R197">
            <v>914525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R198">
            <v>73193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R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R200">
            <v>3707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R201">
            <v>40646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R202">
            <v>36966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R203">
            <v>86401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R204">
            <v>4926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R205">
            <v>21727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R206">
            <v>21867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R207">
            <v>92413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R208">
            <v>13095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R209">
            <v>6898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R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R211">
            <v>2371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R212">
            <v>45117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R213">
            <v>1551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R214">
            <v>7637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R215">
            <v>32844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R216">
            <v>14487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R217">
            <v>14490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R218">
            <v>305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R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R220">
            <v>60566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R221">
            <v>12192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R222">
            <v>4184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R223">
            <v>3378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R224">
            <v>6345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R225">
            <v>43507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R226">
            <v>27668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R227">
            <v>5785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R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R229">
            <v>8903</v>
          </cell>
        </row>
        <row r="230">
          <cell r="A230" t="str">
            <v>P24 Total</v>
          </cell>
          <cell r="R230">
            <v>693169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R231">
            <v>60307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R232">
            <v>13754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R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R234">
            <v>31001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R235">
            <v>7542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R236">
            <v>62084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R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R238">
            <v>2987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R239">
            <v>1605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R240">
            <v>19248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R241">
            <v>52154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R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R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R244">
            <v>120</v>
          </cell>
        </row>
        <row r="245">
          <cell r="A245" t="str">
            <v>P25 Total</v>
          </cell>
          <cell r="R245">
            <v>250802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R246">
            <v>10832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R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R248">
            <v>10363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R249">
            <v>406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R250">
            <v>2218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R251">
            <v>1248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R252">
            <v>776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R253">
            <v>3353</v>
          </cell>
        </row>
        <row r="254">
          <cell r="A254" t="str">
            <v>P26 Total</v>
          </cell>
          <cell r="R254">
            <v>29196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R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R256">
            <v>92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R257">
            <v>248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R258">
            <v>52682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R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R260">
            <v>1079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R261">
            <v>18640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R262">
            <v>33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R263">
            <v>9449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R264">
            <v>3818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R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R266">
            <v>10128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R267">
            <v>150263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R268">
            <v>18138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R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R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R271">
            <v>9332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R272">
            <v>10053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R273">
            <v>1304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R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R275">
            <v>0</v>
          </cell>
        </row>
        <row r="276">
          <cell r="A276" t="str">
            <v>P27 Total</v>
          </cell>
          <cell r="R276">
            <v>285259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R277">
            <v>7988</v>
          </cell>
        </row>
        <row r="278">
          <cell r="A278" t="str">
            <v>P28 Total</v>
          </cell>
          <cell r="R278">
            <v>7988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R279">
            <v>72245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R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R281">
            <v>8813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R282">
            <v>35622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R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R284">
            <v>10034</v>
          </cell>
        </row>
        <row r="285">
          <cell r="A285" t="str">
            <v>P29 Total</v>
          </cell>
          <cell r="R285">
            <v>126714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R286">
            <v>78639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R287">
            <v>-70867.805123857834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R288">
            <v>129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R289">
            <v>-1088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R290">
            <v>31120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R291">
            <v>30078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R292">
            <v>504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R293">
            <v>21962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R294">
            <v>55070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R295">
            <v>1951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R296">
            <v>13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R297">
            <v>8243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R298">
            <v>64614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R299">
            <v>-81175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R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R301">
            <v>49472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R302">
            <v>36988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R303">
            <v>41694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R304">
            <v>11721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R305">
            <v>14387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R306">
            <v>57981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R307">
            <v>11153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R308">
            <v>1542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R309">
            <v>5672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R310">
            <v>9309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R311">
            <v>3469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R312">
            <v>250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R313">
            <v>94071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R314">
            <v>43350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R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R316">
            <v>574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R317">
            <v>500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R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R319">
            <v>-473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R320">
            <v>104150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R321">
            <v>67500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R322">
            <v>518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R323">
            <v>23632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R324">
            <v>21029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R325">
            <v>-81092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R326">
            <v>184</v>
          </cell>
        </row>
        <row r="327">
          <cell r="A327" t="str">
            <v>P30 Total</v>
          </cell>
          <cell r="R327">
            <v>656773.1948761422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R328">
            <v>5057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R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R330">
            <v>7148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R331">
            <v>1500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R332">
            <v>1629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R333">
            <v>565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R334">
            <v>5740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R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R336">
            <v>483</v>
          </cell>
        </row>
        <row r="337">
          <cell r="A337" t="str">
            <v>P31 Total</v>
          </cell>
          <cell r="R337">
            <v>22122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R338">
            <v>-2943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R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R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R341">
            <v>459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R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R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R344">
            <v>7814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R345">
            <v>517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R346">
            <v>80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R347">
            <v>-132201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R348">
            <v>42481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R349">
            <v>251570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R350">
            <v>184672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R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R352">
            <v>21145</v>
          </cell>
        </row>
        <row r="353">
          <cell r="A353" t="str">
            <v>P32 Total</v>
          </cell>
          <cell r="R353">
            <v>373594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R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R355">
            <v>809767.83800327987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R356">
            <v>49371</v>
          </cell>
        </row>
        <row r="357">
          <cell r="A357" t="str">
            <v>P33 Total</v>
          </cell>
          <cell r="R357">
            <v>859138.83800327987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R358">
            <v>1424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R359">
            <v>140647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R360">
            <v>10004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R361">
            <v>303523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R362">
            <v>135893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R363">
            <v>570456</v>
          </cell>
        </row>
        <row r="364">
          <cell r="A364" t="str">
            <v>P34 Total</v>
          </cell>
          <cell r="R364">
            <v>1161947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R365">
            <v>289720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R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R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R368">
            <v>0</v>
          </cell>
        </row>
        <row r="369">
          <cell r="A369" t="str">
            <v>P35 Total</v>
          </cell>
          <cell r="R369">
            <v>289720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R370">
            <v>29358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R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R372">
            <v>427078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R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R374">
            <v>105428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R375">
            <v>-45629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R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R377">
            <v>112354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R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R379">
            <v>57480</v>
          </cell>
        </row>
        <row r="380">
          <cell r="A380" t="str">
            <v>P36 Total</v>
          </cell>
          <cell r="R380">
            <v>686069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R381">
            <v>11559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R382">
            <v>120941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R383">
            <v>172000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R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R385">
            <v>4425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R386">
            <v>77124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R387">
            <v>93955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R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R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R390">
            <v>358100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R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R392">
            <v>389394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R393">
            <v>122004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R394">
            <v>327830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R395">
            <v>15417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R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R397">
            <v>142571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R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R399">
            <v>22726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R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R401">
            <v>36773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R402">
            <v>39355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R403">
            <v>29871</v>
          </cell>
        </row>
        <row r="404">
          <cell r="A404" t="str">
            <v>P37 Total</v>
          </cell>
          <cell r="R404">
            <v>1964045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R405">
            <v>0</v>
          </cell>
        </row>
        <row r="406">
          <cell r="A406" t="str">
            <v>P38 Total</v>
          </cell>
          <cell r="R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R407">
            <v>12889419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R408">
            <v>2905781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R409">
            <v>1456579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R410">
            <v>-194586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R411">
            <v>712822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R412">
            <v>-55333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R413">
            <v>-404971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R414">
            <v>843844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R415">
            <v>690089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R416">
            <v>-972459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R417">
            <v>2085258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R418">
            <v>-1954571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R419">
            <v>-710057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R420">
            <v>-17291815</v>
          </cell>
        </row>
        <row r="421">
          <cell r="A421" t="str">
            <v>P39 Total</v>
          </cell>
          <cell r="R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R422">
            <v>15662466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R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R424">
            <v>-272911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R425">
            <v>-1395137</v>
          </cell>
        </row>
        <row r="426">
          <cell r="A426" t="str">
            <v>P40 Total</v>
          </cell>
          <cell r="R426">
            <v>13994418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R427">
            <v>203936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R428">
            <v>8556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R429">
            <v>57084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R430">
            <v>6900</v>
          </cell>
        </row>
        <row r="431">
          <cell r="A431" t="str">
            <v>P41 Total</v>
          </cell>
          <cell r="R431">
            <v>276476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R432">
            <v>2841122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R433">
            <v>-154187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R434">
            <v>-406244</v>
          </cell>
        </row>
        <row r="435">
          <cell r="A435" t="str">
            <v>P42 Total</v>
          </cell>
          <cell r="R435">
            <v>2280691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R436">
            <v>4831489.9500022596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R437">
            <v>0</v>
          </cell>
        </row>
        <row r="438">
          <cell r="A438" t="str">
            <v>P43 Total</v>
          </cell>
          <cell r="R438">
            <v>4831489.9500022596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R439">
            <v>1042164.2999302045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R440">
            <v>0</v>
          </cell>
        </row>
        <row r="441">
          <cell r="A441" t="str">
            <v>P44 Total</v>
          </cell>
          <cell r="R441">
            <v>1042164.2999302045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R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R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R444">
            <v>-65942.498360214944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R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R446">
            <v>-612910.32232675899</v>
          </cell>
        </row>
        <row r="447">
          <cell r="A447" t="str">
            <v>P45 Total</v>
          </cell>
          <cell r="R447">
            <v>-678852.82068697398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R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R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R450">
            <v>-62970.999999999993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R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R452">
            <v>10837.716534646548</v>
          </cell>
        </row>
        <row r="453">
          <cell r="A453" t="str">
            <v>P46 Total</v>
          </cell>
          <cell r="R453">
            <v>-52133.283465353445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R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R455">
            <v>-7656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R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R457">
            <v>-70836</v>
          </cell>
        </row>
        <row r="458">
          <cell r="A458" t="str">
            <v>P47 Total</v>
          </cell>
          <cell r="R458">
            <v>-78492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R459">
            <v>6602753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R460">
            <v>-503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R461">
            <v>7017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R462">
            <v>-2058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R463">
            <v>764592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R464">
            <v>-221558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R465">
            <v>25875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R466">
            <v>-7310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R467">
            <v>4263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R468">
            <v>2382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R469">
            <v>186974</v>
          </cell>
        </row>
        <row r="470">
          <cell r="A470" t="str">
            <v>P48 Total</v>
          </cell>
          <cell r="R470">
            <v>7362427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R471">
            <v>-1900000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R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R473">
            <v>79392</v>
          </cell>
        </row>
        <row r="474">
          <cell r="A474" t="str">
            <v>P49 Total</v>
          </cell>
          <cell r="R474">
            <v>-1820608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R475">
            <v>-655786</v>
          </cell>
        </row>
        <row r="476">
          <cell r="A476" t="str">
            <v>P52 Total</v>
          </cell>
          <cell r="R476">
            <v>-655786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R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R478">
            <v>-14334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R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R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R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R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R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R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R485">
            <v>0</v>
          </cell>
        </row>
        <row r="486">
          <cell r="A486" t="str">
            <v>P53 Total</v>
          </cell>
          <cell r="R486">
            <v>-14334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</row>
        <row r="488">
          <cell r="A488" t="str">
            <v>P55 Total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zoomScale="80" zoomScaleNormal="80" zoomScaleSheetLayoutView="100" workbookViewId="0">
      <selection activeCell="I2" sqref="I2"/>
    </sheetView>
  </sheetViews>
  <sheetFormatPr defaultColWidth="9.109375" defaultRowHeight="14.4" x14ac:dyDescent="0.3"/>
  <cols>
    <col min="1" max="1" width="57.44140625" style="1" bestFit="1" customWidth="1"/>
    <col min="2" max="2" width="29" style="2" customWidth="1"/>
    <col min="3" max="3" width="12.109375" style="1" bestFit="1" customWidth="1"/>
    <col min="4" max="4" width="1.6640625" style="1" customWidth="1"/>
    <col min="5" max="5" width="33.109375" style="1" bestFit="1" customWidth="1"/>
    <col min="6" max="6" width="1.6640625" style="1" customWidth="1"/>
    <col min="7" max="7" width="12" style="1" customWidth="1"/>
    <col min="8" max="8" width="1.6640625" style="1" customWidth="1"/>
    <col min="9" max="9" width="14.6640625" style="1" bestFit="1" customWidth="1"/>
    <col min="10" max="10" width="10.88671875" style="1" customWidth="1"/>
    <col min="11" max="11" width="9.109375" style="1"/>
    <col min="12" max="12" width="38.5546875" style="1" customWidth="1"/>
    <col min="13" max="13" width="10" style="1" bestFit="1" customWidth="1"/>
    <col min="14" max="14" width="18.44140625" style="1" bestFit="1" customWidth="1"/>
    <col min="15" max="15" width="6.6640625" style="1" bestFit="1" customWidth="1"/>
    <col min="16" max="27" width="12.33203125" style="1" bestFit="1" customWidth="1"/>
    <col min="28" max="28" width="15.109375" style="1" bestFit="1" customWidth="1"/>
    <col min="29" max="16384" width="9.109375" style="1"/>
  </cols>
  <sheetData>
    <row r="1" spans="1:28" x14ac:dyDescent="0.3">
      <c r="A1" s="1" t="str">
        <f>'[8]Rate Case Constants'!$C$9</f>
        <v>Kentucky American Water Company</v>
      </c>
    </row>
    <row r="2" spans="1:28" x14ac:dyDescent="0.3">
      <c r="A2" s="1" t="str">
        <f>'[8]Rate Case Constants'!$C$10</f>
        <v>KENTUCKY AMERICAN WATER COMPANY</v>
      </c>
    </row>
    <row r="3" spans="1:28" x14ac:dyDescent="0.3">
      <c r="A3" s="1" t="str">
        <f>'[8]Rate Case Constants'!$C$11</f>
        <v>Case No. 2018-00358</v>
      </c>
    </row>
    <row r="4" spans="1:28" x14ac:dyDescent="0.3">
      <c r="A4" s="3">
        <f>'[8]Rate Case Constants'!$C$12</f>
        <v>43524</v>
      </c>
      <c r="B4" s="4"/>
    </row>
    <row r="5" spans="1:28" x14ac:dyDescent="0.3">
      <c r="A5" s="5" t="str">
        <f>'[8]Rate Case Constants'!$C$13</f>
        <v>June 30, 2020</v>
      </c>
      <c r="B5" s="6"/>
    </row>
    <row r="6" spans="1:28" x14ac:dyDescent="0.3">
      <c r="A6" s="5" t="str">
        <f>'[8]Rate Case Constants'!$C$14</f>
        <v>For the 12 Months Ending June 30, 2020</v>
      </c>
      <c r="B6" s="6"/>
    </row>
    <row r="7" spans="1:28" x14ac:dyDescent="0.3">
      <c r="A7" s="1" t="str">
        <f>'[8]Rate Case Constants'!$C$15</f>
        <v>Base Year for the 12 Months Ended February 28, 2019</v>
      </c>
      <c r="B7" s="1" t="str">
        <f>'[8]Rate Case Constants'!$D$15</f>
        <v>Base Year at 2/28/19</v>
      </c>
      <c r="C7" s="1" t="str">
        <f>'[8]Rate Case Constants'!$E$15</f>
        <v>Base Year for the 12 Months Ended 2/28/19</v>
      </c>
    </row>
    <row r="8" spans="1:28" x14ac:dyDescent="0.3">
      <c r="A8" s="1" t="str">
        <f>'[8]Rate Case Constants'!$C$16</f>
        <v>Base Year Adjustment</v>
      </c>
      <c r="C8" s="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3">
      <c r="A9" s="1" t="str">
        <f>'[8]Rate Case Constants'!$C$17</f>
        <v>Forecast Year for the 12 Months Ended June 30, 2020</v>
      </c>
      <c r="B9" s="1" t="str">
        <f>'[8]Rate Case Constants'!$D$17</f>
        <v>Forecast Year at 6/30/2020</v>
      </c>
      <c r="C9" s="1" t="str">
        <f>'[8]Rate Case Constants'!$E$17</f>
        <v>Forecasted Year at Present Rates</v>
      </c>
      <c r="G9" s="1" t="str">
        <f>'[8]Rate Case Constants'!$F$17</f>
        <v>Allocated Forecast Year at 6/30/2020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x14ac:dyDescent="0.3">
      <c r="A10" s="1" t="str">
        <f>'[8]Rate Case Constants'!$C$18</f>
        <v>Attrition Year Adjustment at Present Rates: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x14ac:dyDescent="0.3">
      <c r="A11" s="7" t="str">
        <f>'[8]Rate Case Constants'!$C$19</f>
        <v>Attrition Year at Present Rates</v>
      </c>
      <c r="B11" s="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x14ac:dyDescent="0.3">
      <c r="A12" s="7" t="str">
        <f>'[8]Rate Case Constants'!$C$20</f>
        <v>Adjustments for Proposed Rates:</v>
      </c>
      <c r="B12" s="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x14ac:dyDescent="0.3">
      <c r="A13" s="7" t="str">
        <f>'[8]Rate Case Constants'!$C$21</f>
        <v>Attrition Year at Proposed Rates</v>
      </c>
      <c r="B13" s="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x14ac:dyDescent="0.3"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x14ac:dyDescent="0.3">
      <c r="A15" s="9" t="str">
        <f>'[8]Rate Case Constants'!$C$24</f>
        <v>Type of Filing: __X__ Original  _____ Updated  _____ Revised</v>
      </c>
      <c r="B15" s="1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x14ac:dyDescent="0.3">
      <c r="A16" s="9" t="str">
        <f>'[8]Rate Case Constants'!$C$25</f>
        <v>Type of Filing: _____ Original  __X__ Updated  _____ Revised</v>
      </c>
      <c r="B16" s="10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x14ac:dyDescent="0.3">
      <c r="A17" s="9" t="str">
        <f>'[8]Rate Case Constants'!$C$26</f>
        <v>Type of Filing: _____ Original  _____ Updated  __X__ Revised</v>
      </c>
      <c r="B17" s="1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3"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2" customFormat="1" x14ac:dyDescent="0.3">
      <c r="A19" s="10" t="str">
        <f>'[8]Rate Case Constants'!$A$30</f>
        <v>Witness Responsible:</v>
      </c>
      <c r="B19" s="10"/>
    </row>
    <row r="20" spans="1:28" s="2" customFormat="1" x14ac:dyDescent="0.3">
      <c r="A20" s="2" t="str">
        <f>'[8]Rate Case Constants'!$C$39</f>
        <v>Witness Responsible:   Melissa Schwarzell</v>
      </c>
    </row>
    <row r="21" spans="1:28" s="2" customFormat="1" x14ac:dyDescent="0.3"/>
    <row r="22" spans="1:28" s="2" customFormat="1" x14ac:dyDescent="0.3">
      <c r="A22" s="11" t="str">
        <f>'[8]Link Out WP'!$D$51</f>
        <v>Support Services</v>
      </c>
      <c r="B22" s="11"/>
    </row>
    <row r="23" spans="1:28" s="2" customFormat="1" x14ac:dyDescent="0.3">
      <c r="A23" s="11" t="str">
        <f>CONCATENATE(A8, " ", A22)</f>
        <v>Base Year Adjustment Support Services</v>
      </c>
      <c r="B23" s="11"/>
    </row>
    <row r="24" spans="1:28" s="2" customFormat="1" x14ac:dyDescent="0.3">
      <c r="A24" s="11"/>
      <c r="B24" s="11"/>
    </row>
    <row r="25" spans="1:28" s="2" customFormat="1" x14ac:dyDescent="0.3">
      <c r="A25" s="11" t="str">
        <f>'[8]Link Out WP'!$F$51</f>
        <v>W/P - 3-7</v>
      </c>
      <c r="B25" s="11"/>
    </row>
    <row r="26" spans="1:28" s="2" customFormat="1" x14ac:dyDescent="0.3">
      <c r="A26" s="11" t="str">
        <f>'[8]Link Out Filing Exhibits'!$M$80</f>
        <v>Schedule D-2.3</v>
      </c>
      <c r="B26" s="11"/>
    </row>
    <row r="27" spans="1:28" s="2" customFormat="1" x14ac:dyDescent="0.3">
      <c r="A27" s="168"/>
      <c r="B27" s="11"/>
    </row>
    <row r="28" spans="1:28" s="2" customFormat="1" x14ac:dyDescent="0.3">
      <c r="A28" s="11" t="s">
        <v>0</v>
      </c>
      <c r="B28" s="11"/>
      <c r="K28" s="11" t="s">
        <v>1</v>
      </c>
      <c r="P28" s="2" t="s">
        <v>203</v>
      </c>
      <c r="R28" s="2" t="s">
        <v>203</v>
      </c>
      <c r="T28" s="169">
        <v>0</v>
      </c>
    </row>
    <row r="29" spans="1:28" s="2" customFormat="1" x14ac:dyDescent="0.3">
      <c r="A29" s="170" t="s">
        <v>2</v>
      </c>
      <c r="B29" s="170" t="s">
        <v>3</v>
      </c>
      <c r="C29" s="170" t="s">
        <v>4</v>
      </c>
      <c r="D29" s="171"/>
      <c r="E29" s="172" t="s">
        <v>5</v>
      </c>
      <c r="F29" s="171"/>
      <c r="G29" s="172" t="s">
        <v>6</v>
      </c>
      <c r="H29" s="171"/>
      <c r="I29" s="172" t="s">
        <v>7</v>
      </c>
      <c r="J29" s="171"/>
      <c r="K29" s="170" t="s">
        <v>8</v>
      </c>
      <c r="L29" s="170" t="s">
        <v>3</v>
      </c>
      <c r="M29" s="170" t="s">
        <v>4</v>
      </c>
      <c r="N29" s="170" t="s">
        <v>5</v>
      </c>
      <c r="O29" s="172" t="s">
        <v>6</v>
      </c>
      <c r="P29" s="173">
        <v>43647</v>
      </c>
      <c r="Q29" s="173">
        <v>43678</v>
      </c>
      <c r="R29" s="173">
        <v>43709</v>
      </c>
      <c r="S29" s="173">
        <v>43739</v>
      </c>
      <c r="T29" s="173">
        <v>43770</v>
      </c>
      <c r="U29" s="173">
        <v>43800</v>
      </c>
      <c r="V29" s="173">
        <v>43831</v>
      </c>
      <c r="W29" s="173">
        <v>43862</v>
      </c>
      <c r="X29" s="173">
        <v>43891</v>
      </c>
      <c r="Y29" s="173">
        <v>43922</v>
      </c>
      <c r="Z29" s="173">
        <v>43952</v>
      </c>
      <c r="AA29" s="173">
        <v>43983</v>
      </c>
      <c r="AB29" s="170" t="s">
        <v>9</v>
      </c>
    </row>
    <row r="30" spans="1:28" s="2" customFormat="1" x14ac:dyDescent="0.3"/>
    <row r="31" spans="1:28" s="2" customFormat="1" x14ac:dyDescent="0.3">
      <c r="A31" s="2" t="str">
        <f>IFERROR(INDEX('[8]Link Out Monthly BY'!$A$6:$A$491,MATCH($C31,'[8]Link Out Monthly BY'!$C$6:$C$491,0),1),"")</f>
        <v>P22</v>
      </c>
      <c r="B31" s="2" t="str">
        <f>IFERROR(INDEX('[8]Link Out Monthly BY'!$B$6:$B$491,MATCH($C31,'[8]Link Out Monthly BY'!$C$6:$C$491,0),1),"")</f>
        <v>Service Company Costs</v>
      </c>
      <c r="C31" s="2">
        <v>53401000</v>
      </c>
      <c r="E31" s="2" t="str">
        <f>IFERROR(INDEX('[8]Link Out Monthly BY'!$D$6:$D$491,MATCH($C31,'[8]Link Out Monthly BY'!$C$6:$C$491,0),1),"")</f>
        <v>AWWSC Labor OPEX</v>
      </c>
      <c r="G31" s="2" t="str">
        <f>IFERROR(INDEX('[8]Link Out Monthly BY'!$E$6:$E$491,MATCH($C31,'[8]Link Out Monthly BY'!$C$6:$C$491,0),1),"")</f>
        <v>634.8</v>
      </c>
      <c r="I31" s="169">
        <f>IFERROR(INDEX('[8]Link Out Monthly BY'!$R$6:$R$486,MATCH($C31,'[8]Link Out Monthly BY'!$C$6:$C$486,0),1),0)</f>
        <v>4778427</v>
      </c>
      <c r="K31" s="2" t="str">
        <f>IFERROR(INDEX('[8]Link Out Forecast'!$A$6:$A$250,MATCH($M31,'[8]Link Out Forecast'!$C$6:$C$250,0),1),"")</f>
        <v>P22</v>
      </c>
      <c r="L31" s="2" t="str">
        <f>IFERROR(INDEX('[8]Link Out Forecast'!$B$6:$B$250,MATCH($M31,'[8]Link Out Forecast'!$C$6:$C$250,0),1),"")</f>
        <v>Service Company Costs</v>
      </c>
      <c r="M31" s="2">
        <v>53401000</v>
      </c>
      <c r="N31" s="2" t="str">
        <f>IFERROR(INDEX('[8]Link Out Forecast'!$D$6:$D$250,MATCH($M31,'[8]Link Out Forecast'!$C$6:$C$250,0),1),"")</f>
        <v>AWWSC Labor OPEX</v>
      </c>
      <c r="O31" s="2" t="str">
        <f>IFERROR(INDEX('[8]Link Out Forecast'!$E$6:$E$250,MATCH($M31,'[8]Link Out Forecast'!$C$6:$C$250,0),1),"")</f>
        <v>634.8</v>
      </c>
      <c r="P31" s="169">
        <f>IFERROR(INDEX('[8]Link Out Forecast'!$F$6:$F$250,MATCH($M31,'[8]Link Out Forecast'!$C$6:$C$250,0),1),"")</f>
        <v>408888</v>
      </c>
      <c r="Q31" s="169">
        <f>IFERROR(INDEX('[8]Link Out Forecast'!$G$6:$G$250,MATCH($M31,'[8]Link Out Forecast'!$C$6:$C$250,0),1),"")</f>
        <v>391075</v>
      </c>
      <c r="R31" s="169">
        <f>IFERROR(INDEX('[8]Link Out Forecast'!$H$6:$H$250,MATCH($M31,'[8]Link Out Forecast'!$C$6:$C$250,0),1),"")</f>
        <v>490711</v>
      </c>
      <c r="S31" s="169">
        <f>IFERROR(INDEX('[8]Link Out Forecast'!$I$6:$I$250,MATCH($M31,'[8]Link Out Forecast'!$C$6:$C$250,0),1),"")</f>
        <v>409328</v>
      </c>
      <c r="T31" s="169">
        <f>IFERROR(INDEX('[8]Link Out Forecast'!$J$6:$J$250,MATCH($M31,'[8]Link Out Forecast'!$C$6:$C$250,0),1),"")</f>
        <v>374271</v>
      </c>
      <c r="U31" s="169">
        <f>IFERROR(INDEX('[8]Link Out Forecast'!$K$6:$K$250,MATCH($M31,'[8]Link Out Forecast'!$C$6:$C$250,0),1),"")</f>
        <v>509626</v>
      </c>
      <c r="V31" s="169">
        <f>IFERROR(INDEX('[8]Link Out Forecast'!$L$6:$L$250,MATCH($M31,'[8]Link Out Forecast'!$C$6:$C$250,0),1),"")</f>
        <v>0</v>
      </c>
      <c r="W31" s="169">
        <f>IFERROR(INDEX('[8]Link Out Forecast'!$M$6:$M$250,MATCH($M31,'[8]Link Out Forecast'!$C$6:$C$250,0),1),"")</f>
        <v>0</v>
      </c>
      <c r="X31" s="169">
        <f>IFERROR(INDEX('[8]Link Out Forecast'!$N$6:$N$250,MATCH($M31,'[8]Link Out Forecast'!$C$6:$C$250,0),1),"")</f>
        <v>0</v>
      </c>
      <c r="Y31" s="169">
        <f>IFERROR(INDEX('[8]Link Out Forecast'!$O$6:$O$250,MATCH($M31,'[8]Link Out Forecast'!$C$6:$C$250,0),1),"")</f>
        <v>0</v>
      </c>
      <c r="Z31" s="169">
        <f>IFERROR(INDEX('[8]Link Out Forecast'!$P$6:$P$250,MATCH($M31,'[8]Link Out Forecast'!$C$6:$C$250,0),1),"")</f>
        <v>0</v>
      </c>
      <c r="AA31" s="169">
        <f>IFERROR(INDEX('[8]Link Out Forecast'!$Q$6:$Q$250,MATCH($M31,'[8]Link Out Forecast'!$C$6:$C$250,0),1),"")</f>
        <v>0</v>
      </c>
      <c r="AB31" s="169">
        <f>IFERROR(INDEX('[8]Link Out Forecast'!$R$6:$R$250,MATCH($M31,'[8]Link Out Forecast'!$C$6:$C$250,0),1),"")</f>
        <v>2583899</v>
      </c>
    </row>
    <row r="32" spans="1:28" s="2" customFormat="1" x14ac:dyDescent="0.3">
      <c r="A32" s="2" t="str">
        <f>IFERROR(INDEX('[8]Link Out Monthly BY'!$A$6:$A$491,MATCH($C32,'[8]Link Out Monthly BY'!$C$6:$C$491,0),1),"")</f>
        <v>P22</v>
      </c>
      <c r="B32" s="2" t="str">
        <f>IFERROR(INDEX('[8]Link Out Monthly BY'!$B$6:$B$491,MATCH($C32,'[8]Link Out Monthly BY'!$C$6:$C$491,0),1),"")</f>
        <v>Service Company Costs</v>
      </c>
      <c r="C32" s="2">
        <v>53401100</v>
      </c>
      <c r="E32" s="2" t="str">
        <f>IFERROR(INDEX('[8]Link Out Monthly BY'!$D$6:$D$491,MATCH($C32,'[8]Link Out Monthly BY'!$C$6:$C$491,0),1),"")</f>
        <v>AWWSC Pension OPEX</v>
      </c>
      <c r="G32" s="2" t="str">
        <f>IFERROR(INDEX('[8]Link Out Monthly BY'!$E$6:$E$486,MATCH($C32,'[8]Link Out Monthly BY'!$C$6:$C$486,0),1),"")</f>
        <v>634.8</v>
      </c>
      <c r="I32" s="169">
        <f>IFERROR(INDEX('[8]Link Out Monthly BY'!$R$6:$R$486,MATCH($C32,'[8]Link Out Monthly BY'!$C$6:$C$486,0),1),0)</f>
        <v>299355</v>
      </c>
      <c r="K32" s="2" t="str">
        <f>IFERROR(INDEX('[8]Link Out Forecast'!$A$6:$A$250,MATCH($M32,'[8]Link Out Forecast'!$C$6:$C$250,0),1),"")</f>
        <v>P22</v>
      </c>
      <c r="L32" s="2" t="str">
        <f>IFERROR(INDEX('[8]Link Out Forecast'!$B$6:$B$250,MATCH($M32,'[8]Link Out Forecast'!$C$6:$C$250,0),1),"")</f>
        <v>Service Company Costs</v>
      </c>
      <c r="M32" s="2">
        <v>53401100</v>
      </c>
      <c r="N32" s="2" t="str">
        <f>IFERROR(INDEX('[8]Link Out Forecast'!$D$6:$D$250,MATCH($M32,'[8]Link Out Forecast'!$C$6:$C$250,0),1),"")</f>
        <v>AWWSC Pension OPEX</v>
      </c>
      <c r="O32" s="2" t="str">
        <f>IFERROR(INDEX('[8]Link Out Forecast'!$E$6:$E$250,MATCH($M32,'[8]Link Out Forecast'!$C$6:$C$250,0),1),"")</f>
        <v>634.8</v>
      </c>
      <c r="P32" s="169">
        <f>IFERROR(INDEX('[8]Link Out Forecast'!$F$6:$F$250,MATCH($M32,'[8]Link Out Forecast'!$C$6:$C$250,0),1),"")</f>
        <v>20040</v>
      </c>
      <c r="Q32" s="169">
        <f>IFERROR(INDEX('[8]Link Out Forecast'!$G$6:$G$250,MATCH($M32,'[8]Link Out Forecast'!$C$6:$C$250,0),1),"")</f>
        <v>20040</v>
      </c>
      <c r="R32" s="169">
        <f>IFERROR(INDEX('[8]Link Out Forecast'!$H$6:$H$250,MATCH($M32,'[8]Link Out Forecast'!$C$6:$C$250,0),1),"")</f>
        <v>20053</v>
      </c>
      <c r="S32" s="169">
        <f>IFERROR(INDEX('[8]Link Out Forecast'!$I$6:$I$250,MATCH($M32,'[8]Link Out Forecast'!$C$6:$C$250,0),1),"")</f>
        <v>20053</v>
      </c>
      <c r="T32" s="169">
        <f>IFERROR(INDEX('[8]Link Out Forecast'!$J$6:$J$250,MATCH($M32,'[8]Link Out Forecast'!$C$6:$C$250,0),1),"")</f>
        <v>20053</v>
      </c>
      <c r="U32" s="169">
        <f>IFERROR(INDEX('[8]Link Out Forecast'!$K$6:$K$250,MATCH($M32,'[8]Link Out Forecast'!$C$6:$C$250,0),1),"")</f>
        <v>20053</v>
      </c>
      <c r="V32" s="169">
        <f>IFERROR(INDEX('[8]Link Out Forecast'!$L$6:$L$250,MATCH($M32,'[8]Link Out Forecast'!$C$6:$C$250,0),1),"")</f>
        <v>0</v>
      </c>
      <c r="W32" s="169">
        <f>IFERROR(INDEX('[8]Link Out Forecast'!$M$6:$M$250,MATCH($M32,'[8]Link Out Forecast'!$C$6:$C$250,0),1),"")</f>
        <v>0</v>
      </c>
      <c r="X32" s="169">
        <f>IFERROR(INDEX('[8]Link Out Forecast'!$N$6:$N$250,MATCH($M32,'[8]Link Out Forecast'!$C$6:$C$250,0),1),"")</f>
        <v>0</v>
      </c>
      <c r="Y32" s="169">
        <f>IFERROR(INDEX('[8]Link Out Forecast'!$O$6:$O$250,MATCH($M32,'[8]Link Out Forecast'!$C$6:$C$250,0),1),"")</f>
        <v>0</v>
      </c>
      <c r="Z32" s="169">
        <f>IFERROR(INDEX('[8]Link Out Forecast'!$P$6:$P$250,MATCH($M32,'[8]Link Out Forecast'!$C$6:$C$250,0),1),"")</f>
        <v>0</v>
      </c>
      <c r="AA32" s="169">
        <f>IFERROR(INDEX('[8]Link Out Forecast'!$Q$6:$Q$250,MATCH($M32,'[8]Link Out Forecast'!$C$6:$C$250,0),1),"")</f>
        <v>0</v>
      </c>
      <c r="AB32" s="169">
        <f>IFERROR(INDEX('[8]Link Out Forecast'!$R$6:$R$250,MATCH($M32,'[8]Link Out Forecast'!$C$6:$C$250,0),1),"")</f>
        <v>120292</v>
      </c>
    </row>
    <row r="33" spans="1:28" s="2" customFormat="1" x14ac:dyDescent="0.3">
      <c r="A33" s="2" t="str">
        <f>IFERROR(INDEX('[8]Link Out Monthly BY'!$A$6:$A$491,MATCH($C33,'[8]Link Out Monthly BY'!$C$6:$C$491,0),1),"")</f>
        <v>P22</v>
      </c>
      <c r="B33" s="2" t="str">
        <f>IFERROR(INDEX('[8]Link Out Monthly BY'!$B$6:$B$491,MATCH($C33,'[8]Link Out Monthly BY'!$C$6:$C$491,0),1),"")</f>
        <v>Service Company Costs</v>
      </c>
      <c r="C33" s="2">
        <v>53401200</v>
      </c>
      <c r="E33" s="2" t="str">
        <f>IFERROR(INDEX('[8]Link Out Monthly BY'!$D$6:$D$491,MATCH($C33,'[8]Link Out Monthly BY'!$C$6:$C$491,0),1),"")</f>
        <v>AWWSC Group Ins OPEX</v>
      </c>
      <c r="G33" s="2" t="str">
        <f>IFERROR(INDEX('[8]Link Out Monthly BY'!$E$6:$E$486,MATCH($C33,'[8]Link Out Monthly BY'!$C$6:$C$486,0),1),"")</f>
        <v>634.8</v>
      </c>
      <c r="I33" s="169">
        <f>IFERROR(INDEX('[8]Link Out Monthly BY'!$R$6:$R$486,MATCH($C33,'[8]Link Out Monthly BY'!$C$6:$C$486,0),1),0)</f>
        <v>579947</v>
      </c>
      <c r="K33" s="2" t="str">
        <f>IFERROR(INDEX('[8]Link Out Forecast'!$A$6:$A$250,MATCH($M33,'[8]Link Out Forecast'!$C$6:$C$250,0),1),"")</f>
        <v>P22</v>
      </c>
      <c r="L33" s="2" t="str">
        <f>IFERROR(INDEX('[8]Link Out Forecast'!$B$6:$B$250,MATCH($M33,'[8]Link Out Forecast'!$C$6:$C$250,0),1),"")</f>
        <v>Service Company Costs</v>
      </c>
      <c r="M33" s="2">
        <v>53401200</v>
      </c>
      <c r="N33" s="2" t="str">
        <f>IFERROR(INDEX('[8]Link Out Forecast'!$D$6:$D$250,MATCH($M33,'[8]Link Out Forecast'!$C$6:$C$250,0),1),"")</f>
        <v>AWWSC Group Ins OPEX</v>
      </c>
      <c r="O33" s="2" t="str">
        <f>IFERROR(INDEX('[8]Link Out Forecast'!$E$6:$E$250,MATCH($M33,'[8]Link Out Forecast'!$C$6:$C$250,0),1),"")</f>
        <v>634.8</v>
      </c>
      <c r="P33" s="169">
        <f>IFERROR(INDEX('[8]Link Out Forecast'!$F$6:$F$250,MATCH($M33,'[8]Link Out Forecast'!$C$6:$C$250,0),1),"")</f>
        <v>53784</v>
      </c>
      <c r="Q33" s="169">
        <f>IFERROR(INDEX('[8]Link Out Forecast'!$G$6:$G$250,MATCH($M33,'[8]Link Out Forecast'!$C$6:$C$250,0),1),"")</f>
        <v>53785</v>
      </c>
      <c r="R33" s="169">
        <f>IFERROR(INDEX('[8]Link Out Forecast'!$H$6:$H$250,MATCH($M33,'[8]Link Out Forecast'!$C$6:$C$250,0),1),"")</f>
        <v>53805</v>
      </c>
      <c r="S33" s="169">
        <f>IFERROR(INDEX('[8]Link Out Forecast'!$I$6:$I$250,MATCH($M33,'[8]Link Out Forecast'!$C$6:$C$250,0),1),"")</f>
        <v>53807</v>
      </c>
      <c r="T33" s="169">
        <f>IFERROR(INDEX('[8]Link Out Forecast'!$J$6:$J$250,MATCH($M33,'[8]Link Out Forecast'!$C$6:$C$250,0),1),"")</f>
        <v>53808</v>
      </c>
      <c r="U33" s="169">
        <f>IFERROR(INDEX('[8]Link Out Forecast'!$K$6:$K$250,MATCH($M33,'[8]Link Out Forecast'!$C$6:$C$250,0),1),"")</f>
        <v>53810</v>
      </c>
      <c r="V33" s="169">
        <f>IFERROR(INDEX('[8]Link Out Forecast'!$L$6:$L$250,MATCH($M33,'[8]Link Out Forecast'!$C$6:$C$250,0),1),"")</f>
        <v>0</v>
      </c>
      <c r="W33" s="169">
        <f>IFERROR(INDEX('[8]Link Out Forecast'!$M$6:$M$250,MATCH($M33,'[8]Link Out Forecast'!$C$6:$C$250,0),1),"")</f>
        <v>0</v>
      </c>
      <c r="X33" s="169">
        <f>IFERROR(INDEX('[8]Link Out Forecast'!$N$6:$N$250,MATCH($M33,'[8]Link Out Forecast'!$C$6:$C$250,0),1),"")</f>
        <v>0</v>
      </c>
      <c r="Y33" s="169">
        <f>IFERROR(INDEX('[8]Link Out Forecast'!$O$6:$O$250,MATCH($M33,'[8]Link Out Forecast'!$C$6:$C$250,0),1),"")</f>
        <v>0</v>
      </c>
      <c r="Z33" s="169">
        <f>IFERROR(INDEX('[8]Link Out Forecast'!$P$6:$P$250,MATCH($M33,'[8]Link Out Forecast'!$C$6:$C$250,0),1),"")</f>
        <v>0</v>
      </c>
      <c r="AA33" s="169">
        <f>IFERROR(INDEX('[8]Link Out Forecast'!$Q$6:$Q$250,MATCH($M33,'[8]Link Out Forecast'!$C$6:$C$250,0),1),"")</f>
        <v>0</v>
      </c>
      <c r="AB33" s="169">
        <f>IFERROR(INDEX('[8]Link Out Forecast'!$R$6:$R$250,MATCH($M33,'[8]Link Out Forecast'!$C$6:$C$250,0),1),"")</f>
        <v>322799</v>
      </c>
    </row>
    <row r="34" spans="1:28" s="2" customFormat="1" x14ac:dyDescent="0.3">
      <c r="A34" s="2" t="str">
        <f>IFERROR(INDEX('[8]Link Out Monthly BY'!$A$6:$A$491,MATCH($C34,'[8]Link Out Monthly BY'!$C$6:$C$491,0),1),"")</f>
        <v>P22</v>
      </c>
      <c r="B34" s="2" t="str">
        <f>IFERROR(INDEX('[8]Link Out Monthly BY'!$B$6:$B$491,MATCH($C34,'[8]Link Out Monthly BY'!$C$6:$C$491,0),1),"")</f>
        <v>Service Company Costs</v>
      </c>
      <c r="C34" s="2">
        <v>53401300</v>
      </c>
      <c r="E34" s="2" t="str">
        <f>IFERROR(INDEX('[8]Link Out Monthly BY'!$D$6:$D$491,MATCH($C34,'[8]Link Out Monthly BY'!$C$6:$C$491,0),1),"")</f>
        <v>AWWSC Other Ben OPEX</v>
      </c>
      <c r="G34" s="2" t="str">
        <f>IFERROR(INDEX('[8]Link Out Monthly BY'!$E$6:$E$486,MATCH($C34,'[8]Link Out Monthly BY'!$C$6:$C$486,0),1),"")</f>
        <v>634.8</v>
      </c>
      <c r="I34" s="169">
        <f>IFERROR(INDEX('[8]Link Out Monthly BY'!$R$6:$R$486,MATCH($C34,'[8]Link Out Monthly BY'!$C$6:$C$486,0),1),0)</f>
        <v>392082</v>
      </c>
      <c r="K34" s="2" t="str">
        <f>IFERROR(INDEX('[8]Link Out Forecast'!$A$6:$A$250,MATCH($M34,'[8]Link Out Forecast'!$C$6:$C$250,0),1),"")</f>
        <v>P22</v>
      </c>
      <c r="L34" s="2" t="str">
        <f>IFERROR(INDEX('[8]Link Out Forecast'!$B$6:$B$250,MATCH($M34,'[8]Link Out Forecast'!$C$6:$C$250,0),1),"")</f>
        <v>Service Company Costs</v>
      </c>
      <c r="M34" s="2">
        <v>53401300</v>
      </c>
      <c r="N34" s="2" t="str">
        <f>IFERROR(INDEX('[8]Link Out Forecast'!$D$6:$D$250,MATCH($M34,'[8]Link Out Forecast'!$C$6:$C$250,0),1),"")</f>
        <v>AWWSC Other Ben OPEX</v>
      </c>
      <c r="O34" s="2" t="str">
        <f>IFERROR(INDEX('[8]Link Out Forecast'!$E$6:$E$250,MATCH($M34,'[8]Link Out Forecast'!$C$6:$C$250,0),1),"")</f>
        <v>634.8</v>
      </c>
      <c r="P34" s="169">
        <f>IFERROR(INDEX('[8]Link Out Forecast'!$F$6:$F$250,MATCH($M34,'[8]Link Out Forecast'!$C$6:$C$250,0),1),"")</f>
        <v>37937</v>
      </c>
      <c r="Q34" s="169">
        <f>IFERROR(INDEX('[8]Link Out Forecast'!$G$6:$G$250,MATCH($M34,'[8]Link Out Forecast'!$C$6:$C$250,0),1),"")</f>
        <v>37241</v>
      </c>
      <c r="R34" s="169">
        <f>IFERROR(INDEX('[8]Link Out Forecast'!$H$6:$H$250,MATCH($M34,'[8]Link Out Forecast'!$C$6:$C$250,0),1),"")</f>
        <v>36825</v>
      </c>
      <c r="S34" s="169">
        <f>IFERROR(INDEX('[8]Link Out Forecast'!$I$6:$I$250,MATCH($M34,'[8]Link Out Forecast'!$C$6:$C$250,0),1),"")</f>
        <v>39728</v>
      </c>
      <c r="T34" s="169">
        <f>IFERROR(INDEX('[8]Link Out Forecast'!$J$6:$J$250,MATCH($M34,'[8]Link Out Forecast'!$C$6:$C$250,0),1),"")</f>
        <v>35516</v>
      </c>
      <c r="U34" s="169">
        <f>IFERROR(INDEX('[8]Link Out Forecast'!$K$6:$K$250,MATCH($M34,'[8]Link Out Forecast'!$C$6:$C$250,0),1),"")</f>
        <v>37616</v>
      </c>
      <c r="V34" s="169">
        <f>IFERROR(INDEX('[8]Link Out Forecast'!$L$6:$L$250,MATCH($M34,'[8]Link Out Forecast'!$C$6:$C$250,0),1),"")</f>
        <v>0</v>
      </c>
      <c r="W34" s="169">
        <f>IFERROR(INDEX('[8]Link Out Forecast'!$M$6:$M$250,MATCH($M34,'[8]Link Out Forecast'!$C$6:$C$250,0),1),"")</f>
        <v>0</v>
      </c>
      <c r="X34" s="169">
        <f>IFERROR(INDEX('[8]Link Out Forecast'!$N$6:$N$250,MATCH($M34,'[8]Link Out Forecast'!$C$6:$C$250,0),1),"")</f>
        <v>0</v>
      </c>
      <c r="Y34" s="169">
        <f>IFERROR(INDEX('[8]Link Out Forecast'!$O$6:$O$250,MATCH($M34,'[8]Link Out Forecast'!$C$6:$C$250,0),1),"")</f>
        <v>0</v>
      </c>
      <c r="Z34" s="169">
        <f>IFERROR(INDEX('[8]Link Out Forecast'!$P$6:$P$250,MATCH($M34,'[8]Link Out Forecast'!$C$6:$C$250,0),1),"")</f>
        <v>0</v>
      </c>
      <c r="AA34" s="169">
        <f>IFERROR(INDEX('[8]Link Out Forecast'!$Q$6:$Q$250,MATCH($M34,'[8]Link Out Forecast'!$C$6:$C$250,0),1),"")</f>
        <v>0</v>
      </c>
      <c r="AB34" s="169">
        <f>IFERROR(INDEX('[8]Link Out Forecast'!$R$6:$R$250,MATCH($M34,'[8]Link Out Forecast'!$C$6:$C$250,0),1),"")</f>
        <v>224863</v>
      </c>
    </row>
    <row r="35" spans="1:28" s="2" customFormat="1" x14ac:dyDescent="0.3">
      <c r="A35" s="2" t="str">
        <f>IFERROR(INDEX('[8]Link Out Monthly BY'!$A$6:$A$491,MATCH($C35,'[8]Link Out Monthly BY'!$C$6:$C$491,0),1),"")</f>
        <v>P22</v>
      </c>
      <c r="B35" s="2" t="str">
        <f>IFERROR(INDEX('[8]Link Out Monthly BY'!$B$6:$B$491,MATCH($C35,'[8]Link Out Monthly BY'!$C$6:$C$491,0),1),"")</f>
        <v>Service Company Costs</v>
      </c>
      <c r="C35" s="2">
        <v>53401400</v>
      </c>
      <c r="E35" s="2" t="str">
        <f>IFERROR(INDEX('[8]Link Out Monthly BY'!$D$6:$D$491,MATCH($C35,'[8]Link Out Monthly BY'!$C$6:$C$491,0),1),"")</f>
        <v>AWWSC Cont Svcs OPEX</v>
      </c>
      <c r="G35" s="2" t="str">
        <f>IFERROR(INDEX('[8]Link Out Monthly BY'!$E$6:$E$486,MATCH($C35,'[8]Link Out Monthly BY'!$C$6:$C$486,0),1),"")</f>
        <v>634.8</v>
      </c>
      <c r="I35" s="169">
        <f>IFERROR(INDEX('[8]Link Out Monthly BY'!$R$6:$R$486,MATCH($C35,'[8]Link Out Monthly BY'!$C$6:$C$486,0),1),0)</f>
        <v>698172</v>
      </c>
      <c r="K35" s="2" t="str">
        <f>IFERROR(INDEX('[8]Link Out Forecast'!$A$6:$A$250,MATCH($M35,'[8]Link Out Forecast'!$C$6:$C$250,0),1),"")</f>
        <v>P22</v>
      </c>
      <c r="L35" s="2" t="str">
        <f>IFERROR(INDEX('[8]Link Out Forecast'!$B$6:$B$250,MATCH($M35,'[8]Link Out Forecast'!$C$6:$C$250,0),1),"")</f>
        <v>Service Company Costs</v>
      </c>
      <c r="M35" s="2">
        <v>53401400</v>
      </c>
      <c r="N35" s="2" t="str">
        <f>IFERROR(INDEX('[8]Link Out Forecast'!$D$6:$D$250,MATCH($M35,'[8]Link Out Forecast'!$C$6:$C$250,0),1),"")</f>
        <v>AWWSC Cont Svcs OPEX</v>
      </c>
      <c r="O35" s="2" t="str">
        <f>IFERROR(INDEX('[8]Link Out Forecast'!$E$6:$E$250,MATCH($M35,'[8]Link Out Forecast'!$C$6:$C$250,0),1),"")</f>
        <v>634.8</v>
      </c>
      <c r="P35" s="169">
        <f>IFERROR(INDEX('[8]Link Out Forecast'!$F$6:$F$250,MATCH($M35,'[8]Link Out Forecast'!$C$6:$C$250,0),1),"")</f>
        <v>55804</v>
      </c>
      <c r="Q35" s="169">
        <f>IFERROR(INDEX('[8]Link Out Forecast'!$G$6:$G$250,MATCH($M35,'[8]Link Out Forecast'!$C$6:$C$250,0),1),"")</f>
        <v>56045</v>
      </c>
      <c r="R35" s="169">
        <f>IFERROR(INDEX('[8]Link Out Forecast'!$H$6:$H$250,MATCH($M35,'[8]Link Out Forecast'!$C$6:$C$250,0),1),"")</f>
        <v>60204</v>
      </c>
      <c r="S35" s="169">
        <f>IFERROR(INDEX('[8]Link Out Forecast'!$I$6:$I$250,MATCH($M35,'[8]Link Out Forecast'!$C$6:$C$250,0),1),"")</f>
        <v>55162</v>
      </c>
      <c r="T35" s="169">
        <f>IFERROR(INDEX('[8]Link Out Forecast'!$J$6:$J$250,MATCH($M35,'[8]Link Out Forecast'!$C$6:$C$250,0),1),"")</f>
        <v>55457</v>
      </c>
      <c r="U35" s="169">
        <f>IFERROR(INDEX('[8]Link Out Forecast'!$K$6:$K$250,MATCH($M35,'[8]Link Out Forecast'!$C$6:$C$250,0),1),"")</f>
        <v>57177</v>
      </c>
      <c r="V35" s="169">
        <f>IFERROR(INDEX('[8]Link Out Forecast'!$L$6:$L$250,MATCH($M35,'[8]Link Out Forecast'!$C$6:$C$250,0),1),"")</f>
        <v>0</v>
      </c>
      <c r="W35" s="169">
        <f>IFERROR(INDEX('[8]Link Out Forecast'!$M$6:$M$250,MATCH($M35,'[8]Link Out Forecast'!$C$6:$C$250,0),1),"")</f>
        <v>0</v>
      </c>
      <c r="X35" s="169">
        <f>IFERROR(INDEX('[8]Link Out Forecast'!$N$6:$N$250,MATCH($M35,'[8]Link Out Forecast'!$C$6:$C$250,0),1),"")</f>
        <v>0</v>
      </c>
      <c r="Y35" s="169">
        <f>IFERROR(INDEX('[8]Link Out Forecast'!$O$6:$O$250,MATCH($M35,'[8]Link Out Forecast'!$C$6:$C$250,0),1),"")</f>
        <v>0</v>
      </c>
      <c r="Z35" s="169">
        <f>IFERROR(INDEX('[8]Link Out Forecast'!$P$6:$P$250,MATCH($M35,'[8]Link Out Forecast'!$C$6:$C$250,0),1),"")</f>
        <v>0</v>
      </c>
      <c r="AA35" s="169">
        <f>IFERROR(INDEX('[8]Link Out Forecast'!$Q$6:$Q$250,MATCH($M35,'[8]Link Out Forecast'!$C$6:$C$250,0),1),"")</f>
        <v>0</v>
      </c>
      <c r="AB35" s="169">
        <f>IFERROR(INDEX('[8]Link Out Forecast'!$R$6:$R$250,MATCH($M35,'[8]Link Out Forecast'!$C$6:$C$250,0),1),"")</f>
        <v>339849</v>
      </c>
    </row>
    <row r="36" spans="1:28" s="2" customFormat="1" x14ac:dyDescent="0.3">
      <c r="A36" s="2" t="str">
        <f>IFERROR(INDEX('[8]Link Out Monthly BY'!$A$6:$A$491,MATCH($C36,'[8]Link Out Monthly BY'!$C$6:$C$491,0),1),"")</f>
        <v>P22</v>
      </c>
      <c r="B36" s="2" t="str">
        <f>IFERROR(INDEX('[8]Link Out Monthly BY'!$B$6:$B$491,MATCH($C36,'[8]Link Out Monthly BY'!$C$6:$C$491,0),1),"")</f>
        <v>Service Company Costs</v>
      </c>
      <c r="C36" s="2">
        <v>53401500</v>
      </c>
      <c r="E36" s="2" t="str">
        <f>IFERROR(INDEX('[8]Link Out Monthly BY'!$D$6:$D$491,MATCH($C36,'[8]Link Out Monthly BY'!$C$6:$C$491,0),1),"")</f>
        <v>AWWSC Off Suppl OPEX</v>
      </c>
      <c r="G36" s="2" t="str">
        <f>IFERROR(INDEX('[8]Link Out Monthly BY'!$E$6:$E$486,MATCH($C36,'[8]Link Out Monthly BY'!$C$6:$C$486,0),1),"")</f>
        <v>634.8</v>
      </c>
      <c r="I36" s="169">
        <f>IFERROR(INDEX('[8]Link Out Monthly BY'!$R$6:$R$486,MATCH($C36,'[8]Link Out Monthly BY'!$C$6:$C$486,0),1),0)</f>
        <v>431481</v>
      </c>
      <c r="K36" s="2" t="str">
        <f>IFERROR(INDEX('[8]Link Out Forecast'!$A$6:$A$250,MATCH($M36,'[8]Link Out Forecast'!$C$6:$C$250,0),1),"")</f>
        <v>P22</v>
      </c>
      <c r="L36" s="2" t="str">
        <f>IFERROR(INDEX('[8]Link Out Forecast'!$B$6:$B$250,MATCH($M36,'[8]Link Out Forecast'!$C$6:$C$250,0),1),"")</f>
        <v>Service Company Costs</v>
      </c>
      <c r="M36" s="2">
        <v>53401500</v>
      </c>
      <c r="N36" s="2" t="str">
        <f>IFERROR(INDEX('[8]Link Out Forecast'!$D$6:$D$250,MATCH($M36,'[8]Link Out Forecast'!$C$6:$C$250,0),1),"")</f>
        <v>AWWSC Off Suppl OPEX</v>
      </c>
      <c r="O36" s="2" t="str">
        <f>IFERROR(INDEX('[8]Link Out Forecast'!$E$6:$E$250,MATCH($M36,'[8]Link Out Forecast'!$C$6:$C$250,0),1),"")</f>
        <v>634.8</v>
      </c>
      <c r="P36" s="169">
        <f>IFERROR(INDEX('[8]Link Out Forecast'!$F$6:$F$250,MATCH($M36,'[8]Link Out Forecast'!$C$6:$C$250,0),1),"")</f>
        <v>28815</v>
      </c>
      <c r="Q36" s="169">
        <f>IFERROR(INDEX('[8]Link Out Forecast'!$G$6:$G$250,MATCH($M36,'[8]Link Out Forecast'!$C$6:$C$250,0),1),"")</f>
        <v>31552</v>
      </c>
      <c r="R36" s="169">
        <f>IFERROR(INDEX('[8]Link Out Forecast'!$H$6:$H$250,MATCH($M36,'[8]Link Out Forecast'!$C$6:$C$250,0),1),"")</f>
        <v>36358</v>
      </c>
      <c r="S36" s="169">
        <f>IFERROR(INDEX('[8]Link Out Forecast'!$I$6:$I$250,MATCH($M36,'[8]Link Out Forecast'!$C$6:$C$250,0),1),"")</f>
        <v>30299</v>
      </c>
      <c r="T36" s="169">
        <f>IFERROR(INDEX('[8]Link Out Forecast'!$J$6:$J$250,MATCH($M36,'[8]Link Out Forecast'!$C$6:$C$250,0),1),"")</f>
        <v>30846</v>
      </c>
      <c r="U36" s="169">
        <f>IFERROR(INDEX('[8]Link Out Forecast'!$K$6:$K$250,MATCH($M36,'[8]Link Out Forecast'!$C$6:$C$250,0),1),"")</f>
        <v>34985</v>
      </c>
      <c r="V36" s="169">
        <f>IFERROR(INDEX('[8]Link Out Forecast'!$L$6:$L$250,MATCH($M36,'[8]Link Out Forecast'!$C$6:$C$250,0),1),"")</f>
        <v>837687</v>
      </c>
      <c r="W36" s="169">
        <f>IFERROR(INDEX('[8]Link Out Forecast'!$M$6:$M$250,MATCH($M36,'[8]Link Out Forecast'!$C$6:$C$250,0),1),"")</f>
        <v>764992</v>
      </c>
      <c r="X36" s="169">
        <f>IFERROR(INDEX('[8]Link Out Forecast'!$N$6:$N$250,MATCH($M36,'[8]Link Out Forecast'!$C$6:$C$250,0),1),"")</f>
        <v>899823</v>
      </c>
      <c r="Y36" s="169">
        <f>IFERROR(INDEX('[8]Link Out Forecast'!$O$6:$O$250,MATCH($M36,'[8]Link Out Forecast'!$C$6:$C$250,0),1),"")</f>
        <v>820777</v>
      </c>
      <c r="Z36" s="169">
        <f>IFERROR(INDEX('[8]Link Out Forecast'!$P$6:$P$250,MATCH($M36,'[8]Link Out Forecast'!$C$6:$C$250,0),1),"")</f>
        <v>828684</v>
      </c>
      <c r="AA36" s="169">
        <f>IFERROR(INDEX('[8]Link Out Forecast'!$Q$6:$Q$250,MATCH($M36,'[8]Link Out Forecast'!$C$6:$C$250,0),1),"")</f>
        <v>891880</v>
      </c>
      <c r="AB36" s="169">
        <f>IFERROR(INDEX('[8]Link Out Forecast'!$R$6:$R$250,MATCH($M36,'[8]Link Out Forecast'!$C$6:$C$250,0),1),"")</f>
        <v>5236698</v>
      </c>
    </row>
    <row r="37" spans="1:28" s="2" customFormat="1" x14ac:dyDescent="0.3">
      <c r="A37" s="2" t="str">
        <f>IFERROR(INDEX('[8]Link Out Monthly BY'!$A$6:$A$486,MATCH($C37,'[8]Link Out Monthly BY'!$C$6:$C$486,0),1),"")</f>
        <v>P22</v>
      </c>
      <c r="B37" s="2" t="str">
        <f>IFERROR(INDEX('[8]Link Out Monthly BY'!$B$6:$B$486,MATCH($C37,'[8]Link Out Monthly BY'!$C$6:$C$486,0),1),"")</f>
        <v>Service Company Costs</v>
      </c>
      <c r="C37" s="2">
        <v>53401600</v>
      </c>
      <c r="E37" s="2" t="str">
        <f>IFERROR(INDEX('[8]Link Out Monthly BY'!$D$6:$D$486,MATCH($C37,'[8]Link Out Monthly BY'!$C$6:$C$486,0),1),"")</f>
        <v>AWWSC Transportaion</v>
      </c>
      <c r="G37" s="2" t="str">
        <f>IFERROR(INDEX('[8]Link Out Monthly BY'!$E$6:$E$486,MATCH($C37,'[8]Link Out Monthly BY'!$C$6:$C$486,0),1),"")</f>
        <v>634.8</v>
      </c>
      <c r="I37" s="169">
        <f>IFERROR(INDEX('[8]Link Out Monthly BY'!$R$6:$R$486,MATCH($C37,'[8]Link Out Monthly BY'!$C$6:$C$486,0),1),0)</f>
        <v>65561</v>
      </c>
      <c r="K37" s="2" t="str">
        <f>IFERROR(INDEX('[8]Link Out Forecast'!$A$6:$A$250,MATCH($M37,'[8]Link Out Forecast'!$C$6:$C$250,0),1),"")</f>
        <v>P22</v>
      </c>
      <c r="L37" s="2" t="str">
        <f>IFERROR(INDEX('[8]Link Out Forecast'!$B$6:$B$250,MATCH($M37,'[8]Link Out Forecast'!$C$6:$C$250,0),1),"")</f>
        <v>Service Company Costs</v>
      </c>
      <c r="M37" s="2">
        <v>53401600</v>
      </c>
      <c r="N37" s="2" t="str">
        <f>IFERROR(INDEX('[8]Link Out Forecast'!$D$6:$D$250,MATCH($M37,'[8]Link Out Forecast'!$C$6:$C$250,0),1),"")</f>
        <v>AWWSC Transportaion</v>
      </c>
      <c r="O37" s="2" t="str">
        <f>IFERROR(INDEX('[8]Link Out Forecast'!$E$6:$E$250,MATCH($M37,'[8]Link Out Forecast'!$C$6:$C$250,0),1),"")</f>
        <v>634.8</v>
      </c>
      <c r="P37" s="169">
        <f>IFERROR(INDEX('[8]Link Out Forecast'!$F$6:$F$250,MATCH($M37,'[8]Link Out Forecast'!$C$6:$C$250,0),1),"")</f>
        <v>0</v>
      </c>
      <c r="Q37" s="169">
        <f>IFERROR(INDEX('[8]Link Out Forecast'!$G$6:$G$250,MATCH($M37,'[8]Link Out Forecast'!$C$6:$C$250,0),1),"")</f>
        <v>0</v>
      </c>
      <c r="R37" s="169">
        <f>IFERROR(INDEX('[8]Link Out Forecast'!$H$6:$H$250,MATCH($M37,'[8]Link Out Forecast'!$C$6:$C$250,0),1),"")</f>
        <v>0</v>
      </c>
      <c r="S37" s="169">
        <f>IFERROR(INDEX('[8]Link Out Forecast'!$I$6:$I$250,MATCH($M37,'[8]Link Out Forecast'!$C$6:$C$250,0),1),"")</f>
        <v>0</v>
      </c>
      <c r="T37" s="169">
        <f>IFERROR(INDEX('[8]Link Out Forecast'!$J$6:$J$250,MATCH($M37,'[8]Link Out Forecast'!$C$6:$C$250,0),1),"")</f>
        <v>0</v>
      </c>
      <c r="U37" s="169">
        <f>IFERROR(INDEX('[8]Link Out Forecast'!$K$6:$K$250,MATCH($M37,'[8]Link Out Forecast'!$C$6:$C$250,0),1),"")</f>
        <v>0</v>
      </c>
      <c r="V37" s="169">
        <f>IFERROR(INDEX('[8]Link Out Forecast'!$L$6:$L$250,MATCH($M37,'[8]Link Out Forecast'!$C$6:$C$250,0),1),"")</f>
        <v>0</v>
      </c>
      <c r="W37" s="169">
        <f>IFERROR(INDEX('[8]Link Out Forecast'!$M$6:$M$250,MATCH($M37,'[8]Link Out Forecast'!$C$6:$C$250,0),1),"")</f>
        <v>0</v>
      </c>
      <c r="X37" s="169">
        <f>IFERROR(INDEX('[8]Link Out Forecast'!$N$6:$N$250,MATCH($M37,'[8]Link Out Forecast'!$C$6:$C$250,0),1),"")</f>
        <v>0</v>
      </c>
      <c r="Y37" s="169">
        <f>IFERROR(INDEX('[8]Link Out Forecast'!$O$6:$O$250,MATCH($M37,'[8]Link Out Forecast'!$C$6:$C$250,0),1),"")</f>
        <v>0</v>
      </c>
      <c r="Z37" s="169">
        <f>IFERROR(INDEX('[8]Link Out Forecast'!$P$6:$P$250,MATCH($M37,'[8]Link Out Forecast'!$C$6:$C$250,0),1),"")</f>
        <v>0</v>
      </c>
      <c r="AA37" s="169">
        <f>IFERROR(INDEX('[8]Link Out Forecast'!$Q$6:$Q$250,MATCH($M37,'[8]Link Out Forecast'!$C$6:$C$250,0),1),"")</f>
        <v>0</v>
      </c>
      <c r="AB37" s="169">
        <f>IFERROR(INDEX('[8]Link Out Forecast'!$R$6:$R$250,MATCH($M37,'[8]Link Out Forecast'!$C$6:$C$250,0),1),"")</f>
        <v>0</v>
      </c>
    </row>
    <row r="38" spans="1:28" s="2" customFormat="1" x14ac:dyDescent="0.3">
      <c r="A38" s="2" t="str">
        <f>IFERROR(INDEX('[8]Link Out Monthly BY'!$A$6:$A$486,MATCH($C38,'[8]Link Out Monthly BY'!$C$6:$C$486,0),1),"")</f>
        <v>P22</v>
      </c>
      <c r="B38" s="2" t="str">
        <f>IFERROR(INDEX('[8]Link Out Monthly BY'!$B$6:$B$486,MATCH($C38,'[8]Link Out Monthly BY'!$C$6:$C$486,0),1),"")</f>
        <v>Service Company Costs</v>
      </c>
      <c r="C38" s="2">
        <v>53401700</v>
      </c>
      <c r="E38" s="2" t="str">
        <f>IFERROR(INDEX('[8]Link Out Monthly BY'!$D$6:$D$486,MATCH($C38,'[8]Link Out Monthly BY'!$C$6:$C$486,0),1),"")</f>
        <v>AWWSC Rents OPEX</v>
      </c>
      <c r="G38" s="2" t="str">
        <f>IFERROR(INDEX('[8]Link Out Monthly BY'!$E$6:$E$486,MATCH($C38,'[8]Link Out Monthly BY'!$C$6:$C$486,0),1),"")</f>
        <v>634.8</v>
      </c>
      <c r="I38" s="169">
        <f>IFERROR(INDEX('[8]Link Out Monthly BY'!$R$6:$R$486,MATCH($C38,'[8]Link Out Monthly BY'!$C$6:$C$486,0),1),0)</f>
        <v>360212</v>
      </c>
      <c r="K38" s="2" t="str">
        <f>IFERROR(INDEX('[8]Link Out Forecast'!$A$6:$A$250,MATCH($M38,'[8]Link Out Forecast'!$C$6:$C$250,0),1),"")</f>
        <v>P22</v>
      </c>
      <c r="L38" s="2" t="str">
        <f>IFERROR(INDEX('[8]Link Out Forecast'!$B$6:$B$250,MATCH($M38,'[8]Link Out Forecast'!$C$6:$C$250,0),1),"")</f>
        <v>Service Company Costs</v>
      </c>
      <c r="M38" s="2">
        <v>53401700</v>
      </c>
      <c r="N38" s="2" t="str">
        <f>IFERROR(INDEX('[8]Link Out Forecast'!$D$6:$D$250,MATCH($M38,'[8]Link Out Forecast'!$C$6:$C$250,0),1),"")</f>
        <v>AWWSC Rents OPEX</v>
      </c>
      <c r="O38" s="2" t="str">
        <f>IFERROR(INDEX('[8]Link Out Forecast'!$E$6:$E$250,MATCH($M38,'[8]Link Out Forecast'!$C$6:$C$250,0),1),"")</f>
        <v>634.8</v>
      </c>
      <c r="P38" s="169">
        <f>IFERROR(INDEX('[8]Link Out Forecast'!$F$6:$F$250,MATCH($M38,'[8]Link Out Forecast'!$C$6:$C$250,0),1),"")</f>
        <v>23119</v>
      </c>
      <c r="Q38" s="169">
        <f>IFERROR(INDEX('[8]Link Out Forecast'!$G$6:$G$250,MATCH($M38,'[8]Link Out Forecast'!$C$6:$C$250,0),1),"")</f>
        <v>23172</v>
      </c>
      <c r="R38" s="169">
        <f>IFERROR(INDEX('[8]Link Out Forecast'!$H$6:$H$250,MATCH($M38,'[8]Link Out Forecast'!$C$6:$C$250,0),1),"")</f>
        <v>23172</v>
      </c>
      <c r="S38" s="169">
        <f>IFERROR(INDEX('[8]Link Out Forecast'!$I$6:$I$250,MATCH($M38,'[8]Link Out Forecast'!$C$6:$C$250,0),1),"")</f>
        <v>23172</v>
      </c>
      <c r="T38" s="169">
        <f>IFERROR(INDEX('[8]Link Out Forecast'!$J$6:$J$250,MATCH($M38,'[8]Link Out Forecast'!$C$6:$C$250,0),1),"")</f>
        <v>23172</v>
      </c>
      <c r="U38" s="169">
        <f>IFERROR(INDEX('[8]Link Out Forecast'!$K$6:$K$250,MATCH($M38,'[8]Link Out Forecast'!$C$6:$C$250,0),1),"")</f>
        <v>23172</v>
      </c>
      <c r="V38" s="169">
        <f>IFERROR(INDEX('[8]Link Out Forecast'!$L$6:$L$250,MATCH($M38,'[8]Link Out Forecast'!$C$6:$C$250,0),1),"")</f>
        <v>0</v>
      </c>
      <c r="W38" s="169">
        <f>IFERROR(INDEX('[8]Link Out Forecast'!$M$6:$M$250,MATCH($M38,'[8]Link Out Forecast'!$C$6:$C$250,0),1),"")</f>
        <v>0</v>
      </c>
      <c r="X38" s="169">
        <f>IFERROR(INDEX('[8]Link Out Forecast'!$N$6:$N$250,MATCH($M38,'[8]Link Out Forecast'!$C$6:$C$250,0),1),"")</f>
        <v>0</v>
      </c>
      <c r="Y38" s="169">
        <f>IFERROR(INDEX('[8]Link Out Forecast'!$O$6:$O$250,MATCH($M38,'[8]Link Out Forecast'!$C$6:$C$250,0),1),"")</f>
        <v>0</v>
      </c>
      <c r="Z38" s="169">
        <f>IFERROR(INDEX('[8]Link Out Forecast'!$P$6:$P$250,MATCH($M38,'[8]Link Out Forecast'!$C$6:$C$250,0),1),"")</f>
        <v>0</v>
      </c>
      <c r="AA38" s="169">
        <f>IFERROR(INDEX('[8]Link Out Forecast'!$Q$6:$Q$250,MATCH($M38,'[8]Link Out Forecast'!$C$6:$C$250,0),1),"")</f>
        <v>0</v>
      </c>
      <c r="AB38" s="169">
        <f>IFERROR(INDEX('[8]Link Out Forecast'!$R$6:$R$250,MATCH($M38,'[8]Link Out Forecast'!$C$6:$C$250,0),1),"")</f>
        <v>138979</v>
      </c>
    </row>
    <row r="39" spans="1:28" x14ac:dyDescent="0.3">
      <c r="A39" s="1" t="str">
        <f>IFERROR(INDEX('[8]Link Out Monthly BY'!$A$6:$A$486,MATCH($C39,'[8]Link Out Monthly BY'!$C$6:$C$486,0),1),"")</f>
        <v>P22</v>
      </c>
      <c r="B39" s="1" t="str">
        <f>IFERROR(INDEX('[8]Link Out Monthly BY'!$B$6:$B$486,MATCH($C39,'[8]Link Out Monthly BY'!$C$6:$C$486,0),1),"")</f>
        <v>Service Company Costs</v>
      </c>
      <c r="C39" s="1">
        <v>53401800</v>
      </c>
      <c r="E39" s="1" t="str">
        <f>IFERROR(INDEX('[8]Link Out Monthly BY'!$D$6:$D$486,MATCH($C39,'[8]Link Out Monthly BY'!$C$6:$C$486,0),1),"")</f>
        <v>AWWSC Other operting supplies</v>
      </c>
      <c r="G39" s="1" t="str">
        <f>IFERROR(INDEX('[8]Link Out Monthly BY'!$E$6:$E$486,MATCH($C39,'[8]Link Out Monthly BY'!$C$6:$C$486,0),1),"")</f>
        <v>634.8</v>
      </c>
      <c r="I39" s="14">
        <f>IFERROR(INDEX('[8]Link Out Monthly BY'!$R$6:$R$486,MATCH($C39,'[8]Link Out Monthly BY'!$C$6:$C$486,0),1),0)</f>
        <v>102677</v>
      </c>
      <c r="K39" s="1" t="str">
        <f>IFERROR(INDEX('[8]Link Out Forecast'!$A$6:$A$250,MATCH($M39,'[8]Link Out Forecast'!$C$6:$C$250,0),1),"")</f>
        <v>P22</v>
      </c>
      <c r="L39" s="1" t="str">
        <f>IFERROR(INDEX('[8]Link Out Forecast'!$B$6:$B$250,MATCH($M39,'[8]Link Out Forecast'!$C$6:$C$250,0),1),"")</f>
        <v>Service Company Costs</v>
      </c>
      <c r="M39" s="1">
        <v>53401800</v>
      </c>
      <c r="N39" s="1" t="str">
        <f>IFERROR(INDEX('[8]Link Out Forecast'!$D$6:$D$250,MATCH($M39,'[8]Link Out Forecast'!$C$6:$C$250,0),1),"")</f>
        <v>AWWSC Other operting supplies</v>
      </c>
      <c r="O39" s="1" t="str">
        <f>IFERROR(INDEX('[8]Link Out Forecast'!$E$6:$E$250,MATCH($M39,'[8]Link Out Forecast'!$C$6:$C$250,0),1),"")</f>
        <v>634.8</v>
      </c>
      <c r="P39" s="14">
        <f>IFERROR(INDEX('[8]Link Out Forecast'!$F$6:$F$250,MATCH($M39,'[8]Link Out Forecast'!$C$6:$C$250,0),1),"")</f>
        <v>48628</v>
      </c>
      <c r="Q39" s="14">
        <f>IFERROR(INDEX('[8]Link Out Forecast'!$G$6:$G$250,MATCH($M39,'[8]Link Out Forecast'!$C$6:$C$250,0),1),"")</f>
        <v>42346</v>
      </c>
      <c r="R39" s="14">
        <f>IFERROR(INDEX('[8]Link Out Forecast'!$H$6:$H$250,MATCH($M39,'[8]Link Out Forecast'!$C$6:$C$250,0),1),"")</f>
        <v>44994</v>
      </c>
      <c r="S39" s="14">
        <f>IFERROR(INDEX('[8]Link Out Forecast'!$I$6:$I$250,MATCH($M39,'[8]Link Out Forecast'!$C$6:$C$250,0),1),"")</f>
        <v>49750</v>
      </c>
      <c r="T39" s="14">
        <f>IFERROR(INDEX('[8]Link Out Forecast'!$J$6:$J$250,MATCH($M39,'[8]Link Out Forecast'!$C$6:$C$250,0),1),"")</f>
        <v>41971</v>
      </c>
      <c r="U39" s="14">
        <f>IFERROR(INDEX('[8]Link Out Forecast'!$K$6:$K$250,MATCH($M39,'[8]Link Out Forecast'!$C$6:$C$250,0),1),"")</f>
        <v>32890</v>
      </c>
      <c r="V39" s="14">
        <f>IFERROR(INDEX('[8]Link Out Forecast'!$L$6:$L$250,MATCH($M39,'[8]Link Out Forecast'!$C$6:$C$250,0),1),"")</f>
        <v>0</v>
      </c>
      <c r="W39" s="14">
        <f>IFERROR(INDEX('[8]Link Out Forecast'!$M$6:$M$250,MATCH($M39,'[8]Link Out Forecast'!$C$6:$C$250,0),1),"")</f>
        <v>0</v>
      </c>
      <c r="X39" s="14">
        <f>IFERROR(INDEX('[8]Link Out Forecast'!$N$6:$N$250,MATCH($M39,'[8]Link Out Forecast'!$C$6:$C$250,0),1),"")</f>
        <v>0</v>
      </c>
      <c r="Y39" s="14">
        <f>IFERROR(INDEX('[8]Link Out Forecast'!$O$6:$O$250,MATCH($M39,'[8]Link Out Forecast'!$C$6:$C$250,0),1),"")</f>
        <v>0</v>
      </c>
      <c r="Z39" s="14">
        <f>IFERROR(INDEX('[8]Link Out Forecast'!$P$6:$P$250,MATCH($M39,'[8]Link Out Forecast'!$C$6:$C$250,0),1),"")</f>
        <v>0</v>
      </c>
      <c r="AA39" s="14">
        <f>IFERROR(INDEX('[8]Link Out Forecast'!$Q$6:$Q$250,MATCH($M39,'[8]Link Out Forecast'!$C$6:$C$250,0),1),"")</f>
        <v>0</v>
      </c>
      <c r="AB39" s="14">
        <f>IFERROR(INDEX('[8]Link Out Forecast'!$R$6:$R$250,MATCH($M39,'[8]Link Out Forecast'!$C$6:$C$250,0),1),"")</f>
        <v>260579</v>
      </c>
    </row>
    <row r="40" spans="1:28" x14ac:dyDescent="0.3">
      <c r="A40" s="1" t="str">
        <f>IFERROR(INDEX('[8]Link Out Monthly BY'!$A$6:$A$486,MATCH($C40,'[8]Link Out Monthly BY'!$C$6:$C$486,0),1),"")</f>
        <v>P22</v>
      </c>
      <c r="B40" s="1" t="str">
        <f>IFERROR(INDEX('[8]Link Out Monthly BY'!$B$6:$B$486,MATCH($C40,'[8]Link Out Monthly BY'!$C$6:$C$486,0),1),"")</f>
        <v>Service Company Costs</v>
      </c>
      <c r="C40" s="1">
        <v>53401900</v>
      </c>
      <c r="E40" s="1" t="str">
        <f>IFERROR(INDEX('[8]Link Out Monthly BY'!$D$6:$D$486,MATCH($C40,'[8]Link Out Monthly BY'!$C$6:$C$486,0),1),"")</f>
        <v>AWWSC Maint OPEX</v>
      </c>
      <c r="G40" s="1" t="str">
        <f>IFERROR(INDEX('[8]Link Out Monthly BY'!$E$6:$E$486,MATCH($C40,'[8]Link Out Monthly BY'!$C$6:$C$486,0),1),"")</f>
        <v>634.8</v>
      </c>
      <c r="I40" s="14">
        <f>IFERROR(INDEX('[8]Link Out Monthly BY'!$R$6:$R$486,MATCH($C40,'[8]Link Out Monthly BY'!$C$6:$C$486,0),1),0)</f>
        <v>229269</v>
      </c>
      <c r="K40" s="1" t="str">
        <f>IFERROR(INDEX('[8]Link Out Forecast'!$A$6:$A$250,MATCH($M40,'[8]Link Out Forecast'!$C$6:$C$250,0),1),"")</f>
        <v>P22</v>
      </c>
      <c r="L40" s="1" t="str">
        <f>IFERROR(INDEX('[8]Link Out Forecast'!$B$6:$B$250,MATCH($M40,'[8]Link Out Forecast'!$C$6:$C$250,0),1),"")</f>
        <v>Service Company Costs</v>
      </c>
      <c r="M40" s="1">
        <v>53401900</v>
      </c>
      <c r="N40" s="1" t="str">
        <f>IFERROR(INDEX('[8]Link Out Forecast'!$D$6:$D$250,MATCH($M40,'[8]Link Out Forecast'!$C$6:$C$250,0),1),"")</f>
        <v>AWWSC Maint OPEX</v>
      </c>
      <c r="O40" s="1" t="str">
        <f>IFERROR(INDEX('[8]Link Out Forecast'!$E$6:$E$250,MATCH($M40,'[8]Link Out Forecast'!$C$6:$C$250,0),1),"")</f>
        <v>634.8</v>
      </c>
      <c r="P40" s="14">
        <f>IFERROR(INDEX('[8]Link Out Forecast'!$F$6:$F$250,MATCH($M40,'[8]Link Out Forecast'!$C$6:$C$250,0),1),"")</f>
        <v>20641</v>
      </c>
      <c r="Q40" s="14">
        <f>IFERROR(INDEX('[8]Link Out Forecast'!$G$6:$G$250,MATCH($M40,'[8]Link Out Forecast'!$C$6:$C$250,0),1),"")</f>
        <v>20641</v>
      </c>
      <c r="R40" s="14">
        <f>IFERROR(INDEX('[8]Link Out Forecast'!$H$6:$H$250,MATCH($M40,'[8]Link Out Forecast'!$C$6:$C$250,0),1),"")</f>
        <v>20641</v>
      </c>
      <c r="S40" s="14">
        <f>IFERROR(INDEX('[8]Link Out Forecast'!$I$6:$I$250,MATCH($M40,'[8]Link Out Forecast'!$C$6:$C$250,0),1),"")</f>
        <v>20641</v>
      </c>
      <c r="T40" s="14">
        <f>IFERROR(INDEX('[8]Link Out Forecast'!$J$6:$J$250,MATCH($M40,'[8]Link Out Forecast'!$C$6:$C$250,0),1),"")</f>
        <v>20641</v>
      </c>
      <c r="U40" s="14">
        <f>IFERROR(INDEX('[8]Link Out Forecast'!$K$6:$K$250,MATCH($M40,'[8]Link Out Forecast'!$C$6:$C$250,0),1),"")</f>
        <v>20641</v>
      </c>
      <c r="V40" s="14">
        <f>IFERROR(INDEX('[8]Link Out Forecast'!$L$6:$L$250,MATCH($M40,'[8]Link Out Forecast'!$C$6:$C$250,0),1),"")</f>
        <v>0</v>
      </c>
      <c r="W40" s="14">
        <f>IFERROR(INDEX('[8]Link Out Forecast'!$M$6:$M$250,MATCH($M40,'[8]Link Out Forecast'!$C$6:$C$250,0),1),"")</f>
        <v>0</v>
      </c>
      <c r="X40" s="14">
        <f>IFERROR(INDEX('[8]Link Out Forecast'!$N$6:$N$250,MATCH($M40,'[8]Link Out Forecast'!$C$6:$C$250,0),1),"")</f>
        <v>0</v>
      </c>
      <c r="Y40" s="14">
        <f>IFERROR(INDEX('[8]Link Out Forecast'!$O$6:$O$250,MATCH($M40,'[8]Link Out Forecast'!$C$6:$C$250,0),1),"")</f>
        <v>0</v>
      </c>
      <c r="Z40" s="14">
        <f>IFERROR(INDEX('[8]Link Out Forecast'!$P$6:$P$250,MATCH($M40,'[8]Link Out Forecast'!$C$6:$C$250,0),1),"")</f>
        <v>0</v>
      </c>
      <c r="AA40" s="14">
        <f>IFERROR(INDEX('[8]Link Out Forecast'!$Q$6:$Q$250,MATCH($M40,'[8]Link Out Forecast'!$C$6:$C$250,0),1),"")</f>
        <v>0</v>
      </c>
      <c r="AB40" s="14">
        <f>IFERROR(INDEX('[8]Link Out Forecast'!$R$6:$R$250,MATCH($M40,'[8]Link Out Forecast'!$C$6:$C$250,0),1),"")</f>
        <v>123846</v>
      </c>
    </row>
    <row r="41" spans="1:28" x14ac:dyDescent="0.3">
      <c r="A41" s="1" t="str">
        <f>IFERROR(INDEX('[8]Link Out Monthly BY'!$A$6:$A$486,MATCH($C41,'[8]Link Out Monthly BY'!$C$6:$C$486,0),1),"")</f>
        <v>P22</v>
      </c>
      <c r="B41" s="1" t="str">
        <f>IFERROR(INDEX('[8]Link Out Monthly BY'!$B$6:$B$486,MATCH($C41,'[8]Link Out Monthly BY'!$C$6:$C$486,0),1),"")</f>
        <v>Service Company Costs</v>
      </c>
      <c r="C41" s="1">
        <v>53402100</v>
      </c>
      <c r="E41" s="1" t="str">
        <f>IFERROR(INDEX('[8]Link Out Monthly BY'!$D$6:$D$486,MATCH($C41,'[8]Link Out Monthly BY'!$C$6:$C$486,0),1),"")</f>
        <v>AWWSC Oth O&amp;M OPEX</v>
      </c>
      <c r="G41" s="1" t="str">
        <f>IFERROR(INDEX('[8]Link Out Monthly BY'!$E$6:$E$486,MATCH($C41,'[8]Link Out Monthly BY'!$C$6:$C$486,0),1),"")</f>
        <v>634.8</v>
      </c>
      <c r="I41" s="14">
        <f>IFERROR(INDEX('[8]Link Out Monthly BY'!$R$6:$R$486,MATCH($C41,'[8]Link Out Monthly BY'!$C$6:$C$486,0),1),0)</f>
        <v>274430</v>
      </c>
      <c r="K41" s="1" t="str">
        <f>IFERROR(INDEX('[8]Link Out Forecast'!$A$6:$A$250,MATCH($M41,'[8]Link Out Forecast'!$C$6:$C$250,0),1),"")</f>
        <v/>
      </c>
      <c r="L41" s="1" t="str">
        <f>IFERROR(INDEX('[8]Link Out Forecast'!$B$6:$B$250,MATCH($M41,'[8]Link Out Forecast'!$C$6:$C$250,0),1),"")</f>
        <v/>
      </c>
      <c r="M41" s="1">
        <v>53402100</v>
      </c>
      <c r="N41" s="1" t="str">
        <f>IFERROR(INDEX('[8]Link Out Forecast'!$D$6:$D$250,MATCH($M41,'[8]Link Out Forecast'!$C$6:$C$250,0),1),"")</f>
        <v/>
      </c>
      <c r="O41" s="1" t="str">
        <f>IFERROR(INDEX('[8]Link Out Forecast'!$E$6:$E$250,MATCH($M41,'[8]Link Out Forecast'!$C$6:$C$250,0),1),"")</f>
        <v/>
      </c>
      <c r="P41" s="14" t="str">
        <f>IFERROR(INDEX('[8]Link Out Forecast'!$F$6:$F$250,MATCH($M41,'[8]Link Out Forecast'!$C$6:$C$250,0),1),"")</f>
        <v/>
      </c>
      <c r="Q41" s="14" t="str">
        <f>IFERROR(INDEX('[8]Link Out Forecast'!$G$6:$G$250,MATCH($M41,'[8]Link Out Forecast'!$C$6:$C$250,0),1),"")</f>
        <v/>
      </c>
      <c r="R41" s="14" t="str">
        <f>IFERROR(INDEX('[8]Link Out Forecast'!$H$6:$H$250,MATCH($M41,'[8]Link Out Forecast'!$C$6:$C$250,0),1),"")</f>
        <v/>
      </c>
      <c r="S41" s="14" t="str">
        <f>IFERROR(INDEX('[8]Link Out Forecast'!$I$6:$I$250,MATCH($M41,'[8]Link Out Forecast'!$C$6:$C$250,0),1),"")</f>
        <v/>
      </c>
      <c r="T41" s="14" t="str">
        <f>IFERROR(INDEX('[8]Link Out Forecast'!$J$6:$J$250,MATCH($M41,'[8]Link Out Forecast'!$C$6:$C$250,0),1),"")</f>
        <v/>
      </c>
      <c r="U41" s="14" t="str">
        <f>IFERROR(INDEX('[8]Link Out Forecast'!$K$6:$K$250,MATCH($M41,'[8]Link Out Forecast'!$C$6:$C$250,0),1),"")</f>
        <v/>
      </c>
      <c r="V41" s="14" t="str">
        <f>IFERROR(INDEX('[8]Link Out Forecast'!$L$6:$L$250,MATCH($M41,'[8]Link Out Forecast'!$C$6:$C$250,0),1),"")</f>
        <v/>
      </c>
      <c r="W41" s="14" t="str">
        <f>IFERROR(INDEX('[8]Link Out Forecast'!$M$6:$M$250,MATCH($M41,'[8]Link Out Forecast'!$C$6:$C$250,0),1),"")</f>
        <v/>
      </c>
      <c r="X41" s="14" t="str">
        <f>IFERROR(INDEX('[8]Link Out Forecast'!$N$6:$N$250,MATCH($M41,'[8]Link Out Forecast'!$C$6:$C$250,0),1),"")</f>
        <v/>
      </c>
      <c r="Y41" s="14" t="str">
        <f>IFERROR(INDEX('[8]Link Out Forecast'!$O$6:$O$250,MATCH($M41,'[8]Link Out Forecast'!$C$6:$C$250,0),1),"")</f>
        <v/>
      </c>
      <c r="Z41" s="14" t="str">
        <f>IFERROR(INDEX('[8]Link Out Forecast'!$P$6:$P$250,MATCH($M41,'[8]Link Out Forecast'!$C$6:$C$250,0),1),"")</f>
        <v/>
      </c>
      <c r="AA41" s="14" t="str">
        <f>IFERROR(INDEX('[8]Link Out Forecast'!$Q$6:$Q$250,MATCH($M41,'[8]Link Out Forecast'!$C$6:$C$250,0),1),"")</f>
        <v/>
      </c>
      <c r="AB41" s="14" t="str">
        <f>IFERROR(INDEX('[8]Link Out Forecast'!$R$6:$R$250,MATCH($M41,'[8]Link Out Forecast'!$C$6:$C$250,0),1),"")</f>
        <v/>
      </c>
    </row>
    <row r="42" spans="1:28" x14ac:dyDescent="0.3">
      <c r="A42" s="1" t="str">
        <f>IFERROR(INDEX('[8]Link Out Monthly BY'!$A$6:$A$486,MATCH($C42,'[8]Link Out Monthly BY'!$C$6:$C$486,0),1),"")</f>
        <v>P22</v>
      </c>
      <c r="B42" s="1" t="str">
        <f>IFERROR(INDEX('[8]Link Out Monthly BY'!$B$6:$B$486,MATCH($C42,'[8]Link Out Monthly BY'!$C$6:$C$486,0),1),"")</f>
        <v>Service Company Costs</v>
      </c>
      <c r="C42" s="1">
        <v>53402200</v>
      </c>
      <c r="E42" s="1" t="str">
        <f>IFERROR(INDEX('[8]Link Out Monthly BY'!$D$6:$D$486,MATCH($C42,'[8]Link Out Monthly BY'!$C$6:$C$486,0),1),"")</f>
        <v>AWWSC Dpr/Amrt OPEX</v>
      </c>
      <c r="G42" s="1" t="str">
        <f>IFERROR(INDEX('[8]Link Out Monthly BY'!$E$6:$E$486,MATCH($C42,'[8]Link Out Monthly BY'!$C$6:$C$486,0),1),"")</f>
        <v>634.8</v>
      </c>
      <c r="I42" s="14">
        <f>IFERROR(INDEX('[8]Link Out Monthly BY'!$R$6:$R$486,MATCH($C42,'[8]Link Out Monthly BY'!$C$6:$C$486,0),1),0)</f>
        <v>818645</v>
      </c>
      <c r="K42" s="1" t="str">
        <f>IFERROR(INDEX('[8]Link Out Forecast'!$A$6:$A$250,MATCH($M42,'[8]Link Out Forecast'!$C$6:$C$250,0),1),"")</f>
        <v>P22</v>
      </c>
      <c r="L42" s="1" t="str">
        <f>IFERROR(INDEX('[8]Link Out Forecast'!$B$6:$B$250,MATCH($M42,'[8]Link Out Forecast'!$C$6:$C$250,0),1),"")</f>
        <v>Service Company Costs</v>
      </c>
      <c r="M42" s="1">
        <v>53402200</v>
      </c>
      <c r="N42" s="1" t="str">
        <f>IFERROR(INDEX('[8]Link Out Forecast'!$D$6:$D$250,MATCH($M42,'[8]Link Out Forecast'!$C$6:$C$250,0),1),"")</f>
        <v>AWWSC Dpr/Amrt OPEX</v>
      </c>
      <c r="O42" s="1" t="str">
        <f>IFERROR(INDEX('[8]Link Out Forecast'!$E$6:$E$250,MATCH($M42,'[8]Link Out Forecast'!$C$6:$C$250,0),1),"")</f>
        <v>634.8</v>
      </c>
      <c r="P42" s="14">
        <f>IFERROR(INDEX('[8]Link Out Forecast'!$F$6:$F$250,MATCH($M42,'[8]Link Out Forecast'!$C$6:$C$250,0),1),"")</f>
        <v>70897</v>
      </c>
      <c r="Q42" s="14">
        <f>IFERROR(INDEX('[8]Link Out Forecast'!$G$6:$G$250,MATCH($M42,'[8]Link Out Forecast'!$C$6:$C$250,0),1),"")</f>
        <v>70893</v>
      </c>
      <c r="R42" s="14">
        <f>IFERROR(INDEX('[8]Link Out Forecast'!$H$6:$H$250,MATCH($M42,'[8]Link Out Forecast'!$C$6:$C$250,0),1),"")</f>
        <v>72318</v>
      </c>
      <c r="S42" s="14">
        <f>IFERROR(INDEX('[8]Link Out Forecast'!$I$6:$I$250,MATCH($M42,'[8]Link Out Forecast'!$C$6:$C$250,0),1),"")</f>
        <v>72295</v>
      </c>
      <c r="T42" s="14">
        <f>IFERROR(INDEX('[8]Link Out Forecast'!$J$6:$J$250,MATCH($M42,'[8]Link Out Forecast'!$C$6:$C$250,0),1),"")</f>
        <v>72211</v>
      </c>
      <c r="U42" s="14">
        <f>IFERROR(INDEX('[8]Link Out Forecast'!$K$6:$K$250,MATCH($M42,'[8]Link Out Forecast'!$C$6:$C$250,0),1),"")</f>
        <v>68757</v>
      </c>
      <c r="V42" s="14">
        <f>IFERROR(INDEX('[8]Link Out Forecast'!$L$6:$L$250,MATCH($M42,'[8]Link Out Forecast'!$C$6:$C$250,0),1),"")</f>
        <v>0</v>
      </c>
      <c r="W42" s="14">
        <f>IFERROR(INDEX('[8]Link Out Forecast'!$M$6:$M$250,MATCH($M42,'[8]Link Out Forecast'!$C$6:$C$250,0),1),"")</f>
        <v>0</v>
      </c>
      <c r="X42" s="14">
        <f>IFERROR(INDEX('[8]Link Out Forecast'!$N$6:$N$250,MATCH($M42,'[8]Link Out Forecast'!$C$6:$C$250,0),1),"")</f>
        <v>0</v>
      </c>
      <c r="Y42" s="14">
        <f>IFERROR(INDEX('[8]Link Out Forecast'!$O$6:$O$250,MATCH($M42,'[8]Link Out Forecast'!$C$6:$C$250,0),1),"")</f>
        <v>0</v>
      </c>
      <c r="Z42" s="14">
        <f>IFERROR(INDEX('[8]Link Out Forecast'!$P$6:$P$250,MATCH($M42,'[8]Link Out Forecast'!$C$6:$C$250,0),1),"")</f>
        <v>0</v>
      </c>
      <c r="AA42" s="14">
        <f>IFERROR(INDEX('[8]Link Out Forecast'!$Q$6:$Q$250,MATCH($M42,'[8]Link Out Forecast'!$C$6:$C$250,0),1),"")</f>
        <v>0</v>
      </c>
      <c r="AB42" s="14">
        <f>IFERROR(INDEX('[8]Link Out Forecast'!$R$6:$R$250,MATCH($M42,'[8]Link Out Forecast'!$C$6:$C$250,0),1),"")</f>
        <v>427371</v>
      </c>
    </row>
    <row r="43" spans="1:28" x14ac:dyDescent="0.3">
      <c r="A43" s="1" t="str">
        <f>IFERROR(INDEX('[8]Link Out Monthly BY'!$A$6:$A$486,MATCH($C43,'[8]Link Out Monthly BY'!$C$6:$C$486,0),1),"")</f>
        <v>P22</v>
      </c>
      <c r="B43" s="1" t="str">
        <f>IFERROR(INDEX('[8]Link Out Monthly BY'!$B$6:$B$486,MATCH($C43,'[8]Link Out Monthly BY'!$C$6:$C$486,0),1),"")</f>
        <v>Service Company Costs</v>
      </c>
      <c r="C43" s="1">
        <v>53402300</v>
      </c>
      <c r="E43" s="1" t="str">
        <f>IFERROR(INDEX('[8]Link Out Monthly BY'!$D$6:$D$486,MATCH($C43,'[8]Link Out Monthly BY'!$C$6:$C$486,0),1),"")</f>
        <v>AWWSC Gen Tax OPEX</v>
      </c>
      <c r="G43" s="1" t="str">
        <f>IFERROR(INDEX('[8]Link Out Monthly BY'!$E$6:$E$486,MATCH($C43,'[8]Link Out Monthly BY'!$C$6:$C$486,0),1),"")</f>
        <v>634.8</v>
      </c>
      <c r="I43" s="14">
        <f>IFERROR(INDEX('[8]Link Out Monthly BY'!$R$6:$R$486,MATCH($C43,'[8]Link Out Monthly BY'!$C$6:$C$486,0),1),0)</f>
        <v>328764</v>
      </c>
      <c r="K43" s="1" t="str">
        <f>IFERROR(INDEX('[8]Link Out Forecast'!$A$6:$A$250,MATCH($M43,'[8]Link Out Forecast'!$C$6:$C$250,0),1),"")</f>
        <v>P22</v>
      </c>
      <c r="L43" s="1" t="str">
        <f>IFERROR(INDEX('[8]Link Out Forecast'!$B$6:$B$250,MATCH($M43,'[8]Link Out Forecast'!$C$6:$C$250,0),1),"")</f>
        <v>Service Company Costs</v>
      </c>
      <c r="M43" s="1">
        <v>53402300</v>
      </c>
      <c r="N43" s="1" t="str">
        <f>IFERROR(INDEX('[8]Link Out Forecast'!$D$6:$D$250,MATCH($M43,'[8]Link Out Forecast'!$C$6:$C$250,0),1),"")</f>
        <v>AWWSC Gen Tax OPEX</v>
      </c>
      <c r="O43" s="1" t="str">
        <f>IFERROR(INDEX('[8]Link Out Forecast'!$E$6:$E$250,MATCH($M43,'[8]Link Out Forecast'!$C$6:$C$250,0),1),"")</f>
        <v>634.8</v>
      </c>
      <c r="P43" s="14">
        <f>IFERROR(INDEX('[8]Link Out Forecast'!$F$6:$F$250,MATCH($M43,'[8]Link Out Forecast'!$C$6:$C$250,0),1),"")</f>
        <v>32556</v>
      </c>
      <c r="Q43" s="14">
        <f>IFERROR(INDEX('[8]Link Out Forecast'!$G$6:$G$250,MATCH($M43,'[8]Link Out Forecast'!$C$6:$C$250,0),1),"")</f>
        <v>30126</v>
      </c>
      <c r="R43" s="14">
        <f>IFERROR(INDEX('[8]Link Out Forecast'!$H$6:$H$250,MATCH($M43,'[8]Link Out Forecast'!$C$6:$C$250,0),1),"")</f>
        <v>26817</v>
      </c>
      <c r="S43" s="14">
        <f>IFERROR(INDEX('[8]Link Out Forecast'!$I$6:$I$250,MATCH($M43,'[8]Link Out Forecast'!$C$6:$C$250,0),1),"")</f>
        <v>27190</v>
      </c>
      <c r="T43" s="14">
        <f>IFERROR(INDEX('[8]Link Out Forecast'!$J$6:$J$250,MATCH($M43,'[8]Link Out Forecast'!$C$6:$C$250,0),1),"")</f>
        <v>23837</v>
      </c>
      <c r="U43" s="14">
        <f>IFERROR(INDEX('[8]Link Out Forecast'!$K$6:$K$250,MATCH($M43,'[8]Link Out Forecast'!$C$6:$C$250,0),1),"")</f>
        <v>23403</v>
      </c>
      <c r="V43" s="14">
        <f>IFERROR(INDEX('[8]Link Out Forecast'!$L$6:$L$250,MATCH($M43,'[8]Link Out Forecast'!$C$6:$C$250,0),1),"")</f>
        <v>0</v>
      </c>
      <c r="W43" s="14">
        <f>IFERROR(INDEX('[8]Link Out Forecast'!$M$6:$M$250,MATCH($M43,'[8]Link Out Forecast'!$C$6:$C$250,0),1),"")</f>
        <v>0</v>
      </c>
      <c r="X43" s="14">
        <f>IFERROR(INDEX('[8]Link Out Forecast'!$N$6:$N$250,MATCH($M43,'[8]Link Out Forecast'!$C$6:$C$250,0),1),"")</f>
        <v>0</v>
      </c>
      <c r="Y43" s="14">
        <f>IFERROR(INDEX('[8]Link Out Forecast'!$O$6:$O$250,MATCH($M43,'[8]Link Out Forecast'!$C$6:$C$250,0),1),"")</f>
        <v>0</v>
      </c>
      <c r="Z43" s="14">
        <f>IFERROR(INDEX('[8]Link Out Forecast'!$P$6:$P$250,MATCH($M43,'[8]Link Out Forecast'!$C$6:$C$250,0),1),"")</f>
        <v>0</v>
      </c>
      <c r="AA43" s="14">
        <f>IFERROR(INDEX('[8]Link Out Forecast'!$Q$6:$Q$250,MATCH($M43,'[8]Link Out Forecast'!$C$6:$C$250,0),1),"")</f>
        <v>0</v>
      </c>
      <c r="AB43" s="14">
        <f>IFERROR(INDEX('[8]Link Out Forecast'!$R$6:$R$250,MATCH($M43,'[8]Link Out Forecast'!$C$6:$C$250,0),1),"")</f>
        <v>163929</v>
      </c>
    </row>
    <row r="44" spans="1:28" x14ac:dyDescent="0.3">
      <c r="A44" s="1" t="str">
        <f>IFERROR(INDEX('[8]Link Out Monthly BY'!$A$6:$A$486,MATCH($C44,'[8]Link Out Monthly BY'!$C$6:$C$486,0),1),"")</f>
        <v>P22</v>
      </c>
      <c r="B44" s="1" t="str">
        <f>IFERROR(INDEX('[8]Link Out Monthly BY'!$B$6:$B$486,MATCH($C44,'[8]Link Out Monthly BY'!$C$6:$C$486,0),1),"")</f>
        <v>Service Company Costs</v>
      </c>
      <c r="C44" s="1">
        <v>53402400</v>
      </c>
      <c r="E44" s="1" t="str">
        <f>IFERROR(INDEX('[8]Link Out Monthly BY'!$D$6:$D$486,MATCH($C44,'[8]Link Out Monthly BY'!$C$6:$C$486,0),1),"")</f>
        <v>AWWSC Interest OPEX</v>
      </c>
      <c r="G44" s="1" t="str">
        <f>IFERROR(INDEX('[8]Link Out Monthly BY'!$E$6:$E$486,MATCH($C44,'[8]Link Out Monthly BY'!$C$6:$C$486,0),1),"")</f>
        <v>634.8</v>
      </c>
      <c r="I44" s="14">
        <f>IFERROR(INDEX('[8]Link Out Monthly BY'!$R$6:$R$486,MATCH($C44,'[8]Link Out Monthly BY'!$C$6:$C$486,0),1),0)</f>
        <v>45533</v>
      </c>
      <c r="K44" s="1" t="str">
        <f>IFERROR(INDEX('[8]Link Out Forecast'!$A$6:$A$250,MATCH($M44,'[8]Link Out Forecast'!$C$6:$C$250,0),1),"")</f>
        <v>P22</v>
      </c>
      <c r="L44" s="1" t="str">
        <f>IFERROR(INDEX('[8]Link Out Forecast'!$B$6:$B$250,MATCH($M44,'[8]Link Out Forecast'!$C$6:$C$250,0),1),"")</f>
        <v>Service Company Costs</v>
      </c>
      <c r="M44" s="1">
        <v>53402400</v>
      </c>
      <c r="N44" s="1" t="str">
        <f>IFERROR(INDEX('[8]Link Out Forecast'!$D$6:$D$250,MATCH($M44,'[8]Link Out Forecast'!$C$6:$C$250,0),1),"")</f>
        <v>AWWSC Interest OPEX</v>
      </c>
      <c r="O44" s="1" t="str">
        <f>IFERROR(INDEX('[8]Link Out Forecast'!$E$6:$E$250,MATCH($M44,'[8]Link Out Forecast'!$C$6:$C$250,0),1),"")</f>
        <v>634.8</v>
      </c>
      <c r="P44" s="14">
        <f>IFERROR(INDEX('[8]Link Out Forecast'!$F$6:$F$250,MATCH($M44,'[8]Link Out Forecast'!$C$6:$C$250,0),1),"")</f>
        <v>8761</v>
      </c>
      <c r="Q44" s="14">
        <f>IFERROR(INDEX('[8]Link Out Forecast'!$G$6:$G$250,MATCH($M44,'[8]Link Out Forecast'!$C$6:$C$250,0),1),"")</f>
        <v>8542</v>
      </c>
      <c r="R44" s="14">
        <f>IFERROR(INDEX('[8]Link Out Forecast'!$H$6:$H$250,MATCH($M44,'[8]Link Out Forecast'!$C$6:$C$250,0),1),"")</f>
        <v>8323</v>
      </c>
      <c r="S44" s="14">
        <f>IFERROR(INDEX('[8]Link Out Forecast'!$I$6:$I$250,MATCH($M44,'[8]Link Out Forecast'!$C$6:$C$250,0),1),"")</f>
        <v>8428</v>
      </c>
      <c r="T44" s="14">
        <f>IFERROR(INDEX('[8]Link Out Forecast'!$J$6:$J$250,MATCH($M44,'[8]Link Out Forecast'!$C$6:$C$250,0),1),"")</f>
        <v>8203</v>
      </c>
      <c r="U44" s="14">
        <f>IFERROR(INDEX('[8]Link Out Forecast'!$K$6:$K$250,MATCH($M44,'[8]Link Out Forecast'!$C$6:$C$250,0),1),"")</f>
        <v>7978</v>
      </c>
      <c r="V44" s="14">
        <f>IFERROR(INDEX('[8]Link Out Forecast'!$L$6:$L$250,MATCH($M44,'[8]Link Out Forecast'!$C$6:$C$250,0),1),"")</f>
        <v>0</v>
      </c>
      <c r="W44" s="14">
        <f>IFERROR(INDEX('[8]Link Out Forecast'!$M$6:$M$250,MATCH($M44,'[8]Link Out Forecast'!$C$6:$C$250,0),1),"")</f>
        <v>0</v>
      </c>
      <c r="X44" s="14">
        <f>IFERROR(INDEX('[8]Link Out Forecast'!$N$6:$N$250,MATCH($M44,'[8]Link Out Forecast'!$C$6:$C$250,0),1),"")</f>
        <v>0</v>
      </c>
      <c r="Y44" s="14">
        <f>IFERROR(INDEX('[8]Link Out Forecast'!$O$6:$O$250,MATCH($M44,'[8]Link Out Forecast'!$C$6:$C$250,0),1),"")</f>
        <v>0</v>
      </c>
      <c r="Z44" s="14">
        <f>IFERROR(INDEX('[8]Link Out Forecast'!$P$6:$P$250,MATCH($M44,'[8]Link Out Forecast'!$C$6:$C$250,0),1),"")</f>
        <v>0</v>
      </c>
      <c r="AA44" s="14">
        <f>IFERROR(INDEX('[8]Link Out Forecast'!$Q$6:$Q$250,MATCH($M44,'[8]Link Out Forecast'!$C$6:$C$250,0),1),"")</f>
        <v>0</v>
      </c>
      <c r="AB44" s="14">
        <f>IFERROR(INDEX('[8]Link Out Forecast'!$R$6:$R$250,MATCH($M44,'[8]Link Out Forecast'!$C$6:$C$250,0),1),"")</f>
        <v>50235</v>
      </c>
    </row>
    <row r="45" spans="1:28" x14ac:dyDescent="0.3">
      <c r="A45" s="1" t="str">
        <f>IFERROR(INDEX('[8]Link Out Monthly BY'!$A$6:$A$486,MATCH($C45,'[8]Link Out Monthly BY'!$C$6:$C$486,0),1),"")</f>
        <v>P22</v>
      </c>
      <c r="B45" s="1" t="str">
        <f>IFERROR(INDEX('[8]Link Out Monthly BY'!$B$6:$B$486,MATCH($C45,'[8]Link Out Monthly BY'!$C$6:$C$486,0),1),"")</f>
        <v>Service Company Costs</v>
      </c>
      <c r="C45" s="1">
        <v>53402500</v>
      </c>
      <c r="E45" s="1" t="str">
        <f>IFERROR(INDEX('[8]Link Out Monthly BY'!$D$6:$D$486,MATCH($C45,'[8]Link Out Monthly BY'!$C$6:$C$486,0),1),"")</f>
        <v>AWWSC Oth Inc OPEX</v>
      </c>
      <c r="G45" s="1" t="str">
        <f>IFERROR(INDEX('[8]Link Out Monthly BY'!$E$6:$E$486,MATCH($C45,'[8]Link Out Monthly BY'!$C$6:$C$486,0),1),"")</f>
        <v>634.8</v>
      </c>
      <c r="I45" s="14">
        <f>IFERROR(INDEX('[8]Link Out Monthly BY'!$R$6:$R$486,MATCH($C45,'[8]Link Out Monthly BY'!$C$6:$C$486,0),1),0)</f>
        <v>-24705</v>
      </c>
      <c r="K45" s="1" t="str">
        <f>IFERROR(INDEX('[8]Link Out Forecast'!$A$6:$A$250,MATCH($M45,'[8]Link Out Forecast'!$C$6:$C$250,0),1),"")</f>
        <v>P22</v>
      </c>
      <c r="L45" s="1" t="str">
        <f>IFERROR(INDEX('[8]Link Out Forecast'!$B$6:$B$250,MATCH($M45,'[8]Link Out Forecast'!$C$6:$C$250,0),1),"")</f>
        <v>Service Company Costs</v>
      </c>
      <c r="M45" s="1">
        <v>53402500</v>
      </c>
      <c r="N45" s="1" t="str">
        <f>IFERROR(INDEX('[8]Link Out Forecast'!$D$6:$D$250,MATCH($M45,'[8]Link Out Forecast'!$C$6:$C$250,0),1),"")</f>
        <v>AWWSC Oth Inc OPEX</v>
      </c>
      <c r="O45" s="1" t="str">
        <f>IFERROR(INDEX('[8]Link Out Forecast'!$E$6:$E$250,MATCH($M45,'[8]Link Out Forecast'!$C$6:$C$250,0),1),"")</f>
        <v>634.8</v>
      </c>
      <c r="P45" s="14">
        <f>IFERROR(INDEX('[8]Link Out Forecast'!$F$6:$F$250,MATCH($M45,'[8]Link Out Forecast'!$C$6:$C$250,0),1),"")</f>
        <v>-1540</v>
      </c>
      <c r="Q45" s="14">
        <f>IFERROR(INDEX('[8]Link Out Forecast'!$G$6:$G$250,MATCH($M45,'[8]Link Out Forecast'!$C$6:$C$250,0),1),"")</f>
        <v>-1540</v>
      </c>
      <c r="R45" s="14">
        <f>IFERROR(INDEX('[8]Link Out Forecast'!$H$6:$H$250,MATCH($M45,'[8]Link Out Forecast'!$C$6:$C$250,0),1),"")</f>
        <v>-1540</v>
      </c>
      <c r="S45" s="14">
        <f>IFERROR(INDEX('[8]Link Out Forecast'!$I$6:$I$250,MATCH($M45,'[8]Link Out Forecast'!$C$6:$C$250,0),1),"")</f>
        <v>-1540</v>
      </c>
      <c r="T45" s="14">
        <f>IFERROR(INDEX('[8]Link Out Forecast'!$J$6:$J$250,MATCH($M45,'[8]Link Out Forecast'!$C$6:$C$250,0),1),"")</f>
        <v>-1540</v>
      </c>
      <c r="U45" s="14">
        <f>IFERROR(INDEX('[8]Link Out Forecast'!$K$6:$K$250,MATCH($M45,'[8]Link Out Forecast'!$C$6:$C$250,0),1),"")</f>
        <v>-1540</v>
      </c>
      <c r="V45" s="14">
        <f>IFERROR(INDEX('[8]Link Out Forecast'!$L$6:$L$250,MATCH($M45,'[8]Link Out Forecast'!$C$6:$C$250,0),1),"")</f>
        <v>0</v>
      </c>
      <c r="W45" s="14">
        <f>IFERROR(INDEX('[8]Link Out Forecast'!$M$6:$M$250,MATCH($M45,'[8]Link Out Forecast'!$C$6:$C$250,0),1),"")</f>
        <v>0</v>
      </c>
      <c r="X45" s="14">
        <f>IFERROR(INDEX('[8]Link Out Forecast'!$N$6:$N$250,MATCH($M45,'[8]Link Out Forecast'!$C$6:$C$250,0),1),"")</f>
        <v>0</v>
      </c>
      <c r="Y45" s="14">
        <f>IFERROR(INDEX('[8]Link Out Forecast'!$O$6:$O$250,MATCH($M45,'[8]Link Out Forecast'!$C$6:$C$250,0),1),"")</f>
        <v>0</v>
      </c>
      <c r="Z45" s="14">
        <f>IFERROR(INDEX('[8]Link Out Forecast'!$P$6:$P$250,MATCH($M45,'[8]Link Out Forecast'!$C$6:$C$250,0),1),"")</f>
        <v>0</v>
      </c>
      <c r="AA45" s="14">
        <f>IFERROR(INDEX('[8]Link Out Forecast'!$Q$6:$Q$250,MATCH($M45,'[8]Link Out Forecast'!$C$6:$C$250,0),1),"")</f>
        <v>0</v>
      </c>
      <c r="AB45" s="14">
        <f>IFERROR(INDEX('[8]Link Out Forecast'!$R$6:$R$250,MATCH($M45,'[8]Link Out Forecast'!$C$6:$C$250,0),1),"")</f>
        <v>-9240</v>
      </c>
    </row>
    <row r="46" spans="1:28" x14ac:dyDescent="0.3">
      <c r="A46" s="1" t="str">
        <f>IFERROR(INDEX('[8]Link Out Monthly BY'!$A$6:$A$486,MATCH($C46,'[8]Link Out Monthly BY'!$C$6:$C$486,0),1),"")</f>
        <v>P22</v>
      </c>
      <c r="B46" s="1" t="str">
        <f>IFERROR(INDEX('[8]Link Out Monthly BY'!$B$6:$B$486,MATCH($C46,'[8]Link Out Monthly BY'!$C$6:$C$486,0),1),"")</f>
        <v>Service Company Costs</v>
      </c>
      <c r="C46" s="1">
        <v>53402600</v>
      </c>
      <c r="E46" s="1" t="str">
        <f>IFERROR(INDEX('[8]Link Out Monthly BY'!$D$6:$D$486,MATCH($C46,'[8]Link Out Monthly BY'!$C$6:$C$486,0),1),"")</f>
        <v>AWWSC Inc Tax OPEX</v>
      </c>
      <c r="G46" s="1" t="str">
        <f>IFERROR(INDEX('[8]Link Out Monthly BY'!$E$6:$E$486,MATCH($C46,'[8]Link Out Monthly BY'!$C$6:$C$486,0),1),"")</f>
        <v>634.8</v>
      </c>
      <c r="I46" s="14">
        <f>IFERROR(INDEX('[8]Link Out Monthly BY'!$R$6:$R$486,MATCH($C46,'[8]Link Out Monthly BY'!$C$6:$C$486,0),1),0)</f>
        <v>5044</v>
      </c>
      <c r="K46" s="1" t="str">
        <f>IFERROR(INDEX('[8]Link Out Forecast'!$A$6:$A$250,MATCH($M46,'[8]Link Out Forecast'!$C$6:$C$250,0),1),"")</f>
        <v/>
      </c>
      <c r="L46" s="1" t="str">
        <f>IFERROR(INDEX('[8]Link Out Forecast'!$B$6:$B$250,MATCH($M46,'[8]Link Out Forecast'!$C$6:$C$250,0),1),"")</f>
        <v/>
      </c>
      <c r="M46" s="1">
        <v>53402600</v>
      </c>
      <c r="N46" s="1" t="str">
        <f>IFERROR(INDEX('[8]Link Out Forecast'!$D$6:$D$250,MATCH($M46,'[8]Link Out Forecast'!$C$6:$C$250,0),1),"")</f>
        <v/>
      </c>
      <c r="O46" s="1" t="str">
        <f>IFERROR(INDEX('[8]Link Out Forecast'!$E$6:$E$250,MATCH($M46,'[8]Link Out Forecast'!$C$6:$C$250,0),1),"")</f>
        <v/>
      </c>
      <c r="P46" s="14" t="str">
        <f>IFERROR(INDEX('[8]Link Out Forecast'!$F$6:$F$250,MATCH($M46,'[8]Link Out Forecast'!$C$6:$C$250,0),1),"")</f>
        <v/>
      </c>
      <c r="Q46" s="14" t="str">
        <f>IFERROR(INDEX('[8]Link Out Forecast'!$G$6:$G$250,MATCH($M46,'[8]Link Out Forecast'!$C$6:$C$250,0),1),"")</f>
        <v/>
      </c>
      <c r="R46" s="14" t="str">
        <f>IFERROR(INDEX('[8]Link Out Forecast'!$H$6:$H$250,MATCH($M46,'[8]Link Out Forecast'!$C$6:$C$250,0),1),"")</f>
        <v/>
      </c>
      <c r="S46" s="14" t="str">
        <f>IFERROR(INDEX('[8]Link Out Forecast'!$I$6:$I$250,MATCH($M46,'[8]Link Out Forecast'!$C$6:$C$250,0),1),"")</f>
        <v/>
      </c>
      <c r="T46" s="14" t="str">
        <f>IFERROR(INDEX('[8]Link Out Forecast'!$J$6:$J$250,MATCH($M46,'[8]Link Out Forecast'!$C$6:$C$250,0),1),"")</f>
        <v/>
      </c>
      <c r="U46" s="14" t="str">
        <f>IFERROR(INDEX('[8]Link Out Forecast'!$K$6:$K$250,MATCH($M46,'[8]Link Out Forecast'!$C$6:$C$250,0),1),"")</f>
        <v/>
      </c>
      <c r="V46" s="14" t="str">
        <f>IFERROR(INDEX('[8]Link Out Forecast'!$L$6:$L$250,MATCH($M46,'[8]Link Out Forecast'!$C$6:$C$250,0),1),"")</f>
        <v/>
      </c>
      <c r="W46" s="14" t="str">
        <f>IFERROR(INDEX('[8]Link Out Forecast'!$M$6:$M$250,MATCH($M46,'[8]Link Out Forecast'!$C$6:$C$250,0),1),"")</f>
        <v/>
      </c>
      <c r="X46" s="14" t="str">
        <f>IFERROR(INDEX('[8]Link Out Forecast'!$N$6:$N$250,MATCH($M46,'[8]Link Out Forecast'!$C$6:$C$250,0),1),"")</f>
        <v/>
      </c>
      <c r="Y46" s="14" t="str">
        <f>IFERROR(INDEX('[8]Link Out Forecast'!$O$6:$O$250,MATCH($M46,'[8]Link Out Forecast'!$C$6:$C$250,0),1),"")</f>
        <v/>
      </c>
      <c r="Z46" s="14" t="str">
        <f>IFERROR(INDEX('[8]Link Out Forecast'!$P$6:$P$250,MATCH($M46,'[8]Link Out Forecast'!$C$6:$C$250,0),1),"")</f>
        <v/>
      </c>
      <c r="AA46" s="14" t="str">
        <f>IFERROR(INDEX('[8]Link Out Forecast'!$Q$6:$Q$250,MATCH($M46,'[8]Link Out Forecast'!$C$6:$C$250,0),1),"")</f>
        <v/>
      </c>
      <c r="AB46" s="14" t="str">
        <f>IFERROR(INDEX('[8]Link Out Forecast'!$R$6:$R$250,MATCH($M46,'[8]Link Out Forecast'!$C$6:$C$250,0),1),"")</f>
        <v/>
      </c>
    </row>
    <row r="47" spans="1:28" x14ac:dyDescent="0.3">
      <c r="A47" s="1" t="str">
        <f>IFERROR(INDEX('[8]Link Out Monthly BY'!$A$6:$A$486,MATCH($C47,'[8]Link Out Monthly BY'!$C$6:$C$486,0),1),"")</f>
        <v/>
      </c>
      <c r="B47" s="1" t="str">
        <f>IFERROR(INDEX('[8]Link Out Monthly BY'!$B$6:$B$486,MATCH($C47,'[8]Link Out Monthly BY'!$C$6:$C$486,0),1),"")</f>
        <v/>
      </c>
      <c r="E47" s="1" t="str">
        <f>IFERROR(INDEX('[8]Link Out Monthly BY'!$D$6:$D$486,MATCH($C47,'[8]Link Out Monthly BY'!$C$6:$C$486,0),1),"")</f>
        <v/>
      </c>
      <c r="G47" s="1" t="str">
        <f>IFERROR(INDEX('[8]Link Out Monthly BY'!$E$6:$E$486,MATCH($C47,'[8]Link Out Monthly BY'!$C$6:$C$486,0),1),"")</f>
        <v/>
      </c>
      <c r="I47" s="14">
        <f>IFERROR(INDEX('[8]Link Out Monthly BY'!$R$6:$R$486,MATCH($C47,'[8]Link Out Monthly BY'!$C$6:$C$486,0),1),0)</f>
        <v>0</v>
      </c>
      <c r="K47" s="1" t="str">
        <f>IFERROR(INDEX('[8]Link Out Forecast'!$A$6:$A$250,MATCH($M47,'[8]Link Out Forecast'!$C$6:$C$250,0),1),"")</f>
        <v/>
      </c>
      <c r="L47" s="1" t="str">
        <f>IFERROR(INDEX('[8]Link Out Forecast'!$B$6:$B$250,MATCH($M47,'[8]Link Out Forecast'!$C$6:$C$250,0),1),"")</f>
        <v/>
      </c>
      <c r="N47" s="1" t="str">
        <f>IFERROR(INDEX('[8]Link Out Forecast'!$D$6:$D$250,MATCH($M47,'[8]Link Out Forecast'!$C$6:$C$250,0),1),"")</f>
        <v/>
      </c>
      <c r="O47" s="1" t="str">
        <f>IFERROR(INDEX('[8]Link Out Forecast'!$E$6:$E$250,MATCH($M47,'[8]Link Out Forecast'!$C$6:$C$250,0),1),"")</f>
        <v/>
      </c>
      <c r="P47" s="14" t="str">
        <f>IFERROR(INDEX('[8]Link Out Forecast'!$F$6:$F$250,MATCH($M47,'[8]Link Out Forecast'!$C$6:$C$250,0),1),"")</f>
        <v/>
      </c>
      <c r="Q47" s="14" t="str">
        <f>IFERROR(INDEX('[8]Link Out Forecast'!$G$6:$G$250,MATCH($M47,'[8]Link Out Forecast'!$C$6:$C$250,0),1),"")</f>
        <v/>
      </c>
      <c r="R47" s="14" t="str">
        <f>IFERROR(INDEX('[8]Link Out Forecast'!$H$6:$H$250,MATCH($M47,'[8]Link Out Forecast'!$C$6:$C$250,0),1),"")</f>
        <v/>
      </c>
      <c r="S47" s="14" t="str">
        <f>IFERROR(INDEX('[8]Link Out Forecast'!$I$6:$I$250,MATCH($M47,'[8]Link Out Forecast'!$C$6:$C$250,0),1),"")</f>
        <v/>
      </c>
      <c r="T47" s="14" t="str">
        <f>IFERROR(INDEX('[8]Link Out Forecast'!$J$6:$J$250,MATCH($M47,'[8]Link Out Forecast'!$C$6:$C$250,0),1),"")</f>
        <v/>
      </c>
      <c r="U47" s="14" t="str">
        <f>IFERROR(INDEX('[8]Link Out Forecast'!$K$6:$K$250,MATCH($M47,'[8]Link Out Forecast'!$C$6:$C$250,0),1),"")</f>
        <v/>
      </c>
      <c r="V47" s="14" t="str">
        <f>IFERROR(INDEX('[8]Link Out Forecast'!$L$6:$L$250,MATCH($M47,'[8]Link Out Forecast'!$C$6:$C$250,0),1),"")</f>
        <v/>
      </c>
      <c r="W47" s="14" t="str">
        <f>IFERROR(INDEX('[8]Link Out Forecast'!$M$6:$M$250,MATCH($M47,'[8]Link Out Forecast'!$C$6:$C$250,0),1),"")</f>
        <v/>
      </c>
      <c r="X47" s="14" t="str">
        <f>IFERROR(INDEX('[8]Link Out Forecast'!$N$6:$N$250,MATCH($M47,'[8]Link Out Forecast'!$C$6:$C$250,0),1),"")</f>
        <v/>
      </c>
      <c r="Y47" s="14" t="str">
        <f>IFERROR(INDEX('[8]Link Out Forecast'!$O$6:$O$250,MATCH($M47,'[8]Link Out Forecast'!$C$6:$C$250,0),1),"")</f>
        <v/>
      </c>
      <c r="Z47" s="14" t="str">
        <f>IFERROR(INDEX('[8]Link Out Forecast'!$P$6:$P$250,MATCH($M47,'[8]Link Out Forecast'!$C$6:$C$250,0),1),"")</f>
        <v/>
      </c>
      <c r="AA47" s="14" t="str">
        <f>IFERROR(INDEX('[8]Link Out Forecast'!$Q$6:$Q$250,MATCH($M47,'[8]Link Out Forecast'!$C$6:$C$250,0),1),"")</f>
        <v/>
      </c>
      <c r="AB47" s="14" t="str">
        <f>IFERROR(INDEX('[8]Link Out Forecast'!$R$6:$R$250,MATCH($M47,'[8]Link Out Forecast'!$C$6:$C$250,0),1),"")</f>
        <v/>
      </c>
    </row>
    <row r="48" spans="1:28" x14ac:dyDescent="0.3">
      <c r="B48" s="1"/>
      <c r="I48" s="14">
        <f>IFERROR(INDEX('[8]Link Out Monthly BY'!$R$6:$R$486,MATCH($C48,'[8]Link Out Monthly BY'!$C$6:$C$486,0),1),0)</f>
        <v>0</v>
      </c>
      <c r="K48" s="1" t="str">
        <f>IFERROR(INDEX('[8]Link Out Forecast'!$A$6:$A$250,MATCH($M48,'[8]Link Out Forecast'!$C$6:$C$250,0),1),"")</f>
        <v/>
      </c>
      <c r="L48" s="1" t="str">
        <f>IFERROR(INDEX('[8]Link Out Forecast'!$B$6:$B$250,MATCH($M48,'[8]Link Out Forecast'!$C$6:$C$250,0),1),"")</f>
        <v/>
      </c>
      <c r="N48" s="1" t="str">
        <f>IFERROR(INDEX('[8]Link Out Forecast'!$D$6:$D$250,MATCH($M48,'[8]Link Out Forecast'!$C$6:$C$250,0),1),"")</f>
        <v/>
      </c>
      <c r="O48" s="1" t="str">
        <f>IFERROR(INDEX('[8]Link Out Forecast'!$E$6:$E$250,MATCH($M48,'[8]Link Out Forecast'!$C$6:$C$250,0),1),"")</f>
        <v/>
      </c>
      <c r="P48" s="14" t="str">
        <f>IFERROR(INDEX('[8]Link Out Forecast'!$F$6:$F$250,MATCH($M48,'[8]Link Out Forecast'!$C$6:$C$250,0),1),"")</f>
        <v/>
      </c>
      <c r="Q48" s="14" t="str">
        <f>IFERROR(INDEX('[8]Link Out Forecast'!$G$6:$G$250,MATCH($M48,'[8]Link Out Forecast'!$C$6:$C$250,0),1),"")</f>
        <v/>
      </c>
      <c r="R48" s="14" t="str">
        <f>IFERROR(INDEX('[8]Link Out Forecast'!$H$6:$H$250,MATCH($M48,'[8]Link Out Forecast'!$C$6:$C$250,0),1),"")</f>
        <v/>
      </c>
      <c r="S48" s="14" t="str">
        <f>IFERROR(INDEX('[8]Link Out Forecast'!$I$6:$I$250,MATCH($M48,'[8]Link Out Forecast'!$C$6:$C$250,0),1),"")</f>
        <v/>
      </c>
      <c r="T48" s="14" t="str">
        <f>IFERROR(INDEX('[8]Link Out Forecast'!$J$6:$J$250,MATCH($M48,'[8]Link Out Forecast'!$C$6:$C$250,0),1),"")</f>
        <v/>
      </c>
      <c r="U48" s="14" t="str">
        <f>IFERROR(INDEX('[8]Link Out Forecast'!$K$6:$K$250,MATCH($M48,'[8]Link Out Forecast'!$C$6:$C$250,0),1),"")</f>
        <v/>
      </c>
      <c r="V48" s="14" t="str">
        <f>IFERROR(INDEX('[8]Link Out Forecast'!$L$6:$L$250,MATCH($M48,'[8]Link Out Forecast'!$C$6:$C$250,0),1),"")</f>
        <v/>
      </c>
      <c r="W48" s="14" t="str">
        <f>IFERROR(INDEX('[8]Link Out Forecast'!$M$6:$M$250,MATCH($M48,'[8]Link Out Forecast'!$C$6:$C$250,0),1),"")</f>
        <v/>
      </c>
      <c r="X48" s="14" t="str">
        <f>IFERROR(INDEX('[8]Link Out Forecast'!$N$6:$N$250,MATCH($M48,'[8]Link Out Forecast'!$C$6:$C$250,0),1),"")</f>
        <v/>
      </c>
      <c r="Y48" s="14" t="str">
        <f>IFERROR(INDEX('[8]Link Out Forecast'!$O$6:$O$250,MATCH($M48,'[8]Link Out Forecast'!$C$6:$C$250,0),1),"")</f>
        <v/>
      </c>
      <c r="Z48" s="14" t="str">
        <f>IFERROR(INDEX('[8]Link Out Forecast'!$P$6:$P$250,MATCH($M48,'[8]Link Out Forecast'!$C$6:$C$250,0),1),"")</f>
        <v/>
      </c>
      <c r="AA48" s="14" t="str">
        <f>IFERROR(INDEX('[8]Link Out Forecast'!$Q$6:$Q$250,MATCH($M48,'[8]Link Out Forecast'!$C$6:$C$250,0),1),"")</f>
        <v/>
      </c>
      <c r="AB48" s="14" t="str">
        <f>IFERROR(INDEX('[8]Link Out Forecast'!$R$6:$R$250,MATCH($M48,'[8]Link Out Forecast'!$C$6:$C$250,0),1),"")</f>
        <v/>
      </c>
    </row>
    <row r="49" spans="1:28" x14ac:dyDescent="0.3">
      <c r="B49" s="1"/>
      <c r="I49" s="14">
        <f>IFERROR(INDEX('[8]Link Out Monthly BY'!$R$6:$R$486,MATCH($C49,'[8]Link Out Monthly BY'!$C$6:$C$486,0),1),0)</f>
        <v>0</v>
      </c>
      <c r="K49" s="1" t="str">
        <f>IFERROR(INDEX('[8]Link Out Forecast'!$A$6:$A$250,MATCH($M49,'[8]Link Out Forecast'!$C$6:$C$250,0),1),"")</f>
        <v/>
      </c>
      <c r="L49" s="1" t="str">
        <f>IFERROR(INDEX('[8]Link Out Forecast'!$B$6:$B$250,MATCH($M49,'[8]Link Out Forecast'!$C$6:$C$250,0),1),"")</f>
        <v/>
      </c>
      <c r="N49" s="1" t="str">
        <f>IFERROR(INDEX('[8]Link Out Forecast'!$D$6:$D$250,MATCH($M49,'[8]Link Out Forecast'!$C$6:$C$250,0),1),"")</f>
        <v/>
      </c>
      <c r="O49" s="1" t="str">
        <f>IFERROR(INDEX('[8]Link Out Forecast'!$E$6:$E$250,MATCH($M49,'[8]Link Out Forecast'!$C$6:$C$250,0),1),"")</f>
        <v/>
      </c>
      <c r="P49" s="14" t="str">
        <f>IFERROR(INDEX('[8]Link Out Forecast'!$F$6:$F$250,MATCH($M49,'[8]Link Out Forecast'!$C$6:$C$250,0),1),"")</f>
        <v/>
      </c>
      <c r="Q49" s="14" t="str">
        <f>IFERROR(INDEX('[8]Link Out Forecast'!$G$6:$G$250,MATCH($M49,'[8]Link Out Forecast'!$C$6:$C$250,0),1),"")</f>
        <v/>
      </c>
      <c r="R49" s="14" t="str">
        <f>IFERROR(INDEX('[8]Link Out Forecast'!$H$6:$H$250,MATCH($M49,'[8]Link Out Forecast'!$C$6:$C$250,0),1),"")</f>
        <v/>
      </c>
      <c r="S49" s="14" t="str">
        <f>IFERROR(INDEX('[8]Link Out Forecast'!$I$6:$I$250,MATCH($M49,'[8]Link Out Forecast'!$C$6:$C$250,0),1),"")</f>
        <v/>
      </c>
      <c r="T49" s="14" t="str">
        <f>IFERROR(INDEX('[8]Link Out Forecast'!$J$6:$J$250,MATCH($M49,'[8]Link Out Forecast'!$C$6:$C$250,0),1),"")</f>
        <v/>
      </c>
      <c r="U49" s="14" t="str">
        <f>IFERROR(INDEX('[8]Link Out Forecast'!$K$6:$K$250,MATCH($M49,'[8]Link Out Forecast'!$C$6:$C$250,0),1),"")</f>
        <v/>
      </c>
      <c r="V49" s="14" t="str">
        <f>IFERROR(INDEX('[8]Link Out Forecast'!$L$6:$L$250,MATCH($M49,'[8]Link Out Forecast'!$C$6:$C$250,0),1),"")</f>
        <v/>
      </c>
      <c r="W49" s="14" t="str">
        <f>IFERROR(INDEX('[8]Link Out Forecast'!$M$6:$M$250,MATCH($M49,'[8]Link Out Forecast'!$C$6:$C$250,0),1),"")</f>
        <v/>
      </c>
      <c r="X49" s="14" t="str">
        <f>IFERROR(INDEX('[8]Link Out Forecast'!$N$6:$N$250,MATCH($M49,'[8]Link Out Forecast'!$C$6:$C$250,0),1),"")</f>
        <v/>
      </c>
      <c r="Y49" s="14" t="str">
        <f>IFERROR(INDEX('[8]Link Out Forecast'!$O$6:$O$250,MATCH($M49,'[8]Link Out Forecast'!$C$6:$C$250,0),1),"")</f>
        <v/>
      </c>
      <c r="Z49" s="14" t="str">
        <f>IFERROR(INDEX('[8]Link Out Forecast'!$P$6:$P$250,MATCH($M49,'[8]Link Out Forecast'!$C$6:$C$250,0),1),"")</f>
        <v/>
      </c>
      <c r="AA49" s="14" t="str">
        <f>IFERROR(INDEX('[8]Link Out Forecast'!$Q$6:$Q$250,MATCH($M49,'[8]Link Out Forecast'!$C$6:$C$250,0),1),"")</f>
        <v/>
      </c>
      <c r="AB49" s="14" t="str">
        <f>IFERROR(INDEX('[8]Link Out Forecast'!$R$6:$R$250,MATCH($M49,'[8]Link Out Forecast'!$C$6:$C$250,0),1),"")</f>
        <v/>
      </c>
    </row>
    <row r="50" spans="1:28" x14ac:dyDescent="0.3">
      <c r="A50" s="1" t="str">
        <f>IFERROR(INDEX('[8]Link Out Monthly BY'!$A$6:$A$486,MATCH($C50,'[8]Link Out Monthly BY'!$C$6:$C$486,0),1),"")</f>
        <v/>
      </c>
      <c r="B50" s="1" t="str">
        <f>IFERROR(INDEX('[8]Link Out Monthly BY'!$B$6:$B$486,MATCH($C50,'[8]Link Out Monthly BY'!$C$6:$C$486,0),1),"")</f>
        <v/>
      </c>
      <c r="E50" s="1" t="str">
        <f>IFERROR(INDEX('[8]Link Out Monthly BY'!$D$6:$D$486,MATCH($C50,'[8]Link Out Monthly BY'!$C$6:$C$486,0),1),"")</f>
        <v/>
      </c>
      <c r="G50" s="1" t="str">
        <f>IFERROR(INDEX('[8]Link Out Monthly BY'!$E$6:$E$486,MATCH($C50,'[8]Link Out Monthly BY'!$C$6:$C$486,0),1),"")</f>
        <v/>
      </c>
      <c r="I50" s="14">
        <f>IFERROR(INDEX('[8]Link Out Monthly BY'!$R$6:$R$486,MATCH($C50,'[8]Link Out Monthly BY'!$C$6:$C$486,0),1),0)</f>
        <v>0</v>
      </c>
      <c r="K50" s="1" t="str">
        <f>IFERROR(INDEX('[8]Link Out Forecast'!$A$6:$A$250,MATCH($M50,'[8]Link Out Forecast'!$C$6:$C$250,0),1),"")</f>
        <v/>
      </c>
      <c r="L50" s="1" t="str">
        <f>IFERROR(INDEX('[8]Link Out Forecast'!$B$6:$B$250,MATCH($M50,'[8]Link Out Forecast'!$C$6:$C$250,0),1),"")</f>
        <v/>
      </c>
      <c r="N50" s="1" t="str">
        <f>IFERROR(INDEX('[8]Link Out Forecast'!$D$6:$D$250,MATCH($M50,'[8]Link Out Forecast'!$C$6:$C$250,0),1),"")</f>
        <v/>
      </c>
      <c r="O50" s="1" t="str">
        <f>IFERROR(INDEX('[8]Link Out Forecast'!$E$6:$E$250,MATCH($M50,'[8]Link Out Forecast'!$C$6:$C$250,0),1),"")</f>
        <v/>
      </c>
      <c r="P50" s="14" t="str">
        <f>IFERROR(INDEX('[8]Link Out Forecast'!$F$6:$F$250,MATCH($M50,'[8]Link Out Forecast'!$C$6:$C$250,0),1),"")</f>
        <v/>
      </c>
      <c r="Q50" s="14" t="str">
        <f>IFERROR(INDEX('[8]Link Out Forecast'!$G$6:$G$250,MATCH($M50,'[8]Link Out Forecast'!$C$6:$C$250,0),1),"")</f>
        <v/>
      </c>
      <c r="R50" s="14" t="str">
        <f>IFERROR(INDEX('[8]Link Out Forecast'!$H$6:$H$250,MATCH($M50,'[8]Link Out Forecast'!$C$6:$C$250,0),1),"")</f>
        <v/>
      </c>
      <c r="S50" s="14" t="str">
        <f>IFERROR(INDEX('[8]Link Out Forecast'!$I$6:$I$250,MATCH($M50,'[8]Link Out Forecast'!$C$6:$C$250,0),1),"")</f>
        <v/>
      </c>
      <c r="T50" s="14" t="str">
        <f>IFERROR(INDEX('[8]Link Out Forecast'!$J$6:$J$250,MATCH($M50,'[8]Link Out Forecast'!$C$6:$C$250,0),1),"")</f>
        <v/>
      </c>
      <c r="U50" s="14" t="str">
        <f>IFERROR(INDEX('[8]Link Out Forecast'!$K$6:$K$250,MATCH($M50,'[8]Link Out Forecast'!$C$6:$C$250,0),1),"")</f>
        <v/>
      </c>
      <c r="V50" s="14" t="str">
        <f>IFERROR(INDEX('[8]Link Out Forecast'!$L$6:$L$250,MATCH($M50,'[8]Link Out Forecast'!$C$6:$C$250,0),1),"")</f>
        <v/>
      </c>
      <c r="W50" s="14" t="str">
        <f>IFERROR(INDEX('[8]Link Out Forecast'!$M$6:$M$250,MATCH($M50,'[8]Link Out Forecast'!$C$6:$C$250,0),1),"")</f>
        <v/>
      </c>
      <c r="X50" s="14" t="str">
        <f>IFERROR(INDEX('[8]Link Out Forecast'!$N$6:$N$250,MATCH($M50,'[8]Link Out Forecast'!$C$6:$C$250,0),1),"")</f>
        <v/>
      </c>
      <c r="Y50" s="14" t="str">
        <f>IFERROR(INDEX('[8]Link Out Forecast'!$O$6:$O$250,MATCH($M50,'[8]Link Out Forecast'!$C$6:$C$250,0),1),"")</f>
        <v/>
      </c>
      <c r="Z50" s="14" t="str">
        <f>IFERROR(INDEX('[8]Link Out Forecast'!$P$6:$P$250,MATCH($M50,'[8]Link Out Forecast'!$C$6:$C$250,0),1),"")</f>
        <v/>
      </c>
      <c r="AA50" s="14" t="str">
        <f>IFERROR(INDEX('[8]Link Out Forecast'!$Q$6:$Q$250,MATCH($M50,'[8]Link Out Forecast'!$C$6:$C$250,0),1),"")</f>
        <v/>
      </c>
      <c r="AB50" s="14" t="str">
        <f>IFERROR(INDEX('[8]Link Out Forecast'!$R$6:$R$250,MATCH($M50,'[8]Link Out Forecast'!$C$6:$C$250,0),1),"")</f>
        <v/>
      </c>
    </row>
    <row r="51" spans="1:28" x14ac:dyDescent="0.3">
      <c r="A51" s="1" t="str">
        <f>IFERROR(INDEX('[8]Link Out Monthly BY'!$A$6:$A$486,MATCH($C51,'[8]Link Out Monthly BY'!$C$6:$C$486,0),1),"")</f>
        <v/>
      </c>
      <c r="B51" s="1" t="str">
        <f>IFERROR(INDEX('[8]Link Out Monthly BY'!$B$6:$B$486,MATCH($C51,'[8]Link Out Monthly BY'!$C$6:$C$486,0),1),"")</f>
        <v/>
      </c>
      <c r="E51" s="1" t="str">
        <f>IFERROR(INDEX('[8]Link Out Monthly BY'!$D$6:$D$486,MATCH($C51,'[8]Link Out Monthly BY'!$C$6:$C$486,0),1),"")</f>
        <v/>
      </c>
      <c r="G51" s="1" t="str">
        <f>IFERROR(INDEX('[8]Link Out Monthly BY'!$E$6:$E$486,MATCH($C51,'[8]Link Out Monthly BY'!$C$6:$C$486,0),1),"")</f>
        <v/>
      </c>
      <c r="I51" s="14">
        <f>IFERROR(INDEX('[8]Link Out Monthly BY'!$R$6:$R$486,MATCH($C51,'[8]Link Out Monthly BY'!$C$6:$C$486,0),1),0)</f>
        <v>0</v>
      </c>
      <c r="K51" s="1" t="str">
        <f>IFERROR(INDEX('[8]Link Out Forecast'!$A$6:$A$250,MATCH($M51,'[8]Link Out Forecast'!$C$6:$C$250,0),1),"")</f>
        <v/>
      </c>
      <c r="L51" s="1" t="str">
        <f>IFERROR(INDEX('[8]Link Out Forecast'!$B$6:$B$250,MATCH($M51,'[8]Link Out Forecast'!$C$6:$C$250,0),1),"")</f>
        <v/>
      </c>
      <c r="N51" s="1" t="str">
        <f>IFERROR(INDEX('[8]Link Out Forecast'!$D$6:$D$250,MATCH($M51,'[8]Link Out Forecast'!$C$6:$C$250,0),1),"")</f>
        <v/>
      </c>
      <c r="O51" s="1" t="str">
        <f>IFERROR(INDEX('[8]Link Out Forecast'!$E$6:$E$250,MATCH($M51,'[8]Link Out Forecast'!$C$6:$C$250,0),1),"")</f>
        <v/>
      </c>
      <c r="P51" s="14" t="str">
        <f>IFERROR(INDEX('[8]Link Out Forecast'!$F$6:$F$250,MATCH($M51,'[8]Link Out Forecast'!$C$6:$C$250,0),1),"")</f>
        <v/>
      </c>
      <c r="Q51" s="14" t="str">
        <f>IFERROR(INDEX('[8]Link Out Forecast'!$G$6:$G$250,MATCH($M51,'[8]Link Out Forecast'!$C$6:$C$250,0),1),"")</f>
        <v/>
      </c>
      <c r="R51" s="14" t="str">
        <f>IFERROR(INDEX('[8]Link Out Forecast'!$H$6:$H$250,MATCH($M51,'[8]Link Out Forecast'!$C$6:$C$250,0),1),"")</f>
        <v/>
      </c>
      <c r="S51" s="14" t="str">
        <f>IFERROR(INDEX('[8]Link Out Forecast'!$I$6:$I$250,MATCH($M51,'[8]Link Out Forecast'!$C$6:$C$250,0),1),"")</f>
        <v/>
      </c>
      <c r="T51" s="14" t="str">
        <f>IFERROR(INDEX('[8]Link Out Forecast'!$J$6:$J$250,MATCH($M51,'[8]Link Out Forecast'!$C$6:$C$250,0),1),"")</f>
        <v/>
      </c>
      <c r="U51" s="14" t="str">
        <f>IFERROR(INDEX('[8]Link Out Forecast'!$K$6:$K$250,MATCH($M51,'[8]Link Out Forecast'!$C$6:$C$250,0),1),"")</f>
        <v/>
      </c>
      <c r="V51" s="14" t="str">
        <f>IFERROR(INDEX('[8]Link Out Forecast'!$L$6:$L$250,MATCH($M51,'[8]Link Out Forecast'!$C$6:$C$250,0),1),"")</f>
        <v/>
      </c>
      <c r="W51" s="14" t="str">
        <f>IFERROR(INDEX('[8]Link Out Forecast'!$M$6:$M$250,MATCH($M51,'[8]Link Out Forecast'!$C$6:$C$250,0),1),"")</f>
        <v/>
      </c>
      <c r="X51" s="14" t="str">
        <f>IFERROR(INDEX('[8]Link Out Forecast'!$N$6:$N$250,MATCH($M51,'[8]Link Out Forecast'!$C$6:$C$250,0),1),"")</f>
        <v/>
      </c>
      <c r="Y51" s="14" t="str">
        <f>IFERROR(INDEX('[8]Link Out Forecast'!$O$6:$O$250,MATCH($M51,'[8]Link Out Forecast'!$C$6:$C$250,0),1),"")</f>
        <v/>
      </c>
      <c r="Z51" s="14" t="str">
        <f>IFERROR(INDEX('[8]Link Out Forecast'!$P$6:$P$250,MATCH($M51,'[8]Link Out Forecast'!$C$6:$C$250,0),1),"")</f>
        <v/>
      </c>
      <c r="AA51" s="14" t="str">
        <f>IFERROR(INDEX('[8]Link Out Forecast'!$Q$6:$Q$250,MATCH($M51,'[8]Link Out Forecast'!$C$6:$C$250,0),1),"")</f>
        <v/>
      </c>
      <c r="AB51" s="14" t="str">
        <f>IFERROR(INDEX('[8]Link Out Forecast'!$R$6:$R$250,MATCH($M51,'[8]Link Out Forecast'!$C$6:$C$250,0),1),"")</f>
        <v/>
      </c>
    </row>
    <row r="52" spans="1:28" ht="15" thickBot="1" x14ac:dyDescent="0.35">
      <c r="E52" s="1" t="s">
        <v>9</v>
      </c>
      <c r="I52" s="16">
        <f>SUM(I31:I51)</f>
        <v>9384894</v>
      </c>
      <c r="K52" s="1" t="s">
        <v>203</v>
      </c>
      <c r="L52" s="1" t="s">
        <v>203</v>
      </c>
      <c r="N52" s="1" t="s">
        <v>9</v>
      </c>
      <c r="P52" s="16">
        <f t="shared" ref="P52:AB52" si="0">SUM(P31:P51)</f>
        <v>808330</v>
      </c>
      <c r="Q52" s="16">
        <f t="shared" si="0"/>
        <v>783918</v>
      </c>
      <c r="R52" s="16">
        <f t="shared" si="0"/>
        <v>892681</v>
      </c>
      <c r="S52" s="16">
        <f t="shared" si="0"/>
        <v>808313</v>
      </c>
      <c r="T52" s="16">
        <f t="shared" si="0"/>
        <v>758446</v>
      </c>
      <c r="U52" s="16">
        <f t="shared" si="0"/>
        <v>888568</v>
      </c>
      <c r="V52" s="16">
        <f t="shared" si="0"/>
        <v>837687</v>
      </c>
      <c r="W52" s="16">
        <f t="shared" si="0"/>
        <v>764992</v>
      </c>
      <c r="X52" s="16">
        <f t="shared" si="0"/>
        <v>899823</v>
      </c>
      <c r="Y52" s="16">
        <f t="shared" si="0"/>
        <v>820777</v>
      </c>
      <c r="Z52" s="16">
        <f t="shared" si="0"/>
        <v>828684</v>
      </c>
      <c r="AA52" s="16">
        <f t="shared" si="0"/>
        <v>891880</v>
      </c>
      <c r="AB52" s="16">
        <f t="shared" si="0"/>
        <v>9984099</v>
      </c>
    </row>
    <row r="53" spans="1:28" ht="15" thickTop="1" x14ac:dyDescent="0.3"/>
    <row r="57" spans="1:28" ht="15" thickBot="1" x14ac:dyDescent="0.35"/>
    <row r="58" spans="1:28" x14ac:dyDescent="0.3">
      <c r="A58" s="162" t="str">
        <f>'[8]Rate Case Constants'!$A$47</f>
        <v>Total Water Customers</v>
      </c>
      <c r="B58" s="153"/>
      <c r="C58" s="154"/>
      <c r="D58"/>
      <c r="E58"/>
      <c r="F58"/>
      <c r="G58"/>
      <c r="H58"/>
      <c r="I58"/>
      <c r="J58"/>
      <c r="K58"/>
      <c r="L58"/>
    </row>
    <row r="59" spans="1:28" x14ac:dyDescent="0.3">
      <c r="A59" s="147" t="str">
        <f>'[8]Rate Case Constants'!$A$48</f>
        <v>Average - July 2019-June 2020</v>
      </c>
      <c r="B59" s="155">
        <f>'[8]Rate Case Constants'!$C$48</f>
        <v>133284</v>
      </c>
      <c r="C59" s="156"/>
      <c r="D59"/>
      <c r="E59"/>
      <c r="F59"/>
      <c r="G59"/>
      <c r="H59"/>
      <c r="I59"/>
      <c r="J59"/>
      <c r="K59"/>
      <c r="L59"/>
    </row>
    <row r="60" spans="1:28" x14ac:dyDescent="0.3">
      <c r="A60" s="147" t="str">
        <f>'[8]Rate Case Constants'!$A$49</f>
        <v>Wastewater as of 8/31/18</v>
      </c>
      <c r="B60" s="155">
        <f>'[8]Rate Case Constants'!$C$49</f>
        <v>695</v>
      </c>
      <c r="C60" s="156"/>
      <c r="D60"/>
      <c r="E60"/>
      <c r="F60"/>
      <c r="G60"/>
      <c r="H60"/>
      <c r="I60"/>
      <c r="J60"/>
      <c r="K60"/>
      <c r="L60"/>
    </row>
    <row r="61" spans="1:28" x14ac:dyDescent="0.3">
      <c r="A61" s="147" t="str">
        <f>'[8]Rate Case Constants'!$A$50</f>
        <v>Total Customers</v>
      </c>
      <c r="B61" s="155">
        <f>'[8]Rate Case Constants'!$C$50</f>
        <v>133979</v>
      </c>
      <c r="C61" s="156"/>
      <c r="D61"/>
      <c r="E61"/>
      <c r="F61"/>
      <c r="G61"/>
      <c r="H61"/>
      <c r="I61"/>
      <c r="J61"/>
      <c r="K61"/>
      <c r="L61"/>
    </row>
    <row r="62" spans="1:28" x14ac:dyDescent="0.3">
      <c r="A62" s="147" t="str">
        <f>'[8]Rate Case Constants'!$A$51</f>
        <v>Less Dual</v>
      </c>
      <c r="B62" s="155">
        <f>'[8]Rate Case Constants'!$C$51</f>
        <v>-550</v>
      </c>
      <c r="C62" s="156"/>
      <c r="D62"/>
      <c r="E62"/>
      <c r="F62"/>
      <c r="G62"/>
      <c r="H62"/>
      <c r="I62"/>
      <c r="J62"/>
      <c r="K62"/>
      <c r="L62"/>
    </row>
    <row r="63" spans="1:28" ht="15" thickBot="1" x14ac:dyDescent="0.35">
      <c r="A63" s="147"/>
      <c r="B63" s="161">
        <f>'[8]Rate Case Constants'!$C$52</f>
        <v>133429</v>
      </c>
      <c r="C63" s="156"/>
      <c r="D63"/>
      <c r="E63"/>
      <c r="F63"/>
      <c r="G63"/>
      <c r="H63"/>
      <c r="I63"/>
      <c r="J63"/>
      <c r="K63"/>
      <c r="L63"/>
    </row>
    <row r="64" spans="1:28" ht="15" thickTop="1" x14ac:dyDescent="0.3">
      <c r="A64" s="147"/>
      <c r="B64" s="157"/>
      <c r="C64" s="156"/>
      <c r="D64"/>
      <c r="E64"/>
      <c r="F64"/>
      <c r="G64"/>
      <c r="H64"/>
      <c r="I64"/>
      <c r="J64"/>
      <c r="K64"/>
      <c r="L64"/>
    </row>
    <row r="65" spans="1:12" x14ac:dyDescent="0.3">
      <c r="A65" s="147"/>
      <c r="B65" s="157"/>
      <c r="C65" s="156"/>
      <c r="D65"/>
      <c r="E65"/>
      <c r="F65"/>
      <c r="G65"/>
      <c r="H65"/>
      <c r="I65"/>
      <c r="J65"/>
      <c r="K65"/>
      <c r="L65"/>
    </row>
    <row r="66" spans="1:12" x14ac:dyDescent="0.3">
      <c r="A66" s="147" t="str">
        <f>'[8]Rate Case Constants'!$A$54</f>
        <v>Water Percentage</v>
      </c>
      <c r="B66" s="158">
        <f>'[8]Rate Case Constants'!$C$54</f>
        <v>0.99891327972179966</v>
      </c>
      <c r="C66" s="156"/>
      <c r="D66"/>
      <c r="E66"/>
      <c r="F66"/>
      <c r="G66"/>
      <c r="H66"/>
      <c r="I66"/>
      <c r="J66"/>
      <c r="K66"/>
      <c r="L66"/>
    </row>
    <row r="67" spans="1:12" x14ac:dyDescent="0.3">
      <c r="A67" s="147" t="str">
        <f>'[8]Rate Case Constants'!$A$55</f>
        <v>Wastewater Percentage</v>
      </c>
      <c r="B67" s="158">
        <f>'[8]Rate Case Constants'!$C$55</f>
        <v>1.0867202782003371E-3</v>
      </c>
      <c r="C67" s="156"/>
      <c r="D67"/>
      <c r="E67"/>
      <c r="F67"/>
      <c r="G67"/>
      <c r="H67"/>
      <c r="I67"/>
      <c r="J67"/>
      <c r="K67"/>
      <c r="L67"/>
    </row>
    <row r="68" spans="1:12" ht="15" thickBot="1" x14ac:dyDescent="0.35">
      <c r="A68" s="148"/>
      <c r="B68" s="159"/>
      <c r="C68" s="160"/>
      <c r="D68"/>
      <c r="E68"/>
      <c r="F68"/>
      <c r="G68"/>
      <c r="H68"/>
      <c r="I68"/>
      <c r="J68"/>
      <c r="K68"/>
      <c r="L68"/>
    </row>
    <row r="69" spans="1:12" x14ac:dyDescent="0.3">
      <c r="B69"/>
      <c r="C69"/>
      <c r="D69"/>
      <c r="E69"/>
      <c r="F69"/>
      <c r="G69"/>
      <c r="H69"/>
      <c r="I69"/>
      <c r="J69"/>
      <c r="K69"/>
      <c r="L69"/>
    </row>
    <row r="70" spans="1:12" x14ac:dyDescent="0.3">
      <c r="B70"/>
      <c r="C70"/>
      <c r="D70"/>
      <c r="E70"/>
      <c r="F70"/>
      <c r="G70"/>
      <c r="H70"/>
      <c r="I70"/>
      <c r="J70"/>
      <c r="K70"/>
      <c r="L70"/>
    </row>
    <row r="71" spans="1:12" x14ac:dyDescent="0.3">
      <c r="B71"/>
      <c r="C71"/>
      <c r="D71"/>
      <c r="E71"/>
      <c r="F71"/>
      <c r="G71"/>
      <c r="H71"/>
      <c r="I71"/>
      <c r="J71"/>
      <c r="K71"/>
      <c r="L71"/>
    </row>
    <row r="72" spans="1:12" x14ac:dyDescent="0.3">
      <c r="B72"/>
      <c r="C72"/>
      <c r="D72"/>
      <c r="E72"/>
      <c r="F72"/>
      <c r="G72"/>
      <c r="H72"/>
      <c r="I72"/>
      <c r="J72"/>
      <c r="K72"/>
      <c r="L72"/>
    </row>
    <row r="73" spans="1:12" x14ac:dyDescent="0.3">
      <c r="B73"/>
      <c r="C73"/>
      <c r="D73"/>
      <c r="E73"/>
      <c r="F73"/>
      <c r="G73"/>
      <c r="H73"/>
      <c r="I73"/>
      <c r="J73"/>
      <c r="K73"/>
      <c r="L73"/>
    </row>
    <row r="74" spans="1:12" x14ac:dyDescent="0.3">
      <c r="B74"/>
      <c r="C74"/>
      <c r="D74"/>
      <c r="E74"/>
      <c r="F74"/>
      <c r="G74"/>
      <c r="H74"/>
      <c r="I74"/>
      <c r="J74"/>
      <c r="K74"/>
      <c r="L74"/>
    </row>
    <row r="75" spans="1:12" x14ac:dyDescent="0.3">
      <c r="B75"/>
      <c r="C75"/>
      <c r="D75"/>
      <c r="E75"/>
      <c r="F75"/>
      <c r="G75"/>
      <c r="H75"/>
      <c r="I75"/>
      <c r="J75"/>
      <c r="K75"/>
      <c r="L75"/>
    </row>
    <row r="76" spans="1:12" x14ac:dyDescent="0.3">
      <c r="B76"/>
      <c r="C76"/>
      <c r="D76"/>
      <c r="E76"/>
      <c r="F76"/>
      <c r="G76"/>
      <c r="H76"/>
      <c r="I76"/>
      <c r="J76"/>
      <c r="K76"/>
      <c r="L76"/>
    </row>
    <row r="77" spans="1:12" x14ac:dyDescent="0.3">
      <c r="B77"/>
      <c r="C77"/>
      <c r="D77"/>
      <c r="E77"/>
      <c r="F77"/>
      <c r="G77"/>
      <c r="H77"/>
      <c r="I77"/>
      <c r="J77"/>
      <c r="K77"/>
      <c r="L77"/>
    </row>
    <row r="78" spans="1:12" x14ac:dyDescent="0.3">
      <c r="B78"/>
      <c r="C78"/>
      <c r="D78"/>
      <c r="E78"/>
      <c r="F78"/>
      <c r="G78"/>
      <c r="H78"/>
      <c r="I78"/>
      <c r="J78"/>
      <c r="K78"/>
      <c r="L78"/>
    </row>
    <row r="79" spans="1:12" x14ac:dyDescent="0.3">
      <c r="B79"/>
      <c r="C79"/>
      <c r="D79"/>
      <c r="E79"/>
      <c r="F79"/>
      <c r="G79"/>
      <c r="H79"/>
      <c r="I79"/>
      <c r="J79"/>
      <c r="K79"/>
      <c r="L79"/>
    </row>
    <row r="80" spans="1:12" x14ac:dyDescent="0.3">
      <c r="I80"/>
    </row>
    <row r="81" spans="9:9" x14ac:dyDescent="0.3">
      <c r="I81"/>
    </row>
    <row r="82" spans="9:9" x14ac:dyDescent="0.3">
      <c r="I82"/>
    </row>
    <row r="83" spans="9:9" x14ac:dyDescent="0.3">
      <c r="I83"/>
    </row>
  </sheetData>
  <printOptions horizontalCentered="1" verticalCentered="1"/>
  <pageMargins left="0.75" right="0.75" top="0.75" bottom="0.75" header="0.3" footer="0.3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workbookViewId="0"/>
  </sheetViews>
  <sheetFormatPr defaultColWidth="9.109375" defaultRowHeight="14.4" x14ac:dyDescent="0.3"/>
  <cols>
    <col min="1" max="1" width="11.6640625" style="1" customWidth="1"/>
    <col min="2" max="2" width="22.6640625" style="1" customWidth="1"/>
    <col min="3" max="3" width="21.88671875" style="1" bestFit="1" customWidth="1"/>
    <col min="4" max="6" width="18.6640625" style="1" customWidth="1"/>
    <col min="7" max="16384" width="9.109375" style="1"/>
  </cols>
  <sheetData>
    <row r="1" spans="1:7" ht="55.2" customHeight="1" x14ac:dyDescent="0.3">
      <c r="A1" s="17" t="s">
        <v>10</v>
      </c>
      <c r="B1" s="17" t="s">
        <v>11</v>
      </c>
      <c r="C1" s="17" t="s">
        <v>12</v>
      </c>
      <c r="D1" s="18" t="str">
        <f>'Link In'!C7</f>
        <v>Base Year for the 12 Months Ended 2/28/19</v>
      </c>
      <c r="E1" s="19" t="s">
        <v>13</v>
      </c>
      <c r="F1" s="19" t="s">
        <v>14</v>
      </c>
    </row>
    <row r="2" spans="1:7" x14ac:dyDescent="0.3">
      <c r="A2" s="20"/>
    </row>
    <row r="3" spans="1:7" ht="15" thickBot="1" x14ac:dyDescent="0.35">
      <c r="A3" s="20" t="str">
        <f>'Link In'!A31</f>
        <v>P22</v>
      </c>
      <c r="B3" s="1" t="str">
        <f>'Link In'!A22</f>
        <v>Support Services</v>
      </c>
      <c r="C3" s="1" t="str">
        <f>'Link In'!A26</f>
        <v>Schedule D-2.3</v>
      </c>
      <c r="D3" s="163">
        <f>Exhibit!C15</f>
        <v>9384894</v>
      </c>
      <c r="E3" s="164">
        <f>Exhibit!E28</f>
        <v>334123.9872512829</v>
      </c>
      <c r="F3" s="164">
        <f>Exhibit!E31</f>
        <v>9719017.9872512836</v>
      </c>
    </row>
    <row r="4" spans="1:7" ht="15" thickTop="1" x14ac:dyDescent="0.3">
      <c r="A4" s="20"/>
    </row>
    <row r="5" spans="1:7" x14ac:dyDescent="0.3">
      <c r="A5" s="20"/>
      <c r="F5"/>
      <c r="G5"/>
    </row>
    <row r="6" spans="1:7" x14ac:dyDescent="0.3">
      <c r="A6" s="20"/>
    </row>
    <row r="7" spans="1:7" x14ac:dyDescent="0.3">
      <c r="A7" s="21" t="s">
        <v>15</v>
      </c>
      <c r="D7" s="15" t="s">
        <v>16</v>
      </c>
    </row>
    <row r="8" spans="1:7" x14ac:dyDescent="0.3">
      <c r="A8" s="22">
        <f>'Summary by Account'!A14</f>
        <v>53401000</v>
      </c>
      <c r="B8" s="23" t="str">
        <f>'Summary by Account'!B14</f>
        <v>AWWSC Labor OPEX</v>
      </c>
      <c r="C8" s="20"/>
      <c r="D8" s="166">
        <f>'Summary by Account'!E14</f>
        <v>4948550</v>
      </c>
    </row>
    <row r="9" spans="1:7" x14ac:dyDescent="0.3">
      <c r="A9" s="22">
        <f>'Summary by Account'!A15</f>
        <v>53401100</v>
      </c>
      <c r="B9" s="23" t="str">
        <f>'Summary by Account'!B15</f>
        <v>AWWSC Pension OPEX</v>
      </c>
      <c r="C9" s="20"/>
      <c r="D9" s="165">
        <f>'Summary by Account'!E15</f>
        <v>310013</v>
      </c>
    </row>
    <row r="10" spans="1:7" x14ac:dyDescent="0.3">
      <c r="A10" s="22">
        <f>'Summary by Account'!A16</f>
        <v>53401200</v>
      </c>
      <c r="B10" s="23" t="str">
        <f>'Summary by Account'!B16</f>
        <v>AWWSC Group Ins OPEX</v>
      </c>
      <c r="C10" s="20"/>
      <c r="D10" s="165">
        <f>'Summary by Account'!E16</f>
        <v>600594</v>
      </c>
    </row>
    <row r="11" spans="1:7" x14ac:dyDescent="0.3">
      <c r="A11" s="22">
        <f>'Summary by Account'!A17</f>
        <v>53401300</v>
      </c>
      <c r="B11" s="23" t="str">
        <f>'Summary by Account'!B17</f>
        <v>AWWSC Other Ben OPEX</v>
      </c>
      <c r="C11" s="20"/>
      <c r="D11" s="165">
        <f>'Summary by Account'!E17</f>
        <v>406041</v>
      </c>
    </row>
    <row r="12" spans="1:7" x14ac:dyDescent="0.3">
      <c r="A12" s="22">
        <f>'Summary by Account'!A18</f>
        <v>53401400</v>
      </c>
      <c r="B12" s="23" t="str">
        <f>'Summary by Account'!B18</f>
        <v>AWWSC Cont Svcs OPEX</v>
      </c>
      <c r="C12" s="20"/>
      <c r="D12" s="165">
        <f>'Summary by Account'!E18</f>
        <v>723029</v>
      </c>
    </row>
    <row r="13" spans="1:7" x14ac:dyDescent="0.3">
      <c r="A13" s="22">
        <f>'Summary by Account'!A19</f>
        <v>53401500</v>
      </c>
      <c r="B13" s="23" t="str">
        <f>'Summary by Account'!B19</f>
        <v>AWWSC Off Suppl OPEX</v>
      </c>
      <c r="C13" s="20"/>
      <c r="D13" s="165">
        <f>'Summary by Account'!E19</f>
        <v>446843</v>
      </c>
    </row>
    <row r="14" spans="1:7" x14ac:dyDescent="0.3">
      <c r="A14" s="22">
        <f>'Summary by Account'!A20</f>
        <v>53401600</v>
      </c>
      <c r="B14" s="23" t="str">
        <f>'Summary by Account'!B20</f>
        <v>AWWSC Transportaion</v>
      </c>
      <c r="C14" s="20"/>
      <c r="D14" s="165">
        <f>'Summary by Account'!E20</f>
        <v>67895</v>
      </c>
    </row>
    <row r="15" spans="1:7" x14ac:dyDescent="0.3">
      <c r="A15" s="22">
        <f>'Summary by Account'!A21</f>
        <v>53401700</v>
      </c>
      <c r="B15" s="23" t="str">
        <f>'Summary by Account'!B21</f>
        <v>AWWSC Rents OPEX</v>
      </c>
      <c r="C15" s="20"/>
      <c r="D15" s="165">
        <f>'Summary by Account'!E21</f>
        <v>373036</v>
      </c>
    </row>
    <row r="16" spans="1:7" x14ac:dyDescent="0.3">
      <c r="A16" s="22">
        <f>'Summary by Account'!A22</f>
        <v>53401800</v>
      </c>
      <c r="B16" s="23" t="str">
        <f>'Summary by Account'!B22</f>
        <v>AWWSC Other operting supplies</v>
      </c>
      <c r="C16" s="20"/>
      <c r="D16" s="165">
        <f>'Summary by Account'!E22</f>
        <v>106333</v>
      </c>
    </row>
    <row r="17" spans="1:5" x14ac:dyDescent="0.3">
      <c r="A17" s="22">
        <f>'Summary by Account'!A23</f>
        <v>53401900</v>
      </c>
      <c r="B17" s="23" t="str">
        <f>'Summary by Account'!B23</f>
        <v>AWWSC Maint OPEX</v>
      </c>
      <c r="C17" s="20"/>
      <c r="D17" s="165">
        <f>'Summary by Account'!E23</f>
        <v>237432</v>
      </c>
    </row>
    <row r="18" spans="1:5" x14ac:dyDescent="0.3">
      <c r="A18" s="22">
        <f>'Summary by Account'!A24</f>
        <v>53402100</v>
      </c>
      <c r="B18" s="23" t="str">
        <f>'Summary by Account'!B24</f>
        <v>AWWSC Oth O&amp;M OPEX</v>
      </c>
      <c r="C18" s="20"/>
      <c r="D18" s="165">
        <f>'Summary by Account'!E24</f>
        <v>284200</v>
      </c>
    </row>
    <row r="19" spans="1:5" x14ac:dyDescent="0.3">
      <c r="A19" s="22">
        <f>'Summary by Account'!A25</f>
        <v>53402200</v>
      </c>
      <c r="B19" s="23" t="str">
        <f>'Summary by Account'!B25</f>
        <v>AWWSC Dpr/Amrt OPEX</v>
      </c>
      <c r="C19" s="20"/>
      <c r="D19" s="165">
        <f>'Summary by Account'!E25</f>
        <v>847791</v>
      </c>
    </row>
    <row r="20" spans="1:5" x14ac:dyDescent="0.3">
      <c r="A20" s="22">
        <f>'Summary by Account'!A26</f>
        <v>53402300</v>
      </c>
      <c r="B20" s="23" t="str">
        <f>'Summary by Account'!B26</f>
        <v>AWWSC Gen Tax OPEX</v>
      </c>
      <c r="C20" s="20"/>
      <c r="D20" s="165">
        <f>'Summary by Account'!E26</f>
        <v>340469</v>
      </c>
    </row>
    <row r="21" spans="1:5" x14ac:dyDescent="0.3">
      <c r="A21" s="22">
        <f>'Summary by Account'!A27</f>
        <v>53402400</v>
      </c>
      <c r="B21" s="23" t="str">
        <f>'Summary by Account'!B27</f>
        <v>AWWSC Interest OPEX</v>
      </c>
      <c r="C21" s="20"/>
      <c r="D21" s="165">
        <f>'Summary by Account'!E27</f>
        <v>47154</v>
      </c>
    </row>
    <row r="22" spans="1:5" x14ac:dyDescent="0.3">
      <c r="A22" s="22">
        <f>'Summary by Account'!A28</f>
        <v>53402500</v>
      </c>
      <c r="B22" s="23" t="str">
        <f>'Summary by Account'!B28</f>
        <v>AWWSC Oth Inc OPEX</v>
      </c>
      <c r="C22" s="20"/>
      <c r="D22" s="165">
        <f>'Summary by Account'!E28-0.05</f>
        <v>-25585.05</v>
      </c>
    </row>
    <row r="23" spans="1:5" x14ac:dyDescent="0.3">
      <c r="A23" s="22">
        <f>'Summary by Account'!A29</f>
        <v>53402600</v>
      </c>
      <c r="B23" s="23" t="str">
        <f>'Summary by Account'!B29</f>
        <v>AWWSC Inc Tax OPEX</v>
      </c>
      <c r="C23" s="20"/>
      <c r="D23" s="165">
        <f>'Summary by Account'!E29-0.5</f>
        <v>5223.5</v>
      </c>
    </row>
    <row r="24" spans="1:5" ht="15" thickBot="1" x14ac:dyDescent="0.35">
      <c r="A24" s="20"/>
      <c r="B24" s="24"/>
      <c r="C24" s="20"/>
      <c r="D24" s="167">
        <f>SUM(D8:D23)</f>
        <v>9719018.4499999993</v>
      </c>
    </row>
    <row r="25" spans="1:5" ht="15" thickTop="1" x14ac:dyDescent="0.3">
      <c r="A25" s="20"/>
      <c r="B25" s="20"/>
      <c r="C25" s="20"/>
      <c r="D25" s="20"/>
    </row>
    <row r="26" spans="1:5" x14ac:dyDescent="0.3">
      <c r="A26" s="21" t="s">
        <v>17</v>
      </c>
      <c r="B26" s="20"/>
      <c r="C26" s="20"/>
      <c r="D26"/>
      <c r="E26"/>
    </row>
    <row r="28" spans="1:5" x14ac:dyDescent="0.3">
      <c r="A28" s="1" t="str">
        <f>'Link In'!A25</f>
        <v>W/P - 3-7</v>
      </c>
    </row>
    <row r="29" spans="1:5" x14ac:dyDescent="0.3">
      <c r="A29" s="1" t="str">
        <f ca="1">Exhibit!F2</f>
        <v>O&amp;M\[KAWC 2018 Rate Case - Support Services Exhibit.xlsx]Exhibit</v>
      </c>
    </row>
    <row r="31" spans="1:5" ht="15" thickBot="1" x14ac:dyDescent="0.35"/>
    <row r="32" spans="1:5" x14ac:dyDescent="0.3">
      <c r="A32" s="140"/>
      <c r="B32" s="141"/>
      <c r="C32" s="141"/>
      <c r="D32" s="142"/>
    </row>
    <row r="33" spans="1:4" x14ac:dyDescent="0.3">
      <c r="A33" s="143" t="s">
        <v>199</v>
      </c>
      <c r="B33" s="144"/>
      <c r="C33" s="144"/>
      <c r="D33" s="145"/>
    </row>
    <row r="34" spans="1:4" x14ac:dyDescent="0.3">
      <c r="A34" s="146" t="s">
        <v>198</v>
      </c>
      <c r="B34" s="144"/>
      <c r="C34" s="144"/>
      <c r="D34" s="151">
        <v>1276.3854682132589</v>
      </c>
    </row>
    <row r="35" spans="1:4" ht="15" thickBot="1" x14ac:dyDescent="0.35">
      <c r="A35" s="147"/>
      <c r="B35" s="144"/>
      <c r="C35" s="144"/>
      <c r="D35" s="152">
        <f>SUM(D34:D34)</f>
        <v>1276.3854682132589</v>
      </c>
    </row>
    <row r="36" spans="1:4" ht="15.6" thickTop="1" thickBot="1" x14ac:dyDescent="0.35">
      <c r="A36" s="148"/>
      <c r="B36" s="149"/>
      <c r="C36" s="149"/>
      <c r="D36" s="150"/>
    </row>
  </sheetData>
  <printOptions horizontalCentered="1" verticalCentered="1"/>
  <pageMargins left="0.75" right="0.75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/>
  </sheetViews>
  <sheetFormatPr defaultColWidth="9.109375" defaultRowHeight="14.4" x14ac:dyDescent="0.3"/>
  <cols>
    <col min="1" max="1" width="5.6640625" style="1" customWidth="1"/>
    <col min="2" max="2" width="62.88671875" style="1" customWidth="1"/>
    <col min="3" max="5" width="12.6640625" style="1" customWidth="1"/>
    <col min="6" max="6" width="33.77734375" style="1" customWidth="1"/>
    <col min="7" max="7" width="11.88671875" style="1" bestFit="1" customWidth="1"/>
    <col min="8" max="16384" width="9.109375" style="1"/>
  </cols>
  <sheetData>
    <row r="1" spans="1:6" x14ac:dyDescent="0.3">
      <c r="A1" s="25" t="s">
        <v>18</v>
      </c>
      <c r="B1" s="25"/>
      <c r="C1" s="25"/>
      <c r="D1" s="25"/>
      <c r="F1" s="26" t="str">
        <f>'Link In'!A25</f>
        <v>W/P - 3-7</v>
      </c>
    </row>
    <row r="2" spans="1:6" x14ac:dyDescent="0.3">
      <c r="A2" s="25" t="s">
        <v>19</v>
      </c>
      <c r="B2" s="25"/>
      <c r="C2" s="25"/>
      <c r="D2" s="25"/>
      <c r="F2" s="27" t="str">
        <f ca="1">RIGHT(CELL("filename",$A$1),LEN(CELL("filename",$A$1))-SEARCH("\O&amp;M",CELL("filename",$A$1),1))</f>
        <v>O&amp;M\[KAWC 2018 Rate Case - Support Services Exhibit.xlsx]Exhibit</v>
      </c>
    </row>
    <row r="4" spans="1:6" x14ac:dyDescent="0.3">
      <c r="A4" s="174" t="str">
        <f>'Link In'!A1</f>
        <v>Kentucky American Water Company</v>
      </c>
      <c r="B4" s="174"/>
      <c r="C4" s="174"/>
      <c r="D4" s="174"/>
      <c r="E4" s="174"/>
      <c r="F4" s="174"/>
    </row>
    <row r="5" spans="1:6" x14ac:dyDescent="0.3">
      <c r="A5" s="174" t="str">
        <f>'Link In'!A3</f>
        <v>Case No. 2018-00358</v>
      </c>
      <c r="B5" s="174"/>
      <c r="C5" s="174"/>
      <c r="D5" s="174"/>
      <c r="E5" s="174"/>
      <c r="F5" s="174"/>
    </row>
    <row r="6" spans="1:6" x14ac:dyDescent="0.3">
      <c r="A6" s="174" t="str">
        <f>'Link In'!A23</f>
        <v>Base Year Adjustment Support Services</v>
      </c>
      <c r="B6" s="174"/>
      <c r="C6" s="174"/>
      <c r="D6" s="174"/>
      <c r="E6" s="174"/>
      <c r="F6" s="174"/>
    </row>
    <row r="7" spans="1:6" x14ac:dyDescent="0.3">
      <c r="A7" s="175" t="str">
        <f>'Link In'!A6</f>
        <v>For the 12 Months Ending June 30, 2020</v>
      </c>
      <c r="B7" s="175"/>
      <c r="C7" s="175"/>
      <c r="D7" s="175"/>
      <c r="E7" s="175"/>
      <c r="F7" s="175"/>
    </row>
    <row r="9" spans="1:6" x14ac:dyDescent="0.3">
      <c r="A9" s="12" t="str">
        <f>'Link In'!A20</f>
        <v>Witness Responsible:   Melissa Schwarzell</v>
      </c>
      <c r="C9" s="12"/>
      <c r="D9" s="12"/>
    </row>
    <row r="10" spans="1:6" x14ac:dyDescent="0.3">
      <c r="A10" s="12" t="str">
        <f>'Link In'!A15</f>
        <v>Type of Filing: __X__ Original  _____ Updated  _____ Revised</v>
      </c>
      <c r="C10" s="12"/>
      <c r="D10" s="12"/>
    </row>
    <row r="11" spans="1:6" x14ac:dyDescent="0.3">
      <c r="A11" s="12"/>
      <c r="C11" s="12"/>
      <c r="D11" s="12"/>
    </row>
    <row r="13" spans="1:6" ht="28.8" x14ac:dyDescent="0.3">
      <c r="A13" s="17" t="s">
        <v>20</v>
      </c>
      <c r="B13" s="17" t="s">
        <v>11</v>
      </c>
      <c r="C13" s="28" t="str">
        <f>'Link In'!B7</f>
        <v>Base Year at 2/28/19</v>
      </c>
      <c r="D13" s="17" t="s">
        <v>21</v>
      </c>
      <c r="E13" s="17" t="str">
        <f>'Link In'!B9</f>
        <v>Forecast Year at 6/30/2020</v>
      </c>
      <c r="F13" s="17" t="s">
        <v>22</v>
      </c>
    </row>
    <row r="15" spans="1:6" x14ac:dyDescent="0.3">
      <c r="A15" s="20">
        <v>1</v>
      </c>
      <c r="B15" s="1" t="str">
        <f>'Link In'!C7</f>
        <v>Base Year for the 12 Months Ended 2/28/19</v>
      </c>
      <c r="C15" s="29">
        <f>'Link In'!I52</f>
        <v>9384894</v>
      </c>
      <c r="D15" s="30"/>
      <c r="E15" s="30">
        <f>C15</f>
        <v>9384894</v>
      </c>
    </row>
    <row r="16" spans="1:6" x14ac:dyDescent="0.3">
      <c r="A16" s="20">
        <f>+A15+1</f>
        <v>2</v>
      </c>
    </row>
    <row r="17" spans="1:8" x14ac:dyDescent="0.3">
      <c r="A17" s="20">
        <f>+A16+1</f>
        <v>3</v>
      </c>
      <c r="C17" s="31"/>
      <c r="D17" s="31"/>
      <c r="E17" s="31"/>
    </row>
    <row r="18" spans="1:8" x14ac:dyDescent="0.3">
      <c r="A18" s="20">
        <f t="shared" ref="A18:A32" si="0">+A17+1</f>
        <v>4</v>
      </c>
      <c r="B18" s="12" t="s">
        <v>23</v>
      </c>
      <c r="C18" s="31"/>
      <c r="D18" s="32"/>
      <c r="E18" s="31"/>
    </row>
    <row r="19" spans="1:8" x14ac:dyDescent="0.3">
      <c r="A19" s="20">
        <f t="shared" si="0"/>
        <v>5</v>
      </c>
      <c r="B19" s="33" t="s">
        <v>24</v>
      </c>
      <c r="C19" s="31"/>
      <c r="D19" s="34">
        <f>-Summary!$R$27</f>
        <v>-10573.344144372299</v>
      </c>
      <c r="E19" s="31"/>
    </row>
    <row r="20" spans="1:8" x14ac:dyDescent="0.3">
      <c r="A20" s="20">
        <f t="shared" si="0"/>
        <v>6</v>
      </c>
      <c r="B20" s="33" t="s">
        <v>25</v>
      </c>
      <c r="C20" s="31"/>
      <c r="D20" s="34">
        <f>Summary!$E$24+Summary!$G$24+Summary!$M$24</f>
        <v>218273.9847695847</v>
      </c>
      <c r="E20" s="31"/>
    </row>
    <row r="21" spans="1:8" x14ac:dyDescent="0.3">
      <c r="A21" s="20">
        <f t="shared" si="0"/>
        <v>7</v>
      </c>
      <c r="B21" s="33" t="s">
        <v>26</v>
      </c>
      <c r="C21" s="31"/>
      <c r="D21" s="34">
        <f>Summary!$L$24+Summary!$O$24</f>
        <v>56960</v>
      </c>
      <c r="E21" s="31"/>
    </row>
    <row r="22" spans="1:8" x14ac:dyDescent="0.3">
      <c r="A22" s="20">
        <f t="shared" si="0"/>
        <v>8</v>
      </c>
      <c r="B22" s="33" t="s">
        <v>27</v>
      </c>
      <c r="D22" s="34">
        <f>Summary!J24</f>
        <v>20929.694749999995</v>
      </c>
      <c r="E22" s="31"/>
    </row>
    <row r="23" spans="1:8" x14ac:dyDescent="0.3">
      <c r="A23" s="20">
        <f t="shared" si="0"/>
        <v>9</v>
      </c>
      <c r="B23" s="33" t="s">
        <v>28</v>
      </c>
      <c r="D23" s="34">
        <f>Summary!N24</f>
        <v>13782.943405863487</v>
      </c>
      <c r="E23" s="31"/>
    </row>
    <row r="24" spans="1:8" x14ac:dyDescent="0.3">
      <c r="A24" s="20">
        <f t="shared" si="0"/>
        <v>10</v>
      </c>
      <c r="B24" s="33" t="s">
        <v>196</v>
      </c>
      <c r="C24" s="31"/>
      <c r="D24" s="34">
        <f>Summary!$D$24</f>
        <v>-81747.808928968268</v>
      </c>
      <c r="E24" s="31"/>
    </row>
    <row r="25" spans="1:8" ht="28.8" x14ac:dyDescent="0.3">
      <c r="A25" s="20">
        <f t="shared" si="0"/>
        <v>11</v>
      </c>
      <c r="B25" s="33" t="s">
        <v>29</v>
      </c>
      <c r="C25" s="31"/>
      <c r="D25" s="34">
        <f>Summary!I24+Summary!K24+Summary!F24</f>
        <v>-42000.837937505537</v>
      </c>
      <c r="E25" s="31"/>
    </row>
    <row r="26" spans="1:8" x14ac:dyDescent="0.3">
      <c r="A26" s="20">
        <f t="shared" si="0"/>
        <v>12</v>
      </c>
      <c r="B26" s="33" t="s">
        <v>197</v>
      </c>
      <c r="C26" s="31"/>
      <c r="D26" s="35">
        <f>Summary!P24</f>
        <v>1277.7740511856387</v>
      </c>
      <c r="E26" s="31"/>
    </row>
    <row r="27" spans="1:8" x14ac:dyDescent="0.3">
      <c r="A27" s="20">
        <f t="shared" si="0"/>
        <v>13</v>
      </c>
      <c r="B27" s="33" t="s">
        <v>202</v>
      </c>
      <c r="C27" s="31"/>
      <c r="D27" s="35">
        <f>Summary!H24</f>
        <v>157221.58128549525</v>
      </c>
      <c r="E27" s="31"/>
    </row>
    <row r="28" spans="1:8" x14ac:dyDescent="0.3">
      <c r="A28" s="20">
        <f t="shared" si="0"/>
        <v>14</v>
      </c>
      <c r="B28" s="12" t="s">
        <v>30</v>
      </c>
      <c r="C28" s="31"/>
      <c r="D28" s="36">
        <f>SUM(D19:D27)</f>
        <v>334123.9872512829</v>
      </c>
      <c r="E28" s="36">
        <f>D28</f>
        <v>334123.9872512829</v>
      </c>
      <c r="F28" s="2" t="str">
        <f>'Link In'!A26</f>
        <v>Schedule D-2.3</v>
      </c>
      <c r="G28" s="37"/>
    </row>
    <row r="29" spans="1:8" x14ac:dyDescent="0.3">
      <c r="A29" s="20">
        <f t="shared" si="0"/>
        <v>15</v>
      </c>
      <c r="C29" s="31"/>
      <c r="D29" s="31"/>
      <c r="E29" s="31"/>
    </row>
    <row r="30" spans="1:8" x14ac:dyDescent="0.3">
      <c r="A30" s="20">
        <f t="shared" si="0"/>
        <v>16</v>
      </c>
      <c r="G30" s="38"/>
      <c r="H30" s="37"/>
    </row>
    <row r="31" spans="1:8" ht="15" thickBot="1" x14ac:dyDescent="0.35">
      <c r="A31" s="20">
        <f t="shared" si="0"/>
        <v>17</v>
      </c>
      <c r="B31" s="12" t="str">
        <f>'Link In'!C9</f>
        <v>Forecasted Year at Present Rates</v>
      </c>
      <c r="E31" s="39">
        <f>E15+E28</f>
        <v>9719017.9872512836</v>
      </c>
      <c r="G31"/>
      <c r="H31"/>
    </row>
    <row r="32" spans="1:8" ht="15" thickTop="1" x14ac:dyDescent="0.3">
      <c r="A32" s="20">
        <f t="shared" si="0"/>
        <v>18</v>
      </c>
      <c r="E32" s="40"/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scale="86" orientation="landscape" r:id="rId1"/>
  <headerFooter>
    <oddHeader xml:space="preserve">&amp;R&amp;10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G1" sqref="G1"/>
    </sheetView>
  </sheetViews>
  <sheetFormatPr defaultColWidth="9.109375" defaultRowHeight="14.4" x14ac:dyDescent="0.3"/>
  <cols>
    <col min="1" max="1" width="11.6640625" style="1" customWidth="1"/>
    <col min="2" max="2" width="31.6640625" style="1" bestFit="1" customWidth="1"/>
    <col min="3" max="3" width="22.5546875" style="1" customWidth="1"/>
    <col min="4" max="4" width="14.6640625" style="1" customWidth="1"/>
    <col min="5" max="5" width="24.33203125" style="1" customWidth="1"/>
    <col min="6" max="16384" width="9.109375" style="1"/>
  </cols>
  <sheetData>
    <row r="1" spans="1:5" x14ac:dyDescent="0.3">
      <c r="A1" s="25" t="s">
        <v>18</v>
      </c>
      <c r="B1" s="25"/>
      <c r="C1" s="25"/>
      <c r="D1" s="25"/>
      <c r="E1" s="26" t="str">
        <f>'Link In'!A25</f>
        <v>W/P - 3-7</v>
      </c>
    </row>
    <row r="2" spans="1:5" x14ac:dyDescent="0.3">
      <c r="A2" s="25" t="s">
        <v>19</v>
      </c>
      <c r="B2" s="25"/>
      <c r="C2" s="25"/>
      <c r="D2" s="25"/>
      <c r="E2" s="27" t="str">
        <f ca="1">RIGHT(CELL("filename",$A$1),LEN(CELL("filename",$A$1))-SEARCH("\O&amp;M",CELL("filename",$A$1),1))</f>
        <v>O&amp;M\[KAWC 2018 Rate Case - Support Services Exhibit.xlsx]Summary by Account</v>
      </c>
    </row>
    <row r="4" spans="1:5" x14ac:dyDescent="0.3">
      <c r="A4" s="174" t="str">
        <f>'Link In'!A1</f>
        <v>Kentucky American Water Company</v>
      </c>
      <c r="B4" s="174"/>
      <c r="C4" s="174"/>
      <c r="D4" s="174"/>
      <c r="E4" s="174"/>
    </row>
    <row r="5" spans="1:5" x14ac:dyDescent="0.3">
      <c r="A5" s="174" t="str">
        <f>'Link In'!A3</f>
        <v>Case No. 2018-00358</v>
      </c>
      <c r="B5" s="174"/>
      <c r="C5" s="174"/>
      <c r="D5" s="174"/>
      <c r="E5" s="174"/>
    </row>
    <row r="6" spans="1:5" x14ac:dyDescent="0.3">
      <c r="A6" s="174" t="str">
        <f>'Link In'!A23</f>
        <v>Base Year Adjustment Support Services</v>
      </c>
      <c r="B6" s="174"/>
      <c r="C6" s="174"/>
      <c r="D6" s="174"/>
      <c r="E6" s="174"/>
    </row>
    <row r="7" spans="1:5" x14ac:dyDescent="0.3">
      <c r="A7" s="175" t="str">
        <f>'Link In'!A6</f>
        <v>For the 12 Months Ending June 30, 2020</v>
      </c>
      <c r="B7" s="175"/>
      <c r="C7" s="175"/>
      <c r="D7" s="175"/>
      <c r="E7" s="175"/>
    </row>
    <row r="9" spans="1:5" x14ac:dyDescent="0.3">
      <c r="A9" s="12" t="str">
        <f>'Link In'!A20</f>
        <v>Witness Responsible:   Melissa Schwarzell</v>
      </c>
    </row>
    <row r="10" spans="1:5" x14ac:dyDescent="0.3">
      <c r="A10" s="12" t="str">
        <f>'Link In'!A15</f>
        <v>Type of Filing: __X__ Original  _____ Updated  _____ Revised</v>
      </c>
    </row>
    <row r="11" spans="1:5" x14ac:dyDescent="0.3">
      <c r="A11" s="12"/>
    </row>
    <row r="12" spans="1:5" x14ac:dyDescent="0.3">
      <c r="A12" s="15" t="s">
        <v>31</v>
      </c>
      <c r="B12" s="15" t="s">
        <v>32</v>
      </c>
      <c r="C12" s="28" t="str">
        <f>'Link In'!B7</f>
        <v>Base Year at 2/28/19</v>
      </c>
      <c r="D12" s="17" t="s">
        <v>21</v>
      </c>
      <c r="E12" s="17" t="str">
        <f>'Link In'!B9</f>
        <v>Forecast Year at 6/30/2020</v>
      </c>
    </row>
    <row r="14" spans="1:5" x14ac:dyDescent="0.3">
      <c r="A14" s="1">
        <f>'Link In'!C31</f>
        <v>53401000</v>
      </c>
      <c r="B14" s="41" t="str">
        <f>'Link In'!E31</f>
        <v>AWWSC Labor OPEX</v>
      </c>
      <c r="C14" s="42">
        <f>'Link In'!I31</f>
        <v>4778427</v>
      </c>
      <c r="D14" s="40">
        <f t="shared" ref="D14:D29" si="0">E14-C14</f>
        <v>170123</v>
      </c>
      <c r="E14" s="40">
        <f t="shared" ref="E14:E29" si="1">ROUND(SUM(C14/$C$30)*$E$30,0)</f>
        <v>4948550</v>
      </c>
    </row>
    <row r="15" spans="1:5" x14ac:dyDescent="0.3">
      <c r="A15" s="1">
        <f>'Link In'!C32</f>
        <v>53401100</v>
      </c>
      <c r="B15" s="41" t="str">
        <f>'Link In'!E32</f>
        <v>AWWSC Pension OPEX</v>
      </c>
      <c r="C15" s="44">
        <f>'Link In'!I32</f>
        <v>299355</v>
      </c>
      <c r="D15" s="44">
        <f t="shared" si="0"/>
        <v>10658</v>
      </c>
      <c r="E15" s="44">
        <f t="shared" si="1"/>
        <v>310013</v>
      </c>
    </row>
    <row r="16" spans="1:5" x14ac:dyDescent="0.3">
      <c r="A16" s="1">
        <f>'Link In'!C33</f>
        <v>53401200</v>
      </c>
      <c r="B16" s="41" t="str">
        <f>'Link In'!E33</f>
        <v>AWWSC Group Ins OPEX</v>
      </c>
      <c r="C16" s="44">
        <f>'Link In'!I33</f>
        <v>579947</v>
      </c>
      <c r="D16" s="44">
        <f t="shared" si="0"/>
        <v>20647</v>
      </c>
      <c r="E16" s="44">
        <f t="shared" si="1"/>
        <v>600594</v>
      </c>
    </row>
    <row r="17" spans="1:5" x14ac:dyDescent="0.3">
      <c r="A17" s="1">
        <f>'Link In'!C34</f>
        <v>53401300</v>
      </c>
      <c r="B17" s="41" t="str">
        <f>'Link In'!E34</f>
        <v>AWWSC Other Ben OPEX</v>
      </c>
      <c r="C17" s="44">
        <f>'Link In'!I34</f>
        <v>392082</v>
      </c>
      <c r="D17" s="44">
        <f t="shared" si="0"/>
        <v>13959</v>
      </c>
      <c r="E17" s="44">
        <f t="shared" si="1"/>
        <v>406041</v>
      </c>
    </row>
    <row r="18" spans="1:5" x14ac:dyDescent="0.3">
      <c r="A18" s="1">
        <f>'Link In'!C35</f>
        <v>53401400</v>
      </c>
      <c r="B18" s="41" t="str">
        <f>'Link In'!E35</f>
        <v>AWWSC Cont Svcs OPEX</v>
      </c>
      <c r="C18" s="44">
        <f>'Link In'!I35</f>
        <v>698172</v>
      </c>
      <c r="D18" s="44">
        <f t="shared" si="0"/>
        <v>24857</v>
      </c>
      <c r="E18" s="44">
        <f t="shared" si="1"/>
        <v>723029</v>
      </c>
    </row>
    <row r="19" spans="1:5" x14ac:dyDescent="0.3">
      <c r="A19" s="1">
        <f>'Link In'!C36</f>
        <v>53401500</v>
      </c>
      <c r="B19" s="41" t="str">
        <f>'Link In'!E36</f>
        <v>AWWSC Off Suppl OPEX</v>
      </c>
      <c r="C19" s="44">
        <f>'Link In'!I36</f>
        <v>431481</v>
      </c>
      <c r="D19" s="44">
        <f t="shared" si="0"/>
        <v>15362</v>
      </c>
      <c r="E19" s="44">
        <f t="shared" si="1"/>
        <v>446843</v>
      </c>
    </row>
    <row r="20" spans="1:5" x14ac:dyDescent="0.3">
      <c r="A20" s="1">
        <f>'Link In'!C37</f>
        <v>53401600</v>
      </c>
      <c r="B20" s="41" t="str">
        <f>'Link In'!E37</f>
        <v>AWWSC Transportaion</v>
      </c>
      <c r="C20" s="44">
        <f>'Link In'!I37</f>
        <v>65561</v>
      </c>
      <c r="D20" s="44">
        <f t="shared" si="0"/>
        <v>2334</v>
      </c>
      <c r="E20" s="44">
        <f t="shared" si="1"/>
        <v>67895</v>
      </c>
    </row>
    <row r="21" spans="1:5" x14ac:dyDescent="0.3">
      <c r="A21" s="1">
        <f>'Link In'!C38</f>
        <v>53401700</v>
      </c>
      <c r="B21" s="41" t="str">
        <f>'Link In'!E38</f>
        <v>AWWSC Rents OPEX</v>
      </c>
      <c r="C21" s="44">
        <f>'Link In'!I38</f>
        <v>360212</v>
      </c>
      <c r="D21" s="44">
        <f t="shared" si="0"/>
        <v>12824</v>
      </c>
      <c r="E21" s="44">
        <f t="shared" si="1"/>
        <v>373036</v>
      </c>
    </row>
    <row r="22" spans="1:5" x14ac:dyDescent="0.3">
      <c r="A22" s="1">
        <f>'Link In'!C39</f>
        <v>53401800</v>
      </c>
      <c r="B22" s="41" t="str">
        <f>'Link In'!E39</f>
        <v>AWWSC Other operting supplies</v>
      </c>
      <c r="C22" s="44">
        <f>'Link In'!I39</f>
        <v>102677</v>
      </c>
      <c r="D22" s="44">
        <f t="shared" si="0"/>
        <v>3656</v>
      </c>
      <c r="E22" s="44">
        <f t="shared" si="1"/>
        <v>106333</v>
      </c>
    </row>
    <row r="23" spans="1:5" x14ac:dyDescent="0.3">
      <c r="A23" s="1">
        <f>'Link In'!C40</f>
        <v>53401900</v>
      </c>
      <c r="B23" s="41" t="str">
        <f>'Link In'!E40</f>
        <v>AWWSC Maint OPEX</v>
      </c>
      <c r="C23" s="44">
        <f>'Link In'!I40</f>
        <v>229269</v>
      </c>
      <c r="D23" s="44">
        <f t="shared" si="0"/>
        <v>8163</v>
      </c>
      <c r="E23" s="44">
        <f t="shared" si="1"/>
        <v>237432</v>
      </c>
    </row>
    <row r="24" spans="1:5" x14ac:dyDescent="0.3">
      <c r="A24" s="1">
        <f>'Link In'!C41</f>
        <v>53402100</v>
      </c>
      <c r="B24" s="41" t="str">
        <f>'Link In'!E41</f>
        <v>AWWSC Oth O&amp;M OPEX</v>
      </c>
      <c r="C24" s="44">
        <f>'Link In'!I41</f>
        <v>274430</v>
      </c>
      <c r="D24" s="44">
        <f t="shared" si="0"/>
        <v>9770</v>
      </c>
      <c r="E24" s="44">
        <f t="shared" si="1"/>
        <v>284200</v>
      </c>
    </row>
    <row r="25" spans="1:5" x14ac:dyDescent="0.3">
      <c r="A25" s="1">
        <f>'Link In'!C42</f>
        <v>53402200</v>
      </c>
      <c r="B25" s="41" t="str">
        <f>'Link In'!E42</f>
        <v>AWWSC Dpr/Amrt OPEX</v>
      </c>
      <c r="C25" s="44">
        <f>'Link In'!I42</f>
        <v>818645</v>
      </c>
      <c r="D25" s="44">
        <f t="shared" si="0"/>
        <v>29146</v>
      </c>
      <c r="E25" s="44">
        <f t="shared" si="1"/>
        <v>847791</v>
      </c>
    </row>
    <row r="26" spans="1:5" x14ac:dyDescent="0.3">
      <c r="A26" s="1">
        <f>'Link In'!C43</f>
        <v>53402300</v>
      </c>
      <c r="B26" s="41" t="str">
        <f>'Link In'!E43</f>
        <v>AWWSC Gen Tax OPEX</v>
      </c>
      <c r="C26" s="44">
        <f>'Link In'!I43</f>
        <v>328764</v>
      </c>
      <c r="D26" s="44">
        <f t="shared" si="0"/>
        <v>11705</v>
      </c>
      <c r="E26" s="44">
        <f t="shared" si="1"/>
        <v>340469</v>
      </c>
    </row>
    <row r="27" spans="1:5" x14ac:dyDescent="0.3">
      <c r="A27" s="1">
        <f>'Link In'!C44</f>
        <v>53402400</v>
      </c>
      <c r="B27" s="41" t="str">
        <f>'Link In'!E44</f>
        <v>AWWSC Interest OPEX</v>
      </c>
      <c r="C27" s="44">
        <f>'Link In'!I44</f>
        <v>45533</v>
      </c>
      <c r="D27" s="44">
        <f t="shared" si="0"/>
        <v>1621</v>
      </c>
      <c r="E27" s="44">
        <f t="shared" si="1"/>
        <v>47154</v>
      </c>
    </row>
    <row r="28" spans="1:5" x14ac:dyDescent="0.3">
      <c r="A28" s="1">
        <f>'Link In'!C45</f>
        <v>53402500</v>
      </c>
      <c r="B28" s="41" t="str">
        <f>'Link In'!E45</f>
        <v>AWWSC Oth Inc OPEX</v>
      </c>
      <c r="C28" s="44">
        <f>'Link In'!I45</f>
        <v>-24705</v>
      </c>
      <c r="D28" s="44">
        <f t="shared" si="0"/>
        <v>-880</v>
      </c>
      <c r="E28" s="44">
        <f t="shared" si="1"/>
        <v>-25585</v>
      </c>
    </row>
    <row r="29" spans="1:5" x14ac:dyDescent="0.3">
      <c r="A29" s="1">
        <f>'Link In'!C46</f>
        <v>53402600</v>
      </c>
      <c r="B29" s="41" t="str">
        <f>'Link In'!E46</f>
        <v>AWWSC Inc Tax OPEX</v>
      </c>
      <c r="C29" s="44">
        <f>'Link In'!I46</f>
        <v>5044</v>
      </c>
      <c r="D29" s="44">
        <f t="shared" si="0"/>
        <v>180</v>
      </c>
      <c r="E29" s="44">
        <f t="shared" si="1"/>
        <v>5224</v>
      </c>
    </row>
    <row r="30" spans="1:5" ht="15" thickBot="1" x14ac:dyDescent="0.35">
      <c r="C30" s="45">
        <f>SUM(C14:C29)</f>
        <v>9384894</v>
      </c>
      <c r="D30" s="46">
        <f>SUM(D14:D29)</f>
        <v>334125</v>
      </c>
      <c r="E30" s="45">
        <f>Summary!R29</f>
        <v>9719017.9375075009</v>
      </c>
    </row>
    <row r="31" spans="1:5" ht="15" thickTop="1" x14ac:dyDescent="0.3"/>
  </sheetData>
  <mergeCells count="4">
    <mergeCell ref="A4:E4"/>
    <mergeCell ref="A5:E5"/>
    <mergeCell ref="A6:E6"/>
    <mergeCell ref="A7:E7"/>
  </mergeCells>
  <pageMargins left="0.7" right="0.7" top="1.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selection activeCell="F1" sqref="F1"/>
    </sheetView>
  </sheetViews>
  <sheetFormatPr defaultColWidth="8.88671875" defaultRowHeight="14.4" outlineLevelCol="1" x14ac:dyDescent="0.3"/>
  <cols>
    <col min="1" max="1" width="4.88671875" style="1" customWidth="1"/>
    <col min="2" max="2" width="34.44140625" style="1" bestFit="1" customWidth="1"/>
    <col min="3" max="3" width="14.6640625" style="1" customWidth="1"/>
    <col min="4" max="4" width="13.6640625" style="1" customWidth="1" outlineLevel="1"/>
    <col min="5" max="5" width="19.6640625" style="1" customWidth="1" outlineLevel="1"/>
    <col min="6" max="6" width="13.88671875" style="1" bestFit="1" customWidth="1" outlineLevel="1"/>
    <col min="7" max="7" width="19.33203125" style="1" customWidth="1" outlineLevel="1"/>
    <col min="8" max="8" width="15.6640625" style="1" customWidth="1" outlineLevel="1"/>
    <col min="9" max="10" width="11.44140625" style="1" customWidth="1" outlineLevel="1"/>
    <col min="11" max="11" width="17" style="1" customWidth="1" outlineLevel="1"/>
    <col min="12" max="12" width="13.6640625" style="1" customWidth="1" outlineLevel="1"/>
    <col min="13" max="13" width="16.33203125" style="1" customWidth="1" outlineLevel="1"/>
    <col min="14" max="14" width="14.33203125" style="1" customWidth="1" outlineLevel="1"/>
    <col min="15" max="16" width="15.109375" style="1" customWidth="1" outlineLevel="1"/>
    <col min="17" max="17" width="13.109375" style="1" customWidth="1" outlineLevel="1"/>
    <col min="18" max="18" width="16.33203125" style="1" customWidth="1"/>
    <col min="19" max="19" width="11.88671875" style="1" bestFit="1" customWidth="1"/>
    <col min="20" max="20" width="14.33203125" style="1" bestFit="1" customWidth="1"/>
    <col min="21" max="21" width="13.33203125" style="1" customWidth="1"/>
    <col min="22" max="16384" width="8.88671875" style="1"/>
  </cols>
  <sheetData>
    <row r="1" spans="1:19" x14ac:dyDescent="0.3">
      <c r="A1" s="47" t="s">
        <v>33</v>
      </c>
    </row>
    <row r="2" spans="1:19" x14ac:dyDescent="0.3">
      <c r="A2" s="12" t="s">
        <v>34</v>
      </c>
      <c r="G2" s="13"/>
      <c r="H2" s="13"/>
      <c r="K2" s="13"/>
    </row>
    <row r="3" spans="1:19" x14ac:dyDescent="0.3">
      <c r="A3" s="12"/>
    </row>
    <row r="5" spans="1:19" x14ac:dyDescent="0.3">
      <c r="D5" s="176" t="s">
        <v>35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9" ht="57.6" x14ac:dyDescent="0.3">
      <c r="B6" s="48" t="s">
        <v>36</v>
      </c>
      <c r="C6" s="28" t="s">
        <v>37</v>
      </c>
      <c r="D6" s="28" t="s">
        <v>38</v>
      </c>
      <c r="E6" s="28" t="s">
        <v>39</v>
      </c>
      <c r="F6" s="28" t="s">
        <v>40</v>
      </c>
      <c r="G6" s="28" t="s">
        <v>41</v>
      </c>
      <c r="H6" s="28" t="s">
        <v>201</v>
      </c>
      <c r="I6" s="28" t="s">
        <v>42</v>
      </c>
      <c r="J6" s="28" t="s">
        <v>43</v>
      </c>
      <c r="K6" s="28" t="s">
        <v>44</v>
      </c>
      <c r="L6" s="28" t="s">
        <v>45</v>
      </c>
      <c r="M6" s="28" t="s">
        <v>46</v>
      </c>
      <c r="N6" s="28" t="s">
        <v>47</v>
      </c>
      <c r="O6" s="28" t="s">
        <v>48</v>
      </c>
      <c r="P6" s="28" t="s">
        <v>200</v>
      </c>
      <c r="Q6" s="17" t="s">
        <v>49</v>
      </c>
      <c r="R6" s="17" t="s">
        <v>50</v>
      </c>
      <c r="S6" s="49"/>
    </row>
    <row r="7" spans="1:19" x14ac:dyDescent="0.3">
      <c r="G7" s="50"/>
      <c r="H7" s="50"/>
      <c r="I7" s="50"/>
      <c r="J7" s="50"/>
      <c r="K7" s="50"/>
    </row>
    <row r="8" spans="1:19" x14ac:dyDescent="0.3">
      <c r="B8" s="1" t="s">
        <v>51</v>
      </c>
      <c r="C8" s="40">
        <v>92001.407277661347</v>
      </c>
      <c r="D8" s="40">
        <v>-959.04</v>
      </c>
      <c r="E8" s="40">
        <v>165.54420516945743</v>
      </c>
      <c r="F8" s="40">
        <v>-507.83321713457315</v>
      </c>
      <c r="G8" s="40">
        <v>1957.5282927768958</v>
      </c>
      <c r="H8" s="40">
        <v>0</v>
      </c>
      <c r="I8" s="40">
        <v>0</v>
      </c>
      <c r="J8" s="40">
        <v>0</v>
      </c>
      <c r="K8" s="40">
        <v>-126.25136715917867</v>
      </c>
      <c r="L8" s="40">
        <v>0</v>
      </c>
      <c r="M8" s="40">
        <v>501.71267116004987</v>
      </c>
      <c r="N8" s="40">
        <v>0</v>
      </c>
      <c r="O8" s="40">
        <v>0</v>
      </c>
      <c r="P8" s="40">
        <v>5.9827393933093509</v>
      </c>
      <c r="Q8" s="40">
        <f>SUM(D8:P8)</f>
        <v>1037.6433242059609</v>
      </c>
      <c r="R8" s="40">
        <f t="shared" ref="R8:R23" si="0">+C8+Q8</f>
        <v>93039.050601867304</v>
      </c>
    </row>
    <row r="9" spans="1:19" x14ac:dyDescent="0.3">
      <c r="B9" s="1" t="s">
        <v>52</v>
      </c>
      <c r="C9" s="31">
        <v>98115.529629243538</v>
      </c>
      <c r="D9" s="31">
        <v>0</v>
      </c>
      <c r="E9" s="31">
        <v>140.42108230821341</v>
      </c>
      <c r="F9" s="40">
        <v>-456.02283020431236</v>
      </c>
      <c r="G9" s="31">
        <v>1659.7719076545541</v>
      </c>
      <c r="H9" s="31">
        <v>0</v>
      </c>
      <c r="I9" s="31">
        <v>0</v>
      </c>
      <c r="J9" s="31">
        <v>0</v>
      </c>
      <c r="K9" s="31">
        <v>-108.07128244389185</v>
      </c>
      <c r="L9" s="31">
        <v>0</v>
      </c>
      <c r="M9" s="31">
        <v>425.39109445672364</v>
      </c>
      <c r="N9" s="31">
        <v>0</v>
      </c>
      <c r="O9" s="31">
        <v>0</v>
      </c>
      <c r="P9" s="31">
        <v>4.9933483626519495</v>
      </c>
      <c r="Q9" s="31">
        <f t="shared" ref="Q9:Q23" si="1">SUM(D9:P9)</f>
        <v>1666.4833201339388</v>
      </c>
      <c r="R9" s="31">
        <f t="shared" si="0"/>
        <v>99782.012949377473</v>
      </c>
    </row>
    <row r="10" spans="1:19" x14ac:dyDescent="0.3">
      <c r="B10" s="1" t="s">
        <v>53</v>
      </c>
      <c r="C10" s="31">
        <v>998496.31015232147</v>
      </c>
      <c r="D10" s="31">
        <v>773.28</v>
      </c>
      <c r="E10" s="31">
        <v>89.660826295313584</v>
      </c>
      <c r="F10" s="40">
        <v>406.98462324820571</v>
      </c>
      <c r="G10" s="31">
        <v>1078.5914107410458</v>
      </c>
      <c r="H10" s="31">
        <v>0</v>
      </c>
      <c r="I10" s="31">
        <v>0</v>
      </c>
      <c r="J10" s="31">
        <v>0</v>
      </c>
      <c r="K10" s="31">
        <v>647.90514968397679</v>
      </c>
      <c r="L10" s="31">
        <v>75050</v>
      </c>
      <c r="M10" s="31">
        <v>281.27292952545662</v>
      </c>
      <c r="N10" s="31">
        <v>0</v>
      </c>
      <c r="O10" s="31">
        <v>-18090</v>
      </c>
      <c r="P10" s="31">
        <v>178.71100278602927</v>
      </c>
      <c r="Q10" s="31">
        <f t="shared" si="1"/>
        <v>60416.405942280035</v>
      </c>
      <c r="R10" s="31">
        <f t="shared" si="0"/>
        <v>1058912.7160946014</v>
      </c>
    </row>
    <row r="11" spans="1:19" x14ac:dyDescent="0.3">
      <c r="B11" s="1" t="s">
        <v>54</v>
      </c>
      <c r="C11" s="31">
        <v>95697.393362836636</v>
      </c>
      <c r="D11" s="31">
        <v>0</v>
      </c>
      <c r="E11" s="31">
        <v>195.67663286693931</v>
      </c>
      <c r="F11" s="40">
        <v>-384.41285204668208</v>
      </c>
      <c r="G11" s="31">
        <v>2319.6521697874991</v>
      </c>
      <c r="H11" s="31">
        <v>0</v>
      </c>
      <c r="I11" s="31">
        <v>0</v>
      </c>
      <c r="J11" s="31">
        <v>0</v>
      </c>
      <c r="K11" s="31">
        <v>-98.263028933004207</v>
      </c>
      <c r="L11" s="31">
        <v>0</v>
      </c>
      <c r="M11" s="31">
        <v>594.87039599529498</v>
      </c>
      <c r="N11" s="31">
        <v>0</v>
      </c>
      <c r="O11" s="31">
        <v>0</v>
      </c>
      <c r="P11" s="31">
        <v>7.896610559815997</v>
      </c>
      <c r="Q11" s="31">
        <f t="shared" si="1"/>
        <v>2635.4199282298628</v>
      </c>
      <c r="R11" s="31">
        <f t="shared" si="0"/>
        <v>98332.813291066501</v>
      </c>
    </row>
    <row r="12" spans="1:19" x14ac:dyDescent="0.3">
      <c r="B12" s="1" t="s">
        <v>55</v>
      </c>
      <c r="C12" s="31">
        <v>259165.85277106651</v>
      </c>
      <c r="D12" s="31">
        <v>-1402.1719250708454</v>
      </c>
      <c r="E12" s="31">
        <v>407.88016876284496</v>
      </c>
      <c r="F12" s="40">
        <v>-1218.237513683147</v>
      </c>
      <c r="G12" s="31">
        <v>4823.9931123674278</v>
      </c>
      <c r="H12" s="31">
        <v>0</v>
      </c>
      <c r="I12" s="31">
        <v>0</v>
      </c>
      <c r="J12" s="31">
        <v>0</v>
      </c>
      <c r="K12" s="31">
        <v>-386.64548510010053</v>
      </c>
      <c r="L12" s="31">
        <v>0</v>
      </c>
      <c r="M12" s="31">
        <v>1235.8764187821234</v>
      </c>
      <c r="N12" s="31">
        <v>0</v>
      </c>
      <c r="O12" s="31">
        <v>0</v>
      </c>
      <c r="P12" s="31">
        <v>14.614585638450325</v>
      </c>
      <c r="Q12" s="31">
        <f t="shared" si="1"/>
        <v>3475.309361696754</v>
      </c>
      <c r="R12" s="31">
        <f t="shared" si="0"/>
        <v>262641.16213276325</v>
      </c>
    </row>
    <row r="13" spans="1:19" x14ac:dyDescent="0.3">
      <c r="B13" s="1" t="s">
        <v>56</v>
      </c>
      <c r="C13" s="31">
        <v>1313599.0586666919</v>
      </c>
      <c r="D13" s="31">
        <v>-2405.71</v>
      </c>
      <c r="E13" s="31">
        <v>2539.0268827510768</v>
      </c>
      <c r="F13" s="40">
        <v>-3887.7889026244006</v>
      </c>
      <c r="G13" s="31">
        <v>30128.572212955311</v>
      </c>
      <c r="H13" s="31">
        <v>0</v>
      </c>
      <c r="I13" s="31">
        <v>0</v>
      </c>
      <c r="J13" s="31">
        <v>0</v>
      </c>
      <c r="K13" s="31">
        <v>-985.71011441531834</v>
      </c>
      <c r="L13" s="31">
        <v>0</v>
      </c>
      <c r="M13" s="31">
        <v>7728.371658035665</v>
      </c>
      <c r="N13" s="31">
        <v>0</v>
      </c>
      <c r="O13" s="31">
        <v>0</v>
      </c>
      <c r="P13" s="31">
        <v>106.75723543170999</v>
      </c>
      <c r="Q13" s="31">
        <f t="shared" si="1"/>
        <v>33223.518972134043</v>
      </c>
      <c r="R13" s="31">
        <f t="shared" si="0"/>
        <v>1346822.5776388259</v>
      </c>
    </row>
    <row r="14" spans="1:19" x14ac:dyDescent="0.3">
      <c r="B14" s="1" t="s">
        <v>57</v>
      </c>
      <c r="C14" s="31">
        <v>1050487.6672964613</v>
      </c>
      <c r="D14" s="31">
        <v>347.53000000000003</v>
      </c>
      <c r="E14" s="31">
        <v>2071.6806007807127</v>
      </c>
      <c r="F14" s="40">
        <v>-14430.796720904578</v>
      </c>
      <c r="G14" s="31">
        <v>24279.721015490235</v>
      </c>
      <c r="H14" s="31">
        <v>0</v>
      </c>
      <c r="I14" s="31">
        <v>0</v>
      </c>
      <c r="J14" s="31">
        <v>0</v>
      </c>
      <c r="K14" s="31">
        <v>-4561.761519900987</v>
      </c>
      <c r="L14" s="31">
        <v>0</v>
      </c>
      <c r="M14" s="31">
        <v>6202.697847809527</v>
      </c>
      <c r="N14" s="31">
        <v>0</v>
      </c>
      <c r="O14" s="31">
        <v>0</v>
      </c>
      <c r="P14" s="31">
        <v>40.757092015478115</v>
      </c>
      <c r="Q14" s="31">
        <f t="shared" si="1"/>
        <v>13949.828315290388</v>
      </c>
      <c r="R14" s="31">
        <f t="shared" si="0"/>
        <v>1064437.4956117517</v>
      </c>
    </row>
    <row r="15" spans="1:19" x14ac:dyDescent="0.3">
      <c r="B15" s="1" t="s">
        <v>58</v>
      </c>
      <c r="C15" s="31">
        <v>772854.56403143564</v>
      </c>
      <c r="D15" s="31">
        <v>-1598.0700899606873</v>
      </c>
      <c r="E15" s="31">
        <v>1332.5164206655675</v>
      </c>
      <c r="F15" s="40">
        <v>-1538.9491007277431</v>
      </c>
      <c r="G15" s="31">
        <v>15825.491334882288</v>
      </c>
      <c r="H15" s="31">
        <v>0</v>
      </c>
      <c r="I15" s="31">
        <v>0</v>
      </c>
      <c r="J15" s="31">
        <v>0</v>
      </c>
      <c r="K15" s="31">
        <v>-376.23846142281059</v>
      </c>
      <c r="L15" s="31">
        <v>0</v>
      </c>
      <c r="M15" s="31">
        <v>4060.6817603354693</v>
      </c>
      <c r="N15" s="31">
        <v>0</v>
      </c>
      <c r="O15" s="31">
        <v>0</v>
      </c>
      <c r="P15" s="31">
        <v>58.013657326719354</v>
      </c>
      <c r="Q15" s="31">
        <f t="shared" si="1"/>
        <v>17763.445521098802</v>
      </c>
      <c r="R15" s="31">
        <f t="shared" si="0"/>
        <v>790618.00955253444</v>
      </c>
    </row>
    <row r="16" spans="1:19" x14ac:dyDescent="0.3">
      <c r="B16" s="1" t="s">
        <v>59</v>
      </c>
      <c r="C16" s="31">
        <v>22619.588911528368</v>
      </c>
      <c r="D16" s="31">
        <v>-0.69</v>
      </c>
      <c r="E16" s="31">
        <v>34.433062881609679</v>
      </c>
      <c r="F16" s="40">
        <v>-189.98856539730122</v>
      </c>
      <c r="G16" s="31">
        <v>404.89223960627891</v>
      </c>
      <c r="H16" s="31">
        <v>0</v>
      </c>
      <c r="I16" s="31">
        <v>0</v>
      </c>
      <c r="J16" s="31">
        <v>0</v>
      </c>
      <c r="K16" s="31">
        <v>-35.431523551239721</v>
      </c>
      <c r="L16" s="31">
        <v>0</v>
      </c>
      <c r="M16" s="31">
        <v>103.71076205634034</v>
      </c>
      <c r="N16" s="31">
        <v>0</v>
      </c>
      <c r="O16" s="31">
        <v>0</v>
      </c>
      <c r="P16" s="31">
        <v>0.95454516045140825</v>
      </c>
      <c r="Q16" s="31">
        <f t="shared" si="1"/>
        <v>317.88052075613939</v>
      </c>
      <c r="R16" s="31">
        <f t="shared" si="0"/>
        <v>22937.469432284506</v>
      </c>
    </row>
    <row r="17" spans="2:21" x14ac:dyDescent="0.3">
      <c r="B17" s="1" t="s">
        <v>60</v>
      </c>
      <c r="C17" s="31">
        <v>604760.8336183374</v>
      </c>
      <c r="D17" s="31">
        <v>-5802.1</v>
      </c>
      <c r="E17" s="31">
        <v>1124.2969066520664</v>
      </c>
      <c r="F17" s="40">
        <v>-2810.6076397830161</v>
      </c>
      <c r="G17" s="31">
        <v>13311.786997689076</v>
      </c>
      <c r="H17" s="31">
        <v>0</v>
      </c>
      <c r="I17" s="31">
        <v>0</v>
      </c>
      <c r="J17" s="31">
        <v>0</v>
      </c>
      <c r="K17" s="31">
        <v>-835.5867035731211</v>
      </c>
      <c r="L17" s="31">
        <v>0</v>
      </c>
      <c r="M17" s="31">
        <v>3411.9531647359822</v>
      </c>
      <c r="N17" s="31">
        <v>0</v>
      </c>
      <c r="O17" s="31">
        <v>0</v>
      </c>
      <c r="P17" s="31">
        <v>42.681418080133369</v>
      </c>
      <c r="Q17" s="31">
        <f t="shared" si="1"/>
        <v>8442.4241438011213</v>
      </c>
      <c r="R17" s="31">
        <f t="shared" si="0"/>
        <v>613203.2577621385</v>
      </c>
    </row>
    <row r="18" spans="2:21" x14ac:dyDescent="0.3">
      <c r="B18" s="1" t="s">
        <v>61</v>
      </c>
      <c r="C18" s="31">
        <v>139702.62894608011</v>
      </c>
      <c r="D18" s="31">
        <v>-305.18</v>
      </c>
      <c r="E18" s="31">
        <v>258.74981536011074</v>
      </c>
      <c r="F18" s="40">
        <v>-588.39483993272165</v>
      </c>
      <c r="G18" s="31">
        <v>3065.1977218967445</v>
      </c>
      <c r="H18" s="31">
        <v>0</v>
      </c>
      <c r="I18" s="31">
        <v>0</v>
      </c>
      <c r="J18" s="31">
        <v>0</v>
      </c>
      <c r="K18" s="31">
        <v>-164.21617134205033</v>
      </c>
      <c r="L18" s="31">
        <v>0</v>
      </c>
      <c r="M18" s="31">
        <v>785.83270624792101</v>
      </c>
      <c r="N18" s="31">
        <v>0</v>
      </c>
      <c r="O18" s="31">
        <v>0</v>
      </c>
      <c r="P18" s="31">
        <v>10.089447287502969</v>
      </c>
      <c r="Q18" s="31">
        <f t="shared" si="1"/>
        <v>3062.0786795175072</v>
      </c>
      <c r="R18" s="31">
        <f t="shared" si="0"/>
        <v>142764.7076255976</v>
      </c>
    </row>
    <row r="19" spans="2:21" x14ac:dyDescent="0.3">
      <c r="B19" s="1" t="s">
        <v>62</v>
      </c>
      <c r="C19" s="31">
        <v>210033.60514633215</v>
      </c>
      <c r="D19" s="31">
        <v>-5407.87</v>
      </c>
      <c r="E19" s="31">
        <v>334.56254710927715</v>
      </c>
      <c r="F19" s="40">
        <v>-431.61075194744978</v>
      </c>
      <c r="G19" s="31">
        <v>3972.1551902176639</v>
      </c>
      <c r="H19" s="31">
        <v>157221.58128549525</v>
      </c>
      <c r="I19" s="31">
        <v>0</v>
      </c>
      <c r="J19" s="31">
        <v>0</v>
      </c>
      <c r="K19" s="31">
        <v>-122.63442216624435</v>
      </c>
      <c r="L19" s="31">
        <v>0</v>
      </c>
      <c r="M19" s="31">
        <v>2077.5842180482969</v>
      </c>
      <c r="N19" s="31">
        <v>0</v>
      </c>
      <c r="O19" s="31">
        <v>0</v>
      </c>
      <c r="P19" s="31">
        <v>490.02620768175939</v>
      </c>
      <c r="Q19" s="31">
        <f t="shared" si="1"/>
        <v>158133.79427443852</v>
      </c>
      <c r="R19" s="31">
        <f t="shared" si="0"/>
        <v>368167.3994207707</v>
      </c>
    </row>
    <row r="20" spans="2:21" x14ac:dyDescent="0.3">
      <c r="B20" s="1" t="s">
        <v>63</v>
      </c>
      <c r="C20" s="31">
        <v>1842669.8947184575</v>
      </c>
      <c r="D20" s="31">
        <v>-936.33691393672143</v>
      </c>
      <c r="E20" s="31">
        <v>3104.1175568855961</v>
      </c>
      <c r="F20" s="40">
        <v>-20983.928989188782</v>
      </c>
      <c r="G20" s="31">
        <v>37220.833806684161</v>
      </c>
      <c r="H20" s="31">
        <v>0</v>
      </c>
      <c r="I20" s="31">
        <v>22967.462499999994</v>
      </c>
      <c r="J20" s="31">
        <v>0</v>
      </c>
      <c r="K20" s="31">
        <v>-4247.1384421096918</v>
      </c>
      <c r="L20" s="31">
        <v>0</v>
      </c>
      <c r="M20" s="31">
        <v>9646.444635942431</v>
      </c>
      <c r="N20" s="31">
        <v>13782.943405863487</v>
      </c>
      <c r="O20" s="31">
        <v>0</v>
      </c>
      <c r="P20" s="31">
        <v>184.80078936441822</v>
      </c>
      <c r="Q20" s="31">
        <f t="shared" si="1"/>
        <v>60739.198349504892</v>
      </c>
      <c r="R20" s="31">
        <f t="shared" si="0"/>
        <v>1903409.0930679624</v>
      </c>
    </row>
    <row r="21" spans="2:21" x14ac:dyDescent="0.3">
      <c r="B21" s="1" t="s">
        <v>64</v>
      </c>
      <c r="C21" s="31">
        <v>237218.21352363532</v>
      </c>
      <c r="D21" s="31">
        <v>0</v>
      </c>
      <c r="E21" s="31">
        <v>22.800799057312481</v>
      </c>
      <c r="F21" s="40">
        <v>0</v>
      </c>
      <c r="G21" s="31">
        <v>271.49890482605434</v>
      </c>
      <c r="H21" s="31">
        <v>0</v>
      </c>
      <c r="I21" s="31">
        <v>0</v>
      </c>
      <c r="J21" s="31">
        <v>20929.694749999995</v>
      </c>
      <c r="K21" s="31">
        <v>0</v>
      </c>
      <c r="L21" s="31">
        <v>0</v>
      </c>
      <c r="M21" s="31">
        <v>69.702818832342359</v>
      </c>
      <c r="N21" s="31">
        <v>0</v>
      </c>
      <c r="O21" s="31">
        <v>0</v>
      </c>
      <c r="P21" s="31">
        <v>63.994878222567792</v>
      </c>
      <c r="Q21" s="31">
        <f t="shared" si="1"/>
        <v>21357.692150938274</v>
      </c>
      <c r="R21" s="31">
        <f t="shared" si="0"/>
        <v>258575.90567457359</v>
      </c>
    </row>
    <row r="22" spans="2:21" x14ac:dyDescent="0.3">
      <c r="B22" s="1" t="s">
        <v>65</v>
      </c>
      <c r="C22" s="31">
        <v>77060.660713095742</v>
      </c>
      <c r="D22" s="31">
        <v>0</v>
      </c>
      <c r="E22" s="31">
        <v>148.4519178699656</v>
      </c>
      <c r="F22" s="40">
        <v>-512.780166248466</v>
      </c>
      <c r="G22" s="31">
        <v>1753.8698508034986</v>
      </c>
      <c r="H22" s="31">
        <v>0</v>
      </c>
      <c r="I22" s="31">
        <v>0</v>
      </c>
      <c r="J22" s="31">
        <v>0</v>
      </c>
      <c r="K22" s="31">
        <v>-114.41017326254291</v>
      </c>
      <c r="L22" s="31">
        <v>0</v>
      </c>
      <c r="M22" s="31">
        <v>449.50649119631709</v>
      </c>
      <c r="N22" s="31">
        <v>0</v>
      </c>
      <c r="O22" s="31">
        <v>0</v>
      </c>
      <c r="P22" s="31">
        <v>5.1831296499551733</v>
      </c>
      <c r="Q22" s="31">
        <f t="shared" si="1"/>
        <v>1729.8210500087275</v>
      </c>
      <c r="R22" s="31">
        <f t="shared" si="0"/>
        <v>78790.481763104472</v>
      </c>
    </row>
    <row r="23" spans="2:21" x14ac:dyDescent="0.3">
      <c r="B23" s="1" t="s">
        <v>66</v>
      </c>
      <c r="C23" s="31">
        <v>1570410.7414910325</v>
      </c>
      <c r="D23" s="31">
        <v>-64051.450000000012</v>
      </c>
      <c r="E23" s="31">
        <v>1680.0736664231517</v>
      </c>
      <c r="F23" s="40">
        <v>-4669.6901863213352</v>
      </c>
      <c r="G23" s="31">
        <v>19879.58823172417</v>
      </c>
      <c r="H23" s="31">
        <v>0</v>
      </c>
      <c r="I23" s="31">
        <v>0</v>
      </c>
      <c r="J23" s="31">
        <v>0</v>
      </c>
      <c r="K23" s="31">
        <v>-1249.7892389130322</v>
      </c>
      <c r="L23" s="31">
        <v>0</v>
      </c>
      <c r="M23" s="31">
        <v>5095.3377044826366</v>
      </c>
      <c r="N23" s="31">
        <v>0</v>
      </c>
      <c r="O23" s="31">
        <v>0</v>
      </c>
      <c r="P23" s="31">
        <v>62.317364224685967</v>
      </c>
      <c r="Q23" s="31">
        <f t="shared" si="1"/>
        <v>-43253.612458379735</v>
      </c>
      <c r="R23" s="31">
        <f t="shared" si="0"/>
        <v>1527157.1290326528</v>
      </c>
      <c r="T23" s="37"/>
      <c r="U23" s="37"/>
    </row>
    <row r="24" spans="2:21" ht="15" thickBot="1" x14ac:dyDescent="0.35">
      <c r="B24" s="51" t="s">
        <v>9</v>
      </c>
      <c r="C24" s="52">
        <f>SUM(C8:C23)</f>
        <v>9384893.9502562173</v>
      </c>
      <c r="D24" s="52">
        <f t="shared" ref="D24:R24" si="2">SUM(D8:D23)</f>
        <v>-81747.808928968268</v>
      </c>
      <c r="E24" s="52">
        <f t="shared" si="2"/>
        <v>13649.893091839214</v>
      </c>
      <c r="F24" s="52">
        <f t="shared" si="2"/>
        <v>-52204.057652896299</v>
      </c>
      <c r="G24" s="52">
        <f t="shared" si="2"/>
        <v>161953.1444001029</v>
      </c>
      <c r="H24" s="52">
        <f t="shared" si="2"/>
        <v>157221.58128549525</v>
      </c>
      <c r="I24" s="52">
        <f t="shared" si="2"/>
        <v>22967.462499999994</v>
      </c>
      <c r="J24" s="52">
        <f t="shared" si="2"/>
        <v>20929.694749999995</v>
      </c>
      <c r="K24" s="52">
        <f t="shared" si="2"/>
        <v>-12764.242784609234</v>
      </c>
      <c r="L24" s="52">
        <f t="shared" si="2"/>
        <v>75050</v>
      </c>
      <c r="M24" s="52">
        <f t="shared" si="2"/>
        <v>42670.947277642583</v>
      </c>
      <c r="N24" s="52">
        <f t="shared" si="2"/>
        <v>13782.943405863487</v>
      </c>
      <c r="O24" s="52">
        <f t="shared" si="2"/>
        <v>-18090</v>
      </c>
      <c r="P24" s="52">
        <f t="shared" si="2"/>
        <v>1277.7740511856387</v>
      </c>
      <c r="Q24" s="52">
        <f t="shared" si="2"/>
        <v>344697.33139565517</v>
      </c>
      <c r="R24" s="52">
        <f t="shared" si="2"/>
        <v>9729591.2816518731</v>
      </c>
      <c r="T24" s="53"/>
      <c r="U24" s="53"/>
    </row>
    <row r="25" spans="2:21" ht="15" thickTop="1" x14ac:dyDescent="0.3">
      <c r="S25" s="136"/>
    </row>
    <row r="26" spans="2:21" x14ac:dyDescent="0.3">
      <c r="C26" s="50"/>
      <c r="D26" s="50"/>
      <c r="E26" s="50"/>
      <c r="F26" s="50"/>
      <c r="S26" s="43"/>
    </row>
    <row r="27" spans="2:21" x14ac:dyDescent="0.3">
      <c r="C27" s="50"/>
      <c r="D27" s="50"/>
      <c r="E27" s="50"/>
      <c r="F27" s="50"/>
      <c r="O27" s="2"/>
      <c r="P27" s="137" t="s">
        <v>67</v>
      </c>
      <c r="Q27" s="55">
        <f>'Link In'!B67</f>
        <v>1.0867202782003371E-3</v>
      </c>
      <c r="R27" s="138">
        <f>+R24*Q27</f>
        <v>10573.344144372299</v>
      </c>
      <c r="S27" s="2"/>
      <c r="T27" s="56"/>
    </row>
    <row r="28" spans="2:21" x14ac:dyDescent="0.3">
      <c r="C28" s="50"/>
      <c r="D28" s="50"/>
      <c r="E28" s="50"/>
      <c r="F28" s="50"/>
      <c r="O28" s="2"/>
      <c r="P28" s="2"/>
      <c r="Q28" s="2"/>
      <c r="R28" s="139"/>
      <c r="S28" s="2"/>
      <c r="T28" s="57"/>
    </row>
    <row r="29" spans="2:21" ht="15" thickBot="1" x14ac:dyDescent="0.35">
      <c r="C29" s="50"/>
      <c r="D29" s="50"/>
      <c r="E29" s="50"/>
      <c r="F29" s="50"/>
      <c r="O29" s="2"/>
      <c r="P29" s="2"/>
      <c r="Q29" s="137" t="s">
        <v>68</v>
      </c>
      <c r="R29" s="52">
        <f>+R24-R27</f>
        <v>9719017.9375075009</v>
      </c>
      <c r="S29" s="2"/>
    </row>
    <row r="30" spans="2:21" ht="15" thickTop="1" x14ac:dyDescent="0.3">
      <c r="C30" s="50"/>
      <c r="D30" s="50"/>
      <c r="E30" s="50"/>
      <c r="F30" s="50"/>
      <c r="O30" s="2"/>
      <c r="P30" s="2"/>
      <c r="Q30" s="2"/>
      <c r="R30" s="2"/>
      <c r="S30" s="2"/>
    </row>
    <row r="31" spans="2:21" x14ac:dyDescent="0.3">
      <c r="C31" s="50"/>
      <c r="D31" s="50"/>
      <c r="E31" s="50"/>
      <c r="F31" s="50"/>
      <c r="O31"/>
      <c r="P31"/>
      <c r="Q31"/>
      <c r="R31"/>
      <c r="S31"/>
    </row>
    <row r="32" spans="2:21" x14ac:dyDescent="0.3">
      <c r="O32"/>
      <c r="P32"/>
      <c r="Q32"/>
      <c r="R32"/>
      <c r="S32"/>
    </row>
    <row r="33" spans="2:20" x14ac:dyDescent="0.3">
      <c r="O33"/>
      <c r="P33"/>
      <c r="Q33"/>
      <c r="R33"/>
      <c r="S33"/>
    </row>
    <row r="34" spans="2:20" x14ac:dyDescent="0.3">
      <c r="O34"/>
      <c r="P34"/>
      <c r="Q34"/>
      <c r="R34"/>
      <c r="S34"/>
    </row>
    <row r="35" spans="2:20" x14ac:dyDescent="0.3">
      <c r="O35"/>
      <c r="P35"/>
      <c r="Q35"/>
      <c r="R35"/>
      <c r="S35"/>
    </row>
    <row r="36" spans="2:20" x14ac:dyDescent="0.3">
      <c r="O36"/>
      <c r="P36"/>
      <c r="Q36"/>
      <c r="R36"/>
      <c r="S36"/>
    </row>
    <row r="37" spans="2:20" x14ac:dyDescent="0.3">
      <c r="O37"/>
      <c r="P37"/>
      <c r="Q37"/>
      <c r="R37"/>
      <c r="S37"/>
    </row>
    <row r="38" spans="2:20" x14ac:dyDescent="0.3">
      <c r="O38"/>
      <c r="P38"/>
      <c r="Q38"/>
      <c r="R38"/>
      <c r="S38"/>
      <c r="T38" s="40"/>
    </row>
    <row r="39" spans="2:20" x14ac:dyDescent="0.3">
      <c r="O39"/>
      <c r="P39"/>
      <c r="Q39"/>
      <c r="R39"/>
      <c r="S39"/>
    </row>
    <row r="40" spans="2:20" x14ac:dyDescent="0.3">
      <c r="O40"/>
      <c r="P40"/>
      <c r="Q40"/>
      <c r="R40"/>
      <c r="S40"/>
    </row>
    <row r="41" spans="2:20" x14ac:dyDescent="0.3">
      <c r="B41"/>
      <c r="C41"/>
      <c r="D41"/>
      <c r="E41"/>
      <c r="F41"/>
      <c r="O41"/>
      <c r="P41"/>
      <c r="Q41"/>
      <c r="R41"/>
      <c r="S41"/>
    </row>
    <row r="42" spans="2:20" ht="15.6" x14ac:dyDescent="0.3">
      <c r="B42"/>
      <c r="C42"/>
      <c r="D42"/>
      <c r="E42"/>
      <c r="F42"/>
      <c r="Q42" s="54"/>
      <c r="R42" s="59"/>
      <c r="S42" s="58"/>
    </row>
    <row r="43" spans="2:20" x14ac:dyDescent="0.3">
      <c r="B43"/>
      <c r="C43"/>
      <c r="D43"/>
      <c r="E43"/>
      <c r="F43"/>
    </row>
    <row r="44" spans="2:20" x14ac:dyDescent="0.3">
      <c r="B44"/>
      <c r="C44"/>
      <c r="D44"/>
      <c r="E44"/>
      <c r="F44"/>
      <c r="G44" s="57"/>
      <c r="H44" s="57"/>
      <c r="I44" s="57"/>
      <c r="J44" s="57"/>
      <c r="K44" s="57"/>
    </row>
    <row r="45" spans="2:20" x14ac:dyDescent="0.3">
      <c r="B45"/>
      <c r="C45"/>
      <c r="D45"/>
      <c r="E45"/>
      <c r="F45"/>
      <c r="G45" s="57"/>
      <c r="H45" s="57"/>
      <c r="I45" s="57"/>
      <c r="J45" s="57"/>
      <c r="K45" s="57"/>
    </row>
    <row r="46" spans="2:20" x14ac:dyDescent="0.3">
      <c r="B46"/>
      <c r="C46"/>
      <c r="D46"/>
      <c r="E46"/>
      <c r="F46"/>
    </row>
    <row r="47" spans="2:20" x14ac:dyDescent="0.3">
      <c r="B47"/>
      <c r="C47"/>
      <c r="D47"/>
      <c r="E47"/>
      <c r="F47"/>
    </row>
    <row r="48" spans="2:20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</sheetData>
  <mergeCells count="1">
    <mergeCell ref="D5:Q5"/>
  </mergeCells>
  <pageMargins left="0.7" right="0.7" top="1" bottom="0.75" header="0.3" footer="0.3"/>
  <pageSetup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39"/>
  <sheetViews>
    <sheetView zoomScaleNormal="100" workbookViewId="0">
      <pane xSplit="2" ySplit="13" topLeftCell="C14" activePane="bottomRight" state="frozen"/>
      <selection activeCell="M30" sqref="M30"/>
      <selection pane="topRight" activeCell="M30" sqref="M30"/>
      <selection pane="bottomLeft" activeCell="M30" sqref="M30"/>
      <selection pane="bottomRight" activeCell="F1" sqref="F1"/>
    </sheetView>
  </sheetViews>
  <sheetFormatPr defaultRowHeight="14.4" outlineLevelCol="1" x14ac:dyDescent="0.3"/>
  <cols>
    <col min="1" max="1" width="2.5546875" style="60" customWidth="1"/>
    <col min="2" max="2" width="34.44140625" style="60" bestFit="1" customWidth="1"/>
    <col min="3" max="4" width="16.44140625" style="60" customWidth="1" outlineLevel="1"/>
    <col min="5" max="5" width="15.109375" style="60" bestFit="1" customWidth="1"/>
    <col min="6" max="6" width="12.6640625" style="60" bestFit="1" customWidth="1"/>
    <col min="7" max="7" width="16.44140625" style="60" customWidth="1"/>
    <col min="8" max="9" width="16.44140625" style="60" customWidth="1" outlineLevel="1"/>
    <col min="10" max="10" width="16.44140625" style="60" customWidth="1"/>
    <col min="11" max="12" width="16.44140625" style="60" customWidth="1" outlineLevel="1"/>
    <col min="13" max="13" width="16.44140625" style="60" customWidth="1"/>
    <col min="14" max="14" width="16.44140625" style="60" customWidth="1" outlineLevel="1"/>
    <col min="15" max="15" width="13.33203125" style="60" customWidth="1" outlineLevel="1"/>
    <col min="16" max="16" width="15.109375" style="60" bestFit="1" customWidth="1"/>
    <col min="17" max="18" width="15.109375" style="60" customWidth="1" outlineLevel="1"/>
    <col min="19" max="19" width="15.109375" style="60" customWidth="1"/>
    <col min="20" max="21" width="15.44140625" style="60" customWidth="1" outlineLevel="1"/>
    <col min="22" max="22" width="16.44140625" style="60" customWidth="1"/>
    <col min="23" max="23" width="16.44140625" style="60" customWidth="1" outlineLevel="1"/>
    <col min="24" max="24" width="13.33203125" style="60" customWidth="1" outlineLevel="1"/>
    <col min="25" max="25" width="15.109375" style="60" bestFit="1" customWidth="1"/>
    <col min="26" max="27" width="15.109375" style="60" customWidth="1" outlineLevel="1"/>
    <col min="28" max="28" width="15.109375" style="60" customWidth="1"/>
    <col min="29" max="30" width="15.44140625" style="60" customWidth="1" outlineLevel="1"/>
    <col min="31" max="31" width="16.44140625" style="60" customWidth="1"/>
    <col min="32" max="32" width="11.5546875" style="60" bestFit="1" customWidth="1"/>
    <col min="33" max="33" width="9.109375" style="60"/>
    <col min="34" max="34" width="13.88671875" style="94" bestFit="1" customWidth="1"/>
    <col min="35" max="35" width="12.6640625" style="94" bestFit="1" customWidth="1"/>
    <col min="36" max="36" width="12.6640625" style="60" bestFit="1" customWidth="1"/>
    <col min="37" max="37" width="9.88671875" style="60" bestFit="1" customWidth="1"/>
    <col min="38" max="269" width="9.109375" style="60"/>
    <col min="270" max="270" width="2.5546875" style="60" customWidth="1"/>
    <col min="271" max="271" width="23.33203125" style="60" bestFit="1" customWidth="1"/>
    <col min="272" max="288" width="14.6640625" style="60" customWidth="1"/>
    <col min="289" max="525" width="9.109375" style="60"/>
    <col min="526" max="526" width="2.5546875" style="60" customWidth="1"/>
    <col min="527" max="527" width="23.33203125" style="60" bestFit="1" customWidth="1"/>
    <col min="528" max="544" width="14.6640625" style="60" customWidth="1"/>
    <col min="545" max="781" width="9.109375" style="60"/>
    <col min="782" max="782" width="2.5546875" style="60" customWidth="1"/>
    <col min="783" max="783" width="23.33203125" style="60" bestFit="1" customWidth="1"/>
    <col min="784" max="800" width="14.6640625" style="60" customWidth="1"/>
    <col min="801" max="1037" width="9.109375" style="60"/>
    <col min="1038" max="1038" width="2.5546875" style="60" customWidth="1"/>
    <col min="1039" max="1039" width="23.33203125" style="60" bestFit="1" customWidth="1"/>
    <col min="1040" max="1056" width="14.6640625" style="60" customWidth="1"/>
    <col min="1057" max="1293" width="9.109375" style="60"/>
    <col min="1294" max="1294" width="2.5546875" style="60" customWidth="1"/>
    <col min="1295" max="1295" width="23.33203125" style="60" bestFit="1" customWidth="1"/>
    <col min="1296" max="1312" width="14.6640625" style="60" customWidth="1"/>
    <col min="1313" max="1549" width="9.109375" style="60"/>
    <col min="1550" max="1550" width="2.5546875" style="60" customWidth="1"/>
    <col min="1551" max="1551" width="23.33203125" style="60" bestFit="1" customWidth="1"/>
    <col min="1552" max="1568" width="14.6640625" style="60" customWidth="1"/>
    <col min="1569" max="1805" width="9.109375" style="60"/>
    <col min="1806" max="1806" width="2.5546875" style="60" customWidth="1"/>
    <col min="1807" max="1807" width="23.33203125" style="60" bestFit="1" customWidth="1"/>
    <col min="1808" max="1824" width="14.6640625" style="60" customWidth="1"/>
    <col min="1825" max="2061" width="9.109375" style="60"/>
    <col min="2062" max="2062" width="2.5546875" style="60" customWidth="1"/>
    <col min="2063" max="2063" width="23.33203125" style="60" bestFit="1" customWidth="1"/>
    <col min="2064" max="2080" width="14.6640625" style="60" customWidth="1"/>
    <col min="2081" max="2317" width="9.109375" style="60"/>
    <col min="2318" max="2318" width="2.5546875" style="60" customWidth="1"/>
    <col min="2319" max="2319" width="23.33203125" style="60" bestFit="1" customWidth="1"/>
    <col min="2320" max="2336" width="14.6640625" style="60" customWidth="1"/>
    <col min="2337" max="2573" width="9.109375" style="60"/>
    <col min="2574" max="2574" width="2.5546875" style="60" customWidth="1"/>
    <col min="2575" max="2575" width="23.33203125" style="60" bestFit="1" customWidth="1"/>
    <col min="2576" max="2592" width="14.6640625" style="60" customWidth="1"/>
    <col min="2593" max="2829" width="9.109375" style="60"/>
    <col min="2830" max="2830" width="2.5546875" style="60" customWidth="1"/>
    <col min="2831" max="2831" width="23.33203125" style="60" bestFit="1" customWidth="1"/>
    <col min="2832" max="2848" width="14.6640625" style="60" customWidth="1"/>
    <col min="2849" max="3085" width="9.109375" style="60"/>
    <col min="3086" max="3086" width="2.5546875" style="60" customWidth="1"/>
    <col min="3087" max="3087" width="23.33203125" style="60" bestFit="1" customWidth="1"/>
    <col min="3088" max="3104" width="14.6640625" style="60" customWidth="1"/>
    <col min="3105" max="3341" width="9.109375" style="60"/>
    <col min="3342" max="3342" width="2.5546875" style="60" customWidth="1"/>
    <col min="3343" max="3343" width="23.33203125" style="60" bestFit="1" customWidth="1"/>
    <col min="3344" max="3360" width="14.6640625" style="60" customWidth="1"/>
    <col min="3361" max="3597" width="9.109375" style="60"/>
    <col min="3598" max="3598" width="2.5546875" style="60" customWidth="1"/>
    <col min="3599" max="3599" width="23.33203125" style="60" bestFit="1" customWidth="1"/>
    <col min="3600" max="3616" width="14.6640625" style="60" customWidth="1"/>
    <col min="3617" max="3853" width="9.109375" style="60"/>
    <col min="3854" max="3854" width="2.5546875" style="60" customWidth="1"/>
    <col min="3855" max="3855" width="23.33203125" style="60" bestFit="1" customWidth="1"/>
    <col min="3856" max="3872" width="14.6640625" style="60" customWidth="1"/>
    <col min="3873" max="4109" width="9.109375" style="60"/>
    <col min="4110" max="4110" width="2.5546875" style="60" customWidth="1"/>
    <col min="4111" max="4111" width="23.33203125" style="60" bestFit="1" customWidth="1"/>
    <col min="4112" max="4128" width="14.6640625" style="60" customWidth="1"/>
    <col min="4129" max="4365" width="9.109375" style="60"/>
    <col min="4366" max="4366" width="2.5546875" style="60" customWidth="1"/>
    <col min="4367" max="4367" width="23.33203125" style="60" bestFit="1" customWidth="1"/>
    <col min="4368" max="4384" width="14.6640625" style="60" customWidth="1"/>
    <col min="4385" max="4621" width="9.109375" style="60"/>
    <col min="4622" max="4622" width="2.5546875" style="60" customWidth="1"/>
    <col min="4623" max="4623" width="23.33203125" style="60" bestFit="1" customWidth="1"/>
    <col min="4624" max="4640" width="14.6640625" style="60" customWidth="1"/>
    <col min="4641" max="4877" width="9.109375" style="60"/>
    <col min="4878" max="4878" width="2.5546875" style="60" customWidth="1"/>
    <col min="4879" max="4879" width="23.33203125" style="60" bestFit="1" customWidth="1"/>
    <col min="4880" max="4896" width="14.6640625" style="60" customWidth="1"/>
    <col min="4897" max="5133" width="9.109375" style="60"/>
    <col min="5134" max="5134" width="2.5546875" style="60" customWidth="1"/>
    <col min="5135" max="5135" width="23.33203125" style="60" bestFit="1" customWidth="1"/>
    <col min="5136" max="5152" width="14.6640625" style="60" customWidth="1"/>
    <col min="5153" max="5389" width="9.109375" style="60"/>
    <col min="5390" max="5390" width="2.5546875" style="60" customWidth="1"/>
    <col min="5391" max="5391" width="23.33203125" style="60" bestFit="1" customWidth="1"/>
    <col min="5392" max="5408" width="14.6640625" style="60" customWidth="1"/>
    <col min="5409" max="5645" width="9.109375" style="60"/>
    <col min="5646" max="5646" width="2.5546875" style="60" customWidth="1"/>
    <col min="5647" max="5647" width="23.33203125" style="60" bestFit="1" customWidth="1"/>
    <col min="5648" max="5664" width="14.6640625" style="60" customWidth="1"/>
    <col min="5665" max="5901" width="9.109375" style="60"/>
    <col min="5902" max="5902" width="2.5546875" style="60" customWidth="1"/>
    <col min="5903" max="5903" width="23.33203125" style="60" bestFit="1" customWidth="1"/>
    <col min="5904" max="5920" width="14.6640625" style="60" customWidth="1"/>
    <col min="5921" max="6157" width="9.109375" style="60"/>
    <col min="6158" max="6158" width="2.5546875" style="60" customWidth="1"/>
    <col min="6159" max="6159" width="23.33203125" style="60" bestFit="1" customWidth="1"/>
    <col min="6160" max="6176" width="14.6640625" style="60" customWidth="1"/>
    <col min="6177" max="6413" width="9.109375" style="60"/>
    <col min="6414" max="6414" width="2.5546875" style="60" customWidth="1"/>
    <col min="6415" max="6415" width="23.33203125" style="60" bestFit="1" customWidth="1"/>
    <col min="6416" max="6432" width="14.6640625" style="60" customWidth="1"/>
    <col min="6433" max="6669" width="9.109375" style="60"/>
    <col min="6670" max="6670" width="2.5546875" style="60" customWidth="1"/>
    <col min="6671" max="6671" width="23.33203125" style="60" bestFit="1" customWidth="1"/>
    <col min="6672" max="6688" width="14.6640625" style="60" customWidth="1"/>
    <col min="6689" max="6925" width="9.109375" style="60"/>
    <col min="6926" max="6926" width="2.5546875" style="60" customWidth="1"/>
    <col min="6927" max="6927" width="23.33203125" style="60" bestFit="1" customWidth="1"/>
    <col min="6928" max="6944" width="14.6640625" style="60" customWidth="1"/>
    <col min="6945" max="7181" width="9.109375" style="60"/>
    <col min="7182" max="7182" width="2.5546875" style="60" customWidth="1"/>
    <col min="7183" max="7183" width="23.33203125" style="60" bestFit="1" customWidth="1"/>
    <col min="7184" max="7200" width="14.6640625" style="60" customWidth="1"/>
    <col min="7201" max="7437" width="9.109375" style="60"/>
    <col min="7438" max="7438" width="2.5546875" style="60" customWidth="1"/>
    <col min="7439" max="7439" width="23.33203125" style="60" bestFit="1" customWidth="1"/>
    <col min="7440" max="7456" width="14.6640625" style="60" customWidth="1"/>
    <col min="7457" max="7693" width="9.109375" style="60"/>
    <col min="7694" max="7694" width="2.5546875" style="60" customWidth="1"/>
    <col min="7695" max="7695" width="23.33203125" style="60" bestFit="1" customWidth="1"/>
    <col min="7696" max="7712" width="14.6640625" style="60" customWidth="1"/>
    <col min="7713" max="7949" width="9.109375" style="60"/>
    <col min="7950" max="7950" width="2.5546875" style="60" customWidth="1"/>
    <col min="7951" max="7951" width="23.33203125" style="60" bestFit="1" customWidth="1"/>
    <col min="7952" max="7968" width="14.6640625" style="60" customWidth="1"/>
    <col min="7969" max="8205" width="9.109375" style="60"/>
    <col min="8206" max="8206" width="2.5546875" style="60" customWidth="1"/>
    <col min="8207" max="8207" width="23.33203125" style="60" bestFit="1" customWidth="1"/>
    <col min="8208" max="8224" width="14.6640625" style="60" customWidth="1"/>
    <col min="8225" max="8461" width="9.109375" style="60"/>
    <col min="8462" max="8462" width="2.5546875" style="60" customWidth="1"/>
    <col min="8463" max="8463" width="23.33203125" style="60" bestFit="1" customWidth="1"/>
    <col min="8464" max="8480" width="14.6640625" style="60" customWidth="1"/>
    <col min="8481" max="8717" width="9.109375" style="60"/>
    <col min="8718" max="8718" width="2.5546875" style="60" customWidth="1"/>
    <col min="8719" max="8719" width="23.33203125" style="60" bestFit="1" customWidth="1"/>
    <col min="8720" max="8736" width="14.6640625" style="60" customWidth="1"/>
    <col min="8737" max="8973" width="9.109375" style="60"/>
    <col min="8974" max="8974" width="2.5546875" style="60" customWidth="1"/>
    <col min="8975" max="8975" width="23.33203125" style="60" bestFit="1" customWidth="1"/>
    <col min="8976" max="8992" width="14.6640625" style="60" customWidth="1"/>
    <col min="8993" max="9229" width="9.109375" style="60"/>
    <col min="9230" max="9230" width="2.5546875" style="60" customWidth="1"/>
    <col min="9231" max="9231" width="23.33203125" style="60" bestFit="1" customWidth="1"/>
    <col min="9232" max="9248" width="14.6640625" style="60" customWidth="1"/>
    <col min="9249" max="9485" width="9.109375" style="60"/>
    <col min="9486" max="9486" width="2.5546875" style="60" customWidth="1"/>
    <col min="9487" max="9487" width="23.33203125" style="60" bestFit="1" customWidth="1"/>
    <col min="9488" max="9504" width="14.6640625" style="60" customWidth="1"/>
    <col min="9505" max="9741" width="9.109375" style="60"/>
    <col min="9742" max="9742" width="2.5546875" style="60" customWidth="1"/>
    <col min="9743" max="9743" width="23.33203125" style="60" bestFit="1" customWidth="1"/>
    <col min="9744" max="9760" width="14.6640625" style="60" customWidth="1"/>
    <col min="9761" max="9997" width="9.109375" style="60"/>
    <col min="9998" max="9998" width="2.5546875" style="60" customWidth="1"/>
    <col min="9999" max="9999" width="23.33203125" style="60" bestFit="1" customWidth="1"/>
    <col min="10000" max="10016" width="14.6640625" style="60" customWidth="1"/>
    <col min="10017" max="10253" width="9.109375" style="60"/>
    <col min="10254" max="10254" width="2.5546875" style="60" customWidth="1"/>
    <col min="10255" max="10255" width="23.33203125" style="60" bestFit="1" customWidth="1"/>
    <col min="10256" max="10272" width="14.6640625" style="60" customWidth="1"/>
    <col min="10273" max="10509" width="9.109375" style="60"/>
    <col min="10510" max="10510" width="2.5546875" style="60" customWidth="1"/>
    <col min="10511" max="10511" width="23.33203125" style="60" bestFit="1" customWidth="1"/>
    <col min="10512" max="10528" width="14.6640625" style="60" customWidth="1"/>
    <col min="10529" max="10765" width="9.109375" style="60"/>
    <col min="10766" max="10766" width="2.5546875" style="60" customWidth="1"/>
    <col min="10767" max="10767" width="23.33203125" style="60" bestFit="1" customWidth="1"/>
    <col min="10768" max="10784" width="14.6640625" style="60" customWidth="1"/>
    <col min="10785" max="11021" width="9.109375" style="60"/>
    <col min="11022" max="11022" width="2.5546875" style="60" customWidth="1"/>
    <col min="11023" max="11023" width="23.33203125" style="60" bestFit="1" customWidth="1"/>
    <col min="11024" max="11040" width="14.6640625" style="60" customWidth="1"/>
    <col min="11041" max="11277" width="9.109375" style="60"/>
    <col min="11278" max="11278" width="2.5546875" style="60" customWidth="1"/>
    <col min="11279" max="11279" width="23.33203125" style="60" bestFit="1" customWidth="1"/>
    <col min="11280" max="11296" width="14.6640625" style="60" customWidth="1"/>
    <col min="11297" max="11533" width="9.109375" style="60"/>
    <col min="11534" max="11534" width="2.5546875" style="60" customWidth="1"/>
    <col min="11535" max="11535" width="23.33203125" style="60" bestFit="1" customWidth="1"/>
    <col min="11536" max="11552" width="14.6640625" style="60" customWidth="1"/>
    <col min="11553" max="11789" width="9.109375" style="60"/>
    <col min="11790" max="11790" width="2.5546875" style="60" customWidth="1"/>
    <col min="11791" max="11791" width="23.33203125" style="60" bestFit="1" customWidth="1"/>
    <col min="11792" max="11808" width="14.6640625" style="60" customWidth="1"/>
    <col min="11809" max="12045" width="9.109375" style="60"/>
    <col min="12046" max="12046" width="2.5546875" style="60" customWidth="1"/>
    <col min="12047" max="12047" width="23.33203125" style="60" bestFit="1" customWidth="1"/>
    <col min="12048" max="12064" width="14.6640625" style="60" customWidth="1"/>
    <col min="12065" max="12301" width="9.109375" style="60"/>
    <col min="12302" max="12302" width="2.5546875" style="60" customWidth="1"/>
    <col min="12303" max="12303" width="23.33203125" style="60" bestFit="1" customWidth="1"/>
    <col min="12304" max="12320" width="14.6640625" style="60" customWidth="1"/>
    <col min="12321" max="12557" width="9.109375" style="60"/>
    <col min="12558" max="12558" width="2.5546875" style="60" customWidth="1"/>
    <col min="12559" max="12559" width="23.33203125" style="60" bestFit="1" customWidth="1"/>
    <col min="12560" max="12576" width="14.6640625" style="60" customWidth="1"/>
    <col min="12577" max="12813" width="9.109375" style="60"/>
    <col min="12814" max="12814" width="2.5546875" style="60" customWidth="1"/>
    <col min="12815" max="12815" width="23.33203125" style="60" bestFit="1" customWidth="1"/>
    <col min="12816" max="12832" width="14.6640625" style="60" customWidth="1"/>
    <col min="12833" max="13069" width="9.109375" style="60"/>
    <col min="13070" max="13070" width="2.5546875" style="60" customWidth="1"/>
    <col min="13071" max="13071" width="23.33203125" style="60" bestFit="1" customWidth="1"/>
    <col min="13072" max="13088" width="14.6640625" style="60" customWidth="1"/>
    <col min="13089" max="13325" width="9.109375" style="60"/>
    <col min="13326" max="13326" width="2.5546875" style="60" customWidth="1"/>
    <col min="13327" max="13327" width="23.33203125" style="60" bestFit="1" customWidth="1"/>
    <col min="13328" max="13344" width="14.6640625" style="60" customWidth="1"/>
    <col min="13345" max="13581" width="9.109375" style="60"/>
    <col min="13582" max="13582" width="2.5546875" style="60" customWidth="1"/>
    <col min="13583" max="13583" width="23.33203125" style="60" bestFit="1" customWidth="1"/>
    <col min="13584" max="13600" width="14.6640625" style="60" customWidth="1"/>
    <col min="13601" max="13837" width="9.109375" style="60"/>
    <col min="13838" max="13838" width="2.5546875" style="60" customWidth="1"/>
    <col min="13839" max="13839" width="23.33203125" style="60" bestFit="1" customWidth="1"/>
    <col min="13840" max="13856" width="14.6640625" style="60" customWidth="1"/>
    <col min="13857" max="14093" width="9.109375" style="60"/>
    <col min="14094" max="14094" width="2.5546875" style="60" customWidth="1"/>
    <col min="14095" max="14095" width="23.33203125" style="60" bestFit="1" customWidth="1"/>
    <col min="14096" max="14112" width="14.6640625" style="60" customWidth="1"/>
    <col min="14113" max="14349" width="9.109375" style="60"/>
    <col min="14350" max="14350" width="2.5546875" style="60" customWidth="1"/>
    <col min="14351" max="14351" width="23.33203125" style="60" bestFit="1" customWidth="1"/>
    <col min="14352" max="14368" width="14.6640625" style="60" customWidth="1"/>
    <col min="14369" max="14605" width="9.109375" style="60"/>
    <col min="14606" max="14606" width="2.5546875" style="60" customWidth="1"/>
    <col min="14607" max="14607" width="23.33203125" style="60" bestFit="1" customWidth="1"/>
    <col min="14608" max="14624" width="14.6640625" style="60" customWidth="1"/>
    <col min="14625" max="14861" width="9.109375" style="60"/>
    <col min="14862" max="14862" width="2.5546875" style="60" customWidth="1"/>
    <col min="14863" max="14863" width="23.33203125" style="60" bestFit="1" customWidth="1"/>
    <col min="14864" max="14880" width="14.6640625" style="60" customWidth="1"/>
    <col min="14881" max="15117" width="9.109375" style="60"/>
    <col min="15118" max="15118" width="2.5546875" style="60" customWidth="1"/>
    <col min="15119" max="15119" width="23.33203125" style="60" bestFit="1" customWidth="1"/>
    <col min="15120" max="15136" width="14.6640625" style="60" customWidth="1"/>
    <col min="15137" max="15373" width="9.109375" style="60"/>
    <col min="15374" max="15374" width="2.5546875" style="60" customWidth="1"/>
    <col min="15375" max="15375" width="23.33203125" style="60" bestFit="1" customWidth="1"/>
    <col min="15376" max="15392" width="14.6640625" style="60" customWidth="1"/>
    <col min="15393" max="15629" width="9.109375" style="60"/>
    <col min="15630" max="15630" width="2.5546875" style="60" customWidth="1"/>
    <col min="15631" max="15631" width="23.33203125" style="60" bestFit="1" customWidth="1"/>
    <col min="15632" max="15648" width="14.6640625" style="60" customWidth="1"/>
    <col min="15649" max="15885" width="9.109375" style="60"/>
    <col min="15886" max="15886" width="2.5546875" style="60" customWidth="1"/>
    <col min="15887" max="15887" width="23.33203125" style="60" bestFit="1" customWidth="1"/>
    <col min="15888" max="15904" width="14.6640625" style="60" customWidth="1"/>
    <col min="15905" max="16141" width="9.109375" style="60"/>
    <col min="16142" max="16142" width="2.5546875" style="60" customWidth="1"/>
    <col min="16143" max="16143" width="23.33203125" style="60" bestFit="1" customWidth="1"/>
    <col min="16144" max="16160" width="14.6640625" style="60" customWidth="1"/>
    <col min="16161" max="16384" width="9.109375" style="60"/>
  </cols>
  <sheetData>
    <row r="1" spans="1:32" x14ac:dyDescent="0.3">
      <c r="B1" s="61" t="s">
        <v>33</v>
      </c>
      <c r="AF1" s="62"/>
    </row>
    <row r="2" spans="1:32" x14ac:dyDescent="0.3">
      <c r="B2" s="61" t="s">
        <v>194</v>
      </c>
    </row>
    <row r="3" spans="1:32" x14ac:dyDescent="0.3">
      <c r="B3" s="61" t="s">
        <v>69</v>
      </c>
    </row>
    <row r="5" spans="1:32" x14ac:dyDescent="0.3">
      <c r="B5" s="63" t="s">
        <v>70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thickBot="1" x14ac:dyDescent="0.35">
      <c r="B6" s="177" t="s">
        <v>71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</row>
    <row r="7" spans="1:32" ht="15" thickBot="1" x14ac:dyDescent="0.35">
      <c r="B7" s="63"/>
      <c r="C7" s="64"/>
      <c r="D7" s="64"/>
      <c r="E7" s="65" t="s">
        <v>72</v>
      </c>
      <c r="F7" s="66"/>
      <c r="G7" s="66"/>
      <c r="H7" s="66"/>
      <c r="I7" s="66"/>
      <c r="J7" s="66"/>
      <c r="K7" s="66"/>
      <c r="L7" s="66"/>
      <c r="M7" s="67"/>
      <c r="N7" s="178" t="s">
        <v>73</v>
      </c>
      <c r="O7" s="179"/>
      <c r="P7" s="179"/>
      <c r="Q7" s="179"/>
      <c r="R7" s="179"/>
      <c r="S7" s="179"/>
      <c r="T7" s="179"/>
      <c r="U7" s="179"/>
      <c r="V7" s="180"/>
      <c r="W7" s="178" t="s">
        <v>74</v>
      </c>
      <c r="X7" s="179"/>
      <c r="Y7" s="179"/>
      <c r="Z7" s="179"/>
      <c r="AA7" s="179"/>
      <c r="AB7" s="179"/>
      <c r="AC7" s="179"/>
      <c r="AD7" s="179"/>
      <c r="AE7" s="180"/>
      <c r="AF7" s="63" t="s">
        <v>75</v>
      </c>
    </row>
    <row r="8" spans="1:32" x14ac:dyDescent="0.3">
      <c r="B8" s="68"/>
      <c r="C8" s="69" t="s">
        <v>76</v>
      </c>
      <c r="D8" s="69" t="s">
        <v>77</v>
      </c>
      <c r="E8" s="69" t="s">
        <v>78</v>
      </c>
      <c r="F8" s="69" t="s">
        <v>79</v>
      </c>
      <c r="G8" s="69" t="s">
        <v>80</v>
      </c>
      <c r="H8" s="69" t="s">
        <v>81</v>
      </c>
      <c r="I8" s="69" t="s">
        <v>82</v>
      </c>
      <c r="J8" s="69" t="s">
        <v>83</v>
      </c>
      <c r="K8" s="69" t="s">
        <v>84</v>
      </c>
      <c r="L8" s="69" t="s">
        <v>85</v>
      </c>
      <c r="M8" s="69" t="s">
        <v>86</v>
      </c>
      <c r="N8" s="69" t="s">
        <v>87</v>
      </c>
      <c r="O8" s="69" t="s">
        <v>88</v>
      </c>
      <c r="P8" s="69" t="s">
        <v>89</v>
      </c>
      <c r="Q8" s="69" t="s">
        <v>90</v>
      </c>
      <c r="R8" s="69" t="s">
        <v>91</v>
      </c>
      <c r="S8" s="69" t="s">
        <v>92</v>
      </c>
      <c r="T8" s="69" t="s">
        <v>93</v>
      </c>
      <c r="U8" s="69" t="s">
        <v>94</v>
      </c>
      <c r="V8" s="69" t="s">
        <v>95</v>
      </c>
      <c r="W8" s="69" t="s">
        <v>96</v>
      </c>
      <c r="X8" s="69" t="s">
        <v>97</v>
      </c>
      <c r="Y8" s="69" t="s">
        <v>98</v>
      </c>
      <c r="Z8" s="69" t="s">
        <v>99</v>
      </c>
      <c r="AA8" s="69" t="s">
        <v>100</v>
      </c>
      <c r="AB8" s="69" t="s">
        <v>101</v>
      </c>
      <c r="AC8" s="69" t="s">
        <v>102</v>
      </c>
      <c r="AD8" s="69" t="s">
        <v>103</v>
      </c>
      <c r="AE8" s="69" t="s">
        <v>104</v>
      </c>
      <c r="AF8" s="69" t="s">
        <v>105</v>
      </c>
    </row>
    <row r="9" spans="1:32" x14ac:dyDescent="0.3">
      <c r="B9" s="70"/>
      <c r="C9" s="71" t="s">
        <v>106</v>
      </c>
      <c r="D9" s="71" t="s">
        <v>106</v>
      </c>
      <c r="E9" s="71"/>
      <c r="H9" s="71" t="s">
        <v>35</v>
      </c>
      <c r="I9" s="71" t="s">
        <v>35</v>
      </c>
      <c r="J9" s="71" t="s">
        <v>35</v>
      </c>
      <c r="K9" s="71" t="s">
        <v>107</v>
      </c>
      <c r="L9" s="71" t="s">
        <v>107</v>
      </c>
      <c r="M9" s="71" t="s">
        <v>107</v>
      </c>
      <c r="N9" s="72"/>
      <c r="O9" s="72"/>
      <c r="P9" s="73" t="s">
        <v>9</v>
      </c>
      <c r="Q9" s="74" t="s">
        <v>108</v>
      </c>
      <c r="R9" s="74" t="s">
        <v>108</v>
      </c>
      <c r="S9" s="73" t="s">
        <v>9</v>
      </c>
      <c r="T9" s="74" t="s">
        <v>109</v>
      </c>
      <c r="U9" s="74" t="s">
        <v>109</v>
      </c>
      <c r="V9" s="73" t="s">
        <v>9</v>
      </c>
      <c r="W9" s="72"/>
      <c r="X9" s="72"/>
      <c r="Y9" s="73" t="s">
        <v>9</v>
      </c>
      <c r="Z9" s="74" t="s">
        <v>108</v>
      </c>
      <c r="AA9" s="74" t="s">
        <v>108</v>
      </c>
      <c r="AB9" s="73" t="s">
        <v>9</v>
      </c>
      <c r="AC9" s="74" t="s">
        <v>110</v>
      </c>
      <c r="AD9" s="74" t="s">
        <v>110</v>
      </c>
      <c r="AE9" s="73" t="s">
        <v>9</v>
      </c>
      <c r="AF9" s="71" t="s">
        <v>9</v>
      </c>
    </row>
    <row r="10" spans="1:32" x14ac:dyDescent="0.3">
      <c r="C10" s="71" t="s">
        <v>111</v>
      </c>
      <c r="D10" s="71" t="s">
        <v>111</v>
      </c>
      <c r="E10" s="71" t="s">
        <v>111</v>
      </c>
      <c r="F10" s="71" t="s">
        <v>111</v>
      </c>
      <c r="G10" s="71" t="s">
        <v>111</v>
      </c>
      <c r="H10" s="71" t="s">
        <v>112</v>
      </c>
      <c r="I10" s="71" t="s">
        <v>112</v>
      </c>
      <c r="J10" s="71" t="s">
        <v>112</v>
      </c>
      <c r="K10" s="71" t="s">
        <v>111</v>
      </c>
      <c r="L10" s="71" t="s">
        <v>111</v>
      </c>
      <c r="M10" s="71" t="s">
        <v>111</v>
      </c>
      <c r="N10" s="71" t="s">
        <v>113</v>
      </c>
      <c r="O10" s="71" t="s">
        <v>113</v>
      </c>
      <c r="P10" s="71" t="s">
        <v>113</v>
      </c>
      <c r="Q10" s="71" t="s">
        <v>114</v>
      </c>
      <c r="R10" s="71" t="s">
        <v>114</v>
      </c>
      <c r="S10" s="71" t="s">
        <v>114</v>
      </c>
      <c r="T10" s="71" t="s">
        <v>115</v>
      </c>
      <c r="U10" s="71" t="s">
        <v>115</v>
      </c>
      <c r="V10" s="68" t="s">
        <v>116</v>
      </c>
      <c r="W10" s="71" t="s">
        <v>117</v>
      </c>
      <c r="X10" s="71" t="s">
        <v>117</v>
      </c>
      <c r="Y10" s="71" t="s">
        <v>117</v>
      </c>
      <c r="Z10" s="71" t="s">
        <v>114</v>
      </c>
      <c r="AA10" s="71" t="s">
        <v>114</v>
      </c>
      <c r="AB10" s="71" t="s">
        <v>114</v>
      </c>
      <c r="AC10" s="71" t="s">
        <v>115</v>
      </c>
      <c r="AD10" s="71" t="s">
        <v>115</v>
      </c>
      <c r="AE10" s="68" t="s">
        <v>118</v>
      </c>
      <c r="AF10" s="71" t="s">
        <v>119</v>
      </c>
    </row>
    <row r="11" spans="1:32" s="71" customFormat="1" x14ac:dyDescent="0.3">
      <c r="C11" s="71" t="s">
        <v>120</v>
      </c>
      <c r="D11" s="71" t="s">
        <v>121</v>
      </c>
      <c r="E11" s="71" t="s">
        <v>122</v>
      </c>
      <c r="F11" s="71" t="s">
        <v>123</v>
      </c>
      <c r="G11" s="71" t="s">
        <v>124</v>
      </c>
      <c r="H11" s="71" t="s">
        <v>119</v>
      </c>
      <c r="I11" s="71" t="s">
        <v>121</v>
      </c>
      <c r="J11" s="71" t="s">
        <v>122</v>
      </c>
      <c r="K11" s="71" t="s">
        <v>119</v>
      </c>
      <c r="L11" s="71" t="s">
        <v>121</v>
      </c>
      <c r="M11" s="71" t="s">
        <v>122</v>
      </c>
      <c r="N11" s="71" t="s">
        <v>119</v>
      </c>
      <c r="O11" s="71" t="s">
        <v>121</v>
      </c>
      <c r="P11" s="71" t="s">
        <v>122</v>
      </c>
      <c r="Q11" s="71" t="s">
        <v>119</v>
      </c>
      <c r="R11" s="71" t="s">
        <v>121</v>
      </c>
      <c r="S11" s="71" t="s">
        <v>122</v>
      </c>
      <c r="T11" s="71" t="s">
        <v>119</v>
      </c>
      <c r="U11" s="71" t="s">
        <v>121</v>
      </c>
      <c r="V11" s="71" t="s">
        <v>122</v>
      </c>
      <c r="W11" s="71" t="s">
        <v>119</v>
      </c>
      <c r="X11" s="71" t="s">
        <v>121</v>
      </c>
      <c r="Y11" s="71" t="s">
        <v>122</v>
      </c>
      <c r="Z11" s="71" t="s">
        <v>119</v>
      </c>
      <c r="AA11" s="71" t="s">
        <v>121</v>
      </c>
      <c r="AB11" s="71" t="s">
        <v>122</v>
      </c>
      <c r="AC11" s="71" t="s">
        <v>119</v>
      </c>
      <c r="AD11" s="71" t="s">
        <v>121</v>
      </c>
      <c r="AE11" s="71" t="s">
        <v>122</v>
      </c>
      <c r="AF11" s="71" t="s">
        <v>125</v>
      </c>
    </row>
    <row r="12" spans="1:32" s="71" customFormat="1" x14ac:dyDescent="0.3">
      <c r="C12" s="75" t="s">
        <v>126</v>
      </c>
      <c r="D12" s="75" t="s">
        <v>126</v>
      </c>
      <c r="E12" s="75" t="s">
        <v>126</v>
      </c>
      <c r="F12" s="75" t="s">
        <v>127</v>
      </c>
      <c r="G12" s="75" t="s">
        <v>128</v>
      </c>
      <c r="H12" s="75" t="s">
        <v>126</v>
      </c>
      <c r="I12" s="75" t="s">
        <v>126</v>
      </c>
      <c r="J12" s="75" t="s">
        <v>126</v>
      </c>
      <c r="K12" s="75" t="s">
        <v>126</v>
      </c>
      <c r="L12" s="75" t="s">
        <v>126</v>
      </c>
      <c r="M12" s="75" t="s">
        <v>126</v>
      </c>
      <c r="N12" s="75" t="s">
        <v>126</v>
      </c>
      <c r="O12" s="75" t="s">
        <v>126</v>
      </c>
      <c r="P12" s="75" t="s">
        <v>126</v>
      </c>
      <c r="Q12" s="75" t="s">
        <v>126</v>
      </c>
      <c r="R12" s="75" t="s">
        <v>126</v>
      </c>
      <c r="S12" s="75" t="s">
        <v>126</v>
      </c>
      <c r="T12" s="75" t="s">
        <v>126</v>
      </c>
      <c r="U12" s="75" t="s">
        <v>126</v>
      </c>
      <c r="V12" s="75" t="s">
        <v>126</v>
      </c>
      <c r="W12" s="75" t="s">
        <v>126</v>
      </c>
      <c r="X12" s="75" t="s">
        <v>126</v>
      </c>
      <c r="Y12" s="75" t="s">
        <v>126</v>
      </c>
      <c r="Z12" s="75" t="s">
        <v>126</v>
      </c>
      <c r="AA12" s="75" t="s">
        <v>126</v>
      </c>
      <c r="AB12" s="75" t="s">
        <v>126</v>
      </c>
      <c r="AC12" s="75" t="s">
        <v>126</v>
      </c>
      <c r="AD12" s="75" t="s">
        <v>126</v>
      </c>
      <c r="AE12" s="75" t="s">
        <v>126</v>
      </c>
      <c r="AF12" s="75" t="s">
        <v>129</v>
      </c>
    </row>
    <row r="13" spans="1:32" s="71" customFormat="1" x14ac:dyDescent="0.3">
      <c r="C13" s="76"/>
      <c r="D13" s="76"/>
      <c r="E13" s="77" t="s">
        <v>130</v>
      </c>
      <c r="F13" s="76"/>
      <c r="G13" s="76" t="s">
        <v>131</v>
      </c>
      <c r="H13" s="76"/>
      <c r="I13" s="76"/>
      <c r="J13" s="77" t="s">
        <v>132</v>
      </c>
      <c r="K13" s="76" t="s">
        <v>133</v>
      </c>
      <c r="L13" s="76" t="s">
        <v>134</v>
      </c>
      <c r="M13" s="77" t="s">
        <v>135</v>
      </c>
      <c r="N13" s="76"/>
      <c r="O13" s="76"/>
      <c r="P13" s="77" t="s">
        <v>136</v>
      </c>
      <c r="Q13" s="77"/>
      <c r="R13" s="77"/>
      <c r="S13" s="77" t="s">
        <v>137</v>
      </c>
      <c r="T13" s="77" t="s">
        <v>138</v>
      </c>
      <c r="U13" s="77" t="s">
        <v>139</v>
      </c>
      <c r="V13" s="77" t="s">
        <v>140</v>
      </c>
      <c r="W13" s="76"/>
      <c r="X13" s="76"/>
      <c r="Y13" s="77" t="s">
        <v>141</v>
      </c>
      <c r="Z13" s="77"/>
      <c r="AA13" s="77"/>
      <c r="AB13" s="77" t="s">
        <v>142</v>
      </c>
      <c r="AC13" s="77" t="s">
        <v>143</v>
      </c>
      <c r="AD13" s="77" t="s">
        <v>144</v>
      </c>
      <c r="AE13" s="77" t="s">
        <v>145</v>
      </c>
      <c r="AF13" s="77" t="s">
        <v>146</v>
      </c>
    </row>
    <row r="14" spans="1:32" s="71" customFormat="1" x14ac:dyDescent="0.3">
      <c r="A14" s="61"/>
      <c r="B14" s="1" t="s">
        <v>51</v>
      </c>
      <c r="C14" s="78">
        <v>59546</v>
      </c>
      <c r="D14" s="78">
        <v>14436</v>
      </c>
      <c r="E14" s="78">
        <f t="shared" ref="E14:E29" si="0">SUM(C14,D14)</f>
        <v>73982</v>
      </c>
      <c r="F14" s="79">
        <v>520</v>
      </c>
      <c r="G14" s="78">
        <f>SUM(E14,F14)</f>
        <v>74502</v>
      </c>
      <c r="H14" s="78">
        <v>135</v>
      </c>
      <c r="I14" s="78">
        <v>-1436</v>
      </c>
      <c r="J14" s="80">
        <f>SUM(H14,I14)</f>
        <v>-1301</v>
      </c>
      <c r="K14" s="80">
        <f>SUM(C14,H14)</f>
        <v>59681</v>
      </c>
      <c r="L14" s="80">
        <f>SUM(D14,I14)</f>
        <v>13000</v>
      </c>
      <c r="M14" s="80">
        <f>SUM(K14,L14)</f>
        <v>72681</v>
      </c>
      <c r="N14" s="78">
        <v>1607</v>
      </c>
      <c r="O14" s="78">
        <v>350</v>
      </c>
      <c r="P14" s="80">
        <f t="shared" ref="P14:P29" si="1">SUM(N14,O14)</f>
        <v>1957</v>
      </c>
      <c r="Q14" s="78">
        <v>0</v>
      </c>
      <c r="R14" s="78">
        <v>-126</v>
      </c>
      <c r="S14" s="80">
        <f>SUM(Q14,R14)</f>
        <v>-126</v>
      </c>
      <c r="T14" s="80">
        <f t="shared" ref="T14:V29" si="2">SUM(K14,N14,Q14)</f>
        <v>61288</v>
      </c>
      <c r="U14" s="80">
        <f t="shared" si="2"/>
        <v>13224</v>
      </c>
      <c r="V14" s="80">
        <f t="shared" si="2"/>
        <v>74512</v>
      </c>
      <c r="W14" s="78">
        <v>413</v>
      </c>
      <c r="X14" s="78">
        <v>89</v>
      </c>
      <c r="Y14" s="80">
        <f t="shared" ref="Y14:Y29" si="3">SUM(W14,X14)</f>
        <v>502</v>
      </c>
      <c r="Z14" s="78">
        <v>0</v>
      </c>
      <c r="AA14" s="78">
        <v>0</v>
      </c>
      <c r="AB14" s="80">
        <f>SUM(Z14,AA14)</f>
        <v>0</v>
      </c>
      <c r="AC14" s="80">
        <f t="shared" ref="AC14:AC29" si="4">SUM(T14,W14,Z14)</f>
        <v>61701</v>
      </c>
      <c r="AD14" s="80">
        <f t="shared" ref="AD14:AE29" si="5">SUM(U14,X14,AA14)</f>
        <v>13313</v>
      </c>
      <c r="AE14" s="80">
        <f>SUM(V14,Y14,AB14)</f>
        <v>75014</v>
      </c>
      <c r="AF14" s="80">
        <f>+AE14-E14</f>
        <v>1032</v>
      </c>
    </row>
    <row r="15" spans="1:32" s="71" customFormat="1" x14ac:dyDescent="0.3">
      <c r="B15" s="1" t="s">
        <v>52</v>
      </c>
      <c r="C15" s="81">
        <v>45548</v>
      </c>
      <c r="D15" s="81">
        <v>16392</v>
      </c>
      <c r="E15" s="82">
        <f t="shared" si="0"/>
        <v>61940</v>
      </c>
      <c r="F15" s="82">
        <v>0</v>
      </c>
      <c r="G15" s="82">
        <f t="shared" ref="G15:G29" si="6">SUM(E15,F15)</f>
        <v>61940</v>
      </c>
      <c r="H15" s="82">
        <v>103</v>
      </c>
      <c r="I15" s="82">
        <v>-419</v>
      </c>
      <c r="J15" s="83">
        <f t="shared" ref="J15:J29" si="7">SUM(H15,I15)</f>
        <v>-316</v>
      </c>
      <c r="K15" s="82">
        <f t="shared" ref="K15:L29" si="8">SUM(C15,H15)</f>
        <v>45651</v>
      </c>
      <c r="L15" s="82">
        <f t="shared" si="8"/>
        <v>15973</v>
      </c>
      <c r="M15" s="82">
        <f t="shared" ref="M15:M29" si="9">SUM(K15,L15)</f>
        <v>61624</v>
      </c>
      <c r="N15" s="81">
        <v>1230</v>
      </c>
      <c r="O15" s="81">
        <v>430</v>
      </c>
      <c r="P15" s="82">
        <f t="shared" si="1"/>
        <v>1660</v>
      </c>
      <c r="Q15" s="81">
        <v>0</v>
      </c>
      <c r="R15" s="81">
        <v>-108</v>
      </c>
      <c r="S15" s="82">
        <f>SUM(Q15,R15)</f>
        <v>-108</v>
      </c>
      <c r="T15" s="82">
        <f t="shared" si="2"/>
        <v>46881</v>
      </c>
      <c r="U15" s="82">
        <f t="shared" si="2"/>
        <v>16295</v>
      </c>
      <c r="V15" s="84">
        <f t="shared" si="2"/>
        <v>63176</v>
      </c>
      <c r="W15" s="81">
        <v>316</v>
      </c>
      <c r="X15" s="81">
        <v>110</v>
      </c>
      <c r="Y15" s="82">
        <f t="shared" si="3"/>
        <v>426</v>
      </c>
      <c r="Z15" s="81">
        <v>0</v>
      </c>
      <c r="AA15" s="82">
        <v>0</v>
      </c>
      <c r="AB15" s="82">
        <f>SUM(Z15,AA15)</f>
        <v>0</v>
      </c>
      <c r="AC15" s="82">
        <f t="shared" si="4"/>
        <v>47197</v>
      </c>
      <c r="AD15" s="82">
        <f t="shared" si="5"/>
        <v>16405</v>
      </c>
      <c r="AE15" s="84">
        <f t="shared" si="5"/>
        <v>63602</v>
      </c>
      <c r="AF15" s="84">
        <f t="shared" ref="AF15:AF29" si="10">+AE15-E15</f>
        <v>1662</v>
      </c>
    </row>
    <row r="16" spans="1:32" s="71" customFormat="1" x14ac:dyDescent="0.3">
      <c r="A16" s="61"/>
      <c r="B16" s="1" t="s">
        <v>53</v>
      </c>
      <c r="C16" s="81">
        <v>-11257</v>
      </c>
      <c r="D16" s="81">
        <v>50807</v>
      </c>
      <c r="E16" s="82">
        <f t="shared" si="0"/>
        <v>39550</v>
      </c>
      <c r="F16" s="82">
        <v>5817</v>
      </c>
      <c r="G16" s="82">
        <f t="shared" si="6"/>
        <v>45367</v>
      </c>
      <c r="H16" s="82">
        <v>-26</v>
      </c>
      <c r="I16" s="82">
        <v>522</v>
      </c>
      <c r="J16" s="83">
        <f t="shared" si="7"/>
        <v>496</v>
      </c>
      <c r="K16" s="82">
        <f t="shared" si="8"/>
        <v>-11283</v>
      </c>
      <c r="L16" s="82">
        <f t="shared" si="8"/>
        <v>51329</v>
      </c>
      <c r="M16" s="82">
        <f t="shared" si="9"/>
        <v>40046</v>
      </c>
      <c r="N16" s="81">
        <v>-304</v>
      </c>
      <c r="O16" s="81">
        <v>1382</v>
      </c>
      <c r="P16" s="82">
        <f t="shared" si="1"/>
        <v>1078</v>
      </c>
      <c r="Q16" s="81">
        <v>0</v>
      </c>
      <c r="R16" s="81">
        <v>648</v>
      </c>
      <c r="S16" s="82">
        <f t="shared" ref="S16:S29" si="11">SUM(Q16,R16)</f>
        <v>648</v>
      </c>
      <c r="T16" s="82">
        <f t="shared" si="2"/>
        <v>-11587</v>
      </c>
      <c r="U16" s="82">
        <f t="shared" si="2"/>
        <v>53359</v>
      </c>
      <c r="V16" s="84">
        <f t="shared" si="2"/>
        <v>41772</v>
      </c>
      <c r="W16" s="81">
        <v>-78</v>
      </c>
      <c r="X16" s="81">
        <v>359</v>
      </c>
      <c r="Y16" s="82">
        <f t="shared" si="3"/>
        <v>281</v>
      </c>
      <c r="Z16" s="81">
        <v>0</v>
      </c>
      <c r="AA16" s="82">
        <v>0</v>
      </c>
      <c r="AB16" s="82">
        <f t="shared" ref="AB16:AB29" si="12">SUM(Z16,AA16)</f>
        <v>0</v>
      </c>
      <c r="AC16" s="82">
        <f t="shared" si="4"/>
        <v>-11665</v>
      </c>
      <c r="AD16" s="82">
        <f t="shared" si="5"/>
        <v>53718</v>
      </c>
      <c r="AE16" s="84">
        <f t="shared" si="5"/>
        <v>42053</v>
      </c>
      <c r="AF16" s="84">
        <f t="shared" si="10"/>
        <v>2503</v>
      </c>
    </row>
    <row r="17" spans="1:35" s="71" customFormat="1" x14ac:dyDescent="0.3">
      <c r="A17" s="61"/>
      <c r="B17" s="1" t="s">
        <v>54</v>
      </c>
      <c r="C17" s="81">
        <v>71382</v>
      </c>
      <c r="D17" s="81">
        <v>14932</v>
      </c>
      <c r="E17" s="82">
        <f t="shared" si="0"/>
        <v>86314</v>
      </c>
      <c r="F17" s="82">
        <v>159059</v>
      </c>
      <c r="G17" s="82">
        <f t="shared" si="6"/>
        <v>245373</v>
      </c>
      <c r="H17" s="82">
        <v>162</v>
      </c>
      <c r="I17" s="82">
        <v>-351</v>
      </c>
      <c r="J17" s="83">
        <f t="shared" si="7"/>
        <v>-189</v>
      </c>
      <c r="K17" s="82">
        <f t="shared" si="8"/>
        <v>71544</v>
      </c>
      <c r="L17" s="82">
        <f t="shared" si="8"/>
        <v>14581</v>
      </c>
      <c r="M17" s="82">
        <f t="shared" si="9"/>
        <v>86125</v>
      </c>
      <c r="N17" s="81">
        <v>1927</v>
      </c>
      <c r="O17" s="81">
        <v>393</v>
      </c>
      <c r="P17" s="82">
        <f t="shared" si="1"/>
        <v>2320</v>
      </c>
      <c r="Q17" s="81">
        <v>0</v>
      </c>
      <c r="R17" s="81">
        <v>-98</v>
      </c>
      <c r="S17" s="82">
        <f t="shared" si="11"/>
        <v>-98</v>
      </c>
      <c r="T17" s="82">
        <f t="shared" si="2"/>
        <v>73471</v>
      </c>
      <c r="U17" s="82">
        <f t="shared" si="2"/>
        <v>14876</v>
      </c>
      <c r="V17" s="84">
        <f t="shared" si="2"/>
        <v>88347</v>
      </c>
      <c r="W17" s="81">
        <v>495</v>
      </c>
      <c r="X17" s="81">
        <v>100</v>
      </c>
      <c r="Y17" s="82">
        <f t="shared" si="3"/>
        <v>595</v>
      </c>
      <c r="Z17" s="81">
        <v>0</v>
      </c>
      <c r="AA17" s="82">
        <v>0</v>
      </c>
      <c r="AB17" s="82">
        <f t="shared" si="12"/>
        <v>0</v>
      </c>
      <c r="AC17" s="82">
        <f t="shared" si="4"/>
        <v>73966</v>
      </c>
      <c r="AD17" s="82">
        <f t="shared" si="5"/>
        <v>14976</v>
      </c>
      <c r="AE17" s="84">
        <f t="shared" si="5"/>
        <v>88942</v>
      </c>
      <c r="AF17" s="84">
        <f t="shared" si="10"/>
        <v>2628</v>
      </c>
    </row>
    <row r="18" spans="1:35" s="71" customFormat="1" x14ac:dyDescent="0.3">
      <c r="A18" s="61"/>
      <c r="B18" s="1" t="s">
        <v>55</v>
      </c>
      <c r="C18" s="81">
        <v>148936</v>
      </c>
      <c r="D18" s="81">
        <v>30767</v>
      </c>
      <c r="E18" s="82">
        <f t="shared" si="0"/>
        <v>179703</v>
      </c>
      <c r="F18" s="82">
        <v>1303</v>
      </c>
      <c r="G18" s="82">
        <f t="shared" si="6"/>
        <v>181006</v>
      </c>
      <c r="H18" s="82">
        <v>338</v>
      </c>
      <c r="I18" s="82">
        <v>-933</v>
      </c>
      <c r="J18" s="83">
        <f t="shared" si="7"/>
        <v>-595</v>
      </c>
      <c r="K18" s="82">
        <f t="shared" si="8"/>
        <v>149274</v>
      </c>
      <c r="L18" s="82">
        <f t="shared" si="8"/>
        <v>29834</v>
      </c>
      <c r="M18" s="82">
        <f t="shared" si="9"/>
        <v>179108</v>
      </c>
      <c r="N18" s="81">
        <v>4020</v>
      </c>
      <c r="O18" s="81">
        <v>804</v>
      </c>
      <c r="P18" s="82">
        <f t="shared" si="1"/>
        <v>4824</v>
      </c>
      <c r="Q18" s="81">
        <v>0</v>
      </c>
      <c r="R18" s="81">
        <v>-387</v>
      </c>
      <c r="S18" s="82">
        <f t="shared" si="11"/>
        <v>-387</v>
      </c>
      <c r="T18" s="82">
        <f t="shared" si="2"/>
        <v>153294</v>
      </c>
      <c r="U18" s="82">
        <f t="shared" si="2"/>
        <v>30251</v>
      </c>
      <c r="V18" s="84">
        <f t="shared" si="2"/>
        <v>183545</v>
      </c>
      <c r="W18" s="81">
        <v>1032</v>
      </c>
      <c r="X18" s="81">
        <v>204</v>
      </c>
      <c r="Y18" s="82">
        <f t="shared" si="3"/>
        <v>1236</v>
      </c>
      <c r="Z18" s="81">
        <v>0</v>
      </c>
      <c r="AA18" s="82">
        <v>0</v>
      </c>
      <c r="AB18" s="82">
        <f t="shared" si="12"/>
        <v>0</v>
      </c>
      <c r="AC18" s="82">
        <f t="shared" si="4"/>
        <v>154326</v>
      </c>
      <c r="AD18" s="82">
        <f t="shared" si="5"/>
        <v>30455</v>
      </c>
      <c r="AE18" s="84">
        <f t="shared" si="5"/>
        <v>184781</v>
      </c>
      <c r="AF18" s="84">
        <f t="shared" si="10"/>
        <v>5078</v>
      </c>
    </row>
    <row r="19" spans="1:35" s="71" customFormat="1" x14ac:dyDescent="0.3">
      <c r="A19" s="61"/>
      <c r="B19" s="1" t="s">
        <v>56</v>
      </c>
      <c r="C19" s="81">
        <v>892860</v>
      </c>
      <c r="D19" s="81">
        <v>229526</v>
      </c>
      <c r="E19" s="82">
        <f t="shared" si="0"/>
        <v>1122386</v>
      </c>
      <c r="F19" s="82">
        <v>42595</v>
      </c>
      <c r="G19" s="82">
        <f t="shared" si="6"/>
        <v>1164981</v>
      </c>
      <c r="H19" s="82">
        <v>2024</v>
      </c>
      <c r="I19" s="82">
        <v>-5776</v>
      </c>
      <c r="J19" s="83">
        <f t="shared" si="7"/>
        <v>-3752</v>
      </c>
      <c r="K19" s="82">
        <f>SUM(C19,H19)</f>
        <v>894884</v>
      </c>
      <c r="L19" s="82">
        <f t="shared" si="8"/>
        <v>223750</v>
      </c>
      <c r="M19" s="82">
        <f t="shared" si="9"/>
        <v>1118634</v>
      </c>
      <c r="N19" s="81">
        <v>24102</v>
      </c>
      <c r="O19" s="81">
        <v>6026</v>
      </c>
      <c r="P19" s="82">
        <f t="shared" si="1"/>
        <v>30128</v>
      </c>
      <c r="Q19" s="81">
        <v>0</v>
      </c>
      <c r="R19" s="81">
        <v>-986</v>
      </c>
      <c r="S19" s="82">
        <f t="shared" si="11"/>
        <v>-986</v>
      </c>
      <c r="T19" s="82">
        <f t="shared" si="2"/>
        <v>918986</v>
      </c>
      <c r="U19" s="82">
        <f t="shared" si="2"/>
        <v>228790</v>
      </c>
      <c r="V19" s="84">
        <f t="shared" si="2"/>
        <v>1147776</v>
      </c>
      <c r="W19" s="81">
        <v>6188</v>
      </c>
      <c r="X19" s="81">
        <v>1541</v>
      </c>
      <c r="Y19" s="82">
        <f t="shared" si="3"/>
        <v>7729</v>
      </c>
      <c r="Z19" s="81">
        <v>0</v>
      </c>
      <c r="AA19" s="82">
        <v>0</v>
      </c>
      <c r="AB19" s="82">
        <f t="shared" si="12"/>
        <v>0</v>
      </c>
      <c r="AC19" s="82">
        <f t="shared" si="4"/>
        <v>925174</v>
      </c>
      <c r="AD19" s="82">
        <f t="shared" si="5"/>
        <v>230331</v>
      </c>
      <c r="AE19" s="84">
        <f t="shared" si="5"/>
        <v>1155505</v>
      </c>
      <c r="AF19" s="84">
        <f t="shared" si="10"/>
        <v>33119</v>
      </c>
    </row>
    <row r="20" spans="1:35" s="71" customFormat="1" x14ac:dyDescent="0.3">
      <c r="A20" s="61"/>
      <c r="B20" s="1" t="s">
        <v>57</v>
      </c>
      <c r="C20" s="81">
        <v>769499</v>
      </c>
      <c r="D20" s="81">
        <v>143829</v>
      </c>
      <c r="E20" s="82">
        <f t="shared" si="0"/>
        <v>913328</v>
      </c>
      <c r="F20" s="82">
        <v>165636</v>
      </c>
      <c r="G20" s="82">
        <f t="shared" si="6"/>
        <v>1078964</v>
      </c>
      <c r="H20" s="82">
        <v>1744</v>
      </c>
      <c r="I20" s="82">
        <v>-13599</v>
      </c>
      <c r="J20" s="83">
        <f t="shared" si="7"/>
        <v>-11855</v>
      </c>
      <c r="K20" s="82">
        <f t="shared" si="8"/>
        <v>771243</v>
      </c>
      <c r="L20" s="82">
        <f t="shared" si="8"/>
        <v>130230</v>
      </c>
      <c r="M20" s="82">
        <f t="shared" si="9"/>
        <v>901473</v>
      </c>
      <c r="N20" s="81">
        <v>20772</v>
      </c>
      <c r="O20" s="81">
        <v>3508</v>
      </c>
      <c r="P20" s="82">
        <f t="shared" si="1"/>
        <v>24280</v>
      </c>
      <c r="Q20" s="81">
        <v>0</v>
      </c>
      <c r="R20" s="81">
        <v>-4562</v>
      </c>
      <c r="S20" s="82">
        <f t="shared" si="11"/>
        <v>-4562</v>
      </c>
      <c r="T20" s="82">
        <f t="shared" si="2"/>
        <v>792015</v>
      </c>
      <c r="U20" s="82">
        <f t="shared" si="2"/>
        <v>129176</v>
      </c>
      <c r="V20" s="84">
        <f t="shared" si="2"/>
        <v>921191</v>
      </c>
      <c r="W20" s="81">
        <v>5333</v>
      </c>
      <c r="X20" s="81">
        <v>870</v>
      </c>
      <c r="Y20" s="82">
        <f t="shared" si="3"/>
        <v>6203</v>
      </c>
      <c r="Z20" s="81">
        <v>0</v>
      </c>
      <c r="AA20" s="82">
        <v>0</v>
      </c>
      <c r="AB20" s="82">
        <f t="shared" si="12"/>
        <v>0</v>
      </c>
      <c r="AC20" s="82">
        <f t="shared" si="4"/>
        <v>797348</v>
      </c>
      <c r="AD20" s="82">
        <f t="shared" si="5"/>
        <v>130046</v>
      </c>
      <c r="AE20" s="84">
        <f t="shared" si="5"/>
        <v>927394</v>
      </c>
      <c r="AF20" s="84">
        <f t="shared" si="10"/>
        <v>14066</v>
      </c>
    </row>
    <row r="21" spans="1:35" s="86" customFormat="1" x14ac:dyDescent="0.3">
      <c r="A21" s="85"/>
      <c r="B21" s="1" t="s">
        <v>58</v>
      </c>
      <c r="C21" s="81">
        <v>465199</v>
      </c>
      <c r="D21" s="81">
        <v>123305</v>
      </c>
      <c r="E21" s="82">
        <f t="shared" si="0"/>
        <v>588504</v>
      </c>
      <c r="F21" s="82">
        <v>7227</v>
      </c>
      <c r="G21" s="82">
        <f t="shared" si="6"/>
        <v>595731</v>
      </c>
      <c r="H21" s="82">
        <v>1055</v>
      </c>
      <c r="I21" s="82">
        <v>-2762</v>
      </c>
      <c r="J21" s="83">
        <f t="shared" si="7"/>
        <v>-1707</v>
      </c>
      <c r="K21" s="82">
        <f t="shared" si="8"/>
        <v>466254</v>
      </c>
      <c r="L21" s="82">
        <f t="shared" si="8"/>
        <v>120543</v>
      </c>
      <c r="M21" s="82">
        <f t="shared" si="9"/>
        <v>586797</v>
      </c>
      <c r="N21" s="81">
        <v>12562</v>
      </c>
      <c r="O21" s="81">
        <v>3263</v>
      </c>
      <c r="P21" s="82">
        <f t="shared" si="1"/>
        <v>15825</v>
      </c>
      <c r="Q21" s="81">
        <v>0</v>
      </c>
      <c r="R21" s="81">
        <v>-376</v>
      </c>
      <c r="S21" s="82">
        <f t="shared" si="11"/>
        <v>-376</v>
      </c>
      <c r="T21" s="82">
        <f t="shared" si="2"/>
        <v>478816</v>
      </c>
      <c r="U21" s="82">
        <f t="shared" si="2"/>
        <v>123430</v>
      </c>
      <c r="V21" s="84">
        <f t="shared" si="2"/>
        <v>602246</v>
      </c>
      <c r="W21" s="81">
        <v>3225</v>
      </c>
      <c r="X21" s="81">
        <v>835</v>
      </c>
      <c r="Y21" s="82">
        <f t="shared" si="3"/>
        <v>4060</v>
      </c>
      <c r="Z21" s="81">
        <v>0</v>
      </c>
      <c r="AA21" s="82">
        <v>0</v>
      </c>
      <c r="AB21" s="82">
        <f t="shared" si="12"/>
        <v>0</v>
      </c>
      <c r="AC21" s="82">
        <f t="shared" si="4"/>
        <v>482041</v>
      </c>
      <c r="AD21" s="82">
        <f t="shared" si="5"/>
        <v>124265</v>
      </c>
      <c r="AE21" s="84">
        <f t="shared" si="5"/>
        <v>606306</v>
      </c>
      <c r="AF21" s="84">
        <f t="shared" si="10"/>
        <v>17802</v>
      </c>
      <c r="AH21" s="87"/>
    </row>
    <row r="22" spans="1:35" s="86" customFormat="1" x14ac:dyDescent="0.3">
      <c r="A22" s="85"/>
      <c r="B22" s="1" t="s">
        <v>59</v>
      </c>
      <c r="C22" s="81">
        <v>12419</v>
      </c>
      <c r="D22" s="81">
        <v>2770</v>
      </c>
      <c r="E22" s="82">
        <f t="shared" si="0"/>
        <v>15189</v>
      </c>
      <c r="F22" s="82">
        <v>179</v>
      </c>
      <c r="G22" s="82">
        <f t="shared" si="6"/>
        <v>15368</v>
      </c>
      <c r="H22" s="82">
        <v>28</v>
      </c>
      <c r="I22" s="82">
        <v>-184</v>
      </c>
      <c r="J22" s="83">
        <f t="shared" si="7"/>
        <v>-156</v>
      </c>
      <c r="K22" s="82">
        <f t="shared" si="8"/>
        <v>12447</v>
      </c>
      <c r="L22" s="82">
        <f t="shared" si="8"/>
        <v>2586</v>
      </c>
      <c r="M22" s="82">
        <f t="shared" si="9"/>
        <v>15033</v>
      </c>
      <c r="N22" s="81">
        <v>335</v>
      </c>
      <c r="O22" s="81">
        <v>70</v>
      </c>
      <c r="P22" s="82">
        <f t="shared" si="1"/>
        <v>405</v>
      </c>
      <c r="Q22" s="81">
        <v>0</v>
      </c>
      <c r="R22" s="81">
        <v>-35</v>
      </c>
      <c r="S22" s="82">
        <f t="shared" si="11"/>
        <v>-35</v>
      </c>
      <c r="T22" s="82">
        <f t="shared" si="2"/>
        <v>12782</v>
      </c>
      <c r="U22" s="82">
        <f t="shared" si="2"/>
        <v>2621</v>
      </c>
      <c r="V22" s="84">
        <f t="shared" si="2"/>
        <v>15403</v>
      </c>
      <c r="W22" s="81">
        <v>86</v>
      </c>
      <c r="X22" s="81">
        <v>18</v>
      </c>
      <c r="Y22" s="82">
        <f t="shared" si="3"/>
        <v>104</v>
      </c>
      <c r="Z22" s="81">
        <v>0</v>
      </c>
      <c r="AA22" s="82">
        <v>0</v>
      </c>
      <c r="AB22" s="82">
        <f t="shared" si="12"/>
        <v>0</v>
      </c>
      <c r="AC22" s="82">
        <f t="shared" si="4"/>
        <v>12868</v>
      </c>
      <c r="AD22" s="82">
        <f t="shared" si="5"/>
        <v>2639</v>
      </c>
      <c r="AE22" s="84">
        <f t="shared" si="5"/>
        <v>15507</v>
      </c>
      <c r="AF22" s="84">
        <f t="shared" si="10"/>
        <v>318</v>
      </c>
    </row>
    <row r="23" spans="1:35" s="86" customFormat="1" x14ac:dyDescent="0.3">
      <c r="A23" s="85"/>
      <c r="B23" s="1" t="s">
        <v>60</v>
      </c>
      <c r="C23" s="81">
        <v>410716</v>
      </c>
      <c r="D23" s="81">
        <v>91022</v>
      </c>
      <c r="E23" s="82">
        <f t="shared" si="0"/>
        <v>501738</v>
      </c>
      <c r="F23" s="82">
        <v>123262</v>
      </c>
      <c r="G23" s="82">
        <f t="shared" si="6"/>
        <v>625000</v>
      </c>
      <c r="H23" s="82">
        <v>931</v>
      </c>
      <c r="I23" s="82">
        <v>-8420</v>
      </c>
      <c r="J23" s="83">
        <f t="shared" si="7"/>
        <v>-7489</v>
      </c>
      <c r="K23" s="82">
        <f t="shared" si="8"/>
        <v>411647</v>
      </c>
      <c r="L23" s="82">
        <f t="shared" si="8"/>
        <v>82602</v>
      </c>
      <c r="M23" s="82">
        <f t="shared" si="9"/>
        <v>494249</v>
      </c>
      <c r="N23" s="81">
        <v>11087</v>
      </c>
      <c r="O23" s="81">
        <v>2225</v>
      </c>
      <c r="P23" s="82">
        <f t="shared" si="1"/>
        <v>13312</v>
      </c>
      <c r="Q23" s="81">
        <v>0</v>
      </c>
      <c r="R23" s="81">
        <v>-836</v>
      </c>
      <c r="S23" s="82">
        <f t="shared" si="11"/>
        <v>-836</v>
      </c>
      <c r="T23" s="82">
        <f t="shared" si="2"/>
        <v>422734</v>
      </c>
      <c r="U23" s="82">
        <f t="shared" si="2"/>
        <v>83991</v>
      </c>
      <c r="V23" s="84">
        <f t="shared" si="2"/>
        <v>506725</v>
      </c>
      <c r="W23" s="81">
        <v>2846</v>
      </c>
      <c r="X23" s="81">
        <v>566</v>
      </c>
      <c r="Y23" s="82">
        <f t="shared" si="3"/>
        <v>3412</v>
      </c>
      <c r="Z23" s="81">
        <v>0</v>
      </c>
      <c r="AA23" s="82">
        <v>0</v>
      </c>
      <c r="AB23" s="82">
        <f t="shared" si="12"/>
        <v>0</v>
      </c>
      <c r="AC23" s="82">
        <f t="shared" si="4"/>
        <v>425580</v>
      </c>
      <c r="AD23" s="82">
        <f t="shared" si="5"/>
        <v>84557</v>
      </c>
      <c r="AE23" s="84">
        <f t="shared" si="5"/>
        <v>510137</v>
      </c>
      <c r="AF23" s="84">
        <f t="shared" si="10"/>
        <v>8399</v>
      </c>
    </row>
    <row r="24" spans="1:35" s="86" customFormat="1" x14ac:dyDescent="0.3">
      <c r="A24" s="85"/>
      <c r="B24" s="1" t="s">
        <v>61</v>
      </c>
      <c r="C24" s="81">
        <v>88759</v>
      </c>
      <c r="D24" s="81">
        <v>25378</v>
      </c>
      <c r="E24" s="82">
        <f t="shared" si="0"/>
        <v>114137</v>
      </c>
      <c r="F24" s="82">
        <v>111881</v>
      </c>
      <c r="G24" s="82">
        <f t="shared" si="6"/>
        <v>226018</v>
      </c>
      <c r="H24" s="82">
        <v>201</v>
      </c>
      <c r="I24" s="82">
        <v>-531</v>
      </c>
      <c r="J24" s="83">
        <f t="shared" si="7"/>
        <v>-330</v>
      </c>
      <c r="K24" s="82">
        <f t="shared" si="8"/>
        <v>88960</v>
      </c>
      <c r="L24" s="82">
        <f t="shared" si="8"/>
        <v>24847</v>
      </c>
      <c r="M24" s="82">
        <f t="shared" si="9"/>
        <v>113807</v>
      </c>
      <c r="N24" s="81">
        <v>2396</v>
      </c>
      <c r="O24" s="81">
        <v>669</v>
      </c>
      <c r="P24" s="82">
        <f t="shared" si="1"/>
        <v>3065</v>
      </c>
      <c r="Q24" s="81">
        <v>0</v>
      </c>
      <c r="R24" s="81">
        <v>-164</v>
      </c>
      <c r="S24" s="82">
        <f t="shared" si="11"/>
        <v>-164</v>
      </c>
      <c r="T24" s="82">
        <f t="shared" si="2"/>
        <v>91356</v>
      </c>
      <c r="U24" s="82">
        <f t="shared" si="2"/>
        <v>25352</v>
      </c>
      <c r="V24" s="84">
        <f t="shared" si="2"/>
        <v>116708</v>
      </c>
      <c r="W24" s="81">
        <v>615</v>
      </c>
      <c r="X24" s="81">
        <v>171</v>
      </c>
      <c r="Y24" s="82">
        <f t="shared" si="3"/>
        <v>786</v>
      </c>
      <c r="Z24" s="81">
        <v>0</v>
      </c>
      <c r="AA24" s="82">
        <v>0</v>
      </c>
      <c r="AB24" s="82">
        <f t="shared" si="12"/>
        <v>0</v>
      </c>
      <c r="AC24" s="82">
        <f t="shared" si="4"/>
        <v>91971</v>
      </c>
      <c r="AD24" s="82">
        <f t="shared" si="5"/>
        <v>25523</v>
      </c>
      <c r="AE24" s="84">
        <f t="shared" si="5"/>
        <v>117494</v>
      </c>
      <c r="AF24" s="84">
        <f t="shared" si="10"/>
        <v>3357</v>
      </c>
    </row>
    <row r="25" spans="1:35" s="71" customFormat="1" x14ac:dyDescent="0.3">
      <c r="A25" s="61"/>
      <c r="B25" s="1" t="s">
        <v>62</v>
      </c>
      <c r="C25" s="81">
        <v>115063</v>
      </c>
      <c r="D25" s="81">
        <v>37605</v>
      </c>
      <c r="E25" s="82">
        <f t="shared" si="0"/>
        <v>152668</v>
      </c>
      <c r="F25" s="82">
        <v>37479</v>
      </c>
      <c r="G25" s="82">
        <f t="shared" si="6"/>
        <v>190147</v>
      </c>
      <c r="H25" s="82">
        <v>261</v>
      </c>
      <c r="I25" s="82">
        <v>-5448</v>
      </c>
      <c r="J25" s="83">
        <f t="shared" si="7"/>
        <v>-5187</v>
      </c>
      <c r="K25" s="82">
        <f>SUM(C25,H25)</f>
        <v>115324</v>
      </c>
      <c r="L25" s="82">
        <f t="shared" si="8"/>
        <v>32157</v>
      </c>
      <c r="M25" s="82">
        <f t="shared" si="9"/>
        <v>147481</v>
      </c>
      <c r="N25" s="81">
        <v>3106</v>
      </c>
      <c r="O25" s="81">
        <v>866</v>
      </c>
      <c r="P25" s="82">
        <f t="shared" si="1"/>
        <v>3972</v>
      </c>
      <c r="Q25" s="81">
        <v>125082</v>
      </c>
      <c r="R25" s="81">
        <v>32017</v>
      </c>
      <c r="S25" s="82">
        <f t="shared" si="11"/>
        <v>157099</v>
      </c>
      <c r="T25" s="82">
        <f t="shared" si="2"/>
        <v>243512</v>
      </c>
      <c r="U25" s="82">
        <f t="shared" si="2"/>
        <v>65040</v>
      </c>
      <c r="V25" s="84">
        <f t="shared" si="2"/>
        <v>308552</v>
      </c>
      <c r="W25" s="81">
        <v>1640</v>
      </c>
      <c r="X25" s="81">
        <v>438</v>
      </c>
      <c r="Y25" s="82">
        <f t="shared" si="3"/>
        <v>2078</v>
      </c>
      <c r="Z25" s="81">
        <v>0</v>
      </c>
      <c r="AA25" s="82">
        <v>0</v>
      </c>
      <c r="AB25" s="82">
        <f t="shared" si="12"/>
        <v>0</v>
      </c>
      <c r="AC25" s="82">
        <f t="shared" si="4"/>
        <v>245152</v>
      </c>
      <c r="AD25" s="82">
        <f t="shared" si="5"/>
        <v>65478</v>
      </c>
      <c r="AE25" s="84">
        <f t="shared" si="5"/>
        <v>310630</v>
      </c>
      <c r="AF25" s="84">
        <f t="shared" si="10"/>
        <v>157962</v>
      </c>
    </row>
    <row r="26" spans="1:35" s="71" customFormat="1" x14ac:dyDescent="0.3">
      <c r="A26" s="61"/>
      <c r="B26" s="1" t="s">
        <v>63</v>
      </c>
      <c r="C26" s="81">
        <v>1024672</v>
      </c>
      <c r="D26" s="81">
        <v>505377</v>
      </c>
      <c r="E26" s="82">
        <f>SUM(C26,D26)</f>
        <v>1530049</v>
      </c>
      <c r="F26" s="82">
        <v>116401</v>
      </c>
      <c r="G26" s="82">
        <f>SUM(E26,F26)</f>
        <v>1646450</v>
      </c>
      <c r="H26" s="82">
        <v>2088</v>
      </c>
      <c r="I26" s="82">
        <v>-19968</v>
      </c>
      <c r="J26" s="83">
        <f>SUM(H26,I26)</f>
        <v>-17880</v>
      </c>
      <c r="K26" s="82">
        <f>SUM(C26,H26)</f>
        <v>1026760</v>
      </c>
      <c r="L26" s="82">
        <f>SUM(D26,I26)</f>
        <v>485409</v>
      </c>
      <c r="M26" s="82">
        <f>SUM(K26,L26)</f>
        <v>1512169</v>
      </c>
      <c r="N26" s="81">
        <v>25354</v>
      </c>
      <c r="O26" s="81">
        <v>11867</v>
      </c>
      <c r="P26" s="82">
        <f t="shared" si="1"/>
        <v>37221</v>
      </c>
      <c r="Q26" s="81">
        <v>14204</v>
      </c>
      <c r="R26" s="81">
        <v>4516</v>
      </c>
      <c r="S26" s="82">
        <f t="shared" si="11"/>
        <v>18720</v>
      </c>
      <c r="T26" s="82">
        <f t="shared" si="2"/>
        <v>1066318</v>
      </c>
      <c r="U26" s="82">
        <f t="shared" si="2"/>
        <v>501792</v>
      </c>
      <c r="V26" s="84">
        <f t="shared" si="2"/>
        <v>1568110</v>
      </c>
      <c r="W26" s="81">
        <v>6580</v>
      </c>
      <c r="X26" s="81">
        <v>3066</v>
      </c>
      <c r="Y26" s="82">
        <f t="shared" si="3"/>
        <v>9646</v>
      </c>
      <c r="Z26" s="81">
        <v>0</v>
      </c>
      <c r="AA26" s="82">
        <v>13783</v>
      </c>
      <c r="AB26" s="82">
        <f t="shared" si="12"/>
        <v>13783</v>
      </c>
      <c r="AC26" s="82">
        <f t="shared" si="4"/>
        <v>1072898</v>
      </c>
      <c r="AD26" s="82">
        <f t="shared" si="5"/>
        <v>518641</v>
      </c>
      <c r="AE26" s="84">
        <f t="shared" si="5"/>
        <v>1591539</v>
      </c>
      <c r="AF26" s="84">
        <f>+AE26-E26</f>
        <v>61490</v>
      </c>
    </row>
    <row r="27" spans="1:35" s="71" customFormat="1" x14ac:dyDescent="0.3">
      <c r="A27" s="61"/>
      <c r="B27" s="1" t="s">
        <v>64</v>
      </c>
      <c r="C27" s="81">
        <v>7479</v>
      </c>
      <c r="D27" s="81">
        <v>2578</v>
      </c>
      <c r="E27" s="82">
        <f>SUM(C27,D27)</f>
        <v>10057</v>
      </c>
      <c r="F27" s="82">
        <v>194</v>
      </c>
      <c r="G27" s="82">
        <f>SUM(E27,F27)</f>
        <v>10251</v>
      </c>
      <c r="H27" s="82">
        <v>17</v>
      </c>
      <c r="I27" s="82">
        <v>6</v>
      </c>
      <c r="J27" s="83">
        <f>SUM(H27,I27)</f>
        <v>23</v>
      </c>
      <c r="K27" s="82">
        <f>SUM(C27,H27)</f>
        <v>7496</v>
      </c>
      <c r="L27" s="82">
        <f>SUM(D27,I27)</f>
        <v>2584</v>
      </c>
      <c r="M27" s="82">
        <f>SUM(K27,L27)</f>
        <v>10080</v>
      </c>
      <c r="N27" s="81">
        <v>202</v>
      </c>
      <c r="O27" s="81">
        <v>70</v>
      </c>
      <c r="P27" s="82">
        <f t="shared" si="1"/>
        <v>272</v>
      </c>
      <c r="Q27" s="81">
        <v>0</v>
      </c>
      <c r="R27" s="81">
        <v>0</v>
      </c>
      <c r="S27" s="82">
        <f t="shared" si="11"/>
        <v>0</v>
      </c>
      <c r="T27" s="82">
        <f t="shared" si="2"/>
        <v>7698</v>
      </c>
      <c r="U27" s="82">
        <f t="shared" si="2"/>
        <v>2654</v>
      </c>
      <c r="V27" s="84">
        <f t="shared" si="2"/>
        <v>10352</v>
      </c>
      <c r="W27" s="81">
        <v>52</v>
      </c>
      <c r="X27" s="81">
        <v>18</v>
      </c>
      <c r="Y27" s="82">
        <f t="shared" si="3"/>
        <v>70</v>
      </c>
      <c r="Z27" s="81">
        <v>0</v>
      </c>
      <c r="AA27" s="82">
        <v>0</v>
      </c>
      <c r="AB27" s="82">
        <f t="shared" si="12"/>
        <v>0</v>
      </c>
      <c r="AC27" s="82">
        <f t="shared" si="4"/>
        <v>7750</v>
      </c>
      <c r="AD27" s="82">
        <f t="shared" si="5"/>
        <v>2672</v>
      </c>
      <c r="AE27" s="84">
        <f t="shared" si="5"/>
        <v>10422</v>
      </c>
      <c r="AF27" s="84">
        <f t="shared" si="10"/>
        <v>365</v>
      </c>
      <c r="AH27" s="88"/>
    </row>
    <row r="28" spans="1:35" s="71" customFormat="1" x14ac:dyDescent="0.3">
      <c r="A28" s="61"/>
      <c r="B28" s="1" t="s">
        <v>65</v>
      </c>
      <c r="C28" s="81">
        <v>53006</v>
      </c>
      <c r="D28" s="81">
        <v>12477</v>
      </c>
      <c r="E28" s="82">
        <f t="shared" si="0"/>
        <v>65483</v>
      </c>
      <c r="F28" s="82">
        <v>2857</v>
      </c>
      <c r="G28" s="82">
        <f t="shared" si="6"/>
        <v>68340</v>
      </c>
      <c r="H28" s="82">
        <v>120</v>
      </c>
      <c r="I28" s="82">
        <v>-484</v>
      </c>
      <c r="J28" s="83">
        <f t="shared" si="7"/>
        <v>-364</v>
      </c>
      <c r="K28" s="82">
        <f t="shared" si="8"/>
        <v>53126</v>
      </c>
      <c r="L28" s="82">
        <f t="shared" si="8"/>
        <v>11993</v>
      </c>
      <c r="M28" s="82">
        <f t="shared" si="9"/>
        <v>65119</v>
      </c>
      <c r="N28" s="81">
        <v>1431</v>
      </c>
      <c r="O28" s="81">
        <v>323</v>
      </c>
      <c r="P28" s="82">
        <f t="shared" si="1"/>
        <v>1754</v>
      </c>
      <c r="Q28" s="81">
        <v>0</v>
      </c>
      <c r="R28" s="81">
        <v>-114</v>
      </c>
      <c r="S28" s="82">
        <f t="shared" si="11"/>
        <v>-114</v>
      </c>
      <c r="T28" s="82">
        <f t="shared" si="2"/>
        <v>54557</v>
      </c>
      <c r="U28" s="82">
        <f t="shared" si="2"/>
        <v>12202</v>
      </c>
      <c r="V28" s="84">
        <f t="shared" si="2"/>
        <v>66759</v>
      </c>
      <c r="W28" s="81">
        <v>367</v>
      </c>
      <c r="X28" s="81">
        <v>82</v>
      </c>
      <c r="Y28" s="82">
        <f t="shared" si="3"/>
        <v>449</v>
      </c>
      <c r="Z28" s="81">
        <v>0</v>
      </c>
      <c r="AA28" s="82">
        <v>0</v>
      </c>
      <c r="AB28" s="82">
        <f t="shared" si="12"/>
        <v>0</v>
      </c>
      <c r="AC28" s="82">
        <f t="shared" si="4"/>
        <v>54924</v>
      </c>
      <c r="AD28" s="82">
        <f t="shared" si="5"/>
        <v>12284</v>
      </c>
      <c r="AE28" s="84">
        <f t="shared" si="5"/>
        <v>67208</v>
      </c>
      <c r="AF28" s="84">
        <f t="shared" si="10"/>
        <v>1725</v>
      </c>
    </row>
    <row r="29" spans="1:35" s="71" customFormat="1" x14ac:dyDescent="0.3">
      <c r="A29" s="61"/>
      <c r="B29" s="1" t="s">
        <v>66</v>
      </c>
      <c r="C29" s="81">
        <v>546287</v>
      </c>
      <c r="D29" s="81">
        <v>258083</v>
      </c>
      <c r="E29" s="82">
        <f t="shared" si="0"/>
        <v>804370</v>
      </c>
      <c r="F29" s="82">
        <v>257811</v>
      </c>
      <c r="G29" s="82">
        <f t="shared" si="6"/>
        <v>1062181</v>
      </c>
      <c r="H29" s="82">
        <v>1238</v>
      </c>
      <c r="I29" s="82">
        <v>-67505</v>
      </c>
      <c r="J29" s="83">
        <f t="shared" si="7"/>
        <v>-66267</v>
      </c>
      <c r="K29" s="82">
        <f t="shared" si="8"/>
        <v>547525</v>
      </c>
      <c r="L29" s="82">
        <f t="shared" si="8"/>
        <v>190578</v>
      </c>
      <c r="M29" s="82">
        <f t="shared" si="9"/>
        <v>738103</v>
      </c>
      <c r="N29" s="81">
        <v>14747</v>
      </c>
      <c r="O29" s="81">
        <v>5133</v>
      </c>
      <c r="P29" s="82">
        <f t="shared" si="1"/>
        <v>19880</v>
      </c>
      <c r="Q29" s="81">
        <v>0</v>
      </c>
      <c r="R29" s="81">
        <v>-1250</v>
      </c>
      <c r="S29" s="82">
        <f t="shared" si="11"/>
        <v>-1250</v>
      </c>
      <c r="T29" s="82">
        <f t="shared" si="2"/>
        <v>562272</v>
      </c>
      <c r="U29" s="82">
        <f t="shared" si="2"/>
        <v>194461</v>
      </c>
      <c r="V29" s="84">
        <f t="shared" si="2"/>
        <v>756733</v>
      </c>
      <c r="W29" s="81">
        <v>3786</v>
      </c>
      <c r="X29" s="81">
        <v>1309</v>
      </c>
      <c r="Y29" s="82">
        <f t="shared" si="3"/>
        <v>5095</v>
      </c>
      <c r="Z29" s="81">
        <v>0</v>
      </c>
      <c r="AA29" s="82">
        <v>0</v>
      </c>
      <c r="AB29" s="82">
        <f t="shared" si="12"/>
        <v>0</v>
      </c>
      <c r="AC29" s="82">
        <f t="shared" si="4"/>
        <v>566058</v>
      </c>
      <c r="AD29" s="82">
        <f t="shared" si="5"/>
        <v>195770</v>
      </c>
      <c r="AE29" s="84">
        <f t="shared" si="5"/>
        <v>761828</v>
      </c>
      <c r="AF29" s="84">
        <f t="shared" si="10"/>
        <v>-42542</v>
      </c>
    </row>
    <row r="30" spans="1:35" ht="15" thickBot="1" x14ac:dyDescent="0.35">
      <c r="B30" s="89" t="s">
        <v>9</v>
      </c>
      <c r="C30" s="90">
        <f t="shared" ref="C30:AF30" si="13">SUM(C14:C29)</f>
        <v>4700114</v>
      </c>
      <c r="D30" s="90">
        <f t="shared" si="13"/>
        <v>1559284</v>
      </c>
      <c r="E30" s="90">
        <f t="shared" si="13"/>
        <v>6259398</v>
      </c>
      <c r="F30" s="90">
        <f t="shared" si="13"/>
        <v>1032221</v>
      </c>
      <c r="G30" s="90">
        <f t="shared" si="13"/>
        <v>7291619</v>
      </c>
      <c r="H30" s="90">
        <f t="shared" si="13"/>
        <v>10419</v>
      </c>
      <c r="I30" s="90">
        <f t="shared" si="13"/>
        <v>-127288</v>
      </c>
      <c r="J30" s="90">
        <f t="shared" si="13"/>
        <v>-116869</v>
      </c>
      <c r="K30" s="90">
        <f t="shared" si="13"/>
        <v>4710533</v>
      </c>
      <c r="L30" s="90">
        <f t="shared" si="13"/>
        <v>1431996</v>
      </c>
      <c r="M30" s="90">
        <f t="shared" si="13"/>
        <v>6142529</v>
      </c>
      <c r="N30" s="90">
        <f t="shared" si="13"/>
        <v>124574</v>
      </c>
      <c r="O30" s="90">
        <f t="shared" si="13"/>
        <v>37379</v>
      </c>
      <c r="P30" s="90">
        <f t="shared" si="13"/>
        <v>161953</v>
      </c>
      <c r="Q30" s="90">
        <f t="shared" si="13"/>
        <v>139286</v>
      </c>
      <c r="R30" s="90">
        <f t="shared" si="13"/>
        <v>28139</v>
      </c>
      <c r="S30" s="90">
        <f t="shared" si="13"/>
        <v>167425</v>
      </c>
      <c r="T30" s="90">
        <f t="shared" si="13"/>
        <v>4974393</v>
      </c>
      <c r="U30" s="90">
        <f t="shared" si="13"/>
        <v>1497514</v>
      </c>
      <c r="V30" s="90">
        <f t="shared" si="13"/>
        <v>6471907</v>
      </c>
      <c r="W30" s="90">
        <f t="shared" si="13"/>
        <v>32896</v>
      </c>
      <c r="X30" s="90">
        <f t="shared" si="13"/>
        <v>9776</v>
      </c>
      <c r="Y30" s="90">
        <f t="shared" si="13"/>
        <v>42672</v>
      </c>
      <c r="Z30" s="90">
        <f t="shared" si="13"/>
        <v>0</v>
      </c>
      <c r="AA30" s="90">
        <f t="shared" si="13"/>
        <v>13783</v>
      </c>
      <c r="AB30" s="90">
        <f t="shared" si="13"/>
        <v>13783</v>
      </c>
      <c r="AC30" s="90">
        <f t="shared" si="13"/>
        <v>5007289</v>
      </c>
      <c r="AD30" s="90">
        <f t="shared" si="13"/>
        <v>1521073</v>
      </c>
      <c r="AE30" s="90">
        <f t="shared" si="13"/>
        <v>6528362</v>
      </c>
      <c r="AF30" s="90">
        <f t="shared" si="13"/>
        <v>268964</v>
      </c>
      <c r="AG30" s="91"/>
      <c r="AH30" s="60"/>
      <c r="AI30" s="60"/>
    </row>
    <row r="31" spans="1:35" x14ac:dyDescent="0.3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  <c r="AG31" s="91"/>
    </row>
    <row r="32" spans="1:35" x14ac:dyDescent="0.3">
      <c r="C32" s="92"/>
      <c r="D32" s="92"/>
      <c r="E32" s="92"/>
      <c r="F32" s="92"/>
      <c r="G32" s="92"/>
      <c r="H32" s="92"/>
      <c r="I32" s="92"/>
      <c r="J32" s="95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1"/>
    </row>
    <row r="33" spans="1:33" x14ac:dyDescent="0.3">
      <c r="A33" s="61"/>
      <c r="C33" s="92"/>
      <c r="D33" s="92"/>
      <c r="E33" s="92"/>
      <c r="F33" s="92"/>
      <c r="G33" s="92"/>
      <c r="H33" s="96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1"/>
    </row>
    <row r="34" spans="1:33" x14ac:dyDescent="0.3">
      <c r="C34" s="97"/>
      <c r="D34" s="97"/>
      <c r="E34" s="98"/>
      <c r="H34" s="99"/>
      <c r="L34" s="98"/>
      <c r="AE34" s="130"/>
    </row>
    <row r="35" spans="1:33" x14ac:dyDescent="0.3">
      <c r="C35" s="97"/>
      <c r="D35" s="97"/>
      <c r="I35" s="98"/>
      <c r="L35" s="98"/>
    </row>
    <row r="37" spans="1:33" x14ac:dyDescent="0.3">
      <c r="I37" s="98"/>
    </row>
    <row r="39" spans="1:33" x14ac:dyDescent="0.3">
      <c r="I39" s="98"/>
    </row>
  </sheetData>
  <mergeCells count="3">
    <mergeCell ref="B6:AF6"/>
    <mergeCell ref="N7:V7"/>
    <mergeCell ref="W7:AE7"/>
  </mergeCells>
  <pageMargins left="0.45" right="0.45" top="1" bottom="0.75" header="0.3" footer="0.3"/>
  <pageSetup scale="36" fitToWidth="3" fitToHeight="3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1"/>
  <sheetViews>
    <sheetView zoomScaleNormal="100" workbookViewId="0">
      <pane xSplit="2" ySplit="11" topLeftCell="C12" activePane="bottomRight" state="frozen"/>
      <selection activeCell="M30" sqref="M30"/>
      <selection pane="topRight" activeCell="M30" sqref="M30"/>
      <selection pane="bottomLeft" activeCell="M30" sqref="M30"/>
      <selection pane="bottomRight" activeCell="F1" sqref="F1"/>
    </sheetView>
  </sheetViews>
  <sheetFormatPr defaultRowHeight="14.4" x14ac:dyDescent="0.3"/>
  <cols>
    <col min="1" max="1" width="2.5546875" style="60" customWidth="1"/>
    <col min="2" max="2" width="34.44140625" style="60" bestFit="1" customWidth="1"/>
    <col min="3" max="3" width="14" style="60" bestFit="1" customWidth="1"/>
    <col min="4" max="4" width="16.5546875" style="60" bestFit="1" customWidth="1"/>
    <col min="5" max="5" width="14" style="60" bestFit="1" customWidth="1"/>
    <col min="6" max="6" width="12.44140625" style="60" bestFit="1" customWidth="1"/>
    <col min="7" max="7" width="15" style="60" bestFit="1" customWidth="1"/>
    <col min="8" max="8" width="14.109375" style="60" bestFit="1" customWidth="1"/>
    <col min="9" max="9" width="14.6640625" style="60" bestFit="1" customWidth="1"/>
    <col min="10" max="10" width="14.88671875" style="60" bestFit="1" customWidth="1"/>
    <col min="11" max="11" width="14.109375" style="60" bestFit="1" customWidth="1"/>
    <col min="12" max="12" width="14.6640625" style="60" bestFit="1" customWidth="1"/>
    <col min="13" max="13" width="14.88671875" style="60" bestFit="1" customWidth="1"/>
    <col min="14" max="14" width="11.5546875" style="60" bestFit="1" customWidth="1"/>
    <col min="15" max="15" width="14.44140625" style="60" bestFit="1" customWidth="1"/>
    <col min="16" max="16" width="15.44140625" style="60" bestFit="1" customWidth="1"/>
    <col min="17" max="258" width="9.109375" style="60"/>
    <col min="259" max="259" width="2.5546875" style="60" customWidth="1"/>
    <col min="260" max="260" width="23.33203125" style="60" customWidth="1"/>
    <col min="261" max="270" width="14.6640625" style="60" customWidth="1"/>
    <col min="271" max="271" width="14.44140625" style="60" bestFit="1" customWidth="1"/>
    <col min="272" max="272" width="15.44140625" style="60" bestFit="1" customWidth="1"/>
    <col min="273" max="514" width="9.109375" style="60"/>
    <col min="515" max="515" width="2.5546875" style="60" customWidth="1"/>
    <col min="516" max="516" width="23.33203125" style="60" customWidth="1"/>
    <col min="517" max="526" width="14.6640625" style="60" customWidth="1"/>
    <col min="527" max="527" width="14.44140625" style="60" bestFit="1" customWidth="1"/>
    <col min="528" max="528" width="15.44140625" style="60" bestFit="1" customWidth="1"/>
    <col min="529" max="770" width="9.109375" style="60"/>
    <col min="771" max="771" width="2.5546875" style="60" customWidth="1"/>
    <col min="772" max="772" width="23.33203125" style="60" customWidth="1"/>
    <col min="773" max="782" width="14.6640625" style="60" customWidth="1"/>
    <col min="783" max="783" width="14.44140625" style="60" bestFit="1" customWidth="1"/>
    <col min="784" max="784" width="15.44140625" style="60" bestFit="1" customWidth="1"/>
    <col min="785" max="1026" width="9.109375" style="60"/>
    <col min="1027" max="1027" width="2.5546875" style="60" customWidth="1"/>
    <col min="1028" max="1028" width="23.33203125" style="60" customWidth="1"/>
    <col min="1029" max="1038" width="14.6640625" style="60" customWidth="1"/>
    <col min="1039" max="1039" width="14.44140625" style="60" bestFit="1" customWidth="1"/>
    <col min="1040" max="1040" width="15.44140625" style="60" bestFit="1" customWidth="1"/>
    <col min="1041" max="1282" width="9.109375" style="60"/>
    <col min="1283" max="1283" width="2.5546875" style="60" customWidth="1"/>
    <col min="1284" max="1284" width="23.33203125" style="60" customWidth="1"/>
    <col min="1285" max="1294" width="14.6640625" style="60" customWidth="1"/>
    <col min="1295" max="1295" width="14.44140625" style="60" bestFit="1" customWidth="1"/>
    <col min="1296" max="1296" width="15.44140625" style="60" bestFit="1" customWidth="1"/>
    <col min="1297" max="1538" width="9.109375" style="60"/>
    <col min="1539" max="1539" width="2.5546875" style="60" customWidth="1"/>
    <col min="1540" max="1540" width="23.33203125" style="60" customWidth="1"/>
    <col min="1541" max="1550" width="14.6640625" style="60" customWidth="1"/>
    <col min="1551" max="1551" width="14.44140625" style="60" bestFit="1" customWidth="1"/>
    <col min="1552" max="1552" width="15.44140625" style="60" bestFit="1" customWidth="1"/>
    <col min="1553" max="1794" width="9.109375" style="60"/>
    <col min="1795" max="1795" width="2.5546875" style="60" customWidth="1"/>
    <col min="1796" max="1796" width="23.33203125" style="60" customWidth="1"/>
    <col min="1797" max="1806" width="14.6640625" style="60" customWidth="1"/>
    <col min="1807" max="1807" width="14.44140625" style="60" bestFit="1" customWidth="1"/>
    <col min="1808" max="1808" width="15.44140625" style="60" bestFit="1" customWidth="1"/>
    <col min="1809" max="2050" width="9.109375" style="60"/>
    <col min="2051" max="2051" width="2.5546875" style="60" customWidth="1"/>
    <col min="2052" max="2052" width="23.33203125" style="60" customWidth="1"/>
    <col min="2053" max="2062" width="14.6640625" style="60" customWidth="1"/>
    <col min="2063" max="2063" width="14.44140625" style="60" bestFit="1" customWidth="1"/>
    <col min="2064" max="2064" width="15.44140625" style="60" bestFit="1" customWidth="1"/>
    <col min="2065" max="2306" width="9.109375" style="60"/>
    <col min="2307" max="2307" width="2.5546875" style="60" customWidth="1"/>
    <col min="2308" max="2308" width="23.33203125" style="60" customWidth="1"/>
    <col min="2309" max="2318" width="14.6640625" style="60" customWidth="1"/>
    <col min="2319" max="2319" width="14.44140625" style="60" bestFit="1" customWidth="1"/>
    <col min="2320" max="2320" width="15.44140625" style="60" bestFit="1" customWidth="1"/>
    <col min="2321" max="2562" width="9.109375" style="60"/>
    <col min="2563" max="2563" width="2.5546875" style="60" customWidth="1"/>
    <col min="2564" max="2564" width="23.33203125" style="60" customWidth="1"/>
    <col min="2565" max="2574" width="14.6640625" style="60" customWidth="1"/>
    <col min="2575" max="2575" width="14.44140625" style="60" bestFit="1" customWidth="1"/>
    <col min="2576" max="2576" width="15.44140625" style="60" bestFit="1" customWidth="1"/>
    <col min="2577" max="2818" width="9.109375" style="60"/>
    <col min="2819" max="2819" width="2.5546875" style="60" customWidth="1"/>
    <col min="2820" max="2820" width="23.33203125" style="60" customWidth="1"/>
    <col min="2821" max="2830" width="14.6640625" style="60" customWidth="1"/>
    <col min="2831" max="2831" width="14.44140625" style="60" bestFit="1" customWidth="1"/>
    <col min="2832" max="2832" width="15.44140625" style="60" bestFit="1" customWidth="1"/>
    <col min="2833" max="3074" width="9.109375" style="60"/>
    <col min="3075" max="3075" width="2.5546875" style="60" customWidth="1"/>
    <col min="3076" max="3076" width="23.33203125" style="60" customWidth="1"/>
    <col min="3077" max="3086" width="14.6640625" style="60" customWidth="1"/>
    <col min="3087" max="3087" width="14.44140625" style="60" bestFit="1" customWidth="1"/>
    <col min="3088" max="3088" width="15.44140625" style="60" bestFit="1" customWidth="1"/>
    <col min="3089" max="3330" width="9.109375" style="60"/>
    <col min="3331" max="3331" width="2.5546875" style="60" customWidth="1"/>
    <col min="3332" max="3332" width="23.33203125" style="60" customWidth="1"/>
    <col min="3333" max="3342" width="14.6640625" style="60" customWidth="1"/>
    <col min="3343" max="3343" width="14.44140625" style="60" bestFit="1" customWidth="1"/>
    <col min="3344" max="3344" width="15.44140625" style="60" bestFit="1" customWidth="1"/>
    <col min="3345" max="3586" width="9.109375" style="60"/>
    <col min="3587" max="3587" width="2.5546875" style="60" customWidth="1"/>
    <col min="3588" max="3588" width="23.33203125" style="60" customWidth="1"/>
    <col min="3589" max="3598" width="14.6640625" style="60" customWidth="1"/>
    <col min="3599" max="3599" width="14.44140625" style="60" bestFit="1" customWidth="1"/>
    <col min="3600" max="3600" width="15.44140625" style="60" bestFit="1" customWidth="1"/>
    <col min="3601" max="3842" width="9.109375" style="60"/>
    <col min="3843" max="3843" width="2.5546875" style="60" customWidth="1"/>
    <col min="3844" max="3844" width="23.33203125" style="60" customWidth="1"/>
    <col min="3845" max="3854" width="14.6640625" style="60" customWidth="1"/>
    <col min="3855" max="3855" width="14.44140625" style="60" bestFit="1" customWidth="1"/>
    <col min="3856" max="3856" width="15.44140625" style="60" bestFit="1" customWidth="1"/>
    <col min="3857" max="4098" width="9.109375" style="60"/>
    <col min="4099" max="4099" width="2.5546875" style="60" customWidth="1"/>
    <col min="4100" max="4100" width="23.33203125" style="60" customWidth="1"/>
    <col min="4101" max="4110" width="14.6640625" style="60" customWidth="1"/>
    <col min="4111" max="4111" width="14.44140625" style="60" bestFit="1" customWidth="1"/>
    <col min="4112" max="4112" width="15.44140625" style="60" bestFit="1" customWidth="1"/>
    <col min="4113" max="4354" width="9.109375" style="60"/>
    <col min="4355" max="4355" width="2.5546875" style="60" customWidth="1"/>
    <col min="4356" max="4356" width="23.33203125" style="60" customWidth="1"/>
    <col min="4357" max="4366" width="14.6640625" style="60" customWidth="1"/>
    <col min="4367" max="4367" width="14.44140625" style="60" bestFit="1" customWidth="1"/>
    <col min="4368" max="4368" width="15.44140625" style="60" bestFit="1" customWidth="1"/>
    <col min="4369" max="4610" width="9.109375" style="60"/>
    <col min="4611" max="4611" width="2.5546875" style="60" customWidth="1"/>
    <col min="4612" max="4612" width="23.33203125" style="60" customWidth="1"/>
    <col min="4613" max="4622" width="14.6640625" style="60" customWidth="1"/>
    <col min="4623" max="4623" width="14.44140625" style="60" bestFit="1" customWidth="1"/>
    <col min="4624" max="4624" width="15.44140625" style="60" bestFit="1" customWidth="1"/>
    <col min="4625" max="4866" width="9.109375" style="60"/>
    <col min="4867" max="4867" width="2.5546875" style="60" customWidth="1"/>
    <col min="4868" max="4868" width="23.33203125" style="60" customWidth="1"/>
    <col min="4869" max="4878" width="14.6640625" style="60" customWidth="1"/>
    <col min="4879" max="4879" width="14.44140625" style="60" bestFit="1" customWidth="1"/>
    <col min="4880" max="4880" width="15.44140625" style="60" bestFit="1" customWidth="1"/>
    <col min="4881" max="5122" width="9.109375" style="60"/>
    <col min="5123" max="5123" width="2.5546875" style="60" customWidth="1"/>
    <col min="5124" max="5124" width="23.33203125" style="60" customWidth="1"/>
    <col min="5125" max="5134" width="14.6640625" style="60" customWidth="1"/>
    <col min="5135" max="5135" width="14.44140625" style="60" bestFit="1" customWidth="1"/>
    <col min="5136" max="5136" width="15.44140625" style="60" bestFit="1" customWidth="1"/>
    <col min="5137" max="5378" width="9.109375" style="60"/>
    <col min="5379" max="5379" width="2.5546875" style="60" customWidth="1"/>
    <col min="5380" max="5380" width="23.33203125" style="60" customWidth="1"/>
    <col min="5381" max="5390" width="14.6640625" style="60" customWidth="1"/>
    <col min="5391" max="5391" width="14.44140625" style="60" bestFit="1" customWidth="1"/>
    <col min="5392" max="5392" width="15.44140625" style="60" bestFit="1" customWidth="1"/>
    <col min="5393" max="5634" width="9.109375" style="60"/>
    <col min="5635" max="5635" width="2.5546875" style="60" customWidth="1"/>
    <col min="5636" max="5636" width="23.33203125" style="60" customWidth="1"/>
    <col min="5637" max="5646" width="14.6640625" style="60" customWidth="1"/>
    <col min="5647" max="5647" width="14.44140625" style="60" bestFit="1" customWidth="1"/>
    <col min="5648" max="5648" width="15.44140625" style="60" bestFit="1" customWidth="1"/>
    <col min="5649" max="5890" width="9.109375" style="60"/>
    <col min="5891" max="5891" width="2.5546875" style="60" customWidth="1"/>
    <col min="5892" max="5892" width="23.33203125" style="60" customWidth="1"/>
    <col min="5893" max="5902" width="14.6640625" style="60" customWidth="1"/>
    <col min="5903" max="5903" width="14.44140625" style="60" bestFit="1" customWidth="1"/>
    <col min="5904" max="5904" width="15.44140625" style="60" bestFit="1" customWidth="1"/>
    <col min="5905" max="6146" width="9.109375" style="60"/>
    <col min="6147" max="6147" width="2.5546875" style="60" customWidth="1"/>
    <col min="6148" max="6148" width="23.33203125" style="60" customWidth="1"/>
    <col min="6149" max="6158" width="14.6640625" style="60" customWidth="1"/>
    <col min="6159" max="6159" width="14.44140625" style="60" bestFit="1" customWidth="1"/>
    <col min="6160" max="6160" width="15.44140625" style="60" bestFit="1" customWidth="1"/>
    <col min="6161" max="6402" width="9.109375" style="60"/>
    <col min="6403" max="6403" width="2.5546875" style="60" customWidth="1"/>
    <col min="6404" max="6404" width="23.33203125" style="60" customWidth="1"/>
    <col min="6405" max="6414" width="14.6640625" style="60" customWidth="1"/>
    <col min="6415" max="6415" width="14.44140625" style="60" bestFit="1" customWidth="1"/>
    <col min="6416" max="6416" width="15.44140625" style="60" bestFit="1" customWidth="1"/>
    <col min="6417" max="6658" width="9.109375" style="60"/>
    <col min="6659" max="6659" width="2.5546875" style="60" customWidth="1"/>
    <col min="6660" max="6660" width="23.33203125" style="60" customWidth="1"/>
    <col min="6661" max="6670" width="14.6640625" style="60" customWidth="1"/>
    <col min="6671" max="6671" width="14.44140625" style="60" bestFit="1" customWidth="1"/>
    <col min="6672" max="6672" width="15.44140625" style="60" bestFit="1" customWidth="1"/>
    <col min="6673" max="6914" width="9.109375" style="60"/>
    <col min="6915" max="6915" width="2.5546875" style="60" customWidth="1"/>
    <col min="6916" max="6916" width="23.33203125" style="60" customWidth="1"/>
    <col min="6917" max="6926" width="14.6640625" style="60" customWidth="1"/>
    <col min="6927" max="6927" width="14.44140625" style="60" bestFit="1" customWidth="1"/>
    <col min="6928" max="6928" width="15.44140625" style="60" bestFit="1" customWidth="1"/>
    <col min="6929" max="7170" width="9.109375" style="60"/>
    <col min="7171" max="7171" width="2.5546875" style="60" customWidth="1"/>
    <col min="7172" max="7172" width="23.33203125" style="60" customWidth="1"/>
    <col min="7173" max="7182" width="14.6640625" style="60" customWidth="1"/>
    <col min="7183" max="7183" width="14.44140625" style="60" bestFit="1" customWidth="1"/>
    <col min="7184" max="7184" width="15.44140625" style="60" bestFit="1" customWidth="1"/>
    <col min="7185" max="7426" width="9.109375" style="60"/>
    <col min="7427" max="7427" width="2.5546875" style="60" customWidth="1"/>
    <col min="7428" max="7428" width="23.33203125" style="60" customWidth="1"/>
    <col min="7429" max="7438" width="14.6640625" style="60" customWidth="1"/>
    <col min="7439" max="7439" width="14.44140625" style="60" bestFit="1" customWidth="1"/>
    <col min="7440" max="7440" width="15.44140625" style="60" bestFit="1" customWidth="1"/>
    <col min="7441" max="7682" width="9.109375" style="60"/>
    <col min="7683" max="7683" width="2.5546875" style="60" customWidth="1"/>
    <col min="7684" max="7684" width="23.33203125" style="60" customWidth="1"/>
    <col min="7685" max="7694" width="14.6640625" style="60" customWidth="1"/>
    <col min="7695" max="7695" width="14.44140625" style="60" bestFit="1" customWidth="1"/>
    <col min="7696" max="7696" width="15.44140625" style="60" bestFit="1" customWidth="1"/>
    <col min="7697" max="7938" width="9.109375" style="60"/>
    <col min="7939" max="7939" width="2.5546875" style="60" customWidth="1"/>
    <col min="7940" max="7940" width="23.33203125" style="60" customWidth="1"/>
    <col min="7941" max="7950" width="14.6640625" style="60" customWidth="1"/>
    <col min="7951" max="7951" width="14.44140625" style="60" bestFit="1" customWidth="1"/>
    <col min="7952" max="7952" width="15.44140625" style="60" bestFit="1" customWidth="1"/>
    <col min="7953" max="8194" width="9.109375" style="60"/>
    <col min="8195" max="8195" width="2.5546875" style="60" customWidth="1"/>
    <col min="8196" max="8196" width="23.33203125" style="60" customWidth="1"/>
    <col min="8197" max="8206" width="14.6640625" style="60" customWidth="1"/>
    <col min="8207" max="8207" width="14.44140625" style="60" bestFit="1" customWidth="1"/>
    <col min="8208" max="8208" width="15.44140625" style="60" bestFit="1" customWidth="1"/>
    <col min="8209" max="8450" width="9.109375" style="60"/>
    <col min="8451" max="8451" width="2.5546875" style="60" customWidth="1"/>
    <col min="8452" max="8452" width="23.33203125" style="60" customWidth="1"/>
    <col min="8453" max="8462" width="14.6640625" style="60" customWidth="1"/>
    <col min="8463" max="8463" width="14.44140625" style="60" bestFit="1" customWidth="1"/>
    <col min="8464" max="8464" width="15.44140625" style="60" bestFit="1" customWidth="1"/>
    <col min="8465" max="8706" width="9.109375" style="60"/>
    <col min="8707" max="8707" width="2.5546875" style="60" customWidth="1"/>
    <col min="8708" max="8708" width="23.33203125" style="60" customWidth="1"/>
    <col min="8709" max="8718" width="14.6640625" style="60" customWidth="1"/>
    <col min="8719" max="8719" width="14.44140625" style="60" bestFit="1" customWidth="1"/>
    <col min="8720" max="8720" width="15.44140625" style="60" bestFit="1" customWidth="1"/>
    <col min="8721" max="8962" width="9.109375" style="60"/>
    <col min="8963" max="8963" width="2.5546875" style="60" customWidth="1"/>
    <col min="8964" max="8964" width="23.33203125" style="60" customWidth="1"/>
    <col min="8965" max="8974" width="14.6640625" style="60" customWidth="1"/>
    <col min="8975" max="8975" width="14.44140625" style="60" bestFit="1" customWidth="1"/>
    <col min="8976" max="8976" width="15.44140625" style="60" bestFit="1" customWidth="1"/>
    <col min="8977" max="9218" width="9.109375" style="60"/>
    <col min="9219" max="9219" width="2.5546875" style="60" customWidth="1"/>
    <col min="9220" max="9220" width="23.33203125" style="60" customWidth="1"/>
    <col min="9221" max="9230" width="14.6640625" style="60" customWidth="1"/>
    <col min="9231" max="9231" width="14.44140625" style="60" bestFit="1" customWidth="1"/>
    <col min="9232" max="9232" width="15.44140625" style="60" bestFit="1" customWidth="1"/>
    <col min="9233" max="9474" width="9.109375" style="60"/>
    <col min="9475" max="9475" width="2.5546875" style="60" customWidth="1"/>
    <col min="9476" max="9476" width="23.33203125" style="60" customWidth="1"/>
    <col min="9477" max="9486" width="14.6640625" style="60" customWidth="1"/>
    <col min="9487" max="9487" width="14.44140625" style="60" bestFit="1" customWidth="1"/>
    <col min="9488" max="9488" width="15.44140625" style="60" bestFit="1" customWidth="1"/>
    <col min="9489" max="9730" width="9.109375" style="60"/>
    <col min="9731" max="9731" width="2.5546875" style="60" customWidth="1"/>
    <col min="9732" max="9732" width="23.33203125" style="60" customWidth="1"/>
    <col min="9733" max="9742" width="14.6640625" style="60" customWidth="1"/>
    <col min="9743" max="9743" width="14.44140625" style="60" bestFit="1" customWidth="1"/>
    <col min="9744" max="9744" width="15.44140625" style="60" bestFit="1" customWidth="1"/>
    <col min="9745" max="9986" width="9.109375" style="60"/>
    <col min="9987" max="9987" width="2.5546875" style="60" customWidth="1"/>
    <col min="9988" max="9988" width="23.33203125" style="60" customWidth="1"/>
    <col min="9989" max="9998" width="14.6640625" style="60" customWidth="1"/>
    <col min="9999" max="9999" width="14.44140625" style="60" bestFit="1" customWidth="1"/>
    <col min="10000" max="10000" width="15.44140625" style="60" bestFit="1" customWidth="1"/>
    <col min="10001" max="10242" width="9.109375" style="60"/>
    <col min="10243" max="10243" width="2.5546875" style="60" customWidth="1"/>
    <col min="10244" max="10244" width="23.33203125" style="60" customWidth="1"/>
    <col min="10245" max="10254" width="14.6640625" style="60" customWidth="1"/>
    <col min="10255" max="10255" width="14.44140625" style="60" bestFit="1" customWidth="1"/>
    <col min="10256" max="10256" width="15.44140625" style="60" bestFit="1" customWidth="1"/>
    <col min="10257" max="10498" width="9.109375" style="60"/>
    <col min="10499" max="10499" width="2.5546875" style="60" customWidth="1"/>
    <col min="10500" max="10500" width="23.33203125" style="60" customWidth="1"/>
    <col min="10501" max="10510" width="14.6640625" style="60" customWidth="1"/>
    <col min="10511" max="10511" width="14.44140625" style="60" bestFit="1" customWidth="1"/>
    <col min="10512" max="10512" width="15.44140625" style="60" bestFit="1" customWidth="1"/>
    <col min="10513" max="10754" width="9.109375" style="60"/>
    <col min="10755" max="10755" width="2.5546875" style="60" customWidth="1"/>
    <col min="10756" max="10756" width="23.33203125" style="60" customWidth="1"/>
    <col min="10757" max="10766" width="14.6640625" style="60" customWidth="1"/>
    <col min="10767" max="10767" width="14.44140625" style="60" bestFit="1" customWidth="1"/>
    <col min="10768" max="10768" width="15.44140625" style="60" bestFit="1" customWidth="1"/>
    <col min="10769" max="11010" width="9.109375" style="60"/>
    <col min="11011" max="11011" width="2.5546875" style="60" customWidth="1"/>
    <col min="11012" max="11012" width="23.33203125" style="60" customWidth="1"/>
    <col min="11013" max="11022" width="14.6640625" style="60" customWidth="1"/>
    <col min="11023" max="11023" width="14.44140625" style="60" bestFit="1" customWidth="1"/>
    <col min="11024" max="11024" width="15.44140625" style="60" bestFit="1" customWidth="1"/>
    <col min="11025" max="11266" width="9.109375" style="60"/>
    <col min="11267" max="11267" width="2.5546875" style="60" customWidth="1"/>
    <col min="11268" max="11268" width="23.33203125" style="60" customWidth="1"/>
    <col min="11269" max="11278" width="14.6640625" style="60" customWidth="1"/>
    <col min="11279" max="11279" width="14.44140625" style="60" bestFit="1" customWidth="1"/>
    <col min="11280" max="11280" width="15.44140625" style="60" bestFit="1" customWidth="1"/>
    <col min="11281" max="11522" width="9.109375" style="60"/>
    <col min="11523" max="11523" width="2.5546875" style="60" customWidth="1"/>
    <col min="11524" max="11524" width="23.33203125" style="60" customWidth="1"/>
    <col min="11525" max="11534" width="14.6640625" style="60" customWidth="1"/>
    <col min="11535" max="11535" width="14.44140625" style="60" bestFit="1" customWidth="1"/>
    <col min="11536" max="11536" width="15.44140625" style="60" bestFit="1" customWidth="1"/>
    <col min="11537" max="11778" width="9.109375" style="60"/>
    <col min="11779" max="11779" width="2.5546875" style="60" customWidth="1"/>
    <col min="11780" max="11780" width="23.33203125" style="60" customWidth="1"/>
    <col min="11781" max="11790" width="14.6640625" style="60" customWidth="1"/>
    <col min="11791" max="11791" width="14.44140625" style="60" bestFit="1" customWidth="1"/>
    <col min="11792" max="11792" width="15.44140625" style="60" bestFit="1" customWidth="1"/>
    <col min="11793" max="12034" width="9.109375" style="60"/>
    <col min="12035" max="12035" width="2.5546875" style="60" customWidth="1"/>
    <col min="12036" max="12036" width="23.33203125" style="60" customWidth="1"/>
    <col min="12037" max="12046" width="14.6640625" style="60" customWidth="1"/>
    <col min="12047" max="12047" width="14.44140625" style="60" bestFit="1" customWidth="1"/>
    <col min="12048" max="12048" width="15.44140625" style="60" bestFit="1" customWidth="1"/>
    <col min="12049" max="12290" width="9.109375" style="60"/>
    <col min="12291" max="12291" width="2.5546875" style="60" customWidth="1"/>
    <col min="12292" max="12292" width="23.33203125" style="60" customWidth="1"/>
    <col min="12293" max="12302" width="14.6640625" style="60" customWidth="1"/>
    <col min="12303" max="12303" width="14.44140625" style="60" bestFit="1" customWidth="1"/>
    <col min="12304" max="12304" width="15.44140625" style="60" bestFit="1" customWidth="1"/>
    <col min="12305" max="12546" width="9.109375" style="60"/>
    <col min="12547" max="12547" width="2.5546875" style="60" customWidth="1"/>
    <col min="12548" max="12548" width="23.33203125" style="60" customWidth="1"/>
    <col min="12549" max="12558" width="14.6640625" style="60" customWidth="1"/>
    <col min="12559" max="12559" width="14.44140625" style="60" bestFit="1" customWidth="1"/>
    <col min="12560" max="12560" width="15.44140625" style="60" bestFit="1" customWidth="1"/>
    <col min="12561" max="12802" width="9.109375" style="60"/>
    <col min="12803" max="12803" width="2.5546875" style="60" customWidth="1"/>
    <col min="12804" max="12804" width="23.33203125" style="60" customWidth="1"/>
    <col min="12805" max="12814" width="14.6640625" style="60" customWidth="1"/>
    <col min="12815" max="12815" width="14.44140625" style="60" bestFit="1" customWidth="1"/>
    <col min="12816" max="12816" width="15.44140625" style="60" bestFit="1" customWidth="1"/>
    <col min="12817" max="13058" width="9.109375" style="60"/>
    <col min="13059" max="13059" width="2.5546875" style="60" customWidth="1"/>
    <col min="13060" max="13060" width="23.33203125" style="60" customWidth="1"/>
    <col min="13061" max="13070" width="14.6640625" style="60" customWidth="1"/>
    <col min="13071" max="13071" width="14.44140625" style="60" bestFit="1" customWidth="1"/>
    <col min="13072" max="13072" width="15.44140625" style="60" bestFit="1" customWidth="1"/>
    <col min="13073" max="13314" width="9.109375" style="60"/>
    <col min="13315" max="13315" width="2.5546875" style="60" customWidth="1"/>
    <col min="13316" max="13316" width="23.33203125" style="60" customWidth="1"/>
    <col min="13317" max="13326" width="14.6640625" style="60" customWidth="1"/>
    <col min="13327" max="13327" width="14.44140625" style="60" bestFit="1" customWidth="1"/>
    <col min="13328" max="13328" width="15.44140625" style="60" bestFit="1" customWidth="1"/>
    <col min="13329" max="13570" width="9.109375" style="60"/>
    <col min="13571" max="13571" width="2.5546875" style="60" customWidth="1"/>
    <col min="13572" max="13572" width="23.33203125" style="60" customWidth="1"/>
    <col min="13573" max="13582" width="14.6640625" style="60" customWidth="1"/>
    <col min="13583" max="13583" width="14.44140625" style="60" bestFit="1" customWidth="1"/>
    <col min="13584" max="13584" width="15.44140625" style="60" bestFit="1" customWidth="1"/>
    <col min="13585" max="13826" width="9.109375" style="60"/>
    <col min="13827" max="13827" width="2.5546875" style="60" customWidth="1"/>
    <col min="13828" max="13828" width="23.33203125" style="60" customWidth="1"/>
    <col min="13829" max="13838" width="14.6640625" style="60" customWidth="1"/>
    <col min="13839" max="13839" width="14.44140625" style="60" bestFit="1" customWidth="1"/>
    <col min="13840" max="13840" width="15.44140625" style="60" bestFit="1" customWidth="1"/>
    <col min="13841" max="14082" width="9.109375" style="60"/>
    <col min="14083" max="14083" width="2.5546875" style="60" customWidth="1"/>
    <col min="14084" max="14084" width="23.33203125" style="60" customWidth="1"/>
    <col min="14085" max="14094" width="14.6640625" style="60" customWidth="1"/>
    <col min="14095" max="14095" width="14.44140625" style="60" bestFit="1" customWidth="1"/>
    <col min="14096" max="14096" width="15.44140625" style="60" bestFit="1" customWidth="1"/>
    <col min="14097" max="14338" width="9.109375" style="60"/>
    <col min="14339" max="14339" width="2.5546875" style="60" customWidth="1"/>
    <col min="14340" max="14340" width="23.33203125" style="60" customWidth="1"/>
    <col min="14341" max="14350" width="14.6640625" style="60" customWidth="1"/>
    <col min="14351" max="14351" width="14.44140625" style="60" bestFit="1" customWidth="1"/>
    <col min="14352" max="14352" width="15.44140625" style="60" bestFit="1" customWidth="1"/>
    <col min="14353" max="14594" width="9.109375" style="60"/>
    <col min="14595" max="14595" width="2.5546875" style="60" customWidth="1"/>
    <col min="14596" max="14596" width="23.33203125" style="60" customWidth="1"/>
    <col min="14597" max="14606" width="14.6640625" style="60" customWidth="1"/>
    <col min="14607" max="14607" width="14.44140625" style="60" bestFit="1" customWidth="1"/>
    <col min="14608" max="14608" width="15.44140625" style="60" bestFit="1" customWidth="1"/>
    <col min="14609" max="14850" width="9.109375" style="60"/>
    <col min="14851" max="14851" width="2.5546875" style="60" customWidth="1"/>
    <col min="14852" max="14852" width="23.33203125" style="60" customWidth="1"/>
    <col min="14853" max="14862" width="14.6640625" style="60" customWidth="1"/>
    <col min="14863" max="14863" width="14.44140625" style="60" bestFit="1" customWidth="1"/>
    <col min="14864" max="14864" width="15.44140625" style="60" bestFit="1" customWidth="1"/>
    <col min="14865" max="15106" width="9.109375" style="60"/>
    <col min="15107" max="15107" width="2.5546875" style="60" customWidth="1"/>
    <col min="15108" max="15108" width="23.33203125" style="60" customWidth="1"/>
    <col min="15109" max="15118" width="14.6640625" style="60" customWidth="1"/>
    <col min="15119" max="15119" width="14.44140625" style="60" bestFit="1" customWidth="1"/>
    <col min="15120" max="15120" width="15.44140625" style="60" bestFit="1" customWidth="1"/>
    <col min="15121" max="15362" width="9.109375" style="60"/>
    <col min="15363" max="15363" width="2.5546875" style="60" customWidth="1"/>
    <col min="15364" max="15364" width="23.33203125" style="60" customWidth="1"/>
    <col min="15365" max="15374" width="14.6640625" style="60" customWidth="1"/>
    <col min="15375" max="15375" width="14.44140625" style="60" bestFit="1" customWidth="1"/>
    <col min="15376" max="15376" width="15.44140625" style="60" bestFit="1" customWidth="1"/>
    <col min="15377" max="15618" width="9.109375" style="60"/>
    <col min="15619" max="15619" width="2.5546875" style="60" customWidth="1"/>
    <col min="15620" max="15620" width="23.33203125" style="60" customWidth="1"/>
    <col min="15621" max="15630" width="14.6640625" style="60" customWidth="1"/>
    <col min="15631" max="15631" width="14.44140625" style="60" bestFit="1" customWidth="1"/>
    <col min="15632" max="15632" width="15.44140625" style="60" bestFit="1" customWidth="1"/>
    <col min="15633" max="15874" width="9.109375" style="60"/>
    <col min="15875" max="15875" width="2.5546875" style="60" customWidth="1"/>
    <col min="15876" max="15876" width="23.33203125" style="60" customWidth="1"/>
    <col min="15877" max="15886" width="14.6640625" style="60" customWidth="1"/>
    <col min="15887" max="15887" width="14.44140625" style="60" bestFit="1" customWidth="1"/>
    <col min="15888" max="15888" width="15.44140625" style="60" bestFit="1" customWidth="1"/>
    <col min="15889" max="16130" width="9.109375" style="60"/>
    <col min="16131" max="16131" width="2.5546875" style="60" customWidth="1"/>
    <col min="16132" max="16132" width="23.33203125" style="60" customWidth="1"/>
    <col min="16133" max="16142" width="14.6640625" style="60" customWidth="1"/>
    <col min="16143" max="16143" width="14.44140625" style="60" bestFit="1" customWidth="1"/>
    <col min="16144" max="16144" width="15.44140625" style="60" bestFit="1" customWidth="1"/>
    <col min="16145" max="16384" width="9.109375" style="60"/>
  </cols>
  <sheetData>
    <row r="1" spans="1:14" x14ac:dyDescent="0.3">
      <c r="B1" s="61" t="s">
        <v>33</v>
      </c>
    </row>
    <row r="2" spans="1:14" x14ac:dyDescent="0.3">
      <c r="B2" s="61" t="s">
        <v>194</v>
      </c>
      <c r="N2" s="62"/>
    </row>
    <row r="3" spans="1:14" x14ac:dyDescent="0.3">
      <c r="B3" s="61" t="s">
        <v>69</v>
      </c>
    </row>
    <row r="5" spans="1:14" x14ac:dyDescent="0.3">
      <c r="B5" s="63" t="str">
        <f>'Labor &amp; Related'!B5</f>
        <v xml:space="preserve">Support Services 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5" thickBot="1" x14ac:dyDescent="0.35">
      <c r="B6" s="63" t="s">
        <v>147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thickBot="1" x14ac:dyDescent="0.35">
      <c r="B7" s="63"/>
      <c r="C7" s="65" t="str">
        <f>+'Labor &amp; Related'!E7</f>
        <v>12 Months February 2019</v>
      </c>
      <c r="D7" s="66"/>
      <c r="E7" s="66"/>
      <c r="F7" s="66"/>
      <c r="G7" s="67"/>
      <c r="H7" s="65" t="str">
        <f>+'Labor &amp; Related'!N7</f>
        <v>12 Months December 2019</v>
      </c>
      <c r="I7" s="66"/>
      <c r="J7" s="67"/>
      <c r="K7" s="65" t="str">
        <f>+'Labor &amp; Related'!W7</f>
        <v>12 Months June 2020</v>
      </c>
      <c r="L7" s="66"/>
      <c r="M7" s="67"/>
    </row>
    <row r="8" spans="1:14" x14ac:dyDescent="0.3">
      <c r="B8" s="70"/>
      <c r="C8" s="69" t="s">
        <v>78</v>
      </c>
      <c r="D8" s="69" t="s">
        <v>79</v>
      </c>
      <c r="E8" s="69" t="s">
        <v>80</v>
      </c>
      <c r="F8" s="100" t="s">
        <v>83</v>
      </c>
      <c r="G8" s="69" t="s">
        <v>86</v>
      </c>
      <c r="H8" s="100" t="s">
        <v>89</v>
      </c>
      <c r="I8" s="71" t="s">
        <v>87</v>
      </c>
      <c r="J8" s="100" t="s">
        <v>92</v>
      </c>
      <c r="K8" s="100" t="s">
        <v>95</v>
      </c>
      <c r="L8" s="100" t="s">
        <v>93</v>
      </c>
      <c r="M8" s="100" t="s">
        <v>98</v>
      </c>
      <c r="N8" s="100" t="s">
        <v>101</v>
      </c>
    </row>
    <row r="9" spans="1:14" s="71" customFormat="1" x14ac:dyDescent="0.3">
      <c r="C9" s="71" t="s">
        <v>111</v>
      </c>
      <c r="D9" s="71" t="s">
        <v>111</v>
      </c>
      <c r="E9" s="71" t="s">
        <v>111</v>
      </c>
      <c r="F9" s="71" t="s">
        <v>35</v>
      </c>
      <c r="G9" s="71" t="s">
        <v>107</v>
      </c>
      <c r="H9" s="71" t="str">
        <f>+'Labor &amp; Related'!P10</f>
        <v>Inc for 2019</v>
      </c>
      <c r="I9" s="71" t="s">
        <v>148</v>
      </c>
      <c r="J9" s="68" t="str">
        <f>+'Labor &amp; Related'!V10</f>
        <v>RYE 6/30/19</v>
      </c>
      <c r="K9" s="71" t="str">
        <f>+'Labor &amp; Related'!Y10</f>
        <v>Inc for 2020</v>
      </c>
      <c r="L9" s="71" t="s">
        <v>148</v>
      </c>
      <c r="M9" s="68" t="str">
        <f>+'Labor &amp; Related'!AE10</f>
        <v>RYE 6/30/20</v>
      </c>
      <c r="N9" s="71" t="s">
        <v>9</v>
      </c>
    </row>
    <row r="10" spans="1:14" s="71" customFormat="1" x14ac:dyDescent="0.3">
      <c r="C10" s="71" t="s">
        <v>149</v>
      </c>
      <c r="D10" s="71" t="s">
        <v>150</v>
      </c>
      <c r="E10" s="71" t="s">
        <v>9</v>
      </c>
      <c r="F10" s="71" t="s">
        <v>112</v>
      </c>
      <c r="G10" s="71" t="s">
        <v>111</v>
      </c>
      <c r="H10" s="71" t="s">
        <v>112</v>
      </c>
      <c r="I10" s="71" t="s">
        <v>151</v>
      </c>
      <c r="J10" s="71" t="s">
        <v>152</v>
      </c>
      <c r="K10" s="71" t="s">
        <v>112</v>
      </c>
      <c r="L10" s="71" t="s">
        <v>151</v>
      </c>
      <c r="M10" s="71" t="s">
        <v>152</v>
      </c>
      <c r="N10" s="71" t="s">
        <v>125</v>
      </c>
    </row>
    <row r="11" spans="1:14" s="71" customFormat="1" x14ac:dyDescent="0.3">
      <c r="C11" s="75" t="s">
        <v>126</v>
      </c>
      <c r="D11" s="75" t="s">
        <v>153</v>
      </c>
      <c r="E11" s="75" t="s">
        <v>154</v>
      </c>
      <c r="F11" s="75" t="s">
        <v>155</v>
      </c>
      <c r="G11" s="75" t="s">
        <v>156</v>
      </c>
      <c r="H11" s="75" t="s">
        <v>157</v>
      </c>
      <c r="I11" s="75" t="s">
        <v>157</v>
      </c>
      <c r="J11" s="75" t="s">
        <v>157</v>
      </c>
      <c r="K11" s="75" t="s">
        <v>157</v>
      </c>
      <c r="L11" s="75" t="s">
        <v>157</v>
      </c>
      <c r="M11" s="75" t="s">
        <v>157</v>
      </c>
      <c r="N11" s="75" t="s">
        <v>129</v>
      </c>
    </row>
    <row r="12" spans="1:14" s="71" customFormat="1" x14ac:dyDescent="0.3">
      <c r="C12" s="101" t="s">
        <v>78</v>
      </c>
      <c r="D12" s="101" t="s">
        <v>79</v>
      </c>
      <c r="E12" s="102" t="s">
        <v>131</v>
      </c>
      <c r="F12" s="101" t="s">
        <v>83</v>
      </c>
      <c r="G12" s="102" t="s">
        <v>158</v>
      </c>
      <c r="H12" s="101" t="s">
        <v>159</v>
      </c>
      <c r="I12" s="102" t="s">
        <v>87</v>
      </c>
      <c r="J12" s="101" t="s">
        <v>160</v>
      </c>
      <c r="K12" s="101" t="s">
        <v>161</v>
      </c>
      <c r="L12" s="102" t="s">
        <v>93</v>
      </c>
      <c r="M12" s="101" t="s">
        <v>162</v>
      </c>
      <c r="N12" s="101" t="s">
        <v>163</v>
      </c>
    </row>
    <row r="13" spans="1:14" s="71" customFormat="1" x14ac:dyDescent="0.3">
      <c r="C13" s="69"/>
      <c r="D13" s="69"/>
      <c r="E13" s="103"/>
      <c r="F13" s="69"/>
      <c r="G13" s="103"/>
      <c r="H13" s="69"/>
      <c r="I13" s="103"/>
      <c r="J13" s="69"/>
      <c r="K13" s="69"/>
      <c r="L13" s="103"/>
      <c r="M13" s="69"/>
      <c r="N13" s="69"/>
    </row>
    <row r="14" spans="1:14" x14ac:dyDescent="0.3">
      <c r="A14" s="104"/>
      <c r="B14" s="1" t="s">
        <v>51</v>
      </c>
      <c r="C14" s="78">
        <v>18020</v>
      </c>
      <c r="D14" s="79">
        <v>202</v>
      </c>
      <c r="E14" s="105">
        <f>SUM(C14,D14)</f>
        <v>18222</v>
      </c>
      <c r="F14" s="78">
        <v>0</v>
      </c>
      <c r="G14" s="105">
        <f>SUM(C14,F14)</f>
        <v>18020</v>
      </c>
      <c r="H14" s="78">
        <v>0</v>
      </c>
      <c r="I14" s="78">
        <v>0</v>
      </c>
      <c r="J14" s="105">
        <f t="shared" ref="J14:J29" si="0">SUM(G14,H14,I14)</f>
        <v>18020</v>
      </c>
      <c r="K14" s="78">
        <v>0</v>
      </c>
      <c r="L14" s="78">
        <v>6</v>
      </c>
      <c r="M14" s="105">
        <f>SUM(J14,K14,L14)</f>
        <v>18026</v>
      </c>
      <c r="N14" s="105">
        <f>+M14-C14</f>
        <v>6</v>
      </c>
    </row>
    <row r="15" spans="1:14" x14ac:dyDescent="0.3">
      <c r="A15" s="103"/>
      <c r="B15" s="1" t="s">
        <v>52</v>
      </c>
      <c r="C15" s="81">
        <v>36175</v>
      </c>
      <c r="D15" s="81">
        <v>0</v>
      </c>
      <c r="E15" s="92">
        <f t="shared" ref="E15:E29" si="1">SUM(C15,D15)</f>
        <v>36175</v>
      </c>
      <c r="F15" s="92">
        <v>0</v>
      </c>
      <c r="G15" s="92">
        <f>SUM(C15,F15)</f>
        <v>36175</v>
      </c>
      <c r="H15" s="81">
        <v>0</v>
      </c>
      <c r="I15" s="78">
        <v>0</v>
      </c>
      <c r="J15" s="92">
        <f t="shared" si="0"/>
        <v>36175</v>
      </c>
      <c r="K15" s="81">
        <v>0</v>
      </c>
      <c r="L15" s="78">
        <v>5</v>
      </c>
      <c r="M15" s="92">
        <f t="shared" ref="M15:M25" si="2">SUM(J15,K15,L15)</f>
        <v>36180</v>
      </c>
      <c r="N15" s="92">
        <f t="shared" ref="N15:N29" si="3">+M15-C15</f>
        <v>5</v>
      </c>
    </row>
    <row r="16" spans="1:14" x14ac:dyDescent="0.3">
      <c r="A16" s="104"/>
      <c r="B16" s="1" t="s">
        <v>53</v>
      </c>
      <c r="C16" s="81">
        <v>958946</v>
      </c>
      <c r="D16" s="81">
        <v>-1988</v>
      </c>
      <c r="E16" s="92">
        <f t="shared" si="1"/>
        <v>956958</v>
      </c>
      <c r="F16" s="92">
        <v>773</v>
      </c>
      <c r="G16" s="92">
        <f t="shared" ref="G16:G29" si="4">SUM(C16,F16)</f>
        <v>959719</v>
      </c>
      <c r="H16" s="81">
        <v>0</v>
      </c>
      <c r="I16" s="78">
        <v>75050</v>
      </c>
      <c r="J16" s="92">
        <f t="shared" si="0"/>
        <v>1034769</v>
      </c>
      <c r="K16" s="81">
        <v>0</v>
      </c>
      <c r="L16" s="78">
        <v>-17911</v>
      </c>
      <c r="M16" s="92">
        <f t="shared" si="2"/>
        <v>1016858</v>
      </c>
      <c r="N16" s="92">
        <f t="shared" si="3"/>
        <v>57912</v>
      </c>
    </row>
    <row r="17" spans="1:16" x14ac:dyDescent="0.3">
      <c r="A17" s="104"/>
      <c r="B17" s="1" t="s">
        <v>54</v>
      </c>
      <c r="C17" s="81">
        <v>9383</v>
      </c>
      <c r="D17" s="81">
        <v>18851</v>
      </c>
      <c r="E17" s="92">
        <f t="shared" si="1"/>
        <v>28234</v>
      </c>
      <c r="F17" s="92">
        <v>0</v>
      </c>
      <c r="G17" s="92">
        <f t="shared" si="4"/>
        <v>9383</v>
      </c>
      <c r="H17" s="81">
        <v>0</v>
      </c>
      <c r="I17" s="78">
        <v>0</v>
      </c>
      <c r="J17" s="92">
        <f t="shared" si="0"/>
        <v>9383</v>
      </c>
      <c r="K17" s="81">
        <v>0</v>
      </c>
      <c r="L17" s="78">
        <v>8</v>
      </c>
      <c r="M17" s="92">
        <f t="shared" si="2"/>
        <v>9391</v>
      </c>
      <c r="N17" s="92">
        <f t="shared" si="3"/>
        <v>8</v>
      </c>
    </row>
    <row r="18" spans="1:16" x14ac:dyDescent="0.3">
      <c r="A18" s="104"/>
      <c r="B18" s="1" t="s">
        <v>55</v>
      </c>
      <c r="C18" s="81">
        <v>79462</v>
      </c>
      <c r="D18" s="81">
        <v>450</v>
      </c>
      <c r="E18" s="92">
        <f t="shared" si="1"/>
        <v>79912</v>
      </c>
      <c r="F18" s="92">
        <v>-1617</v>
      </c>
      <c r="G18" s="92">
        <f t="shared" si="4"/>
        <v>77845</v>
      </c>
      <c r="H18" s="81">
        <v>0</v>
      </c>
      <c r="I18" s="78">
        <v>0</v>
      </c>
      <c r="J18" s="92">
        <f t="shared" si="0"/>
        <v>77845</v>
      </c>
      <c r="K18" s="81">
        <v>0</v>
      </c>
      <c r="L18" s="78">
        <v>15</v>
      </c>
      <c r="M18" s="92">
        <f t="shared" si="2"/>
        <v>77860</v>
      </c>
      <c r="N18" s="92">
        <f t="shared" si="3"/>
        <v>-1602</v>
      </c>
      <c r="P18" s="97"/>
    </row>
    <row r="19" spans="1:16" x14ac:dyDescent="0.3">
      <c r="A19" s="104"/>
      <c r="B19" s="1" t="s">
        <v>56</v>
      </c>
      <c r="C19" s="81">
        <v>191212</v>
      </c>
      <c r="D19" s="81">
        <v>2924</v>
      </c>
      <c r="E19" s="92">
        <f t="shared" si="1"/>
        <v>194136</v>
      </c>
      <c r="F19" s="92">
        <v>-3</v>
      </c>
      <c r="G19" s="92">
        <f t="shared" si="4"/>
        <v>191209</v>
      </c>
      <c r="H19" s="81">
        <v>0</v>
      </c>
      <c r="I19" s="78">
        <v>0</v>
      </c>
      <c r="J19" s="92">
        <f t="shared" si="0"/>
        <v>191209</v>
      </c>
      <c r="K19" s="81">
        <v>0</v>
      </c>
      <c r="L19" s="78">
        <v>107</v>
      </c>
      <c r="M19" s="92">
        <f t="shared" si="2"/>
        <v>191316</v>
      </c>
      <c r="N19" s="92">
        <f t="shared" si="3"/>
        <v>104</v>
      </c>
      <c r="P19" s="97"/>
    </row>
    <row r="20" spans="1:16" x14ac:dyDescent="0.3">
      <c r="A20" s="104"/>
      <c r="B20" s="1" t="s">
        <v>57</v>
      </c>
      <c r="C20" s="81">
        <v>137159</v>
      </c>
      <c r="D20" s="81">
        <v>4634</v>
      </c>
      <c r="E20" s="92">
        <f t="shared" si="1"/>
        <v>141793</v>
      </c>
      <c r="F20" s="92">
        <v>-157</v>
      </c>
      <c r="G20" s="92">
        <f t="shared" si="4"/>
        <v>137002</v>
      </c>
      <c r="H20" s="81">
        <v>0</v>
      </c>
      <c r="I20" s="78">
        <v>0</v>
      </c>
      <c r="J20" s="92">
        <f t="shared" si="0"/>
        <v>137002</v>
      </c>
      <c r="K20" s="81">
        <v>0</v>
      </c>
      <c r="L20" s="78">
        <v>41</v>
      </c>
      <c r="M20" s="92">
        <f t="shared" si="2"/>
        <v>137043</v>
      </c>
      <c r="N20" s="92">
        <f t="shared" si="3"/>
        <v>-116</v>
      </c>
      <c r="P20" s="97"/>
    </row>
    <row r="21" spans="1:16" s="85" customFormat="1" x14ac:dyDescent="0.3">
      <c r="A21" s="106"/>
      <c r="B21" s="1" t="s">
        <v>58</v>
      </c>
      <c r="C21" s="81">
        <v>184350</v>
      </c>
      <c r="D21" s="81">
        <v>1282</v>
      </c>
      <c r="E21" s="92">
        <f t="shared" si="1"/>
        <v>185632</v>
      </c>
      <c r="F21" s="92">
        <v>-97</v>
      </c>
      <c r="G21" s="92">
        <f t="shared" si="4"/>
        <v>184253</v>
      </c>
      <c r="H21" s="81">
        <v>0</v>
      </c>
      <c r="I21" s="78">
        <v>0</v>
      </c>
      <c r="J21" s="92">
        <f t="shared" si="0"/>
        <v>184253</v>
      </c>
      <c r="K21" s="81">
        <v>0</v>
      </c>
      <c r="L21" s="78">
        <v>58</v>
      </c>
      <c r="M21" s="92">
        <f t="shared" si="2"/>
        <v>184311</v>
      </c>
      <c r="N21" s="92">
        <f t="shared" si="3"/>
        <v>-39</v>
      </c>
      <c r="P21" s="107"/>
    </row>
    <row r="22" spans="1:16" s="85" customFormat="1" x14ac:dyDescent="0.3">
      <c r="A22" s="106"/>
      <c r="B22" s="1" t="s">
        <v>59</v>
      </c>
      <c r="C22" s="81">
        <v>7431</v>
      </c>
      <c r="D22" s="81">
        <v>3</v>
      </c>
      <c r="E22" s="92">
        <f t="shared" si="1"/>
        <v>7434</v>
      </c>
      <c r="F22" s="92">
        <v>-1</v>
      </c>
      <c r="G22" s="92">
        <f t="shared" si="4"/>
        <v>7430</v>
      </c>
      <c r="H22" s="81">
        <v>0</v>
      </c>
      <c r="I22" s="78">
        <v>0</v>
      </c>
      <c r="J22" s="92">
        <f t="shared" si="0"/>
        <v>7430</v>
      </c>
      <c r="K22" s="81">
        <v>0</v>
      </c>
      <c r="L22" s="78">
        <v>1</v>
      </c>
      <c r="M22" s="92">
        <f t="shared" si="2"/>
        <v>7431</v>
      </c>
      <c r="N22" s="92">
        <f t="shared" si="3"/>
        <v>0</v>
      </c>
      <c r="P22" s="107"/>
    </row>
    <row r="23" spans="1:16" s="85" customFormat="1" x14ac:dyDescent="0.3">
      <c r="A23" s="106"/>
      <c r="B23" s="1" t="s">
        <v>60</v>
      </c>
      <c r="C23" s="81">
        <v>103023</v>
      </c>
      <c r="D23" s="81">
        <v>13630</v>
      </c>
      <c r="E23" s="92">
        <f t="shared" si="1"/>
        <v>116653</v>
      </c>
      <c r="F23" s="92">
        <v>0</v>
      </c>
      <c r="G23" s="92">
        <f t="shared" si="4"/>
        <v>103023</v>
      </c>
      <c r="H23" s="81">
        <v>0</v>
      </c>
      <c r="I23" s="78">
        <v>0</v>
      </c>
      <c r="J23" s="92">
        <f t="shared" si="0"/>
        <v>103023</v>
      </c>
      <c r="K23" s="81">
        <v>0</v>
      </c>
      <c r="L23" s="78">
        <v>43</v>
      </c>
      <c r="M23" s="92">
        <f t="shared" si="2"/>
        <v>103066</v>
      </c>
      <c r="N23" s="92">
        <f t="shared" si="3"/>
        <v>43</v>
      </c>
      <c r="P23" s="107"/>
    </row>
    <row r="24" spans="1:16" s="85" customFormat="1" x14ac:dyDescent="0.3">
      <c r="A24" s="106"/>
      <c r="B24" s="1" t="s">
        <v>61</v>
      </c>
      <c r="C24" s="81">
        <v>25566</v>
      </c>
      <c r="D24" s="81">
        <v>4295</v>
      </c>
      <c r="E24" s="92">
        <f t="shared" si="1"/>
        <v>29861</v>
      </c>
      <c r="F24" s="92">
        <v>-305</v>
      </c>
      <c r="G24" s="92">
        <f t="shared" si="4"/>
        <v>25261</v>
      </c>
      <c r="H24" s="81">
        <v>0</v>
      </c>
      <c r="I24" s="78">
        <v>0</v>
      </c>
      <c r="J24" s="92">
        <f t="shared" si="0"/>
        <v>25261</v>
      </c>
      <c r="K24" s="81">
        <v>0</v>
      </c>
      <c r="L24" s="78">
        <v>10</v>
      </c>
      <c r="M24" s="92">
        <f t="shared" si="2"/>
        <v>25271</v>
      </c>
      <c r="N24" s="92">
        <f t="shared" si="3"/>
        <v>-295</v>
      </c>
      <c r="P24" s="107"/>
    </row>
    <row r="25" spans="1:16" x14ac:dyDescent="0.3">
      <c r="A25" s="104"/>
      <c r="B25" s="1" t="s">
        <v>62</v>
      </c>
      <c r="C25" s="81">
        <v>57365</v>
      </c>
      <c r="D25" s="81">
        <v>3749</v>
      </c>
      <c r="E25" s="92">
        <f t="shared" si="1"/>
        <v>61114</v>
      </c>
      <c r="F25" s="92">
        <v>-318</v>
      </c>
      <c r="G25" s="92">
        <f t="shared" si="4"/>
        <v>57047</v>
      </c>
      <c r="H25" s="81">
        <v>0</v>
      </c>
      <c r="I25" s="78">
        <v>0</v>
      </c>
      <c r="J25" s="92">
        <f t="shared" si="0"/>
        <v>57047</v>
      </c>
      <c r="K25" s="81">
        <v>0</v>
      </c>
      <c r="L25" s="78">
        <v>490</v>
      </c>
      <c r="M25" s="92">
        <f t="shared" si="2"/>
        <v>57537</v>
      </c>
      <c r="N25" s="92">
        <f t="shared" si="3"/>
        <v>172</v>
      </c>
      <c r="P25" s="97"/>
    </row>
    <row r="26" spans="1:16" x14ac:dyDescent="0.3">
      <c r="A26" s="104"/>
      <c r="B26" s="1" t="s">
        <v>63</v>
      </c>
      <c r="C26" s="81">
        <v>312621</v>
      </c>
      <c r="D26" s="81">
        <v>7005</v>
      </c>
      <c r="E26" s="92">
        <f t="shared" si="1"/>
        <v>319626</v>
      </c>
      <c r="F26" s="92">
        <v>-936</v>
      </c>
      <c r="G26" s="92">
        <f>SUM(C26,F26)</f>
        <v>311685</v>
      </c>
      <c r="H26" s="81">
        <v>0</v>
      </c>
      <c r="I26" s="78">
        <v>0</v>
      </c>
      <c r="J26" s="92">
        <f>SUM(G26,H26,I26)</f>
        <v>311685</v>
      </c>
      <c r="K26" s="81">
        <v>0</v>
      </c>
      <c r="L26" s="78">
        <v>185</v>
      </c>
      <c r="M26" s="92">
        <f>SUM(J26,K26,L26)</f>
        <v>311870</v>
      </c>
      <c r="N26" s="92">
        <f t="shared" si="3"/>
        <v>-751</v>
      </c>
      <c r="P26" s="97"/>
    </row>
    <row r="27" spans="1:16" x14ac:dyDescent="0.3">
      <c r="A27" s="104"/>
      <c r="B27" s="1" t="s">
        <v>64</v>
      </c>
      <c r="C27" s="81">
        <v>227161</v>
      </c>
      <c r="D27" s="81">
        <v>20271</v>
      </c>
      <c r="E27" s="92">
        <f t="shared" si="1"/>
        <v>247432</v>
      </c>
      <c r="F27" s="92">
        <v>0</v>
      </c>
      <c r="G27" s="92">
        <f>SUM(C27,F27)</f>
        <v>227161</v>
      </c>
      <c r="H27" s="81">
        <v>0</v>
      </c>
      <c r="I27" s="78">
        <v>20930</v>
      </c>
      <c r="J27" s="92">
        <f>SUM(G27,H27,I27)</f>
        <v>248091</v>
      </c>
      <c r="K27" s="81">
        <v>0</v>
      </c>
      <c r="L27" s="78">
        <v>64</v>
      </c>
      <c r="M27" s="92">
        <f>SUM(J27,K27,L27)</f>
        <v>248155</v>
      </c>
      <c r="N27" s="92">
        <f t="shared" si="3"/>
        <v>20994</v>
      </c>
      <c r="P27" s="97"/>
    </row>
    <row r="28" spans="1:16" x14ac:dyDescent="0.3">
      <c r="A28" s="104"/>
      <c r="B28" s="1" t="s">
        <v>65</v>
      </c>
      <c r="C28" s="81">
        <v>11577</v>
      </c>
      <c r="D28" s="81">
        <v>116</v>
      </c>
      <c r="E28" s="92">
        <f t="shared" si="1"/>
        <v>11693</v>
      </c>
      <c r="F28" s="92">
        <v>0</v>
      </c>
      <c r="G28" s="92">
        <f t="shared" si="4"/>
        <v>11577</v>
      </c>
      <c r="H28" s="81">
        <v>0</v>
      </c>
      <c r="I28" s="78">
        <v>0</v>
      </c>
      <c r="J28" s="92">
        <f t="shared" si="0"/>
        <v>11577</v>
      </c>
      <c r="K28" s="81">
        <v>0</v>
      </c>
      <c r="L28" s="78">
        <v>5</v>
      </c>
      <c r="M28" s="92">
        <f t="shared" ref="M28:M29" si="5">SUM(J28,K28,L28)</f>
        <v>11582</v>
      </c>
      <c r="N28" s="92">
        <f t="shared" si="3"/>
        <v>5</v>
      </c>
      <c r="P28" s="97"/>
    </row>
    <row r="29" spans="1:16" x14ac:dyDescent="0.3">
      <c r="A29" s="104"/>
      <c r="B29" s="1" t="s">
        <v>66</v>
      </c>
      <c r="C29" s="81">
        <v>766040</v>
      </c>
      <c r="D29" s="81">
        <v>2053160</v>
      </c>
      <c r="E29" s="92">
        <f t="shared" si="1"/>
        <v>2819200</v>
      </c>
      <c r="F29" s="92">
        <v>-774</v>
      </c>
      <c r="G29" s="92">
        <f t="shared" si="4"/>
        <v>765266</v>
      </c>
      <c r="H29" s="81">
        <v>0</v>
      </c>
      <c r="I29" s="78">
        <v>0</v>
      </c>
      <c r="J29" s="92">
        <f t="shared" si="0"/>
        <v>765266</v>
      </c>
      <c r="K29" s="81">
        <v>0</v>
      </c>
      <c r="L29" s="78">
        <v>62</v>
      </c>
      <c r="M29" s="92">
        <f t="shared" si="5"/>
        <v>765328</v>
      </c>
      <c r="N29" s="92">
        <f t="shared" si="3"/>
        <v>-712</v>
      </c>
      <c r="P29" s="97"/>
    </row>
    <row r="30" spans="1:16" ht="15" thickBot="1" x14ac:dyDescent="0.35">
      <c r="A30" s="91"/>
      <c r="B30" s="89" t="s">
        <v>9</v>
      </c>
      <c r="C30" s="90">
        <f t="shared" ref="C30:N30" si="6">SUM(C14:C29)</f>
        <v>3125491</v>
      </c>
      <c r="D30" s="90">
        <f t="shared" si="6"/>
        <v>2128584</v>
      </c>
      <c r="E30" s="90">
        <f t="shared" si="6"/>
        <v>5254075</v>
      </c>
      <c r="F30" s="90">
        <f t="shared" si="6"/>
        <v>-3435</v>
      </c>
      <c r="G30" s="90">
        <f t="shared" si="6"/>
        <v>3122056</v>
      </c>
      <c r="H30" s="90">
        <f t="shared" si="6"/>
        <v>0</v>
      </c>
      <c r="I30" s="90">
        <f t="shared" si="6"/>
        <v>95980</v>
      </c>
      <c r="J30" s="90">
        <f t="shared" si="6"/>
        <v>3218036</v>
      </c>
      <c r="K30" s="90">
        <f t="shared" si="6"/>
        <v>0</v>
      </c>
      <c r="L30" s="90">
        <f t="shared" si="6"/>
        <v>-16811</v>
      </c>
      <c r="M30" s="90">
        <f>SUM(M14:M29)</f>
        <v>3201225</v>
      </c>
      <c r="N30" s="90">
        <f t="shared" si="6"/>
        <v>75734</v>
      </c>
    </row>
    <row r="31" spans="1:16" x14ac:dyDescent="0.3">
      <c r="A31" s="91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</row>
    <row r="32" spans="1:16" x14ac:dyDescent="0.3">
      <c r="A32" s="91"/>
      <c r="B32" s="91"/>
      <c r="C32" s="92"/>
      <c r="D32" s="92"/>
      <c r="E32" s="92"/>
      <c r="F32" s="95"/>
      <c r="G32" s="92"/>
      <c r="H32" s="92"/>
      <c r="I32" s="92"/>
      <c r="J32" s="92"/>
      <c r="K32" s="92"/>
      <c r="L32" s="92"/>
      <c r="M32" s="92"/>
      <c r="N32" s="92"/>
    </row>
    <row r="33" spans="1:16" x14ac:dyDescent="0.3">
      <c r="A33" s="91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6" x14ac:dyDescent="0.3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P34" s="108"/>
    </row>
    <row r="35" spans="1:16" x14ac:dyDescent="0.3">
      <c r="A35" s="91"/>
      <c r="B35" s="91"/>
      <c r="C35" s="92"/>
      <c r="D35" s="92"/>
      <c r="E35" s="92"/>
      <c r="F35" s="92"/>
      <c r="G35" s="92"/>
      <c r="H35" s="92"/>
      <c r="I35" s="92"/>
      <c r="J35" s="109"/>
      <c r="K35" s="92"/>
      <c r="L35" s="92"/>
      <c r="M35" s="109"/>
      <c r="N35" s="92"/>
      <c r="P35" s="108"/>
    </row>
    <row r="36" spans="1:16" x14ac:dyDescent="0.3">
      <c r="A36" s="91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P36" s="108"/>
    </row>
    <row r="37" spans="1:16" x14ac:dyDescent="0.3">
      <c r="A37" s="91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P37" s="108"/>
    </row>
    <row r="38" spans="1:16" x14ac:dyDescent="0.3">
      <c r="A38" s="104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110"/>
    </row>
    <row r="39" spans="1:16" x14ac:dyDescent="0.3">
      <c r="A39" s="91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P39" s="108"/>
    </row>
    <row r="40" spans="1:16" x14ac:dyDescent="0.3">
      <c r="A40" s="104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P40" s="108"/>
    </row>
    <row r="41" spans="1:16" x14ac:dyDescent="0.3">
      <c r="A41" s="104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P41" s="108"/>
    </row>
    <row r="42" spans="1:16" x14ac:dyDescent="0.3">
      <c r="A42" s="104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1:16" x14ac:dyDescent="0.3">
      <c r="A43" s="104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16" x14ac:dyDescent="0.3">
      <c r="A44" s="104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8"/>
    </row>
    <row r="45" spans="1:16" x14ac:dyDescent="0.3">
      <c r="A45" s="104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108"/>
    </row>
    <row r="46" spans="1:16" x14ac:dyDescent="0.3">
      <c r="A46" s="104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110"/>
    </row>
    <row r="47" spans="1:16" x14ac:dyDescent="0.3">
      <c r="A47" s="91"/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110"/>
    </row>
    <row r="48" spans="1:16" x14ac:dyDescent="0.3">
      <c r="A48" s="104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1:14" x14ac:dyDescent="0.3">
      <c r="A49" s="9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1:14" x14ac:dyDescent="0.3">
      <c r="A50" s="104"/>
      <c r="B50" s="9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x14ac:dyDescent="0.3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 x14ac:dyDescent="0.3">
      <c r="A52" s="91"/>
      <c r="B52" s="9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91"/>
    </row>
    <row r="53" spans="1:14" x14ac:dyDescent="0.3">
      <c r="A53" s="91"/>
      <c r="B53" s="9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91"/>
    </row>
    <row r="54" spans="1:14" x14ac:dyDescent="0.3">
      <c r="C54" s="97"/>
    </row>
    <row r="56" spans="1:14" x14ac:dyDescent="0.3">
      <c r="C56" s="108"/>
    </row>
    <row r="57" spans="1:14" x14ac:dyDescent="0.3">
      <c r="C57" s="113"/>
    </row>
    <row r="59" spans="1:14" x14ac:dyDescent="0.3">
      <c r="C59" s="97"/>
      <c r="N59" s="110"/>
    </row>
    <row r="61" spans="1:14" x14ac:dyDescent="0.3">
      <c r="N61" s="110"/>
    </row>
  </sheetData>
  <pageMargins left="0.45" right="0.45" top="1" bottom="0.75" header="0.3" footer="0.3"/>
  <pageSetup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6"/>
  <sheetViews>
    <sheetView zoomScaleNormal="100" workbookViewId="0">
      <pane xSplit="2" ySplit="12" topLeftCell="C13" activePane="bottomRight" state="frozen"/>
      <selection activeCell="M30" sqref="M30"/>
      <selection pane="topRight" activeCell="M30" sqref="M30"/>
      <selection pane="bottomLeft" activeCell="M30" sqref="M30"/>
      <selection pane="bottomRight" activeCell="I1" sqref="I1"/>
    </sheetView>
  </sheetViews>
  <sheetFormatPr defaultRowHeight="14.4" x14ac:dyDescent="0.3"/>
  <cols>
    <col min="1" max="1" width="2.5546875" style="60" customWidth="1"/>
    <col min="2" max="2" width="34.44140625" style="60" bestFit="1" customWidth="1"/>
    <col min="3" max="3" width="16.44140625" style="60" customWidth="1"/>
    <col min="4" max="4" width="16" style="60" customWidth="1"/>
    <col min="5" max="5" width="17" style="60" customWidth="1"/>
    <col min="6" max="6" width="15.88671875" style="60" customWidth="1"/>
    <col min="7" max="7" width="18.44140625" style="60" customWidth="1"/>
    <col min="8" max="8" width="17.33203125" style="60" customWidth="1"/>
    <col min="9" max="12" width="14.109375" style="60" bestFit="1" customWidth="1"/>
    <col min="13" max="13" width="17.44140625" style="60" customWidth="1"/>
    <col min="14" max="14" width="16.33203125" style="60" bestFit="1" customWidth="1"/>
    <col min="15" max="15" width="13.88671875" style="60" bestFit="1" customWidth="1"/>
    <col min="16" max="16" width="5" style="60" customWidth="1"/>
    <col min="17" max="17" width="10.5546875" style="114" bestFit="1" customWidth="1"/>
    <col min="18" max="18" width="15.44140625" style="91" bestFit="1" customWidth="1"/>
    <col min="19" max="19" width="12.6640625" style="91" bestFit="1" customWidth="1"/>
    <col min="20" max="20" width="4.6640625" style="91" customWidth="1"/>
    <col min="21" max="21" width="14.33203125" style="91" bestFit="1" customWidth="1"/>
    <col min="22" max="22" width="10.5546875" style="91" bestFit="1" customWidth="1"/>
    <col min="23" max="257" width="9.109375" style="60"/>
    <col min="258" max="258" width="2.5546875" style="60" customWidth="1"/>
    <col min="259" max="259" width="23.33203125" style="60" customWidth="1"/>
    <col min="260" max="269" width="14.6640625" style="60" customWidth="1"/>
    <col min="270" max="270" width="14.44140625" style="60" bestFit="1" customWidth="1"/>
    <col min="271" max="271" width="15.44140625" style="60" bestFit="1" customWidth="1"/>
    <col min="272" max="513" width="9.109375" style="60"/>
    <col min="514" max="514" width="2.5546875" style="60" customWidth="1"/>
    <col min="515" max="515" width="23.33203125" style="60" customWidth="1"/>
    <col min="516" max="525" width="14.6640625" style="60" customWidth="1"/>
    <col min="526" max="526" width="14.44140625" style="60" bestFit="1" customWidth="1"/>
    <col min="527" max="527" width="15.44140625" style="60" bestFit="1" customWidth="1"/>
    <col min="528" max="769" width="9.109375" style="60"/>
    <col min="770" max="770" width="2.5546875" style="60" customWidth="1"/>
    <col min="771" max="771" width="23.33203125" style="60" customWidth="1"/>
    <col min="772" max="781" width="14.6640625" style="60" customWidth="1"/>
    <col min="782" max="782" width="14.44140625" style="60" bestFit="1" customWidth="1"/>
    <col min="783" max="783" width="15.44140625" style="60" bestFit="1" customWidth="1"/>
    <col min="784" max="1025" width="9.109375" style="60"/>
    <col min="1026" max="1026" width="2.5546875" style="60" customWidth="1"/>
    <col min="1027" max="1027" width="23.33203125" style="60" customWidth="1"/>
    <col min="1028" max="1037" width="14.6640625" style="60" customWidth="1"/>
    <col min="1038" max="1038" width="14.44140625" style="60" bestFit="1" customWidth="1"/>
    <col min="1039" max="1039" width="15.44140625" style="60" bestFit="1" customWidth="1"/>
    <col min="1040" max="1281" width="9.109375" style="60"/>
    <col min="1282" max="1282" width="2.5546875" style="60" customWidth="1"/>
    <col min="1283" max="1283" width="23.33203125" style="60" customWidth="1"/>
    <col min="1284" max="1293" width="14.6640625" style="60" customWidth="1"/>
    <col min="1294" max="1294" width="14.44140625" style="60" bestFit="1" customWidth="1"/>
    <col min="1295" max="1295" width="15.44140625" style="60" bestFit="1" customWidth="1"/>
    <col min="1296" max="1537" width="9.109375" style="60"/>
    <col min="1538" max="1538" width="2.5546875" style="60" customWidth="1"/>
    <col min="1539" max="1539" width="23.33203125" style="60" customWidth="1"/>
    <col min="1540" max="1549" width="14.6640625" style="60" customWidth="1"/>
    <col min="1550" max="1550" width="14.44140625" style="60" bestFit="1" customWidth="1"/>
    <col min="1551" max="1551" width="15.44140625" style="60" bestFit="1" customWidth="1"/>
    <col min="1552" max="1793" width="9.109375" style="60"/>
    <col min="1794" max="1794" width="2.5546875" style="60" customWidth="1"/>
    <col min="1795" max="1795" width="23.33203125" style="60" customWidth="1"/>
    <col min="1796" max="1805" width="14.6640625" style="60" customWidth="1"/>
    <col min="1806" max="1806" width="14.44140625" style="60" bestFit="1" customWidth="1"/>
    <col min="1807" max="1807" width="15.44140625" style="60" bestFit="1" customWidth="1"/>
    <col min="1808" max="2049" width="9.109375" style="60"/>
    <col min="2050" max="2050" width="2.5546875" style="60" customWidth="1"/>
    <col min="2051" max="2051" width="23.33203125" style="60" customWidth="1"/>
    <col min="2052" max="2061" width="14.6640625" style="60" customWidth="1"/>
    <col min="2062" max="2062" width="14.44140625" style="60" bestFit="1" customWidth="1"/>
    <col min="2063" max="2063" width="15.44140625" style="60" bestFit="1" customWidth="1"/>
    <col min="2064" max="2305" width="9.109375" style="60"/>
    <col min="2306" max="2306" width="2.5546875" style="60" customWidth="1"/>
    <col min="2307" max="2307" width="23.33203125" style="60" customWidth="1"/>
    <col min="2308" max="2317" width="14.6640625" style="60" customWidth="1"/>
    <col min="2318" max="2318" width="14.44140625" style="60" bestFit="1" customWidth="1"/>
    <col min="2319" max="2319" width="15.44140625" style="60" bestFit="1" customWidth="1"/>
    <col min="2320" max="2561" width="9.109375" style="60"/>
    <col min="2562" max="2562" width="2.5546875" style="60" customWidth="1"/>
    <col min="2563" max="2563" width="23.33203125" style="60" customWidth="1"/>
    <col min="2564" max="2573" width="14.6640625" style="60" customWidth="1"/>
    <col min="2574" max="2574" width="14.44140625" style="60" bestFit="1" customWidth="1"/>
    <col min="2575" max="2575" width="15.44140625" style="60" bestFit="1" customWidth="1"/>
    <col min="2576" max="2817" width="9.109375" style="60"/>
    <col min="2818" max="2818" width="2.5546875" style="60" customWidth="1"/>
    <col min="2819" max="2819" width="23.33203125" style="60" customWidth="1"/>
    <col min="2820" max="2829" width="14.6640625" style="60" customWidth="1"/>
    <col min="2830" max="2830" width="14.44140625" style="60" bestFit="1" customWidth="1"/>
    <col min="2831" max="2831" width="15.44140625" style="60" bestFit="1" customWidth="1"/>
    <col min="2832" max="3073" width="9.109375" style="60"/>
    <col min="3074" max="3074" width="2.5546875" style="60" customWidth="1"/>
    <col min="3075" max="3075" width="23.33203125" style="60" customWidth="1"/>
    <col min="3076" max="3085" width="14.6640625" style="60" customWidth="1"/>
    <col min="3086" max="3086" width="14.44140625" style="60" bestFit="1" customWidth="1"/>
    <col min="3087" max="3087" width="15.44140625" style="60" bestFit="1" customWidth="1"/>
    <col min="3088" max="3329" width="9.109375" style="60"/>
    <col min="3330" max="3330" width="2.5546875" style="60" customWidth="1"/>
    <col min="3331" max="3331" width="23.33203125" style="60" customWidth="1"/>
    <col min="3332" max="3341" width="14.6640625" style="60" customWidth="1"/>
    <col min="3342" max="3342" width="14.44140625" style="60" bestFit="1" customWidth="1"/>
    <col min="3343" max="3343" width="15.44140625" style="60" bestFit="1" customWidth="1"/>
    <col min="3344" max="3585" width="9.109375" style="60"/>
    <col min="3586" max="3586" width="2.5546875" style="60" customWidth="1"/>
    <col min="3587" max="3587" width="23.33203125" style="60" customWidth="1"/>
    <col min="3588" max="3597" width="14.6640625" style="60" customWidth="1"/>
    <col min="3598" max="3598" width="14.44140625" style="60" bestFit="1" customWidth="1"/>
    <col min="3599" max="3599" width="15.44140625" style="60" bestFit="1" customWidth="1"/>
    <col min="3600" max="3841" width="9.109375" style="60"/>
    <col min="3842" max="3842" width="2.5546875" style="60" customWidth="1"/>
    <col min="3843" max="3843" width="23.33203125" style="60" customWidth="1"/>
    <col min="3844" max="3853" width="14.6640625" style="60" customWidth="1"/>
    <col min="3854" max="3854" width="14.44140625" style="60" bestFit="1" customWidth="1"/>
    <col min="3855" max="3855" width="15.44140625" style="60" bestFit="1" customWidth="1"/>
    <col min="3856" max="4097" width="9.109375" style="60"/>
    <col min="4098" max="4098" width="2.5546875" style="60" customWidth="1"/>
    <col min="4099" max="4099" width="23.33203125" style="60" customWidth="1"/>
    <col min="4100" max="4109" width="14.6640625" style="60" customWidth="1"/>
    <col min="4110" max="4110" width="14.44140625" style="60" bestFit="1" customWidth="1"/>
    <col min="4111" max="4111" width="15.44140625" style="60" bestFit="1" customWidth="1"/>
    <col min="4112" max="4353" width="9.109375" style="60"/>
    <col min="4354" max="4354" width="2.5546875" style="60" customWidth="1"/>
    <col min="4355" max="4355" width="23.33203125" style="60" customWidth="1"/>
    <col min="4356" max="4365" width="14.6640625" style="60" customWidth="1"/>
    <col min="4366" max="4366" width="14.44140625" style="60" bestFit="1" customWidth="1"/>
    <col min="4367" max="4367" width="15.44140625" style="60" bestFit="1" customWidth="1"/>
    <col min="4368" max="4609" width="9.109375" style="60"/>
    <col min="4610" max="4610" width="2.5546875" style="60" customWidth="1"/>
    <col min="4611" max="4611" width="23.33203125" style="60" customWidth="1"/>
    <col min="4612" max="4621" width="14.6640625" style="60" customWidth="1"/>
    <col min="4622" max="4622" width="14.44140625" style="60" bestFit="1" customWidth="1"/>
    <col min="4623" max="4623" width="15.44140625" style="60" bestFit="1" customWidth="1"/>
    <col min="4624" max="4865" width="9.109375" style="60"/>
    <col min="4866" max="4866" width="2.5546875" style="60" customWidth="1"/>
    <col min="4867" max="4867" width="23.33203125" style="60" customWidth="1"/>
    <col min="4868" max="4877" width="14.6640625" style="60" customWidth="1"/>
    <col min="4878" max="4878" width="14.44140625" style="60" bestFit="1" customWidth="1"/>
    <col min="4879" max="4879" width="15.44140625" style="60" bestFit="1" customWidth="1"/>
    <col min="4880" max="5121" width="9.109375" style="60"/>
    <col min="5122" max="5122" width="2.5546875" style="60" customWidth="1"/>
    <col min="5123" max="5123" width="23.33203125" style="60" customWidth="1"/>
    <col min="5124" max="5133" width="14.6640625" style="60" customWidth="1"/>
    <col min="5134" max="5134" width="14.44140625" style="60" bestFit="1" customWidth="1"/>
    <col min="5135" max="5135" width="15.44140625" style="60" bestFit="1" customWidth="1"/>
    <col min="5136" max="5377" width="9.109375" style="60"/>
    <col min="5378" max="5378" width="2.5546875" style="60" customWidth="1"/>
    <col min="5379" max="5379" width="23.33203125" style="60" customWidth="1"/>
    <col min="5380" max="5389" width="14.6640625" style="60" customWidth="1"/>
    <col min="5390" max="5390" width="14.44140625" style="60" bestFit="1" customWidth="1"/>
    <col min="5391" max="5391" width="15.44140625" style="60" bestFit="1" customWidth="1"/>
    <col min="5392" max="5633" width="9.109375" style="60"/>
    <col min="5634" max="5634" width="2.5546875" style="60" customWidth="1"/>
    <col min="5635" max="5635" width="23.33203125" style="60" customWidth="1"/>
    <col min="5636" max="5645" width="14.6640625" style="60" customWidth="1"/>
    <col min="5646" max="5646" width="14.44140625" style="60" bestFit="1" customWidth="1"/>
    <col min="5647" max="5647" width="15.44140625" style="60" bestFit="1" customWidth="1"/>
    <col min="5648" max="5889" width="9.109375" style="60"/>
    <col min="5890" max="5890" width="2.5546875" style="60" customWidth="1"/>
    <col min="5891" max="5891" width="23.33203125" style="60" customWidth="1"/>
    <col min="5892" max="5901" width="14.6640625" style="60" customWidth="1"/>
    <col min="5902" max="5902" width="14.44140625" style="60" bestFit="1" customWidth="1"/>
    <col min="5903" max="5903" width="15.44140625" style="60" bestFit="1" customWidth="1"/>
    <col min="5904" max="6145" width="9.109375" style="60"/>
    <col min="6146" max="6146" width="2.5546875" style="60" customWidth="1"/>
    <col min="6147" max="6147" width="23.33203125" style="60" customWidth="1"/>
    <col min="6148" max="6157" width="14.6640625" style="60" customWidth="1"/>
    <col min="6158" max="6158" width="14.44140625" style="60" bestFit="1" customWidth="1"/>
    <col min="6159" max="6159" width="15.44140625" style="60" bestFit="1" customWidth="1"/>
    <col min="6160" max="6401" width="9.109375" style="60"/>
    <col min="6402" max="6402" width="2.5546875" style="60" customWidth="1"/>
    <col min="6403" max="6403" width="23.33203125" style="60" customWidth="1"/>
    <col min="6404" max="6413" width="14.6640625" style="60" customWidth="1"/>
    <col min="6414" max="6414" width="14.44140625" style="60" bestFit="1" customWidth="1"/>
    <col min="6415" max="6415" width="15.44140625" style="60" bestFit="1" customWidth="1"/>
    <col min="6416" max="6657" width="9.109375" style="60"/>
    <col min="6658" max="6658" width="2.5546875" style="60" customWidth="1"/>
    <col min="6659" max="6659" width="23.33203125" style="60" customWidth="1"/>
    <col min="6660" max="6669" width="14.6640625" style="60" customWidth="1"/>
    <col min="6670" max="6670" width="14.44140625" style="60" bestFit="1" customWidth="1"/>
    <col min="6671" max="6671" width="15.44140625" style="60" bestFit="1" customWidth="1"/>
    <col min="6672" max="6913" width="9.109375" style="60"/>
    <col min="6914" max="6914" width="2.5546875" style="60" customWidth="1"/>
    <col min="6915" max="6915" width="23.33203125" style="60" customWidth="1"/>
    <col min="6916" max="6925" width="14.6640625" style="60" customWidth="1"/>
    <col min="6926" max="6926" width="14.44140625" style="60" bestFit="1" customWidth="1"/>
    <col min="6927" max="6927" width="15.44140625" style="60" bestFit="1" customWidth="1"/>
    <col min="6928" max="7169" width="9.109375" style="60"/>
    <col min="7170" max="7170" width="2.5546875" style="60" customWidth="1"/>
    <col min="7171" max="7171" width="23.33203125" style="60" customWidth="1"/>
    <col min="7172" max="7181" width="14.6640625" style="60" customWidth="1"/>
    <col min="7182" max="7182" width="14.44140625" style="60" bestFit="1" customWidth="1"/>
    <col min="7183" max="7183" width="15.44140625" style="60" bestFit="1" customWidth="1"/>
    <col min="7184" max="7425" width="9.109375" style="60"/>
    <col min="7426" max="7426" width="2.5546875" style="60" customWidth="1"/>
    <col min="7427" max="7427" width="23.33203125" style="60" customWidth="1"/>
    <col min="7428" max="7437" width="14.6640625" style="60" customWidth="1"/>
    <col min="7438" max="7438" width="14.44140625" style="60" bestFit="1" customWidth="1"/>
    <col min="7439" max="7439" width="15.44140625" style="60" bestFit="1" customWidth="1"/>
    <col min="7440" max="7681" width="9.109375" style="60"/>
    <col min="7682" max="7682" width="2.5546875" style="60" customWidth="1"/>
    <col min="7683" max="7683" width="23.33203125" style="60" customWidth="1"/>
    <col min="7684" max="7693" width="14.6640625" style="60" customWidth="1"/>
    <col min="7694" max="7694" width="14.44140625" style="60" bestFit="1" customWidth="1"/>
    <col min="7695" max="7695" width="15.44140625" style="60" bestFit="1" customWidth="1"/>
    <col min="7696" max="7937" width="9.109375" style="60"/>
    <col min="7938" max="7938" width="2.5546875" style="60" customWidth="1"/>
    <col min="7939" max="7939" width="23.33203125" style="60" customWidth="1"/>
    <col min="7940" max="7949" width="14.6640625" style="60" customWidth="1"/>
    <col min="7950" max="7950" width="14.44140625" style="60" bestFit="1" customWidth="1"/>
    <col min="7951" max="7951" width="15.44140625" style="60" bestFit="1" customWidth="1"/>
    <col min="7952" max="8193" width="9.109375" style="60"/>
    <col min="8194" max="8194" width="2.5546875" style="60" customWidth="1"/>
    <col min="8195" max="8195" width="23.33203125" style="60" customWidth="1"/>
    <col min="8196" max="8205" width="14.6640625" style="60" customWidth="1"/>
    <col min="8206" max="8206" width="14.44140625" style="60" bestFit="1" customWidth="1"/>
    <col min="8207" max="8207" width="15.44140625" style="60" bestFit="1" customWidth="1"/>
    <col min="8208" max="8449" width="9.109375" style="60"/>
    <col min="8450" max="8450" width="2.5546875" style="60" customWidth="1"/>
    <col min="8451" max="8451" width="23.33203125" style="60" customWidth="1"/>
    <col min="8452" max="8461" width="14.6640625" style="60" customWidth="1"/>
    <col min="8462" max="8462" width="14.44140625" style="60" bestFit="1" customWidth="1"/>
    <col min="8463" max="8463" width="15.44140625" style="60" bestFit="1" customWidth="1"/>
    <col min="8464" max="8705" width="9.109375" style="60"/>
    <col min="8706" max="8706" width="2.5546875" style="60" customWidth="1"/>
    <col min="8707" max="8707" width="23.33203125" style="60" customWidth="1"/>
    <col min="8708" max="8717" width="14.6640625" style="60" customWidth="1"/>
    <col min="8718" max="8718" width="14.44140625" style="60" bestFit="1" customWidth="1"/>
    <col min="8719" max="8719" width="15.44140625" style="60" bestFit="1" customWidth="1"/>
    <col min="8720" max="8961" width="9.109375" style="60"/>
    <col min="8962" max="8962" width="2.5546875" style="60" customWidth="1"/>
    <col min="8963" max="8963" width="23.33203125" style="60" customWidth="1"/>
    <col min="8964" max="8973" width="14.6640625" style="60" customWidth="1"/>
    <col min="8974" max="8974" width="14.44140625" style="60" bestFit="1" customWidth="1"/>
    <col min="8975" max="8975" width="15.44140625" style="60" bestFit="1" customWidth="1"/>
    <col min="8976" max="9217" width="9.109375" style="60"/>
    <col min="9218" max="9218" width="2.5546875" style="60" customWidth="1"/>
    <col min="9219" max="9219" width="23.33203125" style="60" customWidth="1"/>
    <col min="9220" max="9229" width="14.6640625" style="60" customWidth="1"/>
    <col min="9230" max="9230" width="14.44140625" style="60" bestFit="1" customWidth="1"/>
    <col min="9231" max="9231" width="15.44140625" style="60" bestFit="1" customWidth="1"/>
    <col min="9232" max="9473" width="9.109375" style="60"/>
    <col min="9474" max="9474" width="2.5546875" style="60" customWidth="1"/>
    <col min="9475" max="9475" width="23.33203125" style="60" customWidth="1"/>
    <col min="9476" max="9485" width="14.6640625" style="60" customWidth="1"/>
    <col min="9486" max="9486" width="14.44140625" style="60" bestFit="1" customWidth="1"/>
    <col min="9487" max="9487" width="15.44140625" style="60" bestFit="1" customWidth="1"/>
    <col min="9488" max="9729" width="9.109375" style="60"/>
    <col min="9730" max="9730" width="2.5546875" style="60" customWidth="1"/>
    <col min="9731" max="9731" width="23.33203125" style="60" customWidth="1"/>
    <col min="9732" max="9741" width="14.6640625" style="60" customWidth="1"/>
    <col min="9742" max="9742" width="14.44140625" style="60" bestFit="1" customWidth="1"/>
    <col min="9743" max="9743" width="15.44140625" style="60" bestFit="1" customWidth="1"/>
    <col min="9744" max="9985" width="9.109375" style="60"/>
    <col min="9986" max="9986" width="2.5546875" style="60" customWidth="1"/>
    <col min="9987" max="9987" width="23.33203125" style="60" customWidth="1"/>
    <col min="9988" max="9997" width="14.6640625" style="60" customWidth="1"/>
    <col min="9998" max="9998" width="14.44140625" style="60" bestFit="1" customWidth="1"/>
    <col min="9999" max="9999" width="15.44140625" style="60" bestFit="1" customWidth="1"/>
    <col min="10000" max="10241" width="9.109375" style="60"/>
    <col min="10242" max="10242" width="2.5546875" style="60" customWidth="1"/>
    <col min="10243" max="10243" width="23.33203125" style="60" customWidth="1"/>
    <col min="10244" max="10253" width="14.6640625" style="60" customWidth="1"/>
    <col min="10254" max="10254" width="14.44140625" style="60" bestFit="1" customWidth="1"/>
    <col min="10255" max="10255" width="15.44140625" style="60" bestFit="1" customWidth="1"/>
    <col min="10256" max="10497" width="9.109375" style="60"/>
    <col min="10498" max="10498" width="2.5546875" style="60" customWidth="1"/>
    <col min="10499" max="10499" width="23.33203125" style="60" customWidth="1"/>
    <col min="10500" max="10509" width="14.6640625" style="60" customWidth="1"/>
    <col min="10510" max="10510" width="14.44140625" style="60" bestFit="1" customWidth="1"/>
    <col min="10511" max="10511" width="15.44140625" style="60" bestFit="1" customWidth="1"/>
    <col min="10512" max="10753" width="9.109375" style="60"/>
    <col min="10754" max="10754" width="2.5546875" style="60" customWidth="1"/>
    <col min="10755" max="10755" width="23.33203125" style="60" customWidth="1"/>
    <col min="10756" max="10765" width="14.6640625" style="60" customWidth="1"/>
    <col min="10766" max="10766" width="14.44140625" style="60" bestFit="1" customWidth="1"/>
    <col min="10767" max="10767" width="15.44140625" style="60" bestFit="1" customWidth="1"/>
    <col min="10768" max="11009" width="9.109375" style="60"/>
    <col min="11010" max="11010" width="2.5546875" style="60" customWidth="1"/>
    <col min="11011" max="11011" width="23.33203125" style="60" customWidth="1"/>
    <col min="11012" max="11021" width="14.6640625" style="60" customWidth="1"/>
    <col min="11022" max="11022" width="14.44140625" style="60" bestFit="1" customWidth="1"/>
    <col min="11023" max="11023" width="15.44140625" style="60" bestFit="1" customWidth="1"/>
    <col min="11024" max="11265" width="9.109375" style="60"/>
    <col min="11266" max="11266" width="2.5546875" style="60" customWidth="1"/>
    <col min="11267" max="11267" width="23.33203125" style="60" customWidth="1"/>
    <col min="11268" max="11277" width="14.6640625" style="60" customWidth="1"/>
    <col min="11278" max="11278" width="14.44140625" style="60" bestFit="1" customWidth="1"/>
    <col min="11279" max="11279" width="15.44140625" style="60" bestFit="1" customWidth="1"/>
    <col min="11280" max="11521" width="9.109375" style="60"/>
    <col min="11522" max="11522" width="2.5546875" style="60" customWidth="1"/>
    <col min="11523" max="11523" width="23.33203125" style="60" customWidth="1"/>
    <col min="11524" max="11533" width="14.6640625" style="60" customWidth="1"/>
    <col min="11534" max="11534" width="14.44140625" style="60" bestFit="1" customWidth="1"/>
    <col min="11535" max="11535" width="15.44140625" style="60" bestFit="1" customWidth="1"/>
    <col min="11536" max="11777" width="9.109375" style="60"/>
    <col min="11778" max="11778" width="2.5546875" style="60" customWidth="1"/>
    <col min="11779" max="11779" width="23.33203125" style="60" customWidth="1"/>
    <col min="11780" max="11789" width="14.6640625" style="60" customWidth="1"/>
    <col min="11790" max="11790" width="14.44140625" style="60" bestFit="1" customWidth="1"/>
    <col min="11791" max="11791" width="15.44140625" style="60" bestFit="1" customWidth="1"/>
    <col min="11792" max="12033" width="9.109375" style="60"/>
    <col min="12034" max="12034" width="2.5546875" style="60" customWidth="1"/>
    <col min="12035" max="12035" width="23.33203125" style="60" customWidth="1"/>
    <col min="12036" max="12045" width="14.6640625" style="60" customWidth="1"/>
    <col min="12046" max="12046" width="14.44140625" style="60" bestFit="1" customWidth="1"/>
    <col min="12047" max="12047" width="15.44140625" style="60" bestFit="1" customWidth="1"/>
    <col min="12048" max="12289" width="9.109375" style="60"/>
    <col min="12290" max="12290" width="2.5546875" style="60" customWidth="1"/>
    <col min="12291" max="12291" width="23.33203125" style="60" customWidth="1"/>
    <col min="12292" max="12301" width="14.6640625" style="60" customWidth="1"/>
    <col min="12302" max="12302" width="14.44140625" style="60" bestFit="1" customWidth="1"/>
    <col min="12303" max="12303" width="15.44140625" style="60" bestFit="1" customWidth="1"/>
    <col min="12304" max="12545" width="9.109375" style="60"/>
    <col min="12546" max="12546" width="2.5546875" style="60" customWidth="1"/>
    <col min="12547" max="12547" width="23.33203125" style="60" customWidth="1"/>
    <col min="12548" max="12557" width="14.6640625" style="60" customWidth="1"/>
    <col min="12558" max="12558" width="14.44140625" style="60" bestFit="1" customWidth="1"/>
    <col min="12559" max="12559" width="15.44140625" style="60" bestFit="1" customWidth="1"/>
    <col min="12560" max="12801" width="9.109375" style="60"/>
    <col min="12802" max="12802" width="2.5546875" style="60" customWidth="1"/>
    <col min="12803" max="12803" width="23.33203125" style="60" customWidth="1"/>
    <col min="12804" max="12813" width="14.6640625" style="60" customWidth="1"/>
    <col min="12814" max="12814" width="14.44140625" style="60" bestFit="1" customWidth="1"/>
    <col min="12815" max="12815" width="15.44140625" style="60" bestFit="1" customWidth="1"/>
    <col min="12816" max="13057" width="9.109375" style="60"/>
    <col min="13058" max="13058" width="2.5546875" style="60" customWidth="1"/>
    <col min="13059" max="13059" width="23.33203125" style="60" customWidth="1"/>
    <col min="13060" max="13069" width="14.6640625" style="60" customWidth="1"/>
    <col min="13070" max="13070" width="14.44140625" style="60" bestFit="1" customWidth="1"/>
    <col min="13071" max="13071" width="15.44140625" style="60" bestFit="1" customWidth="1"/>
    <col min="13072" max="13313" width="9.109375" style="60"/>
    <col min="13314" max="13314" width="2.5546875" style="60" customWidth="1"/>
    <col min="13315" max="13315" width="23.33203125" style="60" customWidth="1"/>
    <col min="13316" max="13325" width="14.6640625" style="60" customWidth="1"/>
    <col min="13326" max="13326" width="14.44140625" style="60" bestFit="1" customWidth="1"/>
    <col min="13327" max="13327" width="15.44140625" style="60" bestFit="1" customWidth="1"/>
    <col min="13328" max="13569" width="9.109375" style="60"/>
    <col min="13570" max="13570" width="2.5546875" style="60" customWidth="1"/>
    <col min="13571" max="13571" width="23.33203125" style="60" customWidth="1"/>
    <col min="13572" max="13581" width="14.6640625" style="60" customWidth="1"/>
    <col min="13582" max="13582" width="14.44140625" style="60" bestFit="1" customWidth="1"/>
    <col min="13583" max="13583" width="15.44140625" style="60" bestFit="1" customWidth="1"/>
    <col min="13584" max="13825" width="9.109375" style="60"/>
    <col min="13826" max="13826" width="2.5546875" style="60" customWidth="1"/>
    <col min="13827" max="13827" width="23.33203125" style="60" customWidth="1"/>
    <col min="13828" max="13837" width="14.6640625" style="60" customWidth="1"/>
    <col min="13838" max="13838" width="14.44140625" style="60" bestFit="1" customWidth="1"/>
    <col min="13839" max="13839" width="15.44140625" style="60" bestFit="1" customWidth="1"/>
    <col min="13840" max="14081" width="9.109375" style="60"/>
    <col min="14082" max="14082" width="2.5546875" style="60" customWidth="1"/>
    <col min="14083" max="14083" width="23.33203125" style="60" customWidth="1"/>
    <col min="14084" max="14093" width="14.6640625" style="60" customWidth="1"/>
    <col min="14094" max="14094" width="14.44140625" style="60" bestFit="1" customWidth="1"/>
    <col min="14095" max="14095" width="15.44140625" style="60" bestFit="1" customWidth="1"/>
    <col min="14096" max="14337" width="9.109375" style="60"/>
    <col min="14338" max="14338" width="2.5546875" style="60" customWidth="1"/>
    <col min="14339" max="14339" width="23.33203125" style="60" customWidth="1"/>
    <col min="14340" max="14349" width="14.6640625" style="60" customWidth="1"/>
    <col min="14350" max="14350" width="14.44140625" style="60" bestFit="1" customWidth="1"/>
    <col min="14351" max="14351" width="15.44140625" style="60" bestFit="1" customWidth="1"/>
    <col min="14352" max="14593" width="9.109375" style="60"/>
    <col min="14594" max="14594" width="2.5546875" style="60" customWidth="1"/>
    <col min="14595" max="14595" width="23.33203125" style="60" customWidth="1"/>
    <col min="14596" max="14605" width="14.6640625" style="60" customWidth="1"/>
    <col min="14606" max="14606" width="14.44140625" style="60" bestFit="1" customWidth="1"/>
    <col min="14607" max="14607" width="15.44140625" style="60" bestFit="1" customWidth="1"/>
    <col min="14608" max="14849" width="9.109375" style="60"/>
    <col min="14850" max="14850" width="2.5546875" style="60" customWidth="1"/>
    <col min="14851" max="14851" width="23.33203125" style="60" customWidth="1"/>
    <col min="14852" max="14861" width="14.6640625" style="60" customWidth="1"/>
    <col min="14862" max="14862" width="14.44140625" style="60" bestFit="1" customWidth="1"/>
    <col min="14863" max="14863" width="15.44140625" style="60" bestFit="1" customWidth="1"/>
    <col min="14864" max="15105" width="9.109375" style="60"/>
    <col min="15106" max="15106" width="2.5546875" style="60" customWidth="1"/>
    <col min="15107" max="15107" width="23.33203125" style="60" customWidth="1"/>
    <col min="15108" max="15117" width="14.6640625" style="60" customWidth="1"/>
    <col min="15118" max="15118" width="14.44140625" style="60" bestFit="1" customWidth="1"/>
    <col min="15119" max="15119" width="15.44140625" style="60" bestFit="1" customWidth="1"/>
    <col min="15120" max="15361" width="9.109375" style="60"/>
    <col min="15362" max="15362" width="2.5546875" style="60" customWidth="1"/>
    <col min="15363" max="15363" width="23.33203125" style="60" customWidth="1"/>
    <col min="15364" max="15373" width="14.6640625" style="60" customWidth="1"/>
    <col min="15374" max="15374" width="14.44140625" style="60" bestFit="1" customWidth="1"/>
    <col min="15375" max="15375" width="15.44140625" style="60" bestFit="1" customWidth="1"/>
    <col min="15376" max="15617" width="9.109375" style="60"/>
    <col min="15618" max="15618" width="2.5546875" style="60" customWidth="1"/>
    <col min="15619" max="15619" width="23.33203125" style="60" customWidth="1"/>
    <col min="15620" max="15629" width="14.6640625" style="60" customWidth="1"/>
    <col min="15630" max="15630" width="14.44140625" style="60" bestFit="1" customWidth="1"/>
    <col min="15631" max="15631" width="15.44140625" style="60" bestFit="1" customWidth="1"/>
    <col min="15632" max="15873" width="9.109375" style="60"/>
    <col min="15874" max="15874" width="2.5546875" style="60" customWidth="1"/>
    <col min="15875" max="15875" width="23.33203125" style="60" customWidth="1"/>
    <col min="15876" max="15885" width="14.6640625" style="60" customWidth="1"/>
    <col min="15886" max="15886" width="14.44140625" style="60" bestFit="1" customWidth="1"/>
    <col min="15887" max="15887" width="15.44140625" style="60" bestFit="1" customWidth="1"/>
    <col min="15888" max="16129" width="9.109375" style="60"/>
    <col min="16130" max="16130" width="2.5546875" style="60" customWidth="1"/>
    <col min="16131" max="16131" width="23.33203125" style="60" customWidth="1"/>
    <col min="16132" max="16141" width="14.6640625" style="60" customWidth="1"/>
    <col min="16142" max="16142" width="14.44140625" style="60" bestFit="1" customWidth="1"/>
    <col min="16143" max="16143" width="15.44140625" style="60" bestFit="1" customWidth="1"/>
    <col min="16144" max="16384" width="9.109375" style="60"/>
  </cols>
  <sheetData>
    <row r="1" spans="1:22" x14ac:dyDescent="0.3">
      <c r="B1" s="61" t="s">
        <v>33</v>
      </c>
    </row>
    <row r="2" spans="1:22" x14ac:dyDescent="0.3">
      <c r="B2" s="61" t="s">
        <v>194</v>
      </c>
      <c r="O2" s="115"/>
      <c r="P2" s="116"/>
    </row>
    <row r="3" spans="1:22" x14ac:dyDescent="0.3">
      <c r="B3" s="61" t="s">
        <v>69</v>
      </c>
    </row>
    <row r="5" spans="1:22" x14ac:dyDescent="0.3">
      <c r="B5" s="63" t="str">
        <f>'Labor &amp; Related'!B5</f>
        <v xml:space="preserve">Support Services 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2" ht="15" thickBot="1" x14ac:dyDescent="0.35">
      <c r="B6" s="63" t="s">
        <v>164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2" ht="15" thickBot="1" x14ac:dyDescent="0.35">
      <c r="B7" s="63"/>
      <c r="C7" s="65" t="str">
        <f>+'Labor &amp; Related'!E7</f>
        <v>12 Months February 2019</v>
      </c>
      <c r="D7" s="66"/>
      <c r="E7" s="66"/>
      <c r="F7" s="66"/>
      <c r="G7" s="66"/>
      <c r="H7" s="67"/>
      <c r="I7" s="65" t="str">
        <f>+'Labor &amp; Related'!N7</f>
        <v>12 Months December 2019</v>
      </c>
      <c r="J7" s="66"/>
      <c r="K7" s="67"/>
      <c r="L7" s="65" t="str">
        <f>+'Labor &amp; Related'!W7</f>
        <v>12 Months June 2020</v>
      </c>
      <c r="M7" s="66"/>
      <c r="N7" s="67"/>
    </row>
    <row r="8" spans="1:22" x14ac:dyDescent="0.3">
      <c r="B8" s="68"/>
      <c r="C8" s="69" t="s">
        <v>78</v>
      </c>
      <c r="D8" s="69" t="s">
        <v>79</v>
      </c>
      <c r="E8" s="69" t="s">
        <v>80</v>
      </c>
      <c r="F8" s="69" t="s">
        <v>83</v>
      </c>
      <c r="G8" s="69" t="s">
        <v>86</v>
      </c>
      <c r="H8" s="69" t="s">
        <v>89</v>
      </c>
      <c r="I8" s="69" t="s">
        <v>92</v>
      </c>
      <c r="J8" s="69" t="s">
        <v>95</v>
      </c>
      <c r="K8" s="69" t="s">
        <v>98</v>
      </c>
      <c r="L8" s="69" t="s">
        <v>101</v>
      </c>
      <c r="M8" s="69" t="s">
        <v>104</v>
      </c>
      <c r="N8" s="69" t="s">
        <v>105</v>
      </c>
      <c r="O8" s="69" t="s">
        <v>165</v>
      </c>
      <c r="P8" s="69"/>
    </row>
    <row r="9" spans="1:22" x14ac:dyDescent="0.3">
      <c r="B9" s="70"/>
      <c r="C9" s="71" t="s">
        <v>111</v>
      </c>
      <c r="D9" s="71" t="s">
        <v>111</v>
      </c>
      <c r="E9" s="71" t="s">
        <v>111</v>
      </c>
      <c r="F9" s="71" t="s">
        <v>107</v>
      </c>
      <c r="G9" s="71" t="s">
        <v>107</v>
      </c>
      <c r="H9" s="71" t="s">
        <v>107</v>
      </c>
      <c r="I9" s="71" t="s">
        <v>166</v>
      </c>
      <c r="J9" s="71" t="s">
        <v>166</v>
      </c>
      <c r="K9" s="71" t="s">
        <v>166</v>
      </c>
      <c r="L9" s="71" t="s">
        <v>167</v>
      </c>
      <c r="M9" s="71" t="s">
        <v>167</v>
      </c>
      <c r="N9" s="71" t="s">
        <v>167</v>
      </c>
      <c r="O9" s="71" t="s">
        <v>9</v>
      </c>
      <c r="P9" s="71"/>
    </row>
    <row r="10" spans="1:22" x14ac:dyDescent="0.3">
      <c r="C10" s="71" t="s">
        <v>168</v>
      </c>
      <c r="D10" s="71"/>
      <c r="E10" s="71"/>
      <c r="F10" s="71" t="s">
        <v>111</v>
      </c>
      <c r="G10" s="71" t="s">
        <v>111</v>
      </c>
      <c r="H10" s="71" t="s">
        <v>111</v>
      </c>
      <c r="I10" s="71" t="s">
        <v>168</v>
      </c>
      <c r="J10" s="71"/>
      <c r="K10" s="71"/>
      <c r="L10" s="71" t="s">
        <v>168</v>
      </c>
      <c r="M10" s="71"/>
      <c r="N10" s="71"/>
      <c r="O10" s="71" t="s">
        <v>169</v>
      </c>
      <c r="P10" s="71"/>
      <c r="R10" s="117"/>
      <c r="U10" s="104"/>
    </row>
    <row r="11" spans="1:22" s="71" customFormat="1" x14ac:dyDescent="0.3">
      <c r="C11" s="71" t="s">
        <v>170</v>
      </c>
      <c r="D11" s="71" t="s">
        <v>149</v>
      </c>
      <c r="E11" s="71" t="s">
        <v>9</v>
      </c>
      <c r="F11" s="71" t="s">
        <v>171</v>
      </c>
      <c r="G11" s="71" t="s">
        <v>149</v>
      </c>
      <c r="H11" s="71" t="s">
        <v>9</v>
      </c>
      <c r="I11" s="71" t="s">
        <v>170</v>
      </c>
      <c r="J11" s="71" t="s">
        <v>149</v>
      </c>
      <c r="K11" s="71" t="s">
        <v>9</v>
      </c>
      <c r="L11" s="71" t="s">
        <v>170</v>
      </c>
      <c r="M11" s="71" t="s">
        <v>149</v>
      </c>
      <c r="N11" s="71" t="s">
        <v>9</v>
      </c>
      <c r="O11" s="71" t="s">
        <v>126</v>
      </c>
      <c r="Q11" s="118"/>
      <c r="R11" s="117"/>
      <c r="S11" s="103"/>
      <c r="T11" s="103"/>
      <c r="U11" s="117"/>
      <c r="V11" s="103"/>
    </row>
    <row r="12" spans="1:22" s="71" customFormat="1" x14ac:dyDescent="0.3">
      <c r="C12" s="75" t="s">
        <v>126</v>
      </c>
      <c r="D12" s="75" t="s">
        <v>126</v>
      </c>
      <c r="E12" s="75" t="s">
        <v>126</v>
      </c>
      <c r="F12" s="75" t="s">
        <v>172</v>
      </c>
      <c r="G12" s="75" t="s">
        <v>126</v>
      </c>
      <c r="H12" s="75" t="s">
        <v>126</v>
      </c>
      <c r="I12" s="75" t="s">
        <v>126</v>
      </c>
      <c r="J12" s="75" t="s">
        <v>126</v>
      </c>
      <c r="K12" s="75" t="s">
        <v>126</v>
      </c>
      <c r="L12" s="75" t="s">
        <v>126</v>
      </c>
      <c r="M12" s="75" t="s">
        <v>126</v>
      </c>
      <c r="N12" s="75" t="s">
        <v>126</v>
      </c>
      <c r="O12" s="75" t="s">
        <v>35</v>
      </c>
      <c r="P12" s="103"/>
      <c r="Q12" s="118"/>
      <c r="R12" s="117"/>
      <c r="S12" s="103"/>
      <c r="T12" s="103"/>
      <c r="U12" s="117"/>
      <c r="V12" s="103"/>
    </row>
    <row r="13" spans="1:22" s="71" customFormat="1" x14ac:dyDescent="0.3">
      <c r="C13" s="101" t="s">
        <v>173</v>
      </c>
      <c r="D13" s="101" t="s">
        <v>174</v>
      </c>
      <c r="E13" s="101" t="s">
        <v>175</v>
      </c>
      <c r="F13" s="102" t="s">
        <v>176</v>
      </c>
      <c r="G13" s="101" t="s">
        <v>177</v>
      </c>
      <c r="H13" s="101" t="s">
        <v>178</v>
      </c>
      <c r="I13" s="101" t="s">
        <v>179</v>
      </c>
      <c r="J13" s="101" t="s">
        <v>180</v>
      </c>
      <c r="K13" s="101" t="s">
        <v>181</v>
      </c>
      <c r="L13" s="101" t="s">
        <v>182</v>
      </c>
      <c r="M13" s="101" t="s">
        <v>183</v>
      </c>
      <c r="N13" s="101" t="s">
        <v>195</v>
      </c>
      <c r="O13" s="101" t="s">
        <v>184</v>
      </c>
      <c r="P13" s="69"/>
      <c r="Q13" s="118"/>
      <c r="R13" s="117"/>
      <c r="S13" s="103"/>
      <c r="T13" s="103"/>
      <c r="U13" s="117"/>
      <c r="V13" s="103"/>
    </row>
    <row r="14" spans="1:22" x14ac:dyDescent="0.3">
      <c r="A14" s="104"/>
      <c r="B14" s="1" t="s">
        <v>51</v>
      </c>
      <c r="C14" s="119">
        <v>73982</v>
      </c>
      <c r="D14" s="119">
        <v>18020</v>
      </c>
      <c r="E14" s="119">
        <f>SUM(C14,D14)</f>
        <v>92002</v>
      </c>
      <c r="F14" s="119">
        <v>72681</v>
      </c>
      <c r="G14" s="119">
        <v>18020</v>
      </c>
      <c r="H14" s="119">
        <f>SUM(F14,G14)</f>
        <v>90701</v>
      </c>
      <c r="I14" s="119">
        <v>74512</v>
      </c>
      <c r="J14" s="119">
        <v>18020</v>
      </c>
      <c r="K14" s="119">
        <f>SUM(I14,J14)</f>
        <v>92532</v>
      </c>
      <c r="L14" s="119">
        <v>75014</v>
      </c>
      <c r="M14" s="119">
        <v>18026</v>
      </c>
      <c r="N14" s="119">
        <f>SUM(L14,M14)</f>
        <v>93040</v>
      </c>
      <c r="O14" s="119">
        <f>+N14-C14</f>
        <v>19058</v>
      </c>
      <c r="P14" s="111"/>
      <c r="R14" s="120"/>
      <c r="S14" s="120"/>
      <c r="U14" s="120"/>
      <c r="V14" s="120"/>
    </row>
    <row r="15" spans="1:22" x14ac:dyDescent="0.3">
      <c r="A15" s="103"/>
      <c r="B15" s="1" t="s">
        <v>52</v>
      </c>
      <c r="C15" s="92">
        <v>61940</v>
      </c>
      <c r="D15" s="92">
        <v>36175</v>
      </c>
      <c r="E15" s="92">
        <f>SUM(C15,D15)</f>
        <v>98115</v>
      </c>
      <c r="F15" s="92">
        <v>61624</v>
      </c>
      <c r="G15" s="92">
        <v>36175</v>
      </c>
      <c r="H15" s="92">
        <f t="shared" ref="H15" si="0">SUM(F15,G15)</f>
        <v>97799</v>
      </c>
      <c r="I15" s="92">
        <v>63176</v>
      </c>
      <c r="J15" s="92">
        <v>36175</v>
      </c>
      <c r="K15" s="92">
        <f t="shared" ref="K15" si="1">SUM(I15,J15)</f>
        <v>99351</v>
      </c>
      <c r="L15" s="92">
        <v>63602</v>
      </c>
      <c r="M15" s="92">
        <v>36180</v>
      </c>
      <c r="N15" s="92">
        <f t="shared" ref="N15:N25" si="2">SUM(L15,M15)</f>
        <v>99782</v>
      </c>
      <c r="O15" s="92">
        <f t="shared" ref="O15:O29" si="3">+N15-C15</f>
        <v>37842</v>
      </c>
      <c r="P15" s="92"/>
      <c r="R15" s="120"/>
      <c r="S15" s="120"/>
      <c r="U15" s="120"/>
      <c r="V15" s="120"/>
    </row>
    <row r="16" spans="1:22" x14ac:dyDescent="0.3">
      <c r="A16" s="104"/>
      <c r="B16" s="1" t="s">
        <v>53</v>
      </c>
      <c r="C16" s="92">
        <v>39550</v>
      </c>
      <c r="D16" s="92">
        <v>958946</v>
      </c>
      <c r="E16" s="92">
        <f t="shared" ref="E16:E29" si="4">SUM(C16,D16)</f>
        <v>998496</v>
      </c>
      <c r="F16" s="92">
        <v>40046</v>
      </c>
      <c r="G16" s="92">
        <v>959719</v>
      </c>
      <c r="H16" s="92">
        <f>SUM(F16,G16)</f>
        <v>999765</v>
      </c>
      <c r="I16" s="92">
        <v>41772</v>
      </c>
      <c r="J16" s="92">
        <v>1034769</v>
      </c>
      <c r="K16" s="92">
        <f>SUM(I16,J16)</f>
        <v>1076541</v>
      </c>
      <c r="L16" s="92">
        <v>42053</v>
      </c>
      <c r="M16" s="92">
        <v>1016858</v>
      </c>
      <c r="N16" s="92">
        <f>SUM(L16,M16)</f>
        <v>1058911</v>
      </c>
      <c r="O16" s="92">
        <f t="shared" si="3"/>
        <v>1019361</v>
      </c>
      <c r="P16" s="92"/>
      <c r="R16" s="120"/>
      <c r="S16" s="120"/>
      <c r="U16" s="120"/>
      <c r="V16" s="120"/>
    </row>
    <row r="17" spans="1:26" x14ac:dyDescent="0.3">
      <c r="A17" s="104"/>
      <c r="B17" s="1" t="s">
        <v>54</v>
      </c>
      <c r="C17" s="92">
        <v>86314</v>
      </c>
      <c r="D17" s="92">
        <v>9383</v>
      </c>
      <c r="E17" s="92">
        <f t="shared" si="4"/>
        <v>95697</v>
      </c>
      <c r="F17" s="92">
        <v>86125</v>
      </c>
      <c r="G17" s="92">
        <v>9383</v>
      </c>
      <c r="H17" s="92">
        <f t="shared" ref="H17:H29" si="5">SUM(F17,G17)</f>
        <v>95508</v>
      </c>
      <c r="I17" s="92">
        <v>88347</v>
      </c>
      <c r="J17" s="92">
        <v>9383</v>
      </c>
      <c r="K17" s="92">
        <f t="shared" ref="K17:K29" si="6">SUM(I17,J17)</f>
        <v>97730</v>
      </c>
      <c r="L17" s="92">
        <v>88942</v>
      </c>
      <c r="M17" s="92">
        <v>9391</v>
      </c>
      <c r="N17" s="92">
        <f t="shared" si="2"/>
        <v>98333</v>
      </c>
      <c r="O17" s="92">
        <f t="shared" si="3"/>
        <v>12019</v>
      </c>
      <c r="P17" s="92"/>
      <c r="R17" s="120"/>
      <c r="S17" s="120"/>
      <c r="U17" s="120"/>
      <c r="V17" s="120"/>
    </row>
    <row r="18" spans="1:26" x14ac:dyDescent="0.3">
      <c r="A18" s="104"/>
      <c r="B18" s="1" t="s">
        <v>55</v>
      </c>
      <c r="C18" s="92">
        <v>179703</v>
      </c>
      <c r="D18" s="92">
        <v>79462</v>
      </c>
      <c r="E18" s="92">
        <f t="shared" si="4"/>
        <v>259165</v>
      </c>
      <c r="F18" s="92">
        <v>179108</v>
      </c>
      <c r="G18" s="92">
        <v>77845</v>
      </c>
      <c r="H18" s="92">
        <f t="shared" si="5"/>
        <v>256953</v>
      </c>
      <c r="I18" s="92">
        <v>183545</v>
      </c>
      <c r="J18" s="92">
        <v>77845</v>
      </c>
      <c r="K18" s="92">
        <f t="shared" si="6"/>
        <v>261390</v>
      </c>
      <c r="L18" s="92">
        <v>184781</v>
      </c>
      <c r="M18" s="92">
        <v>77860</v>
      </c>
      <c r="N18" s="92">
        <f t="shared" si="2"/>
        <v>262641</v>
      </c>
      <c r="O18" s="92">
        <f t="shared" si="3"/>
        <v>82938</v>
      </c>
      <c r="P18" s="92"/>
      <c r="R18" s="120"/>
      <c r="S18" s="120"/>
      <c r="U18" s="120"/>
      <c r="V18" s="120"/>
      <c r="W18" s="91"/>
      <c r="X18" s="91"/>
      <c r="Y18" s="91"/>
      <c r="Z18" s="91"/>
    </row>
    <row r="19" spans="1:26" x14ac:dyDescent="0.3">
      <c r="A19" s="104"/>
      <c r="B19" s="1" t="s">
        <v>56</v>
      </c>
      <c r="C19" s="92">
        <v>1122386</v>
      </c>
      <c r="D19" s="92">
        <v>191212</v>
      </c>
      <c r="E19" s="92">
        <f t="shared" si="4"/>
        <v>1313598</v>
      </c>
      <c r="F19" s="92">
        <v>1118634</v>
      </c>
      <c r="G19" s="92">
        <v>191209</v>
      </c>
      <c r="H19" s="92">
        <f t="shared" si="5"/>
        <v>1309843</v>
      </c>
      <c r="I19" s="92">
        <v>1147776</v>
      </c>
      <c r="J19" s="92">
        <v>191209</v>
      </c>
      <c r="K19" s="92">
        <f t="shared" si="6"/>
        <v>1338985</v>
      </c>
      <c r="L19" s="92">
        <v>1155505</v>
      </c>
      <c r="M19" s="92">
        <v>191316</v>
      </c>
      <c r="N19" s="92">
        <f t="shared" si="2"/>
        <v>1346821</v>
      </c>
      <c r="O19" s="92">
        <f t="shared" si="3"/>
        <v>224435</v>
      </c>
      <c r="P19" s="92"/>
      <c r="R19" s="120"/>
      <c r="S19" s="120"/>
      <c r="U19" s="120"/>
      <c r="V19" s="120"/>
      <c r="W19" s="91"/>
      <c r="X19" s="91"/>
      <c r="Y19" s="91"/>
      <c r="Z19" s="91"/>
    </row>
    <row r="20" spans="1:26" x14ac:dyDescent="0.3">
      <c r="A20" s="104"/>
      <c r="B20" s="1" t="s">
        <v>57</v>
      </c>
      <c r="C20" s="92">
        <v>913328</v>
      </c>
      <c r="D20" s="92">
        <v>137159</v>
      </c>
      <c r="E20" s="92">
        <f t="shared" si="4"/>
        <v>1050487</v>
      </c>
      <c r="F20" s="92">
        <v>901473</v>
      </c>
      <c r="G20" s="92">
        <v>137002</v>
      </c>
      <c r="H20" s="92">
        <f t="shared" si="5"/>
        <v>1038475</v>
      </c>
      <c r="I20" s="92">
        <v>921191</v>
      </c>
      <c r="J20" s="92">
        <v>137002</v>
      </c>
      <c r="K20" s="92">
        <f t="shared" si="6"/>
        <v>1058193</v>
      </c>
      <c r="L20" s="92">
        <v>927394</v>
      </c>
      <c r="M20" s="92">
        <v>137043</v>
      </c>
      <c r="N20" s="92">
        <f t="shared" si="2"/>
        <v>1064437</v>
      </c>
      <c r="O20" s="92">
        <f t="shared" si="3"/>
        <v>151109</v>
      </c>
      <c r="P20" s="92"/>
      <c r="R20" s="120"/>
      <c r="S20" s="120"/>
      <c r="U20" s="120"/>
      <c r="V20" s="120"/>
      <c r="W20" s="121"/>
      <c r="X20" s="121"/>
      <c r="Y20" s="121"/>
      <c r="Z20" s="91"/>
    </row>
    <row r="21" spans="1:26" s="85" customFormat="1" x14ac:dyDescent="0.3">
      <c r="A21" s="106"/>
      <c r="B21" s="1" t="s">
        <v>58</v>
      </c>
      <c r="C21" s="92">
        <v>588504</v>
      </c>
      <c r="D21" s="92">
        <v>184350</v>
      </c>
      <c r="E21" s="92">
        <f t="shared" si="4"/>
        <v>772854</v>
      </c>
      <c r="F21" s="92">
        <v>586797</v>
      </c>
      <c r="G21" s="92">
        <v>184253</v>
      </c>
      <c r="H21" s="92">
        <f t="shared" si="5"/>
        <v>771050</v>
      </c>
      <c r="I21" s="92">
        <v>602246</v>
      </c>
      <c r="J21" s="92">
        <v>184253</v>
      </c>
      <c r="K21" s="92">
        <f t="shared" si="6"/>
        <v>786499</v>
      </c>
      <c r="L21" s="92">
        <v>606306</v>
      </c>
      <c r="M21" s="92">
        <v>184311</v>
      </c>
      <c r="N21" s="92">
        <f t="shared" si="2"/>
        <v>790617</v>
      </c>
      <c r="O21" s="92">
        <f t="shared" si="3"/>
        <v>202113</v>
      </c>
      <c r="P21" s="107"/>
      <c r="Q21" s="114"/>
    </row>
    <row r="22" spans="1:26" s="85" customFormat="1" x14ac:dyDescent="0.3">
      <c r="A22" s="106"/>
      <c r="B22" s="1" t="s">
        <v>59</v>
      </c>
      <c r="C22" s="92">
        <v>15189</v>
      </c>
      <c r="D22" s="92">
        <v>7431</v>
      </c>
      <c r="E22" s="92">
        <f t="shared" si="4"/>
        <v>22620</v>
      </c>
      <c r="F22" s="92">
        <v>15033</v>
      </c>
      <c r="G22" s="92">
        <v>7430</v>
      </c>
      <c r="H22" s="92">
        <f t="shared" si="5"/>
        <v>22463</v>
      </c>
      <c r="I22" s="92">
        <v>15403</v>
      </c>
      <c r="J22" s="92">
        <v>7430</v>
      </c>
      <c r="K22" s="92">
        <f t="shared" si="6"/>
        <v>22833</v>
      </c>
      <c r="L22" s="92">
        <v>15507</v>
      </c>
      <c r="M22" s="92">
        <v>7431</v>
      </c>
      <c r="N22" s="92">
        <f t="shared" si="2"/>
        <v>22938</v>
      </c>
      <c r="O22" s="92">
        <f t="shared" si="3"/>
        <v>7749</v>
      </c>
      <c r="P22" s="107"/>
      <c r="Q22" s="114"/>
    </row>
    <row r="23" spans="1:26" s="85" customFormat="1" x14ac:dyDescent="0.3">
      <c r="A23" s="106"/>
      <c r="B23" s="1" t="s">
        <v>60</v>
      </c>
      <c r="C23" s="92">
        <v>501738</v>
      </c>
      <c r="D23" s="92">
        <v>103023</v>
      </c>
      <c r="E23" s="92">
        <f t="shared" si="4"/>
        <v>604761</v>
      </c>
      <c r="F23" s="92">
        <v>494249</v>
      </c>
      <c r="G23" s="92">
        <v>103023</v>
      </c>
      <c r="H23" s="92">
        <f t="shared" si="5"/>
        <v>597272</v>
      </c>
      <c r="I23" s="92">
        <v>506725</v>
      </c>
      <c r="J23" s="92">
        <v>103023</v>
      </c>
      <c r="K23" s="92">
        <f t="shared" si="6"/>
        <v>609748</v>
      </c>
      <c r="L23" s="92">
        <v>510137</v>
      </c>
      <c r="M23" s="92">
        <v>103066</v>
      </c>
      <c r="N23" s="92">
        <f t="shared" si="2"/>
        <v>613203</v>
      </c>
      <c r="O23" s="92">
        <f t="shared" si="3"/>
        <v>111465</v>
      </c>
      <c r="P23" s="107"/>
      <c r="Q23" s="114"/>
    </row>
    <row r="24" spans="1:26" s="85" customFormat="1" x14ac:dyDescent="0.3">
      <c r="A24" s="106"/>
      <c r="B24" s="1" t="s">
        <v>61</v>
      </c>
      <c r="C24" s="92">
        <v>114137</v>
      </c>
      <c r="D24" s="92">
        <v>25566</v>
      </c>
      <c r="E24" s="92">
        <f t="shared" si="4"/>
        <v>139703</v>
      </c>
      <c r="F24" s="92">
        <v>113807</v>
      </c>
      <c r="G24" s="92">
        <v>25261</v>
      </c>
      <c r="H24" s="92">
        <f t="shared" si="5"/>
        <v>139068</v>
      </c>
      <c r="I24" s="92">
        <v>116708</v>
      </c>
      <c r="J24" s="92">
        <v>25261</v>
      </c>
      <c r="K24" s="92">
        <f t="shared" si="6"/>
        <v>141969</v>
      </c>
      <c r="L24" s="92">
        <v>117494</v>
      </c>
      <c r="M24" s="92">
        <v>25271</v>
      </c>
      <c r="N24" s="92">
        <f t="shared" si="2"/>
        <v>142765</v>
      </c>
      <c r="O24" s="92">
        <f t="shared" si="3"/>
        <v>28628</v>
      </c>
      <c r="P24" s="107"/>
      <c r="Q24" s="114"/>
    </row>
    <row r="25" spans="1:26" x14ac:dyDescent="0.3">
      <c r="A25" s="104"/>
      <c r="B25" s="1" t="s">
        <v>62</v>
      </c>
      <c r="C25" s="92">
        <v>152668</v>
      </c>
      <c r="D25" s="92">
        <v>57365</v>
      </c>
      <c r="E25" s="92">
        <f t="shared" si="4"/>
        <v>210033</v>
      </c>
      <c r="F25" s="92">
        <v>147481</v>
      </c>
      <c r="G25" s="92">
        <v>57047</v>
      </c>
      <c r="H25" s="92">
        <f t="shared" si="5"/>
        <v>204528</v>
      </c>
      <c r="I25" s="92">
        <v>308552</v>
      </c>
      <c r="J25" s="92">
        <v>57047</v>
      </c>
      <c r="K25" s="92">
        <f t="shared" si="6"/>
        <v>365599</v>
      </c>
      <c r="L25" s="92">
        <v>310630</v>
      </c>
      <c r="M25" s="92">
        <v>57537</v>
      </c>
      <c r="N25" s="92">
        <f t="shared" si="2"/>
        <v>368167</v>
      </c>
      <c r="O25" s="92">
        <f t="shared" si="3"/>
        <v>215499</v>
      </c>
      <c r="P25" s="92"/>
      <c r="R25" s="120"/>
      <c r="S25" s="120"/>
      <c r="U25" s="120"/>
      <c r="V25" s="120"/>
      <c r="W25" s="114"/>
      <c r="X25" s="114"/>
      <c r="Y25" s="122"/>
      <c r="Z25" s="91"/>
    </row>
    <row r="26" spans="1:26" x14ac:dyDescent="0.3">
      <c r="A26" s="104"/>
      <c r="B26" s="1" t="s">
        <v>63</v>
      </c>
      <c r="C26" s="92">
        <v>1530049</v>
      </c>
      <c r="D26" s="92">
        <v>312621</v>
      </c>
      <c r="E26" s="92">
        <f>SUM(C26,D26)</f>
        <v>1842670</v>
      </c>
      <c r="F26" s="92">
        <v>1512169</v>
      </c>
      <c r="G26" s="92">
        <v>311685</v>
      </c>
      <c r="H26" s="92">
        <f>SUM(F26,G26)</f>
        <v>1823854</v>
      </c>
      <c r="I26" s="92">
        <v>1568110</v>
      </c>
      <c r="J26" s="92">
        <v>311685</v>
      </c>
      <c r="K26" s="92">
        <f>SUM(I26,J26)</f>
        <v>1879795</v>
      </c>
      <c r="L26" s="92">
        <v>1591539</v>
      </c>
      <c r="M26" s="92">
        <v>311870</v>
      </c>
      <c r="N26" s="92">
        <f>SUM(L26,M26)</f>
        <v>1903409</v>
      </c>
      <c r="O26" s="92">
        <f t="shared" si="3"/>
        <v>373360</v>
      </c>
      <c r="P26" s="92"/>
      <c r="R26" s="120"/>
      <c r="S26" s="120"/>
      <c r="U26" s="120"/>
      <c r="V26" s="120"/>
    </row>
    <row r="27" spans="1:26" x14ac:dyDescent="0.3">
      <c r="A27" s="104"/>
      <c r="B27" s="1" t="s">
        <v>64</v>
      </c>
      <c r="C27" s="92">
        <v>10057</v>
      </c>
      <c r="D27" s="92">
        <v>227161</v>
      </c>
      <c r="E27" s="92">
        <f>SUM(C27,D27)</f>
        <v>237218</v>
      </c>
      <c r="F27" s="92">
        <v>10080</v>
      </c>
      <c r="G27" s="92">
        <v>227161</v>
      </c>
      <c r="H27" s="92">
        <f>SUM(F27,G27)</f>
        <v>237241</v>
      </c>
      <c r="I27" s="92">
        <v>10352</v>
      </c>
      <c r="J27" s="92">
        <v>248091</v>
      </c>
      <c r="K27" s="92">
        <f>SUM(I27,J27)</f>
        <v>258443</v>
      </c>
      <c r="L27" s="92">
        <v>10422</v>
      </c>
      <c r="M27" s="92">
        <v>248155</v>
      </c>
      <c r="N27" s="92">
        <f>SUM(L27,M27)</f>
        <v>258577</v>
      </c>
      <c r="O27" s="92">
        <f>+N27-C27</f>
        <v>248520</v>
      </c>
      <c r="P27" s="92"/>
      <c r="R27" s="120"/>
      <c r="S27" s="120"/>
      <c r="U27" s="120"/>
      <c r="V27" s="120"/>
    </row>
    <row r="28" spans="1:26" x14ac:dyDescent="0.3">
      <c r="A28" s="104"/>
      <c r="B28" s="1" t="s">
        <v>65</v>
      </c>
      <c r="C28" s="92">
        <v>65483</v>
      </c>
      <c r="D28" s="92">
        <v>11577</v>
      </c>
      <c r="E28" s="92">
        <f t="shared" si="4"/>
        <v>77060</v>
      </c>
      <c r="F28" s="92">
        <v>65119</v>
      </c>
      <c r="G28" s="92">
        <v>11577</v>
      </c>
      <c r="H28" s="92">
        <f t="shared" si="5"/>
        <v>76696</v>
      </c>
      <c r="I28" s="92">
        <v>66759</v>
      </c>
      <c r="J28" s="92">
        <v>11577</v>
      </c>
      <c r="K28" s="92">
        <f t="shared" si="6"/>
        <v>78336</v>
      </c>
      <c r="L28" s="92">
        <v>67208</v>
      </c>
      <c r="M28" s="92">
        <v>11582</v>
      </c>
      <c r="N28" s="92">
        <f t="shared" ref="N28:N29" si="7">SUM(L28,M28)</f>
        <v>78790</v>
      </c>
      <c r="O28" s="92">
        <f t="shared" si="3"/>
        <v>13307</v>
      </c>
      <c r="P28" s="92"/>
      <c r="R28" s="120"/>
      <c r="S28" s="120"/>
      <c r="U28" s="120"/>
      <c r="V28" s="120"/>
      <c r="W28" s="120"/>
      <c r="X28" s="120"/>
      <c r="Y28" s="120"/>
      <c r="Z28" s="91"/>
    </row>
    <row r="29" spans="1:26" x14ac:dyDescent="0.3">
      <c r="A29" s="104"/>
      <c r="B29" s="123" t="s">
        <v>66</v>
      </c>
      <c r="C29" s="92">
        <v>804370</v>
      </c>
      <c r="D29" s="92">
        <v>766040</v>
      </c>
      <c r="E29" s="92">
        <f t="shared" si="4"/>
        <v>1570410</v>
      </c>
      <c r="F29" s="92">
        <v>738103</v>
      </c>
      <c r="G29" s="92">
        <v>765266</v>
      </c>
      <c r="H29" s="92">
        <f t="shared" si="5"/>
        <v>1503369</v>
      </c>
      <c r="I29" s="92">
        <v>756733</v>
      </c>
      <c r="J29" s="92">
        <v>765266</v>
      </c>
      <c r="K29" s="92">
        <f t="shared" si="6"/>
        <v>1521999</v>
      </c>
      <c r="L29" s="92">
        <v>761828</v>
      </c>
      <c r="M29" s="92">
        <v>765328</v>
      </c>
      <c r="N29" s="92">
        <f t="shared" si="7"/>
        <v>1527156</v>
      </c>
      <c r="O29" s="92">
        <f t="shared" si="3"/>
        <v>722786</v>
      </c>
      <c r="P29" s="92"/>
      <c r="R29" s="120"/>
      <c r="S29" s="120"/>
      <c r="U29" s="120"/>
      <c r="V29" s="120"/>
      <c r="W29" s="120"/>
      <c r="X29" s="120"/>
      <c r="Y29" s="120"/>
      <c r="Z29" s="91"/>
    </row>
    <row r="30" spans="1:26" ht="15" thickBot="1" x14ac:dyDescent="0.35">
      <c r="A30" s="91"/>
      <c r="B30" s="89" t="s">
        <v>9</v>
      </c>
      <c r="C30" s="90">
        <f t="shared" ref="C30:O30" si="8">SUM(C14:C29)</f>
        <v>6259398</v>
      </c>
      <c r="D30" s="90">
        <f t="shared" si="8"/>
        <v>3125491</v>
      </c>
      <c r="E30" s="90">
        <f t="shared" si="8"/>
        <v>9384889</v>
      </c>
      <c r="F30" s="90">
        <f t="shared" si="8"/>
        <v>6142529</v>
      </c>
      <c r="G30" s="90">
        <f t="shared" si="8"/>
        <v>3122056</v>
      </c>
      <c r="H30" s="90">
        <f t="shared" si="8"/>
        <v>9264585</v>
      </c>
      <c r="I30" s="90">
        <f t="shared" si="8"/>
        <v>6471907</v>
      </c>
      <c r="J30" s="90">
        <f t="shared" si="8"/>
        <v>3218036</v>
      </c>
      <c r="K30" s="90">
        <f t="shared" si="8"/>
        <v>9689943</v>
      </c>
      <c r="L30" s="90">
        <f t="shared" si="8"/>
        <v>6528362</v>
      </c>
      <c r="M30" s="90">
        <f t="shared" si="8"/>
        <v>3201225</v>
      </c>
      <c r="N30" s="90">
        <f t="shared" si="8"/>
        <v>9729587</v>
      </c>
      <c r="O30" s="90">
        <f t="shared" si="8"/>
        <v>3470189</v>
      </c>
      <c r="P30" s="124"/>
      <c r="Q30" s="125"/>
      <c r="R30" s="126"/>
      <c r="S30" s="126"/>
      <c r="U30" s="126"/>
      <c r="V30" s="126"/>
      <c r="W30" s="91"/>
      <c r="X30" s="91"/>
      <c r="Y30" s="91"/>
      <c r="Z30" s="91"/>
    </row>
    <row r="31" spans="1:26" x14ac:dyDescent="0.3">
      <c r="A31" s="91"/>
      <c r="B31" s="91"/>
      <c r="C31" s="92"/>
      <c r="D31" s="92"/>
      <c r="E31" s="92"/>
      <c r="F31" s="92"/>
      <c r="G31" s="92"/>
      <c r="H31" s="92"/>
      <c r="I31" s="92"/>
      <c r="J31" s="92"/>
      <c r="K31" s="93"/>
      <c r="L31" s="92"/>
      <c r="M31" s="92"/>
      <c r="N31" s="93"/>
      <c r="O31" s="127"/>
      <c r="P31" s="93"/>
    </row>
    <row r="32" spans="1:26" x14ac:dyDescent="0.3">
      <c r="B32" s="60" t="s">
        <v>185</v>
      </c>
      <c r="C32" s="91"/>
      <c r="D32" s="128"/>
      <c r="E32" s="119"/>
      <c r="F32" s="129">
        <f>+F30-C30</f>
        <v>-116869</v>
      </c>
      <c r="I32" s="130"/>
      <c r="K32" s="131"/>
      <c r="N32" s="131"/>
      <c r="O32" s="130"/>
      <c r="P32" s="114"/>
      <c r="Q32" s="91"/>
      <c r="V32" s="60"/>
    </row>
    <row r="33" spans="2:15" x14ac:dyDescent="0.3">
      <c r="B33" s="60" t="s">
        <v>186</v>
      </c>
      <c r="C33" s="91"/>
      <c r="D33" s="132"/>
      <c r="E33" s="120"/>
      <c r="F33" s="129"/>
      <c r="G33" s="130">
        <f>+G30-D30</f>
        <v>-3435</v>
      </c>
      <c r="H33" s="133"/>
      <c r="J33" s="116"/>
      <c r="K33" s="131"/>
      <c r="M33" s="116"/>
      <c r="N33" s="131"/>
    </row>
    <row r="34" spans="2:15" x14ac:dyDescent="0.3">
      <c r="C34" s="91"/>
      <c r="D34" s="128"/>
      <c r="E34" s="120"/>
      <c r="F34" s="129"/>
      <c r="H34" s="133"/>
      <c r="K34" s="91"/>
      <c r="N34" s="91"/>
    </row>
    <row r="35" spans="2:15" x14ac:dyDescent="0.3">
      <c r="B35" s="60" t="s">
        <v>187</v>
      </c>
      <c r="C35" s="91"/>
      <c r="D35" s="128"/>
      <c r="E35" s="120"/>
      <c r="F35" s="129"/>
      <c r="I35" s="130">
        <f>+I30-F30</f>
        <v>329378</v>
      </c>
    </row>
    <row r="36" spans="2:15" x14ac:dyDescent="0.3">
      <c r="B36" s="60" t="s">
        <v>188</v>
      </c>
      <c r="J36" s="130">
        <f>+J30-G30</f>
        <v>95980</v>
      </c>
    </row>
    <row r="38" spans="2:15" x14ac:dyDescent="0.3">
      <c r="B38" s="60" t="s">
        <v>189</v>
      </c>
      <c r="L38" s="130">
        <f>+L30-I30</f>
        <v>56455</v>
      </c>
    </row>
    <row r="39" spans="2:15" x14ac:dyDescent="0.3">
      <c r="B39" s="60" t="s">
        <v>190</v>
      </c>
      <c r="M39" s="130">
        <f>+M30-J30</f>
        <v>-16811</v>
      </c>
    </row>
    <row r="41" spans="2:15" x14ac:dyDescent="0.3">
      <c r="B41" s="60" t="s">
        <v>191</v>
      </c>
    </row>
    <row r="42" spans="2:15" x14ac:dyDescent="0.3">
      <c r="B42" s="60" t="s">
        <v>192</v>
      </c>
    </row>
    <row r="43" spans="2:15" x14ac:dyDescent="0.3">
      <c r="B43" s="134" t="s">
        <v>193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>
        <f>+SUM(C32:N42)</f>
        <v>344698</v>
      </c>
    </row>
    <row r="46" spans="2:15" x14ac:dyDescent="0.3">
      <c r="K46"/>
      <c r="L46"/>
      <c r="M46"/>
      <c r="N46"/>
    </row>
  </sheetData>
  <pageMargins left="0.45" right="0.45" top="1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Link In</vt:lpstr>
      <vt:lpstr>Link Out</vt:lpstr>
      <vt:lpstr>Exhibit</vt:lpstr>
      <vt:lpstr>Summary by Account</vt:lpstr>
      <vt:lpstr>Summary</vt:lpstr>
      <vt:lpstr>Labor &amp; Related</vt:lpstr>
      <vt:lpstr>Other costs</vt:lpstr>
      <vt:lpstr>Total</vt:lpstr>
      <vt:lpstr>Summary!Print_Area</vt:lpstr>
      <vt:lpstr>Total!Print_Area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Almodovar</dc:creator>
  <cp:lastModifiedBy>Lori N O'Malley</cp:lastModifiedBy>
  <cp:lastPrinted>2018-12-06T15:00:36Z</cp:lastPrinted>
  <dcterms:created xsi:type="dcterms:W3CDTF">2018-10-12T19:26:43Z</dcterms:created>
  <dcterms:modified xsi:type="dcterms:W3CDTF">2019-04-11T12:15:58Z</dcterms:modified>
</cp:coreProperties>
</file>