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Y\2018 Water Rate Case\Discovery\PSC\PSC DR4-5\Exhibits\"/>
    </mc:Choice>
  </mc:AlternateContent>
  <bookViews>
    <workbookView xWindow="-180" yWindow="168" windowWidth="15480" windowHeight="9600" tabRatio="775" activeTab="2"/>
  </bookViews>
  <sheets>
    <sheet name="Link In" sheetId="1" r:id="rId1"/>
    <sheet name="Link Out" sheetId="2" r:id="rId2"/>
    <sheet name="Rev Requirement - SCH A" sheetId="3" r:id="rId3"/>
    <sheet name="Rev Conversion Factor - SCH H" sheetId="4" r:id="rId4"/>
    <sheet name="Proposed Rate Adjustments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3">'Rev Conversion Factor - SCH H'!$A$1:$G$33</definedName>
    <definedName name="_xlnm.Print_Area" localSheetId="2">'Rev Requirement - SCH A'!$A$1:$H$53</definedName>
  </definedNames>
  <calcPr calcId="162913"/>
</workbook>
</file>

<file path=xl/calcChain.xml><?xml version="1.0" encoding="utf-8"?>
<calcChain xmlns="http://schemas.openxmlformats.org/spreadsheetml/2006/main">
  <c r="C63" i="1" l="1"/>
  <c r="C62" i="1"/>
  <c r="D62" i="1" l="1"/>
  <c r="D63" i="1"/>
  <c r="S65" i="3" l="1"/>
  <c r="S66" i="3"/>
  <c r="E18" i="1" l="1"/>
  <c r="E19" i="1"/>
  <c r="C52" i="1" l="1"/>
  <c r="C61" i="1" l="1"/>
  <c r="D61" i="1" l="1"/>
  <c r="C60" i="1" l="1"/>
  <c r="D60" i="1" l="1"/>
  <c r="D19" i="1" l="1"/>
  <c r="D18" i="1" l="1"/>
  <c r="C7" i="1" l="1"/>
  <c r="C6" i="1"/>
  <c r="C5" i="1"/>
  <c r="C4" i="1"/>
  <c r="C3" i="1"/>
  <c r="C2" i="1"/>
  <c r="A7" i="1"/>
  <c r="A6" i="1"/>
  <c r="A5" i="1"/>
  <c r="A4" i="1"/>
  <c r="A3" i="1"/>
  <c r="A2" i="1"/>
  <c r="G11" i="4" l="1"/>
  <c r="H11" i="3"/>
  <c r="C14" i="2" s="1"/>
  <c r="G2" i="4" l="1"/>
  <c r="B15" i="2"/>
  <c r="B14" i="2"/>
  <c r="E2" i="5"/>
  <c r="F20" i="4"/>
  <c r="H46" i="3" l="1"/>
  <c r="H37" i="3"/>
  <c r="H2" i="3" l="1"/>
  <c r="E38" i="3" l="1"/>
  <c r="A6" i="5" l="1"/>
  <c r="A7" i="5"/>
  <c r="C20" i="4"/>
  <c r="A6" i="3" l="1"/>
  <c r="A7" i="4" s="1"/>
  <c r="A5" i="3"/>
  <c r="D20" i="4"/>
  <c r="F19" i="4" l="1"/>
  <c r="E1" i="5"/>
  <c r="G19" i="4" l="1"/>
  <c r="G20" i="4" l="1"/>
  <c r="C19" i="4" l="1"/>
  <c r="D19" i="4" s="1"/>
  <c r="D21" i="4" l="1"/>
  <c r="D24" i="4" l="1"/>
  <c r="D25" i="4" s="1"/>
  <c r="D27" i="4" l="1"/>
  <c r="D29" i="4" s="1"/>
  <c r="E27" i="4" l="1"/>
  <c r="C25" i="5" s="1"/>
  <c r="D31" i="4"/>
  <c r="E20" i="4"/>
  <c r="C23" i="5" s="1"/>
  <c r="E19" i="4"/>
  <c r="E24" i="4"/>
  <c r="C24" i="5" s="1"/>
  <c r="C22" i="5" l="1"/>
  <c r="E29" i="4"/>
  <c r="E46" i="3"/>
  <c r="F46" i="3"/>
  <c r="C11" i="2"/>
  <c r="F52" i="1" l="1"/>
  <c r="H38" i="3" l="1"/>
  <c r="S64" i="3" l="1"/>
  <c r="S62" i="3"/>
  <c r="S63" i="3"/>
  <c r="S60" i="3"/>
  <c r="S61" i="3"/>
  <c r="S58" i="3"/>
  <c r="S59" i="3"/>
  <c r="S57" i="3"/>
  <c r="S54" i="3"/>
  <c r="S55" i="3"/>
  <c r="S52" i="3"/>
  <c r="S56" i="3" l="1"/>
  <c r="S53" i="3"/>
  <c r="D52" i="1" l="1"/>
  <c r="F38" i="3" s="1"/>
  <c r="C59" i="1" l="1"/>
  <c r="H22" i="3" l="1"/>
  <c r="H26" i="3"/>
  <c r="H21" i="3"/>
  <c r="H18" i="3"/>
  <c r="H27" i="3"/>
  <c r="H23" i="3"/>
  <c r="H28" i="3"/>
  <c r="H24" i="3"/>
  <c r="H25" i="3"/>
  <c r="C35" i="1" l="1"/>
  <c r="E22" i="3" s="1"/>
  <c r="C36" i="1" l="1"/>
  <c r="E23" i="3" s="1"/>
  <c r="C41" i="1" l="1"/>
  <c r="E28" i="3" s="1"/>
  <c r="C37" i="1"/>
  <c r="E24" i="3" s="1"/>
  <c r="C40" i="1"/>
  <c r="E27" i="3" s="1"/>
  <c r="C31" i="1" l="1"/>
  <c r="E18" i="3" s="1"/>
  <c r="C34" i="1"/>
  <c r="E21" i="3"/>
  <c r="D40" i="1" l="1"/>
  <c r="F27" i="3" s="1"/>
  <c r="D41" i="1" l="1"/>
  <c r="F28" i="3" s="1"/>
  <c r="C40" i="5"/>
  <c r="D37" i="1" l="1"/>
  <c r="F24" i="3" s="1"/>
  <c r="D36" i="1" l="1"/>
  <c r="F23" i="3" s="1"/>
  <c r="C39" i="5"/>
  <c r="E39" i="5" s="1"/>
  <c r="D35" i="1" l="1"/>
  <c r="F22" i="3" s="1"/>
  <c r="C38" i="5"/>
  <c r="E38" i="5" s="1"/>
  <c r="D34" i="1" l="1"/>
  <c r="F21" i="3"/>
  <c r="C37" i="5" l="1"/>
  <c r="D31" i="1" l="1"/>
  <c r="F18" i="3" s="1"/>
  <c r="C34" i="5"/>
  <c r="C38" i="1" l="1"/>
  <c r="E25" i="3"/>
  <c r="D38" i="1" l="1"/>
  <c r="F25" i="3" s="1"/>
  <c r="C39" i="1"/>
  <c r="E26" i="3" s="1"/>
  <c r="C42" i="1"/>
  <c r="E29" i="3"/>
  <c r="E31" i="3" s="1"/>
  <c r="E42" i="3" s="1"/>
  <c r="C44" i="1"/>
  <c r="D39" i="1" l="1"/>
  <c r="C41" i="5"/>
  <c r="D44" i="1"/>
  <c r="F26" i="3" l="1"/>
  <c r="D42" i="1"/>
  <c r="F29" i="3" l="1"/>
  <c r="C42" i="5"/>
  <c r="C43" i="5" l="1"/>
  <c r="F31" i="3"/>
  <c r="C45" i="5" l="1"/>
  <c r="F42" i="3"/>
  <c r="C51" i="1"/>
  <c r="E37" i="3" s="1"/>
  <c r="E40" i="3" s="1"/>
  <c r="E44" i="3" s="1"/>
  <c r="E48" i="3" s="1"/>
  <c r="E50" i="3" l="1"/>
  <c r="E52" i="3"/>
  <c r="D51" i="1" l="1"/>
  <c r="F37" i="3" s="1"/>
  <c r="F40" i="3" s="1"/>
  <c r="F44" i="3" s="1"/>
  <c r="D18" i="5" l="1"/>
  <c r="F48" i="3"/>
  <c r="B4" i="2" l="1"/>
  <c r="D17" i="5"/>
  <c r="F52" i="3"/>
  <c r="F50" i="3"/>
  <c r="E4" i="2" s="1"/>
  <c r="D34" i="5" l="1"/>
  <c r="D19" i="5"/>
  <c r="D23" i="5" l="1"/>
  <c r="D24" i="5"/>
  <c r="D22" i="5"/>
  <c r="D25" i="5"/>
  <c r="E34" i="5"/>
  <c r="B8" i="2" l="1"/>
  <c r="D41" i="5"/>
  <c r="E41" i="5" s="1"/>
  <c r="B7" i="2"/>
  <c r="D40" i="5"/>
  <c r="E40" i="5" s="1"/>
  <c r="D42" i="5"/>
  <c r="E42" i="5" s="1"/>
  <c r="B9" i="2"/>
  <c r="D27" i="5"/>
  <c r="D29" i="5" s="1"/>
  <c r="D37" i="5"/>
  <c r="B6" i="2"/>
  <c r="D43" i="5" l="1"/>
  <c r="E37" i="5"/>
  <c r="E43" i="5" l="1"/>
  <c r="D45" i="5"/>
  <c r="E45" i="5" s="1"/>
</calcChain>
</file>

<file path=xl/sharedStrings.xml><?xml version="1.0" encoding="utf-8"?>
<sst xmlns="http://schemas.openxmlformats.org/spreadsheetml/2006/main" count="209" uniqueCount="127">
  <si>
    <t>Gross Revenue</t>
  </si>
  <si>
    <t>Line</t>
  </si>
  <si>
    <t>Conversion Factor</t>
  </si>
  <si>
    <t>Percentage</t>
  </si>
  <si>
    <t>Number</t>
  </si>
  <si>
    <t>Gross Revenue Conversion Factor Calculation</t>
  </si>
  <si>
    <t>Less:  Bad Debt Rate/ Uncollectible Expense</t>
  </si>
  <si>
    <t>Total Before Gross Income and TRA Fees</t>
  </si>
  <si>
    <t>Income before Federal income Taxes</t>
  </si>
  <si>
    <t>Gross Revenue Conversion Factor</t>
  </si>
  <si>
    <t>Less: PSC / Utility Reg Assessment Fee</t>
  </si>
  <si>
    <t>Kentucky American Water Company</t>
  </si>
  <si>
    <t>Total</t>
  </si>
  <si>
    <t>Description</t>
  </si>
  <si>
    <t>Company</t>
  </si>
  <si>
    <t>Present Rate Utility Operating Income:</t>
  </si>
  <si>
    <t>Operating Revenue at Present Rates:</t>
  </si>
  <si>
    <t>Less: Deductions:</t>
  </si>
  <si>
    <t>Operating and Maintenance:</t>
  </si>
  <si>
    <t>Depreciation:</t>
  </si>
  <si>
    <t>General Taxes:</t>
  </si>
  <si>
    <t>State Income Taxes:</t>
  </si>
  <si>
    <t>Federal Income Taxes:</t>
  </si>
  <si>
    <t>Total Deductions:</t>
  </si>
  <si>
    <t>Pro Forma Present Rate Utility Operating Income:</t>
  </si>
  <si>
    <t>Revenue Requirement and Increase Comparison:</t>
  </si>
  <si>
    <t>Net Original Cost Rate Base</t>
  </si>
  <si>
    <t>Rate of Return</t>
  </si>
  <si>
    <t>Operating and Maintenance Expenses</t>
  </si>
  <si>
    <t>General Taxes</t>
  </si>
  <si>
    <t>State Income Taxes</t>
  </si>
  <si>
    <t>Federal Income Taxes</t>
  </si>
  <si>
    <t>Operating Revenues at Proposed Rates:</t>
  </si>
  <si>
    <t>Less:  Deductions:</t>
  </si>
  <si>
    <t>Depreciation</t>
  </si>
  <si>
    <t>Amortization</t>
  </si>
  <si>
    <t>Pro Forma Operating Income:</t>
  </si>
  <si>
    <t>Percent of</t>
  </si>
  <si>
    <t>Total Line Item Increase Due to Increase in Revenues:</t>
  </si>
  <si>
    <t>Note re: Link In:</t>
  </si>
  <si>
    <t>Revenue Conversion Link-Ins:</t>
  </si>
  <si>
    <t>Less:  Bad Debt Rate/ Uncollectible Rate</t>
  </si>
  <si>
    <t>Rate:</t>
  </si>
  <si>
    <t>From Income Statement</t>
  </si>
  <si>
    <t>At Present Rates</t>
  </si>
  <si>
    <t>Adjustments Per Above</t>
  </si>
  <si>
    <t>At Proposed Rates</t>
  </si>
  <si>
    <t>Proposed Rates Adjustments</t>
  </si>
  <si>
    <t>General Tax</t>
  </si>
  <si>
    <t>State Income Tax</t>
  </si>
  <si>
    <t>Federal Income Tax</t>
  </si>
  <si>
    <t>Revenue</t>
  </si>
  <si>
    <t>Forecast</t>
  </si>
  <si>
    <t>Base Period</t>
  </si>
  <si>
    <t>Investment Tax Credits</t>
  </si>
  <si>
    <t>Increase Due to Revenue Conversion</t>
  </si>
  <si>
    <t>Operating Income Increase (Line 2 - Line 12), Ties to Line 3</t>
  </si>
  <si>
    <t>Forecasted Income Statement :</t>
  </si>
  <si>
    <t>Additional Expenses Due to Above Revenue</t>
  </si>
  <si>
    <t>Link Out</t>
  </si>
  <si>
    <t>Amortization Expense</t>
  </si>
  <si>
    <t>Amortization of  UPAA</t>
  </si>
  <si>
    <t>Amortization of UPAA</t>
  </si>
  <si>
    <t>Operating and Maintenance</t>
  </si>
  <si>
    <t>Gross Income from Revenue</t>
  </si>
  <si>
    <t>Net Income After Uncollectibles &amp; Reg Assessment Fees</t>
  </si>
  <si>
    <t>Net Income After Uncollectibles, Reg Assessment Fees &amp; State Tax</t>
  </si>
  <si>
    <t>Gross Revenue Conversion Factor (1 / Line 13)</t>
  </si>
  <si>
    <t>Net Income After Uncollectibles, Reg Assessment Fees, &amp; State &amp; Federal Income Taxes:</t>
  </si>
  <si>
    <t>Rate</t>
  </si>
  <si>
    <t>Revenue Conversion Factor</t>
  </si>
  <si>
    <t>Requested Revenue Increase (Line 31 x Line 33)</t>
  </si>
  <si>
    <t>Reference</t>
  </si>
  <si>
    <t>Exhibit 37 Schedule C-1</t>
  </si>
  <si>
    <t>Exhibit 37 Schedule B-1</t>
  </si>
  <si>
    <t>Exhibit 37 Schedule J-1</t>
  </si>
  <si>
    <t>Total Deductions (Sum Lines 7 - 15):</t>
  </si>
  <si>
    <t>Exhibit 37, Schedule H</t>
  </si>
  <si>
    <t>Exhibit 37, Schedule A</t>
  </si>
  <si>
    <t>Operating Income Line Item Increases due to Increase in Revenue:</t>
  </si>
  <si>
    <t>ExhibitName:</t>
  </si>
  <si>
    <t>File Reference:</t>
  </si>
  <si>
    <t>Rev Rqmt</t>
  </si>
  <si>
    <t>Income Statement</t>
  </si>
  <si>
    <t>Excel Reference</t>
  </si>
  <si>
    <t>Excel Reference:</t>
  </si>
  <si>
    <t>Computation of the Gross Revenue Conversion Factor for the Forecast Period</t>
  </si>
  <si>
    <t>Revenue Requirement (Line 4 + Line 35)</t>
  </si>
  <si>
    <t>Reg Assessment Fee</t>
  </si>
  <si>
    <t>Uncollectibles</t>
  </si>
  <si>
    <t>Workpaper #:</t>
  </si>
  <si>
    <t>Adjustments to Operating Income for Proposed Rates</t>
  </si>
  <si>
    <t>Less:  Operating Income at Present Rates (Line 18):</t>
  </si>
  <si>
    <t>General Taxes (Line 4 x Percent Identified)</t>
  </si>
  <si>
    <t>State Income Taxes (Line 4 x Percent Identified)</t>
  </si>
  <si>
    <t>Federal Income Taxes (Line 4 x Percent Identified)</t>
  </si>
  <si>
    <t>Operating and Maintenance Expenses (Line 4 x Percent Identified)</t>
  </si>
  <si>
    <t>Jurisdictional Financial Summary for the Base and Forecast Period Detailing Derivation of the Requested Revenue Increase</t>
  </si>
  <si>
    <t>Witness: L. Bridwell</t>
  </si>
  <si>
    <t>Witness: G. VerDouw</t>
  </si>
  <si>
    <t>Workpaper</t>
  </si>
  <si>
    <t>Conversion</t>
  </si>
  <si>
    <t>Factor %</t>
  </si>
  <si>
    <t>Gross</t>
  </si>
  <si>
    <t>#</t>
  </si>
  <si>
    <t>Present Rate Operating Income (Line 4 - Line 16):</t>
  </si>
  <si>
    <t>Forecast Period</t>
  </si>
  <si>
    <t>Operating Income Required (Line 24 x Line 25):</t>
  </si>
  <si>
    <t>Percent Increase over Operating Revenue at Present Rates
(Line 35 / Line 4):</t>
  </si>
  <si>
    <t>Support Schedule</t>
  </si>
  <si>
    <t>Increase in Operating Income Required (Line 27 - Line 29)</t>
  </si>
  <si>
    <t>Line #</t>
  </si>
  <si>
    <t>Exhibit 37 Schedule J-1.1</t>
  </si>
  <si>
    <r>
      <t xml:space="preserve">Data: </t>
    </r>
    <r>
      <rPr>
        <u/>
        <sz val="11"/>
        <color indexed="8"/>
        <rFont val="Calibri"/>
        <family val="2"/>
        <scheme val="minor"/>
      </rPr>
      <t xml:space="preserve">X </t>
    </r>
    <r>
      <rPr>
        <sz val="11"/>
        <color indexed="8"/>
        <rFont val="Calibri"/>
        <family val="2"/>
        <scheme val="minor"/>
      </rPr>
      <t xml:space="preserve">Base Period  </t>
    </r>
    <r>
      <rPr>
        <u/>
        <sz val="11"/>
        <color indexed="8"/>
        <rFont val="Calibri"/>
        <family val="2"/>
      </rPr>
      <t xml:space="preserve">X </t>
    </r>
    <r>
      <rPr>
        <sz val="11"/>
        <color indexed="8"/>
        <rFont val="Calibri"/>
        <family val="2"/>
        <scheme val="minor"/>
      </rPr>
      <t>Forecast Period</t>
    </r>
  </si>
  <si>
    <r>
      <t xml:space="preserve">Version: </t>
    </r>
    <r>
      <rPr>
        <u/>
        <sz val="11"/>
        <rFont val="Calibri"/>
        <family val="2"/>
      </rPr>
      <t>X</t>
    </r>
    <r>
      <rPr>
        <sz val="11"/>
        <rFont val="Calibri"/>
        <family val="2"/>
        <scheme val="minor"/>
      </rPr>
      <t xml:space="preserve"> Original _Updated _Revised</t>
    </r>
  </si>
  <si>
    <r>
      <t>DATA: _</t>
    </r>
    <r>
      <rPr>
        <b/>
        <u/>
        <sz val="11"/>
        <color indexed="8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  <scheme val="minor"/>
      </rPr>
      <t xml:space="preserve">BASE PERIOD  </t>
    </r>
    <r>
      <rPr>
        <b/>
        <u/>
        <sz val="11"/>
        <color indexed="8"/>
        <rFont val="Calibri"/>
        <family val="2"/>
      </rPr>
      <t xml:space="preserve">X </t>
    </r>
    <r>
      <rPr>
        <b/>
        <sz val="11"/>
        <color indexed="8"/>
        <rFont val="Calibri"/>
        <family val="2"/>
        <scheme val="minor"/>
      </rPr>
      <t>FORECAST PERIOD</t>
    </r>
  </si>
  <si>
    <r>
      <t xml:space="preserve">VERSION: </t>
    </r>
    <r>
      <rPr>
        <b/>
        <u/>
        <sz val="11"/>
        <rFont val="Calibri"/>
        <family val="2"/>
      </rPr>
      <t>X</t>
    </r>
    <r>
      <rPr>
        <b/>
        <sz val="11"/>
        <rFont val="Calibri"/>
        <family val="2"/>
        <scheme val="minor"/>
      </rPr>
      <t xml:space="preserve"> ORIGINAL _UPDATED _REVISED</t>
    </r>
  </si>
  <si>
    <t>Required Revenue Increase After Revenue Conversion (Schedule A, Line 34)</t>
  </si>
  <si>
    <t>Required Revenue Increase Before Revenue Conversion (Schedule A, Line 30)</t>
  </si>
  <si>
    <t>Less: Federal income Tax @ 21%</t>
  </si>
  <si>
    <t>Rate Base\KAWC 2018 Rate Case - Exhibit 37 Schedules B1 - B8.xlsx</t>
  </si>
  <si>
    <t>Ended 2/29/2019</t>
  </si>
  <si>
    <t>Ended 6/30/2020</t>
  </si>
  <si>
    <t>Witness: M. Schwarzell</t>
  </si>
  <si>
    <t>Uncollectible</t>
  </si>
  <si>
    <t>Less:  State Income Tax @ 5.0%</t>
  </si>
  <si>
    <t>Percent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</si>
</sst>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&quot;$&quot;* #,##0_);_(&quot;$&quot;* \(#,##0\);_(&quot;$&quot;* &quot;-&quot;??_);_(@_)"/>
    <numFmt numFmtId="166" formatCode="0.000000%"/>
    <numFmt numFmtId="167" formatCode="_(&quot;$&quot;* #,##0.0000_);_(&quot;$&quot;* \(#,##0.0000\);_(&quot;$&quot;* &quot;-&quot;????_);_(@_)"/>
    <numFmt numFmtId="168" formatCode="_(* #,##0_);_(* \(#,##0\);_(* &quot;-&quot;??_);_(@_)"/>
    <numFmt numFmtId="169" formatCode="[$-409]mmmm\ d\,\ yy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  <font>
      <u/>
      <sz val="11"/>
      <color indexed="8"/>
      <name val="Calibri"/>
      <family val="2"/>
    </font>
    <font>
      <u/>
      <sz val="11"/>
      <name val="Calibri"/>
      <family val="2"/>
    </font>
    <font>
      <b/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/>
      <sz val="11"/>
      <color indexed="8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6">
    <xf numFmtId="0" fontId="0" fillId="0" borderId="0"/>
    <xf numFmtId="9" fontId="3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3" fillId="0" borderId="0" applyFont="0" applyFill="0" applyBorder="0" applyAlignment="0" applyProtection="0"/>
    <xf numFmtId="3" fontId="6" fillId="0" borderId="0"/>
    <xf numFmtId="43" fontId="3" fillId="0" borderId="0" applyFont="0" applyFill="0" applyBorder="0" applyAlignment="0" applyProtection="0"/>
  </cellStyleXfs>
  <cellXfs count="206">
    <xf numFmtId="0" fontId="0" fillId="0" borderId="0" xfId="0"/>
    <xf numFmtId="0" fontId="5" fillId="0" borderId="0" xfId="0" applyFont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164" fontId="0" fillId="0" borderId="0" xfId="0" applyNumberFormat="1"/>
    <xf numFmtId="0" fontId="3" fillId="0" borderId="0" xfId="0" applyFont="1"/>
    <xf numFmtId="44" fontId="3" fillId="0" borderId="0" xfId="0" applyNumberFormat="1" applyFont="1"/>
    <xf numFmtId="0" fontId="3" fillId="0" borderId="0" xfId="0" applyFont="1" applyFill="1"/>
    <xf numFmtId="0" fontId="0" fillId="0" borderId="2" xfId="0" applyBorder="1" applyAlignment="1">
      <alignment horizontal="center"/>
    </xf>
    <xf numFmtId="0" fontId="5" fillId="0" borderId="0" xfId="0" applyFont="1" applyFill="1" applyAlignment="1">
      <alignment horizontal="right"/>
    </xf>
    <xf numFmtId="0" fontId="7" fillId="0" borderId="0" xfId="2" applyFont="1" applyBorder="1" applyAlignment="1">
      <alignment horizontal="left"/>
    </xf>
    <xf numFmtId="0" fontId="7" fillId="0" borderId="0" xfId="2" applyFont="1" applyBorder="1" applyAlignment="1">
      <alignment horizontal="center"/>
    </xf>
    <xf numFmtId="0" fontId="7" fillId="0" borderId="0" xfId="2" applyFont="1" applyBorder="1" applyAlignment="1">
      <alignment horizontal="right"/>
    </xf>
    <xf numFmtId="0" fontId="8" fillId="0" borderId="0" xfId="2" applyFont="1" applyBorder="1" applyAlignment="1">
      <alignment horizontal="right"/>
    </xf>
    <xf numFmtId="0" fontId="9" fillId="0" borderId="0" xfId="2" applyFont="1"/>
    <xf numFmtId="0" fontId="7" fillId="0" borderId="0" xfId="2" applyFont="1" applyAlignment="1">
      <alignment horizontal="right"/>
    </xf>
    <xf numFmtId="0" fontId="7" fillId="0" borderId="0" xfId="2" applyFont="1" applyAlignment="1"/>
    <xf numFmtId="0" fontId="10" fillId="0" borderId="0" xfId="2" applyFont="1" applyBorder="1" applyAlignment="1">
      <alignment horizontal="right"/>
    </xf>
    <xf numFmtId="3" fontId="11" fillId="0" borderId="0" xfId="14" applyFont="1" applyAlignment="1"/>
    <xf numFmtId="3" fontId="10" fillId="0" borderId="0" xfId="0" applyNumberFormat="1" applyFont="1" applyAlignment="1"/>
    <xf numFmtId="0" fontId="7" fillId="0" borderId="0" xfId="2" applyFont="1" applyAlignment="1">
      <alignment horizontal="center"/>
    </xf>
    <xf numFmtId="0" fontId="3" fillId="0" borderId="0" xfId="0" applyFont="1" applyAlignment="1">
      <alignment horizontal="right"/>
    </xf>
    <xf numFmtId="0" fontId="7" fillId="0" borderId="2" xfId="2" applyFont="1" applyBorder="1" applyAlignment="1">
      <alignment horizontal="center"/>
    </xf>
    <xf numFmtId="0" fontId="10" fillId="0" borderId="0" xfId="2" applyFont="1" applyAlignment="1">
      <alignment horizontal="center"/>
    </xf>
    <xf numFmtId="0" fontId="10" fillId="0" borderId="0" xfId="2" applyFont="1"/>
    <xf numFmtId="10" fontId="10" fillId="0" borderId="0" xfId="1" applyNumberFormat="1" applyFont="1"/>
    <xf numFmtId="164" fontId="10" fillId="0" borderId="0" xfId="3" applyNumberFormat="1" applyFont="1" applyFill="1"/>
    <xf numFmtId="0" fontId="10" fillId="0" borderId="0" xfId="2" applyFont="1" applyFill="1"/>
    <xf numFmtId="164" fontId="10" fillId="0" borderId="0" xfId="1" applyNumberFormat="1" applyFont="1" applyFill="1"/>
    <xf numFmtId="164" fontId="10" fillId="0" borderId="0" xfId="3" applyNumberFormat="1" applyFont="1" applyFill="1" applyBorder="1"/>
    <xf numFmtId="164" fontId="10" fillId="0" borderId="0" xfId="3" applyNumberFormat="1" applyFont="1" applyFill="1" applyBorder="1" applyAlignment="1">
      <alignment horizontal="center"/>
    </xf>
    <xf numFmtId="0" fontId="10" fillId="0" borderId="2" xfId="2" applyFont="1" applyFill="1" applyBorder="1"/>
    <xf numFmtId="164" fontId="10" fillId="0" borderId="2" xfId="1" applyNumberFormat="1" applyFont="1" applyFill="1" applyBorder="1"/>
    <xf numFmtId="10" fontId="10" fillId="0" borderId="0" xfId="1" applyNumberFormat="1" applyFont="1" applyFill="1" applyBorder="1"/>
    <xf numFmtId="164" fontId="10" fillId="0" borderId="3" xfId="2" applyNumberFormat="1" applyFont="1" applyFill="1" applyBorder="1"/>
    <xf numFmtId="164" fontId="10" fillId="0" borderId="0" xfId="2" applyNumberFormat="1" applyFont="1" applyFill="1" applyBorder="1"/>
    <xf numFmtId="10" fontId="9" fillId="0" borderId="0" xfId="1" applyNumberFormat="1" applyFont="1" applyBorder="1"/>
    <xf numFmtId="164" fontId="10" fillId="0" borderId="0" xfId="2" applyNumberFormat="1" applyFont="1" applyFill="1"/>
    <xf numFmtId="10" fontId="10" fillId="0" borderId="2" xfId="1" applyNumberFormat="1" applyFont="1" applyFill="1" applyBorder="1"/>
    <xf numFmtId="10" fontId="10" fillId="0" borderId="0" xfId="1" applyNumberFormat="1" applyFont="1" applyBorder="1"/>
    <xf numFmtId="164" fontId="10" fillId="0" borderId="3" xfId="3" applyNumberFormat="1" applyFont="1" applyFill="1" applyBorder="1"/>
    <xf numFmtId="0" fontId="10" fillId="0" borderId="2" xfId="2" applyFont="1" applyBorder="1"/>
    <xf numFmtId="10" fontId="10" fillId="0" borderId="2" xfId="1" applyNumberFormat="1" applyFont="1" applyBorder="1"/>
    <xf numFmtId="164" fontId="10" fillId="0" borderId="2" xfId="3" applyNumberFormat="1" applyFont="1" applyFill="1" applyBorder="1"/>
    <xf numFmtId="0" fontId="10" fillId="0" borderId="0" xfId="2" applyFont="1" applyAlignment="1">
      <alignment horizontal="left" wrapText="1"/>
    </xf>
    <xf numFmtId="164" fontId="10" fillId="0" borderId="1" xfId="3" applyNumberFormat="1" applyFont="1" applyFill="1" applyBorder="1"/>
    <xf numFmtId="10" fontId="9" fillId="0" borderId="0" xfId="1" applyNumberFormat="1" applyFont="1"/>
    <xf numFmtId="41" fontId="10" fillId="0" borderId="0" xfId="2" applyNumberFormat="1" applyFont="1"/>
    <xf numFmtId="0" fontId="7" fillId="0" borderId="0" xfId="9" applyFont="1"/>
    <xf numFmtId="0" fontId="10" fillId="0" borderId="0" xfId="9" applyFont="1"/>
    <xf numFmtId="0" fontId="7" fillId="0" borderId="0" xfId="9" applyFont="1" applyFill="1" applyAlignment="1">
      <alignment horizontal="right"/>
    </xf>
    <xf numFmtId="0" fontId="7" fillId="0" borderId="0" xfId="9" applyFont="1" applyAlignment="1">
      <alignment horizontal="right"/>
    </xf>
    <xf numFmtId="0" fontId="7" fillId="0" borderId="0" xfId="9" applyFont="1" applyAlignment="1"/>
    <xf numFmtId="3" fontId="15" fillId="0" borderId="0" xfId="14" applyFont="1" applyAlignment="1"/>
    <xf numFmtId="3" fontId="7" fillId="0" borderId="0" xfId="0" applyNumberFormat="1" applyFont="1" applyAlignment="1"/>
    <xf numFmtId="0" fontId="7" fillId="0" borderId="0" xfId="9" applyFont="1" applyAlignment="1">
      <alignment horizontal="center"/>
    </xf>
    <xf numFmtId="0" fontId="3" fillId="0" borderId="0" xfId="10" applyFont="1"/>
    <xf numFmtId="0" fontId="7" fillId="0" borderId="0" xfId="9" applyFont="1" applyBorder="1" applyAlignment="1">
      <alignment horizontal="center"/>
    </xf>
    <xf numFmtId="0" fontId="5" fillId="0" borderId="0" xfId="10" applyFont="1" applyAlignment="1">
      <alignment horizontal="center"/>
    </xf>
    <xf numFmtId="0" fontId="7" fillId="0" borderId="2" xfId="9" applyFont="1" applyBorder="1" applyAlignment="1">
      <alignment horizontal="center"/>
    </xf>
    <xf numFmtId="0" fontId="5" fillId="0" borderId="2" xfId="10" applyFont="1" applyBorder="1" applyAlignment="1">
      <alignment horizontal="center"/>
    </xf>
    <xf numFmtId="0" fontId="10" fillId="0" borderId="0" xfId="9" applyFont="1" applyAlignment="1">
      <alignment horizontal="center"/>
    </xf>
    <xf numFmtId="0" fontId="7" fillId="0" borderId="0" xfId="6" applyFont="1"/>
    <xf numFmtId="0" fontId="7" fillId="0" borderId="2" xfId="6" applyFont="1" applyBorder="1"/>
    <xf numFmtId="0" fontId="10" fillId="0" borderId="0" xfId="9" applyFont="1" applyBorder="1"/>
    <xf numFmtId="41" fontId="10" fillId="0" borderId="0" xfId="9" applyNumberFormat="1" applyFont="1"/>
    <xf numFmtId="0" fontId="7" fillId="0" borderId="0" xfId="6" applyFont="1" applyAlignment="1">
      <alignment horizontal="right"/>
    </xf>
    <xf numFmtId="0" fontId="19" fillId="0" borderId="0" xfId="11" applyFont="1" applyBorder="1" applyAlignment="1">
      <alignment horizontal="left"/>
    </xf>
    <xf numFmtId="0" fontId="19" fillId="0" borderId="0" xfId="9" applyFont="1" applyBorder="1" applyAlignment="1">
      <alignment horizontal="left"/>
    </xf>
    <xf numFmtId="164" fontId="10" fillId="0" borderId="0" xfId="9" applyNumberFormat="1" applyFont="1"/>
    <xf numFmtId="42" fontId="10" fillId="0" borderId="0" xfId="9" applyNumberFormat="1" applyFont="1" applyBorder="1"/>
    <xf numFmtId="0" fontId="10" fillId="0" borderId="2" xfId="9" applyFont="1" applyBorder="1"/>
    <xf numFmtId="164" fontId="10" fillId="0" borderId="2" xfId="9" applyNumberFormat="1" applyFont="1" applyBorder="1"/>
    <xf numFmtId="41" fontId="10" fillId="0" borderId="2" xfId="9" applyNumberFormat="1" applyFont="1" applyBorder="1"/>
    <xf numFmtId="166" fontId="10" fillId="0" borderId="0" xfId="9" applyNumberFormat="1" applyFont="1" applyBorder="1"/>
    <xf numFmtId="41" fontId="10" fillId="0" borderId="0" xfId="9" applyNumberFormat="1" applyFont="1" applyFill="1"/>
    <xf numFmtId="164" fontId="10" fillId="0" borderId="1" xfId="9" applyNumberFormat="1" applyFont="1" applyBorder="1"/>
    <xf numFmtId="0" fontId="19" fillId="0" borderId="0" xfId="9" applyFont="1"/>
    <xf numFmtId="0" fontId="10" fillId="0" borderId="0" xfId="6" applyFont="1"/>
    <xf numFmtId="0" fontId="7" fillId="0" borderId="0" xfId="6" applyFont="1" applyFill="1" applyAlignment="1">
      <alignment horizontal="right"/>
    </xf>
    <xf numFmtId="0" fontId="8" fillId="0" borderId="0" xfId="6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6" applyFont="1" applyAlignment="1"/>
    <xf numFmtId="0" fontId="7" fillId="0" borderId="0" xfId="6" applyFont="1" applyFill="1" applyAlignment="1"/>
    <xf numFmtId="0" fontId="10" fillId="0" borderId="0" xfId="6" applyFont="1" applyAlignment="1"/>
    <xf numFmtId="0" fontId="3" fillId="0" borderId="0" xfId="0" applyFont="1" applyFill="1" applyAlignment="1">
      <alignment horizontal="right"/>
    </xf>
    <xf numFmtId="0" fontId="8" fillId="0" borderId="0" xfId="6" applyFont="1" applyAlignment="1">
      <alignment horizontal="center"/>
    </xf>
    <xf numFmtId="0" fontId="7" fillId="0" borderId="0" xfId="6" applyFont="1" applyAlignment="1">
      <alignment horizontal="center"/>
    </xf>
    <xf numFmtId="0" fontId="7" fillId="0" borderId="0" xfId="6" applyFont="1" applyFill="1" applyAlignment="1">
      <alignment horizontal="center"/>
    </xf>
    <xf numFmtId="0" fontId="7" fillId="0" borderId="0" xfId="6" applyFont="1" applyBorder="1" applyAlignment="1">
      <alignment horizontal="center"/>
    </xf>
    <xf numFmtId="0" fontId="7" fillId="0" borderId="2" xfId="6" applyFont="1" applyBorder="1" applyAlignment="1">
      <alignment horizontal="center"/>
    </xf>
    <xf numFmtId="0" fontId="7" fillId="0" borderId="2" xfId="6" applyFont="1" applyBorder="1" applyAlignment="1">
      <alignment horizontal="left"/>
    </xf>
    <xf numFmtId="0" fontId="8" fillId="0" borderId="2" xfId="6" applyFont="1" applyBorder="1" applyAlignment="1">
      <alignment horizontal="center"/>
    </xf>
    <xf numFmtId="49" fontId="7" fillId="0" borderId="2" xfId="6" applyNumberFormat="1" applyFont="1" applyBorder="1" applyAlignment="1">
      <alignment horizontal="center"/>
    </xf>
    <xf numFmtId="49" fontId="7" fillId="0" borderId="2" xfId="6" applyNumberFormat="1" applyFont="1" applyFill="1" applyBorder="1" applyAlignment="1">
      <alignment horizontal="center"/>
    </xf>
    <xf numFmtId="0" fontId="10" fillId="0" borderId="0" xfId="6" applyFont="1" applyBorder="1" applyAlignment="1">
      <alignment horizontal="center"/>
    </xf>
    <xf numFmtId="0" fontId="8" fillId="0" borderId="0" xfId="6" applyFont="1" applyBorder="1" applyAlignment="1">
      <alignment horizontal="center"/>
    </xf>
    <xf numFmtId="0" fontId="7" fillId="0" borderId="0" xfId="6" applyFont="1" applyFill="1" applyBorder="1" applyAlignment="1">
      <alignment horizontal="center"/>
    </xf>
    <xf numFmtId="0" fontId="19" fillId="0" borderId="0" xfId="6" applyFont="1"/>
    <xf numFmtId="0" fontId="20" fillId="0" borderId="0" xfId="6" applyFont="1" applyAlignment="1">
      <alignment horizontal="center"/>
    </xf>
    <xf numFmtId="0" fontId="10" fillId="0" borderId="0" xfId="6" applyFont="1" applyFill="1"/>
    <xf numFmtId="0" fontId="19" fillId="0" borderId="0" xfId="6" applyFont="1" applyAlignment="1">
      <alignment horizontal="center"/>
    </xf>
    <xf numFmtId="0" fontId="7" fillId="0" borderId="0" xfId="6" applyFont="1" applyAlignment="1">
      <alignment horizontal="left" indent="1"/>
    </xf>
    <xf numFmtId="0" fontId="21" fillId="0" borderId="0" xfId="6" applyFont="1" applyAlignment="1">
      <alignment horizontal="center"/>
    </xf>
    <xf numFmtId="42" fontId="10" fillId="0" borderId="0" xfId="6" applyNumberFormat="1" applyFont="1"/>
    <xf numFmtId="0" fontId="10" fillId="0" borderId="0" xfId="6" applyFont="1" applyAlignment="1">
      <alignment horizontal="center"/>
    </xf>
    <xf numFmtId="0" fontId="10" fillId="0" borderId="0" xfId="6" applyFont="1" applyAlignment="1">
      <alignment horizontal="left" indent="1"/>
    </xf>
    <xf numFmtId="0" fontId="19" fillId="0" borderId="0" xfId="6" applyFont="1" applyAlignment="1">
      <alignment horizontal="left" indent="1"/>
    </xf>
    <xf numFmtId="0" fontId="22" fillId="0" borderId="0" xfId="6" applyFont="1" applyAlignment="1">
      <alignment horizontal="center"/>
    </xf>
    <xf numFmtId="0" fontId="23" fillId="0" borderId="0" xfId="6" applyFont="1" applyAlignment="1">
      <alignment horizontal="center"/>
    </xf>
    <xf numFmtId="42" fontId="10" fillId="0" borderId="0" xfId="6" applyNumberFormat="1" applyFont="1" applyFill="1" applyBorder="1"/>
    <xf numFmtId="168" fontId="10" fillId="0" borderId="0" xfId="6" applyNumberFormat="1" applyFont="1"/>
    <xf numFmtId="168" fontId="10" fillId="0" borderId="0" xfId="6" applyNumberFormat="1" applyFont="1" applyFill="1" applyBorder="1"/>
    <xf numFmtId="0" fontId="10" fillId="0" borderId="2" xfId="6" applyFont="1" applyBorder="1" applyAlignment="1">
      <alignment horizontal="left" indent="1"/>
    </xf>
    <xf numFmtId="0" fontId="10" fillId="0" borderId="0" xfId="6" applyFont="1" applyBorder="1"/>
    <xf numFmtId="0" fontId="7" fillId="0" borderId="0" xfId="6" applyFont="1" applyAlignment="1">
      <alignment horizontal="left"/>
    </xf>
    <xf numFmtId="10" fontId="10" fillId="0" borderId="2" xfId="6" applyNumberFormat="1" applyFont="1" applyFill="1" applyBorder="1"/>
    <xf numFmtId="3" fontId="3" fillId="0" borderId="0" xfId="0" applyNumberFormat="1" applyFont="1"/>
    <xf numFmtId="10" fontId="10" fillId="0" borderId="0" xfId="6" applyNumberFormat="1" applyFont="1" applyFill="1" applyBorder="1"/>
    <xf numFmtId="165" fontId="10" fillId="0" borderId="0" xfId="6" applyNumberFormat="1" applyFont="1" applyFill="1"/>
    <xf numFmtId="0" fontId="10" fillId="0" borderId="0" xfId="6" applyFont="1" applyAlignment="1">
      <alignment horizontal="right"/>
    </xf>
    <xf numFmtId="41" fontId="10" fillId="0" borderId="0" xfId="6" applyNumberFormat="1" applyFont="1" applyFill="1"/>
    <xf numFmtId="164" fontId="10" fillId="0" borderId="2" xfId="6" applyNumberFormat="1" applyFont="1" applyFill="1" applyBorder="1"/>
    <xf numFmtId="0" fontId="3" fillId="0" borderId="0" xfId="0" applyFont="1" applyAlignment="1">
      <alignment horizontal="left" wrapText="1"/>
    </xf>
    <xf numFmtId="167" fontId="3" fillId="0" borderId="0" xfId="0" applyNumberFormat="1" applyFont="1"/>
    <xf numFmtId="0" fontId="7" fillId="0" borderId="0" xfId="6" applyFont="1" applyFill="1"/>
    <xf numFmtId="0" fontId="7" fillId="0" borderId="0" xfId="6" applyFont="1" applyAlignment="1">
      <alignment horizontal="right" wrapText="1"/>
    </xf>
    <xf numFmtId="10" fontId="7" fillId="0" borderId="1" xfId="1" applyNumberFormat="1" applyFont="1" applyFill="1" applyBorder="1"/>
    <xf numFmtId="41" fontId="10" fillId="0" borderId="0" xfId="6" applyNumberFormat="1" applyFont="1"/>
    <xf numFmtId="0" fontId="25" fillId="0" borderId="0" xfId="2" applyFont="1"/>
    <xf numFmtId="0" fontId="25" fillId="0" borderId="0" xfId="6" applyFont="1"/>
    <xf numFmtId="0" fontId="25" fillId="0" borderId="2" xfId="6" applyFont="1" applyBorder="1"/>
    <xf numFmtId="0" fontId="25" fillId="0" borderId="0" xfId="6" applyFont="1" applyFill="1"/>
    <xf numFmtId="10" fontId="25" fillId="0" borderId="0" xfId="6" applyNumberFormat="1" applyFont="1" applyFill="1"/>
    <xf numFmtId="0" fontId="2" fillId="0" borderId="0" xfId="0" applyFont="1"/>
    <xf numFmtId="0" fontId="24" fillId="0" borderId="0" xfId="0" applyFont="1"/>
    <xf numFmtId="0" fontId="26" fillId="0" borderId="0" xfId="2" applyFont="1" applyBorder="1" applyAlignment="1">
      <alignment horizontal="center"/>
    </xf>
    <xf numFmtId="0" fontId="26" fillId="0" borderId="2" xfId="2" applyFont="1" applyBorder="1" applyAlignment="1">
      <alignment horizontal="center"/>
    </xf>
    <xf numFmtId="0" fontId="26" fillId="0" borderId="2" xfId="2" applyFont="1" applyBorder="1" applyAlignment="1">
      <alignment horizontal="left"/>
    </xf>
    <xf numFmtId="0" fontId="24" fillId="0" borderId="2" xfId="0" applyFont="1" applyBorder="1" applyAlignment="1">
      <alignment horizontal="center"/>
    </xf>
    <xf numFmtId="0" fontId="24" fillId="0" borderId="2" xfId="0" applyFont="1" applyBorder="1"/>
    <xf numFmtId="0" fontId="25" fillId="0" borderId="0" xfId="2" applyFont="1" applyAlignment="1">
      <alignment horizontal="center"/>
    </xf>
    <xf numFmtId="0" fontId="25" fillId="0" borderId="0" xfId="2" applyFont="1" applyFill="1"/>
    <xf numFmtId="164" fontId="2" fillId="0" borderId="0" xfId="0" applyNumberFormat="1" applyFont="1" applyFill="1"/>
    <xf numFmtId="0" fontId="25" fillId="0" borderId="2" xfId="2" applyFont="1" applyFill="1" applyBorder="1"/>
    <xf numFmtId="164" fontId="2" fillId="0" borderId="0" xfId="1" applyNumberFormat="1" applyFont="1" applyFill="1"/>
    <xf numFmtId="0" fontId="2" fillId="0" borderId="0" xfId="0" applyFont="1" applyFill="1"/>
    <xf numFmtId="0" fontId="25" fillId="0" borderId="2" xfId="2" applyFont="1" applyBorder="1"/>
    <xf numFmtId="0" fontId="25" fillId="0" borderId="0" xfId="2" applyFont="1" applyBorder="1"/>
    <xf numFmtId="0" fontId="24" fillId="0" borderId="0" xfId="0" applyFont="1" applyAlignment="1">
      <alignment horizontal="center"/>
    </xf>
    <xf numFmtId="0" fontId="26" fillId="0" borderId="0" xfId="6" applyFont="1" applyAlignment="1">
      <alignment horizontal="center"/>
    </xf>
    <xf numFmtId="0" fontId="18" fillId="0" borderId="0" xfId="6" applyFont="1"/>
    <xf numFmtId="0" fontId="26" fillId="0" borderId="2" xfId="6" applyFont="1" applyBorder="1" applyAlignment="1">
      <alignment horizontal="center"/>
    </xf>
    <xf numFmtId="0" fontId="26" fillId="0" borderId="0" xfId="6" applyFont="1"/>
    <xf numFmtId="42" fontId="25" fillId="0" borderId="0" xfId="6" applyNumberFormat="1" applyFont="1"/>
    <xf numFmtId="41" fontId="25" fillId="0" borderId="0" xfId="6" applyNumberFormat="1" applyFont="1" applyBorder="1"/>
    <xf numFmtId="0" fontId="26" fillId="0" borderId="0" xfId="6" applyFont="1" applyAlignment="1">
      <alignment horizontal="left"/>
    </xf>
    <xf numFmtId="0" fontId="26" fillId="0" borderId="0" xfId="6" applyFont="1" applyAlignment="1">
      <alignment horizontal="right"/>
    </xf>
    <xf numFmtId="42" fontId="25" fillId="0" borderId="0" xfId="6" applyNumberFormat="1" applyFont="1" applyBorder="1"/>
    <xf numFmtId="0" fontId="26" fillId="0" borderId="0" xfId="6" applyFont="1" applyBorder="1" applyAlignment="1">
      <alignment horizontal="center"/>
    </xf>
    <xf numFmtId="0" fontId="26" fillId="0" borderId="2" xfId="6" applyFont="1" applyBorder="1" applyAlignment="1">
      <alignment horizontal="left"/>
    </xf>
    <xf numFmtId="10" fontId="25" fillId="0" borderId="0" xfId="6" applyNumberFormat="1" applyFont="1" applyFill="1" applyBorder="1"/>
    <xf numFmtId="3" fontId="2" fillId="0" borderId="0" xfId="0" applyNumberFormat="1" applyFont="1" applyFill="1"/>
    <xf numFmtId="5" fontId="10" fillId="0" borderId="1" xfId="6" applyNumberFormat="1" applyFont="1" applyFill="1" applyBorder="1"/>
    <xf numFmtId="5" fontId="10" fillId="0" borderId="4" xfId="6" applyNumberFormat="1" applyFont="1" applyFill="1" applyBorder="1"/>
    <xf numFmtId="5" fontId="10" fillId="0" borderId="0" xfId="6" applyNumberFormat="1" applyFont="1"/>
    <xf numFmtId="5" fontId="10" fillId="0" borderId="0" xfId="6" applyNumberFormat="1" applyFont="1" applyFill="1" applyBorder="1"/>
    <xf numFmtId="5" fontId="10" fillId="0" borderId="2" xfId="6" applyNumberFormat="1" applyFont="1" applyBorder="1"/>
    <xf numFmtId="5" fontId="7" fillId="0" borderId="1" xfId="6" applyNumberFormat="1" applyFont="1" applyFill="1" applyBorder="1"/>
    <xf numFmtId="0" fontId="1" fillId="0" borderId="0" xfId="0" applyFont="1"/>
    <xf numFmtId="39" fontId="3" fillId="0" borderId="0" xfId="0" applyNumberFormat="1" applyFont="1" applyFill="1"/>
    <xf numFmtId="5" fontId="10" fillId="0" borderId="0" xfId="9" applyNumberFormat="1" applyFont="1"/>
    <xf numFmtId="5" fontId="10" fillId="0" borderId="4" xfId="9" applyNumberFormat="1" applyFont="1" applyBorder="1"/>
    <xf numFmtId="5" fontId="10" fillId="0" borderId="1" xfId="9" applyNumberFormat="1" applyFont="1" applyBorder="1"/>
    <xf numFmtId="37" fontId="25" fillId="0" borderId="1" xfId="6" applyNumberFormat="1" applyFont="1" applyBorder="1"/>
    <xf numFmtId="37" fontId="25" fillId="0" borderId="0" xfId="6" applyNumberFormat="1" applyFont="1"/>
    <xf numFmtId="37" fontId="25" fillId="0" borderId="0" xfId="6" applyNumberFormat="1" applyFont="1" applyFill="1" applyBorder="1"/>
    <xf numFmtId="37" fontId="25" fillId="0" borderId="2" xfId="6" applyNumberFormat="1" applyFont="1" applyBorder="1"/>
    <xf numFmtId="37" fontId="25" fillId="0" borderId="2" xfId="6" applyNumberFormat="1" applyFont="1" applyFill="1" applyBorder="1"/>
    <xf numFmtId="168" fontId="10" fillId="0" borderId="0" xfId="15" applyNumberFormat="1" applyFont="1" applyFill="1"/>
    <xf numFmtId="0" fontId="7" fillId="0" borderId="0" xfId="2" applyFont="1" applyAlignment="1">
      <alignment horizontal="center"/>
    </xf>
    <xf numFmtId="169" fontId="2" fillId="0" borderId="0" xfId="0" applyNumberFormat="1" applyFont="1" applyAlignment="1">
      <alignment horizontal="left"/>
    </xf>
    <xf numFmtId="37" fontId="25" fillId="0" borderId="0" xfId="6" applyNumberFormat="1" applyFont="1" applyBorder="1"/>
    <xf numFmtId="37" fontId="0" fillId="0" borderId="0" xfId="13" applyNumberFormat="1" applyFont="1"/>
    <xf numFmtId="37" fontId="0" fillId="0" borderId="0" xfId="0" applyNumberFormat="1"/>
    <xf numFmtId="0" fontId="7" fillId="0" borderId="0" xfId="6" applyFont="1" applyAlignment="1">
      <alignment horizontal="center"/>
    </xf>
    <xf numFmtId="0" fontId="3" fillId="0" borderId="0" xfId="0" applyFont="1" applyAlignment="1">
      <alignment horizontal="center"/>
    </xf>
    <xf numFmtId="5" fontId="10" fillId="0" borderId="0" xfId="6" applyNumberFormat="1" applyFont="1" applyAlignment="1">
      <alignment horizontal="center"/>
    </xf>
    <xf numFmtId="168" fontId="10" fillId="0" borderId="0" xfId="6" applyNumberFormat="1" applyFont="1" applyAlignment="1">
      <alignment horizontal="center"/>
    </xf>
    <xf numFmtId="10" fontId="0" fillId="0" borderId="0" xfId="0" applyNumberFormat="1"/>
    <xf numFmtId="5" fontId="7" fillId="0" borderId="0" xfId="6" applyNumberFormat="1" applyFont="1" applyFill="1" applyBorder="1"/>
    <xf numFmtId="5" fontId="10" fillId="0" borderId="0" xfId="6" applyNumberFormat="1" applyFont="1" applyBorder="1"/>
    <xf numFmtId="0" fontId="3" fillId="0" borderId="0" xfId="0" applyFont="1" applyBorder="1"/>
    <xf numFmtId="5" fontId="3" fillId="0" borderId="0" xfId="0" applyNumberFormat="1" applyFont="1" applyBorder="1"/>
    <xf numFmtId="0" fontId="3" fillId="0" borderId="0" xfId="0" applyFont="1" applyBorder="1" applyAlignment="1">
      <alignment horizontal="center"/>
    </xf>
    <xf numFmtId="5" fontId="3" fillId="0" borderId="0" xfId="0" applyNumberFormat="1" applyFont="1"/>
    <xf numFmtId="0" fontId="0" fillId="0" borderId="0" xfId="0" applyFont="1" applyFill="1" applyBorder="1"/>
    <xf numFmtId="5" fontId="3" fillId="0" borderId="0" xfId="0" applyNumberFormat="1" applyFont="1" applyFill="1"/>
    <xf numFmtId="5" fontId="10" fillId="0" borderId="0" xfId="6" applyNumberFormat="1" applyFont="1" applyBorder="1" applyAlignment="1">
      <alignment horizontal="center"/>
    </xf>
    <xf numFmtId="14" fontId="10" fillId="0" borderId="0" xfId="6" applyNumberFormat="1" applyFont="1" applyBorder="1"/>
    <xf numFmtId="0" fontId="7" fillId="0" borderId="0" xfId="6" applyFont="1" applyAlignment="1">
      <alignment horizontal="center"/>
    </xf>
    <xf numFmtId="0" fontId="7" fillId="0" borderId="0" xfId="6" applyFont="1" applyFill="1" applyAlignment="1">
      <alignment horizontal="center"/>
    </xf>
    <xf numFmtId="0" fontId="7" fillId="0" borderId="0" xfId="2" applyFont="1" applyAlignment="1">
      <alignment horizontal="center"/>
    </xf>
    <xf numFmtId="0" fontId="7" fillId="0" borderId="0" xfId="9" applyFont="1" applyAlignment="1">
      <alignment horizontal="center"/>
    </xf>
    <xf numFmtId="0" fontId="7" fillId="0" borderId="0" xfId="9" applyFont="1" applyFill="1" applyAlignment="1">
      <alignment horizontal="center"/>
    </xf>
  </cellXfs>
  <cellStyles count="16">
    <cellStyle name="Comma" xfId="15" builtinId="3"/>
    <cellStyle name="Currency" xfId="13" builtinId="4"/>
    <cellStyle name="Currency 3" xfId="8"/>
    <cellStyle name="Normal" xfId="0" builtinId="0"/>
    <cellStyle name="Normal 2" xfId="2"/>
    <cellStyle name="Normal 2 2" xfId="4"/>
    <cellStyle name="Normal 2 3" xfId="7"/>
    <cellStyle name="Normal 2 4" xfId="10"/>
    <cellStyle name="Normal 2 5" xfId="12"/>
    <cellStyle name="Normal 3" xfId="5"/>
    <cellStyle name="Normal 4" xfId="6"/>
    <cellStyle name="Normal 5" xfId="9"/>
    <cellStyle name="Normal 6" xfId="11"/>
    <cellStyle name="Normal_Exhibits" xfId="14"/>
    <cellStyle name="Percent" xfId="1" builtinId="5"/>
    <cellStyle name="Per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%20KY%20Constants_Financial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O&amp;M/KAWC%202018%20Rate%20Case%20-%20Uncollectibles%20Expense%20Exhibi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O&amp;M/KAWC%202018%20Rate%20Case%20-%20PSC%20Fees%20Exhibi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KAWC%202018%20Rate%20Case%20-%20Income%20Statemen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Rate%20Base/KAWC%202018%20Rate%20Case%20-%20Exhibit%2037%20Schedules%20B1%20-%20B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Capital%20Structure/KAWC%202018%20Rate%20Case%20-%20Capital%20Structur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Taxes/KAWC%202018%20Rate%20Case%20-%20Income%20Tax%20Exhib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 Constants"/>
      <sheetName val="Link Out WP"/>
      <sheetName val="Link Out Filing Exhibits"/>
      <sheetName val="Link Out Monthly BY"/>
      <sheetName val="Link Out Forecast"/>
      <sheetName val="Link Out North Middletown"/>
      <sheetName val="Link Out System Delivery"/>
      <sheetName val="Link Out Rev Req"/>
    </sheetNames>
    <sheetDataSet>
      <sheetData sheetId="0">
        <row r="9">
          <cell r="A9" t="str">
            <v>Company Title:</v>
          </cell>
          <cell r="C9" t="str">
            <v>Kentucky American Water Company</v>
          </cell>
        </row>
        <row r="10">
          <cell r="A10" t="str">
            <v>Company:</v>
          </cell>
          <cell r="C10" t="str">
            <v>KENTUCKY AMERICAN WATER COMPANY</v>
          </cell>
        </row>
        <row r="11">
          <cell r="A11" t="str">
            <v>PSC Case Number:</v>
          </cell>
          <cell r="C11" t="str">
            <v>Case No. 2018-00358</v>
          </cell>
        </row>
        <row r="12">
          <cell r="A12" t="str">
            <v>Base Year:</v>
          </cell>
          <cell r="C12">
            <v>43524</v>
          </cell>
        </row>
        <row r="13">
          <cell r="A13" t="str">
            <v>Forecasted Test Year:</v>
          </cell>
          <cell r="C13" t="str">
            <v>June 30, 2020</v>
          </cell>
        </row>
        <row r="14">
          <cell r="A14" t="str">
            <v>True-up Date</v>
          </cell>
          <cell r="C14" t="str">
            <v>For the 12 Months Ending June 30, 2020</v>
          </cell>
        </row>
      </sheetData>
      <sheetData sheetId="1">
        <row r="21">
          <cell r="F21" t="str">
            <v>W/P - 1-10</v>
          </cell>
        </row>
      </sheetData>
      <sheetData sheetId="2">
        <row r="5">
          <cell r="A5" t="str">
            <v>Type of Filing: __X__ Original  _____ Updated  _____ Revised</v>
          </cell>
        </row>
      </sheetData>
      <sheetData sheetId="3">
        <row r="6">
          <cell r="A6" t="str">
            <v>Line</v>
          </cell>
        </row>
      </sheetData>
      <sheetData sheetId="4">
        <row r="5">
          <cell r="C5" t="str">
            <v>Account</v>
          </cell>
        </row>
      </sheetData>
      <sheetData sheetId="5"/>
      <sheetData sheetId="6"/>
      <sheetData sheetId="7">
        <row r="16">
          <cell r="E16">
            <v>2520765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In"/>
      <sheetName val="Link Out"/>
      <sheetName val="Exhibit"/>
      <sheetName val="Summary by Account"/>
      <sheetName val="Forecast Detail"/>
      <sheetName val="Notes"/>
    </sheetNames>
    <sheetDataSet>
      <sheetData sheetId="0"/>
      <sheetData sheetId="1">
        <row r="22">
          <cell r="A22" t="str">
            <v>W/P - 3-10</v>
          </cell>
        </row>
        <row r="23">
          <cell r="A23" t="str">
            <v>O&amp;M\[KAWC 2018 Rate Case - Uncollectibles Expense Exhibit.xlsx]Exhibit</v>
          </cell>
        </row>
        <row r="27">
          <cell r="C27">
            <v>9.1410712374342465E-3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In"/>
      <sheetName val="Link Out"/>
      <sheetName val="Exhibit"/>
      <sheetName val="Summary by Account"/>
      <sheetName val="Workpaper"/>
      <sheetName val="2018 PSC Fee"/>
      <sheetName val="GL Data"/>
      <sheetName val="Notes"/>
    </sheetNames>
    <sheetDataSet>
      <sheetData sheetId="0"/>
      <sheetData sheetId="1">
        <row r="22">
          <cell r="A22" t="str">
            <v>W/P - 5-2</v>
          </cell>
        </row>
        <row r="23">
          <cell r="A23" t="str">
            <v>O&amp;M\[KAWC 2018 Rate Case - PSC Fees Exhibit.xlsx]Exhibit</v>
          </cell>
        </row>
        <row r="26">
          <cell r="C26">
            <v>2.0000000203431647E-3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In"/>
      <sheetName val="Link Out"/>
      <sheetName val="Inc Statment - SCH C.1"/>
      <sheetName val="MSFR Inc Stmt by Acct - SCH C.2"/>
      <sheetName val="MSFR IS Adjust D.1"/>
      <sheetName val="MSFR IS Adjust Support D-2"/>
      <sheetName val="D-3"/>
    </sheetNames>
    <sheetDataSet>
      <sheetData sheetId="0"/>
      <sheetData sheetId="1">
        <row r="1">
          <cell r="C1" t="str">
            <v>Exhibits\[KAWC 2018 Rate Case - Income Statement.xlsx]Inc Statment - SCH C.1</v>
          </cell>
        </row>
        <row r="7">
          <cell r="B7">
            <v>91907987</v>
          </cell>
          <cell r="D7">
            <v>88474669</v>
          </cell>
        </row>
        <row r="10">
          <cell r="B10">
            <v>34285634</v>
          </cell>
          <cell r="D10">
            <v>37805850.987251282</v>
          </cell>
        </row>
        <row r="11">
          <cell r="B11">
            <v>16275109</v>
          </cell>
          <cell r="D11">
            <v>18333501.935904205</v>
          </cell>
        </row>
        <row r="12">
          <cell r="B12">
            <v>8556</v>
          </cell>
          <cell r="D12">
            <v>24566.75499999999</v>
          </cell>
        </row>
        <row r="13">
          <cell r="B13">
            <v>267920</v>
          </cell>
          <cell r="D13">
            <v>263437.74</v>
          </cell>
        </row>
        <row r="14">
          <cell r="B14">
            <v>990115.10333669791</v>
          </cell>
          <cell r="D14">
            <v>506075.24840219237</v>
          </cell>
        </row>
        <row r="15">
          <cell r="B15">
            <v>4152972.6359339543</v>
          </cell>
          <cell r="D15">
            <v>2228346.1475115297</v>
          </cell>
        </row>
        <row r="16">
          <cell r="B16">
            <v>-78492</v>
          </cell>
          <cell r="D16">
            <v>-78492</v>
          </cell>
        </row>
        <row r="17">
          <cell r="B17">
            <v>7362427</v>
          </cell>
          <cell r="D17">
            <v>7811387</v>
          </cell>
        </row>
        <row r="20">
          <cell r="B20">
            <v>28643745.260729343</v>
          </cell>
          <cell r="D20">
            <v>21579995.185930789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Linkin"/>
      <sheetName val="ACQ- Link In"/>
      <sheetName val="Link Out"/>
      <sheetName val="UPIS Bal + Activity to Aug 2018"/>
      <sheetName val="UPIS linkin"/>
      <sheetName val="Accum depr linkin"/>
      <sheetName val="Additions linkin"/>
      <sheetName val="Retire linkin"/>
      <sheetName val="Customer Adv linkin"/>
      <sheetName val="CIAC linkin"/>
      <sheetName val="Control"/>
      <sheetName val="Sch B-1"/>
      <sheetName val="Sch B-2"/>
      <sheetName val="Sch B-3"/>
      <sheetName val="Sch B-4"/>
      <sheetName val="Sch B-5"/>
      <sheetName val="Sch B-6"/>
      <sheetName val="Sch B-7"/>
      <sheetName val="Sch B-8"/>
      <sheetName val="Deferred Taxes"/>
      <sheetName val="Additions UPIS-ACQ linkin"/>
    </sheetNames>
    <sheetDataSet>
      <sheetData sheetId="0"/>
      <sheetData sheetId="1"/>
      <sheetData sheetId="2"/>
      <sheetData sheetId="3">
        <row r="372">
          <cell r="F372">
            <v>422060036.05580378</v>
          </cell>
          <cell r="J372">
            <v>439040641.14267993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out"/>
      <sheetName val="Linkin"/>
      <sheetName val="Link In BS Projection"/>
      <sheetName val="Sch J-1"/>
      <sheetName val="Sch J-2"/>
      <sheetName val="Sch J-3"/>
      <sheetName val="Sch J-4"/>
      <sheetName val="Sch J-5"/>
      <sheetName val="Sch J WPs"/>
      <sheetName val="STD 2018 WP"/>
      <sheetName val="Unamort ITCs 2018 WP"/>
      <sheetName val="LTD Discount"/>
      <sheetName val="Notes"/>
    </sheetNames>
    <sheetDataSet>
      <sheetData sheetId="0">
        <row r="3">
          <cell r="C3">
            <v>8.1800000000000012E-2</v>
          </cell>
          <cell r="D3">
            <v>8.2699999999999996E-2</v>
          </cell>
        </row>
        <row r="39">
          <cell r="C39" t="str">
            <v>Capital Structure\[KAWC 2018 Rate Case - Capital Structure.xlsx]Sch J-1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In"/>
      <sheetName val="Link Out"/>
      <sheetName val="Exhibit"/>
      <sheetName val="Summary by Account"/>
      <sheetName val="Notes"/>
      <sheetName val="E-1.1 Federal Inc Tax Base"/>
      <sheetName val="E-1.2 State Inc Tax Base"/>
      <sheetName val="E-1.3 Federal Inc Tax Forecast"/>
      <sheetName val="E-1.4 State Inc Tax Forecast"/>
      <sheetName val="E-1.5 Summary of Income Tax Adj"/>
      <sheetName val="E-2 Jurisdictional Income Taxes"/>
    </sheetNames>
    <sheetDataSet>
      <sheetData sheetId="0"/>
      <sheetData sheetId="1">
        <row r="29">
          <cell r="A29" t="str">
            <v>W/P - 6-1</v>
          </cell>
        </row>
        <row r="30">
          <cell r="A30" t="str">
            <v>Taxes\[KAWC 2018 Rate Case - Income Tax Exhibit.xlsx]Exhibit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3"/>
  <sheetViews>
    <sheetView zoomScale="80" zoomScaleNormal="80" workbookViewId="0"/>
  </sheetViews>
  <sheetFormatPr defaultColWidth="8.88671875" defaultRowHeight="14.4" x14ac:dyDescent="0.3"/>
  <cols>
    <col min="1" max="1" width="43.109375" style="135" bestFit="1" customWidth="1"/>
    <col min="2" max="2" width="2.44140625" style="135" customWidth="1"/>
    <col min="3" max="3" width="36.88671875" style="135" bestFit="1" customWidth="1"/>
    <col min="4" max="4" width="14.88671875" style="135" bestFit="1" customWidth="1"/>
    <col min="5" max="5" width="22.5546875" style="135" bestFit="1" customWidth="1"/>
    <col min="6" max="6" width="24.88671875" style="135" bestFit="1" customWidth="1"/>
    <col min="7" max="7" width="8.88671875" style="135"/>
    <col min="8" max="9" width="14.44140625" style="135" bestFit="1" customWidth="1"/>
    <col min="10" max="16384" width="8.88671875" style="135"/>
  </cols>
  <sheetData>
    <row r="2" spans="1:3" x14ac:dyDescent="0.3">
      <c r="A2" s="135" t="str">
        <f>'[1]Rate Case Constants'!A9</f>
        <v>Company Title:</v>
      </c>
      <c r="C2" s="135" t="str">
        <f>'[1]Rate Case Constants'!C9</f>
        <v>Kentucky American Water Company</v>
      </c>
    </row>
    <row r="3" spans="1:3" x14ac:dyDescent="0.3">
      <c r="A3" s="135" t="str">
        <f>'[1]Rate Case Constants'!A10</f>
        <v>Company:</v>
      </c>
      <c r="C3" s="135" t="str">
        <f>'[1]Rate Case Constants'!C10</f>
        <v>KENTUCKY AMERICAN WATER COMPANY</v>
      </c>
    </row>
    <row r="4" spans="1:3" x14ac:dyDescent="0.3">
      <c r="A4" s="135" t="str">
        <f>'[1]Rate Case Constants'!A11</f>
        <v>PSC Case Number:</v>
      </c>
      <c r="C4" s="135" t="str">
        <f>'[1]Rate Case Constants'!C11</f>
        <v>Case No. 2018-00358</v>
      </c>
    </row>
    <row r="5" spans="1:3" x14ac:dyDescent="0.3">
      <c r="A5" s="135" t="str">
        <f>'[1]Rate Case Constants'!A12</f>
        <v>Base Year:</v>
      </c>
      <c r="C5" s="182">
        <f>'[1]Rate Case Constants'!C12</f>
        <v>43524</v>
      </c>
    </row>
    <row r="6" spans="1:3" x14ac:dyDescent="0.3">
      <c r="A6" s="135" t="str">
        <f>'[1]Rate Case Constants'!A13</f>
        <v>Forecasted Test Year:</v>
      </c>
      <c r="C6" s="135" t="str">
        <f>'[1]Rate Case Constants'!C13</f>
        <v>June 30, 2020</v>
      </c>
    </row>
    <row r="7" spans="1:3" x14ac:dyDescent="0.3">
      <c r="A7" s="135" t="str">
        <f>'[1]Rate Case Constants'!A14</f>
        <v>True-up Date</v>
      </c>
      <c r="C7" s="135" t="str">
        <f>'[1]Rate Case Constants'!C14</f>
        <v>For the 12 Months Ending June 30, 2020</v>
      </c>
    </row>
    <row r="14" spans="1:3" x14ac:dyDescent="0.3">
      <c r="A14" s="136" t="s">
        <v>40</v>
      </c>
    </row>
    <row r="16" spans="1:3" x14ac:dyDescent="0.3">
      <c r="A16" s="137" t="s">
        <v>1</v>
      </c>
      <c r="B16" s="130"/>
      <c r="C16" s="130"/>
    </row>
    <row r="17" spans="1:6" x14ac:dyDescent="0.3">
      <c r="A17" s="138" t="s">
        <v>4</v>
      </c>
      <c r="B17" s="130"/>
      <c r="C17" s="139" t="s">
        <v>5</v>
      </c>
      <c r="D17" s="140" t="s">
        <v>42</v>
      </c>
      <c r="E17" s="141" t="s">
        <v>39</v>
      </c>
    </row>
    <row r="18" spans="1:6" x14ac:dyDescent="0.3">
      <c r="A18" s="142">
        <v>2</v>
      </c>
      <c r="B18" s="130"/>
      <c r="C18" s="143" t="s">
        <v>41</v>
      </c>
      <c r="D18" s="144">
        <f>'[2]Link Out'!$C$27</f>
        <v>9.1410712374342465E-3</v>
      </c>
      <c r="E18" s="147" t="str">
        <f ca="1">'[2]Link Out'!$A$23</f>
        <v>O&amp;M\[KAWC 2018 Rate Case - Uncollectibles Expense Exhibit.xlsx]Exhibit</v>
      </c>
    </row>
    <row r="19" spans="1:6" x14ac:dyDescent="0.3">
      <c r="A19" s="142">
        <v>3</v>
      </c>
      <c r="B19" s="130"/>
      <c r="C19" s="145" t="s">
        <v>10</v>
      </c>
      <c r="D19" s="146">
        <f>'[3]Link Out'!$C$26</f>
        <v>2.0000000203431647E-3</v>
      </c>
      <c r="E19" s="147" t="str">
        <f ca="1">'[3]Link Out'!$A$23</f>
        <v>O&amp;M\[KAWC 2018 Rate Case - PSC Fees Exhibit.xlsx]Exhibit</v>
      </c>
    </row>
    <row r="20" spans="1:6" x14ac:dyDescent="0.3">
      <c r="A20" s="142">
        <v>4</v>
      </c>
      <c r="B20" s="130"/>
      <c r="C20" s="143" t="s">
        <v>7</v>
      </c>
    </row>
    <row r="21" spans="1:6" x14ac:dyDescent="0.3">
      <c r="A21" s="142">
        <v>5</v>
      </c>
      <c r="B21" s="130"/>
      <c r="C21" s="130"/>
    </row>
    <row r="22" spans="1:6" x14ac:dyDescent="0.3">
      <c r="A22" s="142">
        <v>7</v>
      </c>
      <c r="B22" s="130"/>
      <c r="C22" s="145" t="s">
        <v>125</v>
      </c>
      <c r="D22" s="147"/>
    </row>
    <row r="23" spans="1:6" x14ac:dyDescent="0.3">
      <c r="A23" s="142">
        <v>9</v>
      </c>
      <c r="B23" s="130"/>
      <c r="C23" s="130" t="s">
        <v>8</v>
      </c>
    </row>
    <row r="24" spans="1:6" x14ac:dyDescent="0.3">
      <c r="A24" s="142">
        <v>10</v>
      </c>
      <c r="B24" s="130"/>
      <c r="C24" s="130"/>
    </row>
    <row r="25" spans="1:6" x14ac:dyDescent="0.3">
      <c r="A25" s="142">
        <v>11</v>
      </c>
      <c r="B25" s="130"/>
      <c r="C25" s="148" t="s">
        <v>119</v>
      </c>
    </row>
    <row r="26" spans="1:6" x14ac:dyDescent="0.3">
      <c r="A26" s="142">
        <v>12</v>
      </c>
      <c r="B26" s="149"/>
      <c r="C26" s="130"/>
    </row>
    <row r="28" spans="1:6" x14ac:dyDescent="0.3">
      <c r="C28" s="150" t="s">
        <v>53</v>
      </c>
      <c r="D28" s="151" t="s">
        <v>52</v>
      </c>
    </row>
    <row r="29" spans="1:6" x14ac:dyDescent="0.3">
      <c r="A29" s="152" t="s">
        <v>15</v>
      </c>
      <c r="B29" s="131"/>
      <c r="C29" s="132"/>
      <c r="D29" s="153"/>
      <c r="F29" s="141" t="s">
        <v>39</v>
      </c>
    </row>
    <row r="30" spans="1:6" x14ac:dyDescent="0.3">
      <c r="A30" s="152"/>
      <c r="B30" s="131"/>
      <c r="C30" s="131"/>
      <c r="D30" s="131"/>
    </row>
    <row r="31" spans="1:6" ht="15" thickBot="1" x14ac:dyDescent="0.35">
      <c r="A31" s="154" t="s">
        <v>16</v>
      </c>
      <c r="B31" s="155"/>
      <c r="C31" s="175">
        <f>'[4]Link Out'!$B$7</f>
        <v>91907987</v>
      </c>
      <c r="D31" s="175">
        <f>'[4]Link Out'!$D$7</f>
        <v>88474669</v>
      </c>
      <c r="F31" s="135" t="s">
        <v>43</v>
      </c>
    </row>
    <row r="32" spans="1:6" ht="15" thickTop="1" x14ac:dyDescent="0.3">
      <c r="A32" s="131"/>
      <c r="B32" s="131"/>
      <c r="C32" s="176"/>
      <c r="D32" s="176"/>
    </row>
    <row r="33" spans="1:9" x14ac:dyDescent="0.3">
      <c r="A33" s="152" t="s">
        <v>17</v>
      </c>
      <c r="B33" s="131"/>
      <c r="C33" s="176"/>
      <c r="D33" s="176"/>
    </row>
    <row r="34" spans="1:9" x14ac:dyDescent="0.3">
      <c r="A34" s="131" t="s">
        <v>18</v>
      </c>
      <c r="B34" s="155"/>
      <c r="C34" s="176">
        <f>'[4]Link Out'!B10</f>
        <v>34285634</v>
      </c>
      <c r="D34" s="177">
        <f>'[4]Link Out'!D10</f>
        <v>37805850.987251282</v>
      </c>
      <c r="F34" s="135" t="s">
        <v>43</v>
      </c>
    </row>
    <row r="35" spans="1:9" x14ac:dyDescent="0.3">
      <c r="A35" s="131" t="s">
        <v>19</v>
      </c>
      <c r="B35" s="156"/>
      <c r="C35" s="176">
        <f>'[4]Link Out'!B11</f>
        <v>16275109</v>
      </c>
      <c r="D35" s="177">
        <f>'[4]Link Out'!D11</f>
        <v>18333501.935904205</v>
      </c>
      <c r="F35" s="135" t="s">
        <v>43</v>
      </c>
    </row>
    <row r="36" spans="1:9" x14ac:dyDescent="0.3">
      <c r="A36" s="131" t="s">
        <v>61</v>
      </c>
      <c r="B36" s="156"/>
      <c r="C36" s="176">
        <f>'[4]Link Out'!B12</f>
        <v>8556</v>
      </c>
      <c r="D36" s="177">
        <f>'[4]Link Out'!D12</f>
        <v>24566.75499999999</v>
      </c>
      <c r="F36" s="135" t="s">
        <v>43</v>
      </c>
    </row>
    <row r="37" spans="1:9" x14ac:dyDescent="0.3">
      <c r="A37" s="131" t="s">
        <v>60</v>
      </c>
      <c r="B37" s="156"/>
      <c r="C37" s="176">
        <f>'[4]Link Out'!B13</f>
        <v>267920</v>
      </c>
      <c r="D37" s="177">
        <f>'[4]Link Out'!D13</f>
        <v>263437.74</v>
      </c>
    </row>
    <row r="38" spans="1:9" x14ac:dyDescent="0.3">
      <c r="A38" s="131" t="s">
        <v>21</v>
      </c>
      <c r="B38" s="156"/>
      <c r="C38" s="183">
        <f>'[4]Link Out'!B14</f>
        <v>990115.10333669791</v>
      </c>
      <c r="D38" s="177">
        <f>'[4]Link Out'!D14</f>
        <v>506075.24840219237</v>
      </c>
      <c r="F38" s="135" t="s">
        <v>43</v>
      </c>
    </row>
    <row r="39" spans="1:9" x14ac:dyDescent="0.3">
      <c r="A39" s="131" t="s">
        <v>22</v>
      </c>
      <c r="B39" s="156"/>
      <c r="C39" s="183">
        <f>'[4]Link Out'!B15</f>
        <v>4152972.6359339543</v>
      </c>
      <c r="D39" s="177">
        <f>'[4]Link Out'!D15</f>
        <v>2228346.1475115297</v>
      </c>
      <c r="F39" s="135" t="s">
        <v>43</v>
      </c>
    </row>
    <row r="40" spans="1:9" x14ac:dyDescent="0.3">
      <c r="A40" s="131" t="s">
        <v>54</v>
      </c>
      <c r="B40" s="156"/>
      <c r="C40" s="183">
        <f>'[4]Link Out'!B16</f>
        <v>-78492</v>
      </c>
      <c r="D40" s="177">
        <f>'[4]Link Out'!D16</f>
        <v>-78492</v>
      </c>
    </row>
    <row r="41" spans="1:9" x14ac:dyDescent="0.3">
      <c r="A41" s="131" t="s">
        <v>29</v>
      </c>
      <c r="B41" s="156"/>
      <c r="C41" s="178">
        <f>'[4]Link Out'!B17</f>
        <v>7362427</v>
      </c>
      <c r="D41" s="179">
        <f>'[4]Link Out'!D17</f>
        <v>7811387</v>
      </c>
      <c r="F41" s="135" t="s">
        <v>43</v>
      </c>
      <c r="H41" s="176"/>
      <c r="I41" s="176"/>
    </row>
    <row r="42" spans="1:9" x14ac:dyDescent="0.3">
      <c r="A42" s="157" t="s">
        <v>23</v>
      </c>
      <c r="B42" s="155"/>
      <c r="C42" s="176">
        <f>SUM(C34:C41)</f>
        <v>63264241.739270657</v>
      </c>
      <c r="D42" s="176">
        <f>SUM(D34:D41)</f>
        <v>66894673.814069211</v>
      </c>
      <c r="F42" s="135" t="s">
        <v>43</v>
      </c>
    </row>
    <row r="43" spans="1:9" x14ac:dyDescent="0.3">
      <c r="A43" s="131"/>
      <c r="B43" s="131"/>
      <c r="C43" s="176"/>
      <c r="D43" s="177"/>
      <c r="F43" s="135" t="s">
        <v>43</v>
      </c>
    </row>
    <row r="44" spans="1:9" x14ac:dyDescent="0.3">
      <c r="A44" s="158" t="s">
        <v>24</v>
      </c>
      <c r="B44" s="155"/>
      <c r="C44" s="176">
        <f>'[4]Link Out'!$B$20</f>
        <v>28643745.260729343</v>
      </c>
      <c r="D44" s="177">
        <f>'[4]Link Out'!$D$20</f>
        <v>21579995.185930789</v>
      </c>
      <c r="F44" s="135" t="s">
        <v>43</v>
      </c>
    </row>
    <row r="45" spans="1:9" x14ac:dyDescent="0.3">
      <c r="A45" s="158"/>
      <c r="B45" s="155"/>
      <c r="C45" s="155"/>
      <c r="D45" s="159"/>
    </row>
    <row r="46" spans="1:9" x14ac:dyDescent="0.3">
      <c r="A46" s="160"/>
      <c r="B46" s="151"/>
      <c r="C46" s="151"/>
      <c r="D46" s="160"/>
    </row>
    <row r="47" spans="1:9" x14ac:dyDescent="0.3">
      <c r="A47" s="160"/>
      <c r="B47" s="160"/>
      <c r="C47" s="160"/>
      <c r="D47" s="160"/>
    </row>
    <row r="48" spans="1:9" x14ac:dyDescent="0.3">
      <c r="A48" s="160"/>
      <c r="B48" s="151"/>
      <c r="C48" s="150"/>
      <c r="D48" s="151" t="s">
        <v>52</v>
      </c>
    </row>
    <row r="49" spans="1:6" x14ac:dyDescent="0.3">
      <c r="A49" s="161" t="s">
        <v>25</v>
      </c>
      <c r="B49" s="160"/>
      <c r="C49" s="140" t="s">
        <v>53</v>
      </c>
      <c r="D49" s="153" t="s">
        <v>14</v>
      </c>
    </row>
    <row r="50" spans="1:6" x14ac:dyDescent="0.3">
      <c r="A50" s="160"/>
      <c r="B50" s="160"/>
      <c r="C50" s="160"/>
      <c r="D50" s="160"/>
    </row>
    <row r="51" spans="1:6" x14ac:dyDescent="0.3">
      <c r="A51" s="131" t="s">
        <v>26</v>
      </c>
      <c r="B51" s="131"/>
      <c r="C51" s="176">
        <f>'[5]Link Out'!$F$372</f>
        <v>422060036.05580378</v>
      </c>
      <c r="D51" s="176">
        <f>'[5]Link Out'!$J$372</f>
        <v>439040641.14267993</v>
      </c>
      <c r="F51" s="170" t="s">
        <v>120</v>
      </c>
    </row>
    <row r="52" spans="1:6" x14ac:dyDescent="0.3">
      <c r="A52" s="131" t="s">
        <v>27</v>
      </c>
      <c r="B52" s="133"/>
      <c r="C52" s="134">
        <f>[6]Linkout!$C$3</f>
        <v>8.1800000000000012E-2</v>
      </c>
      <c r="D52" s="162">
        <f>[6]Linkout!$D$3</f>
        <v>8.2699999999999996E-2</v>
      </c>
      <c r="F52" s="163" t="str">
        <f ca="1">[6]Linkout!$C$39</f>
        <v>Capital Structure\[KAWC 2018 Rate Case - Capital Structure.xlsx]Sch J-1</v>
      </c>
    </row>
    <row r="59" spans="1:6" x14ac:dyDescent="0.3">
      <c r="A59" s="147" t="s">
        <v>83</v>
      </c>
      <c r="B59" s="147"/>
      <c r="C59" s="147" t="str">
        <f ca="1">'[4]Link Out'!$C$1</f>
        <v>Exhibits\[KAWC 2018 Rate Case - Income Statement.xlsx]Inc Statment - SCH C.1</v>
      </c>
      <c r="D59" s="147"/>
    </row>
    <row r="60" spans="1:6" x14ac:dyDescent="0.3">
      <c r="A60" s="147" t="s">
        <v>89</v>
      </c>
      <c r="B60" s="147"/>
      <c r="C60" s="147" t="str">
        <f>'[2]Link Out'!$A$22</f>
        <v>W/P - 3-10</v>
      </c>
      <c r="D60" s="147" t="str">
        <f ca="1">'[2]Link Out'!$A$23</f>
        <v>O&amp;M\[KAWC 2018 Rate Case - Uncollectibles Expense Exhibit.xlsx]Exhibit</v>
      </c>
    </row>
    <row r="61" spans="1:6" x14ac:dyDescent="0.3">
      <c r="A61" s="147" t="s">
        <v>88</v>
      </c>
      <c r="B61" s="147"/>
      <c r="C61" s="147" t="str">
        <f>'[3]Link Out'!$A$22</f>
        <v>W/P - 5-2</v>
      </c>
      <c r="D61" s="147" t="str">
        <f ca="1">'[3]Link Out'!$A$23</f>
        <v>O&amp;M\[KAWC 2018 Rate Case - PSC Fees Exhibit.xlsx]Exhibit</v>
      </c>
    </row>
    <row r="62" spans="1:6" x14ac:dyDescent="0.3">
      <c r="A62" s="147" t="s">
        <v>49</v>
      </c>
      <c r="B62" s="147"/>
      <c r="C62" s="147" t="str">
        <f>'[7]Link Out'!$A$29</f>
        <v>W/P - 6-1</v>
      </c>
      <c r="D62" s="147" t="str">
        <f ca="1">'[7]Link Out'!$A$30</f>
        <v>Taxes\[KAWC 2018 Rate Case - Income Tax Exhibit.xlsx]Exhibit</v>
      </c>
      <c r="E62" s="147"/>
    </row>
    <row r="63" spans="1:6" x14ac:dyDescent="0.3">
      <c r="A63" s="147" t="s">
        <v>50</v>
      </c>
      <c r="B63" s="147"/>
      <c r="C63" s="147" t="str">
        <f>'[7]Link Out'!$A$29</f>
        <v>W/P - 6-1</v>
      </c>
      <c r="D63" s="147" t="str">
        <f ca="1">'[7]Link Out'!$A$30</f>
        <v>Taxes\[KAWC 2018 Rate Case - Income Tax Exhibit.xlsx]Exhibit</v>
      </c>
      <c r="E63" s="147"/>
    </row>
  </sheetData>
  <pageMargins left="0.7" right="0.7" top="0.75" bottom="0.75" header="0.3" footer="0.3"/>
  <pageSetup scale="54" orientation="landscape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/>
  </sheetViews>
  <sheetFormatPr defaultRowHeight="14.4" x14ac:dyDescent="0.3"/>
  <cols>
    <col min="1" max="1" width="20.109375" bestFit="1" customWidth="1"/>
    <col min="2" max="2" width="27" bestFit="1" customWidth="1"/>
    <col min="3" max="3" width="40.5546875" bestFit="1" customWidth="1"/>
  </cols>
  <sheetData>
    <row r="1" spans="1:5" x14ac:dyDescent="0.3">
      <c r="A1" s="1" t="s">
        <v>59</v>
      </c>
    </row>
    <row r="2" spans="1:5" x14ac:dyDescent="0.3">
      <c r="B2" s="2" t="s">
        <v>47</v>
      </c>
      <c r="E2" t="s">
        <v>126</v>
      </c>
    </row>
    <row r="4" spans="1:5" x14ac:dyDescent="0.3">
      <c r="A4" t="s">
        <v>51</v>
      </c>
      <c r="B4" s="184">
        <f>'Rev Requirement - SCH A'!F48</f>
        <v>19846246.132661626</v>
      </c>
      <c r="E4" s="190">
        <f>'Rev Requirement - SCH A'!F50</f>
        <v>0.22431557367749666</v>
      </c>
    </row>
    <row r="5" spans="1:5" x14ac:dyDescent="0.3">
      <c r="B5" s="185"/>
    </row>
    <row r="6" spans="1:5" x14ac:dyDescent="0.3">
      <c r="A6" t="s">
        <v>124</v>
      </c>
      <c r="B6" s="185">
        <f>'Proposed Rate Adjustments'!D22</f>
        <v>181418.22149648928</v>
      </c>
      <c r="C6" t="s">
        <v>58</v>
      </c>
    </row>
    <row r="7" spans="1:5" x14ac:dyDescent="0.3">
      <c r="A7" t="s">
        <v>48</v>
      </c>
      <c r="B7" s="185">
        <f>'Proposed Rate Adjustments'!D23</f>
        <v>39691.952776495644</v>
      </c>
      <c r="C7" t="s">
        <v>58</v>
      </c>
    </row>
    <row r="8" spans="1:5" x14ac:dyDescent="0.3">
      <c r="A8" t="s">
        <v>49</v>
      </c>
      <c r="B8" s="185">
        <f>'Proposed Rate Adjustments'!D24</f>
        <v>981255.08113342291</v>
      </c>
      <c r="C8" t="s">
        <v>58</v>
      </c>
    </row>
    <row r="9" spans="1:5" x14ac:dyDescent="0.3">
      <c r="A9" t="s">
        <v>50</v>
      </c>
      <c r="B9" s="185">
        <f>'Proposed Rate Adjustments'!D25</f>
        <v>3915215.0406863778</v>
      </c>
      <c r="C9" t="s">
        <v>58</v>
      </c>
    </row>
    <row r="11" spans="1:5" x14ac:dyDescent="0.3">
      <c r="A11" t="s">
        <v>70</v>
      </c>
      <c r="C11" s="4">
        <f>'Rev Conversion Factor - SCH H'!D31</f>
        <v>1.347457152798367</v>
      </c>
    </row>
    <row r="13" spans="1:5" x14ac:dyDescent="0.3">
      <c r="B13" s="8" t="s">
        <v>80</v>
      </c>
      <c r="C13" s="8" t="s">
        <v>81</v>
      </c>
    </row>
    <row r="14" spans="1:5" x14ac:dyDescent="0.3">
      <c r="A14" t="s">
        <v>82</v>
      </c>
      <c r="B14" t="str">
        <f>'Rev Requirement - SCH A'!H1</f>
        <v>Exhibit 37, Schedule A</v>
      </c>
      <c r="C14" t="str">
        <f ca="1">'Rev Requirement - SCH A'!H11</f>
        <v>Exhibits\[KAWC 2018 Rate Case - Revenue Requirement and Conversion Factor.xlsx]Rev Requirement - SCH A</v>
      </c>
    </row>
    <row r="15" spans="1:5" x14ac:dyDescent="0.3">
      <c r="A15" t="s">
        <v>2</v>
      </c>
      <c r="B15" t="str">
        <f>'Rev Conversion Factor - SCH H'!G1</f>
        <v>Exhibit 37, Schedule H</v>
      </c>
    </row>
  </sheetData>
  <pageMargins left="0.7" right="0.7" top="0.75" bottom="0.75" header="0.3" footer="0.3"/>
  <pageSetup orientation="landscape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5"/>
  <sheetViews>
    <sheetView tabSelected="1" zoomScale="80" zoomScaleNormal="80" workbookViewId="0"/>
  </sheetViews>
  <sheetFormatPr defaultColWidth="9.109375" defaultRowHeight="14.4" x14ac:dyDescent="0.3"/>
  <cols>
    <col min="1" max="1" width="7.44140625" style="5" customWidth="1"/>
    <col min="2" max="2" width="59.33203125" style="5" customWidth="1"/>
    <col min="3" max="3" width="1.5546875" style="5" hidden="1" customWidth="1"/>
    <col min="4" max="4" width="21.5546875" style="5" hidden="1" customWidth="1"/>
    <col min="5" max="5" width="18.5546875" style="5" customWidth="1"/>
    <col min="6" max="6" width="19.109375" style="7" customWidth="1"/>
    <col min="7" max="7" width="21.5546875" style="187" customWidth="1"/>
    <col min="8" max="8" width="70.44140625" style="5" customWidth="1"/>
    <col min="9" max="16384" width="9.109375" style="5"/>
  </cols>
  <sheetData>
    <row r="1" spans="1:8" x14ac:dyDescent="0.3">
      <c r="A1" s="62"/>
      <c r="B1" s="78"/>
      <c r="C1" s="78"/>
      <c r="D1" s="78"/>
      <c r="E1" s="78"/>
      <c r="F1" s="79"/>
      <c r="H1" s="80" t="s">
        <v>78</v>
      </c>
    </row>
    <row r="2" spans="1:8" hidden="1" x14ac:dyDescent="0.3">
      <c r="A2" s="62"/>
      <c r="B2" s="78"/>
      <c r="C2" s="78"/>
      <c r="D2" s="78"/>
      <c r="E2" s="78"/>
      <c r="F2" s="9"/>
      <c r="H2" s="81" t="str">
        <f ca="1">RIGHT(CELL("filename",$A$1),LEN(CELL("filename",$A$1))-SEARCH("\Exhibits",CELL("filename",$A$1),1))</f>
        <v>Exhibits\[KAWC 2018 Rate Case - Revenue Requirement and Conversion Factor.xlsx]Rev Requirement - SCH A</v>
      </c>
    </row>
    <row r="3" spans="1:8" hidden="1" x14ac:dyDescent="0.3">
      <c r="A3" s="78"/>
      <c r="B3" s="78"/>
      <c r="C3" s="78"/>
      <c r="D3" s="78"/>
      <c r="E3" s="78"/>
      <c r="F3" s="79"/>
      <c r="H3" s="82" t="s">
        <v>98</v>
      </c>
    </row>
    <row r="4" spans="1:8" x14ac:dyDescent="0.3">
      <c r="H4" s="79"/>
    </row>
    <row r="5" spans="1:8" x14ac:dyDescent="0.3">
      <c r="A5" s="201" t="str">
        <f>'Link In'!C2</f>
        <v>Kentucky American Water Company</v>
      </c>
      <c r="B5" s="201"/>
      <c r="C5" s="201"/>
      <c r="D5" s="201"/>
      <c r="E5" s="201"/>
      <c r="F5" s="201"/>
      <c r="G5" s="201"/>
      <c r="H5" s="201"/>
    </row>
    <row r="6" spans="1:8" x14ac:dyDescent="0.3">
      <c r="A6" s="202" t="str">
        <f>'Link In'!C4</f>
        <v>Case No. 2018-00358</v>
      </c>
      <c r="B6" s="202"/>
      <c r="C6" s="202"/>
      <c r="D6" s="202"/>
      <c r="E6" s="202"/>
      <c r="F6" s="202"/>
      <c r="G6" s="202"/>
      <c r="H6" s="202"/>
    </row>
    <row r="7" spans="1:8" x14ac:dyDescent="0.3">
      <c r="A7" s="202" t="s">
        <v>97</v>
      </c>
      <c r="B7" s="202"/>
      <c r="C7" s="202"/>
      <c r="D7" s="202"/>
      <c r="E7" s="202"/>
      <c r="F7" s="202"/>
      <c r="G7" s="202"/>
      <c r="H7" s="202"/>
    </row>
    <row r="8" spans="1:8" x14ac:dyDescent="0.3">
      <c r="A8" s="201"/>
      <c r="B8" s="201"/>
      <c r="C8" s="201"/>
      <c r="D8" s="201"/>
      <c r="E8" s="201"/>
      <c r="F8" s="201"/>
      <c r="G8" s="201"/>
      <c r="H8" s="201"/>
    </row>
    <row r="9" spans="1:8" x14ac:dyDescent="0.3">
      <c r="A9" s="201"/>
      <c r="B9" s="201"/>
      <c r="C9" s="201"/>
      <c r="D9" s="201"/>
      <c r="E9" s="201"/>
      <c r="F9" s="201"/>
      <c r="G9" s="201"/>
      <c r="H9" s="201"/>
    </row>
    <row r="10" spans="1:8" x14ac:dyDescent="0.3">
      <c r="A10" s="83"/>
      <c r="B10" s="83"/>
      <c r="C10" s="83"/>
      <c r="D10" s="83"/>
      <c r="E10" s="83"/>
      <c r="F10" s="84"/>
      <c r="H10" s="21" t="s">
        <v>78</v>
      </c>
    </row>
    <row r="11" spans="1:8" x14ac:dyDescent="0.3">
      <c r="A11" s="18" t="s">
        <v>113</v>
      </c>
      <c r="B11" s="85"/>
      <c r="C11" s="83"/>
      <c r="D11" s="83"/>
      <c r="E11" s="83"/>
      <c r="F11" s="84"/>
      <c r="H11" s="86" t="str">
        <f ca="1">RIGHT(CELL("filename",$A$1),LEN(CELL("filename",$A$1))-SEARCH("\Exhibits",CELL("filename",$A$1),1))</f>
        <v>Exhibits\[KAWC 2018 Rate Case - Revenue Requirement and Conversion Factor.xlsx]Rev Requirement - SCH A</v>
      </c>
    </row>
    <row r="12" spans="1:8" x14ac:dyDescent="0.3">
      <c r="A12" s="19" t="s">
        <v>114</v>
      </c>
      <c r="B12" s="78"/>
      <c r="C12" s="78"/>
      <c r="D12" s="87"/>
      <c r="E12" s="88"/>
      <c r="F12" s="89"/>
      <c r="H12" s="21" t="s">
        <v>123</v>
      </c>
    </row>
    <row r="13" spans="1:8" x14ac:dyDescent="0.3">
      <c r="A13" s="90"/>
      <c r="B13" s="78"/>
      <c r="C13" s="78"/>
      <c r="D13" s="87" t="s">
        <v>109</v>
      </c>
      <c r="E13" s="88" t="s">
        <v>53</v>
      </c>
      <c r="F13" s="89" t="s">
        <v>106</v>
      </c>
      <c r="G13" s="186" t="s">
        <v>109</v>
      </c>
    </row>
    <row r="14" spans="1:8" x14ac:dyDescent="0.3">
      <c r="A14" s="91" t="s">
        <v>111</v>
      </c>
      <c r="B14" s="92"/>
      <c r="C14" s="90"/>
      <c r="D14" s="93" t="s">
        <v>72</v>
      </c>
      <c r="E14" s="94" t="s">
        <v>121</v>
      </c>
      <c r="F14" s="95" t="s">
        <v>122</v>
      </c>
      <c r="G14" s="91" t="s">
        <v>72</v>
      </c>
      <c r="H14" s="3" t="s">
        <v>84</v>
      </c>
    </row>
    <row r="15" spans="1:8" x14ac:dyDescent="0.3">
      <c r="A15" s="96">
        <v>1</v>
      </c>
      <c r="B15" s="90"/>
      <c r="C15" s="90"/>
      <c r="D15" s="97"/>
      <c r="E15" s="90"/>
      <c r="F15" s="98"/>
    </row>
    <row r="16" spans="1:8" x14ac:dyDescent="0.3">
      <c r="A16" s="96">
        <v>2</v>
      </c>
      <c r="B16" s="63" t="s">
        <v>15</v>
      </c>
      <c r="C16" s="99"/>
      <c r="D16" s="100"/>
      <c r="E16" s="78"/>
      <c r="F16" s="101"/>
    </row>
    <row r="17" spans="1:8" x14ac:dyDescent="0.3">
      <c r="A17" s="96">
        <v>3</v>
      </c>
      <c r="B17" s="99"/>
      <c r="C17" s="99"/>
      <c r="D17" s="100"/>
      <c r="E17" s="78"/>
      <c r="F17" s="101"/>
      <c r="G17" s="102"/>
    </row>
    <row r="18" spans="1:8" ht="15" thickBot="1" x14ac:dyDescent="0.35">
      <c r="A18" s="96">
        <v>4</v>
      </c>
      <c r="B18" s="103" t="s">
        <v>16</v>
      </c>
      <c r="C18" s="62"/>
      <c r="D18" s="104" t="s">
        <v>73</v>
      </c>
      <c r="E18" s="164">
        <f>'Link In'!C31</f>
        <v>91907987</v>
      </c>
      <c r="F18" s="164">
        <f>'Link In'!D31</f>
        <v>88474669</v>
      </c>
      <c r="G18" s="106" t="s">
        <v>73</v>
      </c>
      <c r="H18" s="5" t="str">
        <f ca="1">'Link In'!C59</f>
        <v>Exhibits\[KAWC 2018 Rate Case - Income Statement.xlsx]Inc Statment - SCH C.1</v>
      </c>
    </row>
    <row r="19" spans="1:8" ht="15" thickTop="1" x14ac:dyDescent="0.3">
      <c r="A19" s="96">
        <v>5</v>
      </c>
      <c r="B19" s="107"/>
      <c r="C19" s="78"/>
      <c r="D19" s="104"/>
      <c r="E19" s="78"/>
      <c r="F19" s="101"/>
      <c r="G19" s="106"/>
    </row>
    <row r="20" spans="1:8" x14ac:dyDescent="0.3">
      <c r="A20" s="96">
        <v>6</v>
      </c>
      <c r="B20" s="108" t="s">
        <v>17</v>
      </c>
      <c r="C20" s="99"/>
      <c r="D20" s="109"/>
      <c r="E20" s="78"/>
      <c r="F20" s="101"/>
      <c r="G20" s="110"/>
    </row>
    <row r="21" spans="1:8" x14ac:dyDescent="0.3">
      <c r="A21" s="96">
        <v>7</v>
      </c>
      <c r="B21" s="107" t="s">
        <v>63</v>
      </c>
      <c r="C21" s="78"/>
      <c r="D21" s="104" t="s">
        <v>73</v>
      </c>
      <c r="E21" s="166">
        <f>'Link In'!C34</f>
        <v>34285634</v>
      </c>
      <c r="F21" s="167">
        <f>'Link In'!D34</f>
        <v>37805850.987251282</v>
      </c>
      <c r="G21" s="106" t="s">
        <v>73</v>
      </c>
      <c r="H21" s="5" t="str">
        <f ca="1">'Link In'!C$59</f>
        <v>Exhibits\[KAWC 2018 Rate Case - Income Statement.xlsx]Inc Statment - SCH C.1</v>
      </c>
    </row>
    <row r="22" spans="1:8" x14ac:dyDescent="0.3">
      <c r="A22" s="96">
        <v>8</v>
      </c>
      <c r="B22" s="107" t="s">
        <v>34</v>
      </c>
      <c r="C22" s="78"/>
      <c r="D22" s="104" t="s">
        <v>73</v>
      </c>
      <c r="E22" s="112">
        <f>'Link In'!C35</f>
        <v>16275109</v>
      </c>
      <c r="F22" s="113">
        <f>'Link In'!D35</f>
        <v>18333501.935904205</v>
      </c>
      <c r="G22" s="106" t="s">
        <v>73</v>
      </c>
      <c r="H22" s="5" t="str">
        <f ca="1">'Link In'!C$59</f>
        <v>Exhibits\[KAWC 2018 Rate Case - Income Statement.xlsx]Inc Statment - SCH C.1</v>
      </c>
    </row>
    <row r="23" spans="1:8" x14ac:dyDescent="0.3">
      <c r="A23" s="96">
        <v>9</v>
      </c>
      <c r="B23" s="107" t="s">
        <v>62</v>
      </c>
      <c r="C23" s="78"/>
      <c r="D23" s="104" t="s">
        <v>73</v>
      </c>
      <c r="E23" s="112">
        <f>'Link In'!C36</f>
        <v>8556</v>
      </c>
      <c r="F23" s="113">
        <f>'Link In'!D36</f>
        <v>24566.75499999999</v>
      </c>
      <c r="G23" s="106" t="s">
        <v>73</v>
      </c>
      <c r="H23" s="5" t="str">
        <f ca="1">'Link In'!C$59</f>
        <v>Exhibits\[KAWC 2018 Rate Case - Income Statement.xlsx]Inc Statment - SCH C.1</v>
      </c>
    </row>
    <row r="24" spans="1:8" x14ac:dyDescent="0.3">
      <c r="A24" s="96">
        <v>10</v>
      </c>
      <c r="B24" s="107" t="s">
        <v>60</v>
      </c>
      <c r="C24" s="78"/>
      <c r="D24" s="104" t="s">
        <v>73</v>
      </c>
      <c r="E24" s="112">
        <f>'Link In'!C37</f>
        <v>267920</v>
      </c>
      <c r="F24" s="113">
        <f>'Link In'!D37</f>
        <v>263437.74</v>
      </c>
      <c r="G24" s="106" t="s">
        <v>73</v>
      </c>
      <c r="H24" s="5" t="str">
        <f ca="1">'Link In'!C$59</f>
        <v>Exhibits\[KAWC 2018 Rate Case - Income Statement.xlsx]Inc Statment - SCH C.1</v>
      </c>
    </row>
    <row r="25" spans="1:8" x14ac:dyDescent="0.3">
      <c r="A25" s="96">
        <v>11</v>
      </c>
      <c r="B25" s="107" t="s">
        <v>30</v>
      </c>
      <c r="C25" s="78"/>
      <c r="D25" s="104" t="s">
        <v>73</v>
      </c>
      <c r="E25" s="112">
        <f>'Link In'!C38</f>
        <v>990115.10333669791</v>
      </c>
      <c r="F25" s="113">
        <f>'Link In'!D38</f>
        <v>506075.24840219237</v>
      </c>
      <c r="G25" s="106" t="s">
        <v>73</v>
      </c>
      <c r="H25" s="5" t="str">
        <f ca="1">'Link In'!C$59</f>
        <v>Exhibits\[KAWC 2018 Rate Case - Income Statement.xlsx]Inc Statment - SCH C.1</v>
      </c>
    </row>
    <row r="26" spans="1:8" x14ac:dyDescent="0.3">
      <c r="A26" s="96">
        <v>12</v>
      </c>
      <c r="B26" s="107" t="s">
        <v>31</v>
      </c>
      <c r="C26" s="78"/>
      <c r="D26" s="104" t="s">
        <v>73</v>
      </c>
      <c r="E26" s="112">
        <f>'Link In'!C39</f>
        <v>4152972.6359339543</v>
      </c>
      <c r="F26" s="113">
        <f>'Link In'!D39</f>
        <v>2228346.1475115297</v>
      </c>
      <c r="G26" s="106" t="s">
        <v>73</v>
      </c>
      <c r="H26" s="5" t="str">
        <f ca="1">'Link In'!C$59</f>
        <v>Exhibits\[KAWC 2018 Rate Case - Income Statement.xlsx]Inc Statment - SCH C.1</v>
      </c>
    </row>
    <row r="27" spans="1:8" x14ac:dyDescent="0.3">
      <c r="A27" s="96">
        <v>13</v>
      </c>
      <c r="B27" s="107" t="s">
        <v>54</v>
      </c>
      <c r="C27" s="78"/>
      <c r="D27" s="104" t="s">
        <v>73</v>
      </c>
      <c r="E27" s="112">
        <f>'Link In'!C40</f>
        <v>-78492</v>
      </c>
      <c r="F27" s="113">
        <f>'Link In'!D40</f>
        <v>-78492</v>
      </c>
      <c r="G27" s="106" t="s">
        <v>73</v>
      </c>
      <c r="H27" s="5" t="str">
        <f ca="1">'Link In'!C$59</f>
        <v>Exhibits\[KAWC 2018 Rate Case - Income Statement.xlsx]Inc Statment - SCH C.1</v>
      </c>
    </row>
    <row r="28" spans="1:8" x14ac:dyDescent="0.3">
      <c r="A28" s="96">
        <v>14</v>
      </c>
      <c r="B28" s="114" t="s">
        <v>20</v>
      </c>
      <c r="C28" s="115"/>
      <c r="D28" s="104" t="s">
        <v>73</v>
      </c>
      <c r="E28" s="112">
        <f>'Link In'!C41</f>
        <v>7362427</v>
      </c>
      <c r="F28" s="113">
        <f>'Link In'!D41</f>
        <v>7811387</v>
      </c>
      <c r="G28" s="106" t="s">
        <v>73</v>
      </c>
      <c r="H28" s="5" t="str">
        <f ca="1">'Link In'!C$59</f>
        <v>Exhibits\[KAWC 2018 Rate Case - Income Statement.xlsx]Inc Statment - SCH C.1</v>
      </c>
    </row>
    <row r="29" spans="1:8" ht="15" thickBot="1" x14ac:dyDescent="0.35">
      <c r="A29" s="96">
        <v>15</v>
      </c>
      <c r="B29" s="66" t="s">
        <v>76</v>
      </c>
      <c r="C29" s="116"/>
      <c r="D29" s="104"/>
      <c r="E29" s="165">
        <f>SUM(E21:E28)</f>
        <v>63264241.739270657</v>
      </c>
      <c r="F29" s="165">
        <f>SUM(F21:F28)</f>
        <v>66894673.814069211</v>
      </c>
      <c r="G29" s="106"/>
    </row>
    <row r="30" spans="1:8" ht="15" thickTop="1" x14ac:dyDescent="0.3">
      <c r="A30" s="96">
        <v>16</v>
      </c>
      <c r="B30" s="78"/>
      <c r="C30" s="78"/>
      <c r="D30" s="104"/>
      <c r="E30" s="78"/>
      <c r="F30" s="101"/>
      <c r="G30" s="106"/>
    </row>
    <row r="31" spans="1:8" ht="15" thickBot="1" x14ac:dyDescent="0.35">
      <c r="A31" s="96">
        <v>17</v>
      </c>
      <c r="B31" s="66" t="s">
        <v>105</v>
      </c>
      <c r="C31" s="66"/>
      <c r="D31" s="104"/>
      <c r="E31" s="164">
        <f>E18-E29</f>
        <v>28643745.260729343</v>
      </c>
      <c r="F31" s="164">
        <f>F18-F29</f>
        <v>21579995.185930789</v>
      </c>
      <c r="G31" s="106"/>
    </row>
    <row r="32" spans="1:8" ht="15" thickTop="1" x14ac:dyDescent="0.3">
      <c r="A32" s="96">
        <v>18</v>
      </c>
      <c r="B32" s="66"/>
      <c r="C32" s="66"/>
      <c r="D32" s="87"/>
      <c r="E32" s="105"/>
      <c r="F32" s="111"/>
      <c r="G32" s="186"/>
    </row>
    <row r="33" spans="1:8" x14ac:dyDescent="0.3">
      <c r="A33" s="96">
        <v>19</v>
      </c>
      <c r="B33" s="66"/>
      <c r="C33" s="66"/>
      <c r="D33" s="87"/>
      <c r="E33" s="88"/>
      <c r="F33" s="89"/>
      <c r="G33" s="186"/>
    </row>
    <row r="34" spans="1:8" x14ac:dyDescent="0.3">
      <c r="A34" s="96">
        <v>20</v>
      </c>
      <c r="B34" s="90"/>
      <c r="C34" s="90"/>
      <c r="D34" s="87" t="s">
        <v>109</v>
      </c>
      <c r="E34" s="88" t="s">
        <v>53</v>
      </c>
      <c r="F34" s="89" t="s">
        <v>106</v>
      </c>
      <c r="G34" s="186" t="s">
        <v>109</v>
      </c>
    </row>
    <row r="35" spans="1:8" x14ac:dyDescent="0.3">
      <c r="A35" s="96">
        <v>21</v>
      </c>
      <c r="B35" s="92" t="s">
        <v>25</v>
      </c>
      <c r="C35" s="90"/>
      <c r="D35" s="93" t="s">
        <v>72</v>
      </c>
      <c r="E35" s="94" t="s">
        <v>121</v>
      </c>
      <c r="F35" s="95" t="s">
        <v>122</v>
      </c>
      <c r="G35" s="91" t="s">
        <v>72</v>
      </c>
      <c r="H35" s="3" t="s">
        <v>84</v>
      </c>
    </row>
    <row r="36" spans="1:8" x14ac:dyDescent="0.3">
      <c r="A36" s="96">
        <v>22</v>
      </c>
      <c r="B36" s="90"/>
      <c r="C36" s="90"/>
      <c r="D36" s="97"/>
      <c r="E36" s="90"/>
      <c r="F36" s="98"/>
      <c r="G36" s="90"/>
    </row>
    <row r="37" spans="1:8" x14ac:dyDescent="0.3">
      <c r="A37" s="96">
        <v>23</v>
      </c>
      <c r="B37" s="107" t="s">
        <v>26</v>
      </c>
      <c r="C37" s="78"/>
      <c r="D37" s="104" t="s">
        <v>74</v>
      </c>
      <c r="E37" s="166">
        <f>'Link In'!C51</f>
        <v>422060036.05580378</v>
      </c>
      <c r="F37" s="166">
        <f>'Link In'!D51</f>
        <v>439040641.14267993</v>
      </c>
      <c r="G37" s="106" t="s">
        <v>74</v>
      </c>
      <c r="H37" s="171" t="str">
        <f>'Link In'!F51</f>
        <v>Rate Base\KAWC 2018 Rate Case - Exhibit 37 Schedules B1 - B8.xlsx</v>
      </c>
    </row>
    <row r="38" spans="1:8" x14ac:dyDescent="0.3">
      <c r="A38" s="96">
        <v>24</v>
      </c>
      <c r="B38" s="107" t="s">
        <v>27</v>
      </c>
      <c r="C38" s="78"/>
      <c r="D38" s="104" t="s">
        <v>75</v>
      </c>
      <c r="E38" s="117">
        <f>'Link In'!C52</f>
        <v>8.1800000000000012E-2</v>
      </c>
      <c r="F38" s="117">
        <f>'Link In'!D52</f>
        <v>8.2699999999999996E-2</v>
      </c>
      <c r="G38" s="106" t="s">
        <v>112</v>
      </c>
      <c r="H38" s="118" t="str">
        <f ca="1">'Link In'!F52</f>
        <v>Capital Structure\[KAWC 2018 Rate Case - Capital Structure.xlsx]Sch J-1</v>
      </c>
    </row>
    <row r="39" spans="1:8" x14ac:dyDescent="0.3">
      <c r="A39" s="96">
        <v>25</v>
      </c>
      <c r="B39" s="78"/>
      <c r="C39" s="78"/>
      <c r="D39" s="104"/>
      <c r="E39" s="119"/>
      <c r="F39" s="119"/>
      <c r="G39" s="106"/>
    </row>
    <row r="40" spans="1:8" x14ac:dyDescent="0.3">
      <c r="A40" s="96">
        <v>26</v>
      </c>
      <c r="B40" s="66" t="s">
        <v>107</v>
      </c>
      <c r="C40" s="78"/>
      <c r="D40" s="104"/>
      <c r="E40" s="166">
        <f>E37*E38</f>
        <v>34524510.949364752</v>
      </c>
      <c r="F40" s="166">
        <f>F37*F38</f>
        <v>36308661.022499628</v>
      </c>
      <c r="G40" s="106"/>
    </row>
    <row r="41" spans="1:8" x14ac:dyDescent="0.3">
      <c r="A41" s="96">
        <v>27</v>
      </c>
      <c r="B41" s="78"/>
      <c r="C41" s="78"/>
      <c r="D41" s="104"/>
      <c r="E41" s="120"/>
      <c r="F41" s="120"/>
      <c r="G41" s="106"/>
    </row>
    <row r="42" spans="1:8" x14ac:dyDescent="0.3">
      <c r="A42" s="96">
        <v>28</v>
      </c>
      <c r="B42" s="121" t="s">
        <v>92</v>
      </c>
      <c r="C42" s="78"/>
      <c r="D42" s="104"/>
      <c r="E42" s="168">
        <f>E31</f>
        <v>28643745.260729343</v>
      </c>
      <c r="F42" s="168">
        <f>F31</f>
        <v>21579995.185930789</v>
      </c>
      <c r="G42" s="106"/>
    </row>
    <row r="43" spans="1:8" x14ac:dyDescent="0.3">
      <c r="A43" s="96">
        <v>29</v>
      </c>
      <c r="B43" s="66"/>
      <c r="C43" s="78"/>
      <c r="D43" s="104"/>
      <c r="E43" s="111"/>
      <c r="F43" s="111"/>
      <c r="G43" s="106"/>
    </row>
    <row r="44" spans="1:8" ht="15" thickBot="1" x14ac:dyDescent="0.35">
      <c r="A44" s="96">
        <v>30</v>
      </c>
      <c r="B44" s="66" t="s">
        <v>110</v>
      </c>
      <c r="C44" s="62"/>
      <c r="D44" s="87"/>
      <c r="E44" s="169">
        <f>E40-E42</f>
        <v>5880765.6886354089</v>
      </c>
      <c r="F44" s="169">
        <f>F40-F42</f>
        <v>14728665.83656884</v>
      </c>
      <c r="G44" s="186"/>
    </row>
    <row r="45" spans="1:8" ht="15" thickTop="1" x14ac:dyDescent="0.3">
      <c r="A45" s="96">
        <v>31</v>
      </c>
      <c r="B45" s="78"/>
      <c r="C45" s="78"/>
      <c r="D45" s="104"/>
      <c r="E45" s="122"/>
      <c r="F45" s="122"/>
      <c r="G45" s="106"/>
    </row>
    <row r="46" spans="1:8" ht="28.8" x14ac:dyDescent="0.3">
      <c r="A46" s="96">
        <v>32</v>
      </c>
      <c r="B46" s="66" t="s">
        <v>9</v>
      </c>
      <c r="C46" s="78"/>
      <c r="D46" s="104" t="s">
        <v>77</v>
      </c>
      <c r="E46" s="123">
        <f>'Rev Conversion Factor - SCH H'!D31</f>
        <v>1.347457152798367</v>
      </c>
      <c r="F46" s="123">
        <f>'Rev Conversion Factor - SCH H'!D31</f>
        <v>1.347457152798367</v>
      </c>
      <c r="G46" s="106" t="s">
        <v>77</v>
      </c>
      <c r="H46" s="124" t="str">
        <f ca="1">'Rev Conversion Factor - SCH H'!G2</f>
        <v>Exhibits\[KAWC 2018 Rate Case - Revenue Requirement and Conversion Factor.xlsx]Rev Conversion Factor - SCH H</v>
      </c>
    </row>
    <row r="47" spans="1:8" x14ac:dyDescent="0.3">
      <c r="A47" s="96">
        <v>33</v>
      </c>
      <c r="B47" s="78"/>
      <c r="C47" s="78"/>
      <c r="D47" s="104"/>
      <c r="E47" s="101"/>
      <c r="F47" s="101"/>
    </row>
    <row r="48" spans="1:8" ht="15" thickBot="1" x14ac:dyDescent="0.35">
      <c r="A48" s="96">
        <v>34</v>
      </c>
      <c r="B48" s="66" t="s">
        <v>71</v>
      </c>
      <c r="C48" s="66"/>
      <c r="D48" s="87"/>
      <c r="E48" s="169">
        <f>E44*E46</f>
        <v>7924079.7910829959</v>
      </c>
      <c r="F48" s="169">
        <f>F44*F46</f>
        <v>19846246.132661626</v>
      </c>
      <c r="G48" s="188"/>
      <c r="H48" s="125"/>
    </row>
    <row r="49" spans="1:19" ht="15" thickTop="1" x14ac:dyDescent="0.3">
      <c r="A49" s="96">
        <v>35</v>
      </c>
      <c r="B49" s="78"/>
      <c r="C49" s="78"/>
      <c r="D49" s="106"/>
      <c r="E49" s="126"/>
      <c r="F49" s="180"/>
      <c r="G49" s="189"/>
      <c r="H49" s="78"/>
      <c r="I49" s="105"/>
    </row>
    <row r="50" spans="1:19" ht="29.4" thickBot="1" x14ac:dyDescent="0.35">
      <c r="A50" s="96">
        <v>36</v>
      </c>
      <c r="B50" s="127" t="s">
        <v>108</v>
      </c>
      <c r="C50" s="66"/>
      <c r="D50" s="88"/>
      <c r="E50" s="128">
        <f>E48/E18</f>
        <v>8.6217531791692878E-2</v>
      </c>
      <c r="F50" s="128">
        <f>((F48+F18)/F18)-1</f>
        <v>0.22431557367749666</v>
      </c>
      <c r="G50" s="106"/>
      <c r="H50" s="78"/>
      <c r="I50" s="78"/>
    </row>
    <row r="51" spans="1:19" ht="15" thickTop="1" x14ac:dyDescent="0.3">
      <c r="A51" s="96">
        <v>37</v>
      </c>
      <c r="B51" s="62"/>
      <c r="C51" s="62"/>
      <c r="D51" s="62"/>
      <c r="E51" s="111"/>
      <c r="F51" s="111"/>
      <c r="G51" s="106"/>
      <c r="I51" s="78"/>
    </row>
    <row r="52" spans="1:19" ht="15" thickBot="1" x14ac:dyDescent="0.35">
      <c r="A52" s="96">
        <v>38</v>
      </c>
      <c r="B52" s="66" t="s">
        <v>87</v>
      </c>
      <c r="C52" s="78"/>
      <c r="D52" s="78"/>
      <c r="E52" s="169">
        <f>E18+E48</f>
        <v>99832066.791082993</v>
      </c>
      <c r="F52" s="169">
        <f>F18+F48</f>
        <v>108320915.13266163</v>
      </c>
      <c r="G52" s="199"/>
      <c r="I52" s="115"/>
      <c r="J52" s="193"/>
      <c r="K52" s="193"/>
      <c r="L52" s="193"/>
      <c r="S52" s="196">
        <f>H56-I52</f>
        <v>0</v>
      </c>
    </row>
    <row r="53" spans="1:19" ht="15" thickTop="1" x14ac:dyDescent="0.3">
      <c r="A53" s="96"/>
      <c r="B53" s="78"/>
      <c r="C53" s="78"/>
      <c r="D53" s="78"/>
      <c r="E53" s="78"/>
      <c r="F53" s="119"/>
      <c r="G53" s="191"/>
      <c r="H53" s="193"/>
      <c r="I53" s="115"/>
      <c r="J53" s="193"/>
      <c r="K53" s="193"/>
      <c r="L53" s="193"/>
      <c r="S53" s="196">
        <f>H57-I53</f>
        <v>0</v>
      </c>
    </row>
    <row r="54" spans="1:19" x14ac:dyDescent="0.3">
      <c r="A54" s="96"/>
      <c r="G54" s="191"/>
      <c r="H54" s="194"/>
      <c r="I54" s="193"/>
      <c r="J54" s="193"/>
      <c r="K54" s="193"/>
      <c r="L54" s="193"/>
      <c r="S54" s="196">
        <f t="shared" ref="S54:S66" si="0">H54-I54</f>
        <v>0</v>
      </c>
    </row>
    <row r="55" spans="1:19" x14ac:dyDescent="0.3">
      <c r="A55" s="106"/>
      <c r="B55" s="78"/>
      <c r="C55" s="78"/>
      <c r="D55" s="78"/>
      <c r="E55" s="78"/>
      <c r="F55" s="101"/>
      <c r="G55" s="191"/>
      <c r="H55" s="200"/>
      <c r="I55" s="115"/>
      <c r="J55" s="197"/>
      <c r="K55" s="193"/>
      <c r="L55" s="193"/>
      <c r="S55" s="196" t="e">
        <f>#REF!-I55</f>
        <v>#REF!</v>
      </c>
    </row>
    <row r="56" spans="1:19" x14ac:dyDescent="0.3">
      <c r="A56" s="106"/>
      <c r="B56" s="78"/>
      <c r="C56" s="78"/>
      <c r="D56" s="78"/>
      <c r="E56" s="78"/>
      <c r="F56" s="101"/>
      <c r="G56" s="191"/>
      <c r="H56" s="192"/>
      <c r="I56" s="115"/>
      <c r="J56" s="197"/>
      <c r="K56" s="193"/>
      <c r="L56" s="193"/>
      <c r="S56" s="196" t="e">
        <f>#REF!-I56</f>
        <v>#REF!</v>
      </c>
    </row>
    <row r="57" spans="1:19" x14ac:dyDescent="0.3">
      <c r="G57" s="195"/>
      <c r="H57" s="192"/>
      <c r="I57" s="193"/>
      <c r="J57" s="197"/>
      <c r="K57" s="193"/>
      <c r="L57" s="193"/>
      <c r="S57" s="196" t="e">
        <f>#REF!-I57</f>
        <v>#REF!</v>
      </c>
    </row>
    <row r="58" spans="1:19" x14ac:dyDescent="0.3">
      <c r="G58" s="191"/>
      <c r="H58" s="194"/>
      <c r="I58" s="193"/>
      <c r="J58" s="197"/>
      <c r="K58" s="193"/>
      <c r="S58" s="196">
        <f t="shared" si="0"/>
        <v>0</v>
      </c>
    </row>
    <row r="59" spans="1:19" x14ac:dyDescent="0.3">
      <c r="G59" s="195"/>
      <c r="H59" s="194"/>
      <c r="I59" s="193"/>
      <c r="J59" s="197"/>
      <c r="K59" s="193"/>
      <c r="S59" s="196">
        <f t="shared" si="0"/>
        <v>0</v>
      </c>
    </row>
    <row r="60" spans="1:19" x14ac:dyDescent="0.3">
      <c r="G60" s="191"/>
      <c r="H60" s="194"/>
      <c r="I60" s="193"/>
      <c r="J60" s="197"/>
      <c r="K60" s="193"/>
      <c r="S60" s="196">
        <f t="shared" si="0"/>
        <v>0</v>
      </c>
    </row>
    <row r="61" spans="1:19" x14ac:dyDescent="0.3">
      <c r="G61" s="191"/>
      <c r="H61" s="194"/>
      <c r="I61" s="193"/>
      <c r="J61" s="197"/>
      <c r="K61" s="193"/>
      <c r="S61" s="196">
        <f t="shared" si="0"/>
        <v>0</v>
      </c>
    </row>
    <row r="62" spans="1:19" x14ac:dyDescent="0.3">
      <c r="G62" s="191"/>
      <c r="H62" s="194"/>
      <c r="I62" s="193"/>
      <c r="J62" s="197"/>
      <c r="K62" s="193"/>
      <c r="S62" s="196">
        <f t="shared" si="0"/>
        <v>0</v>
      </c>
    </row>
    <row r="63" spans="1:19" x14ac:dyDescent="0.3">
      <c r="G63" s="191"/>
      <c r="H63" s="194"/>
      <c r="I63" s="193"/>
      <c r="J63" s="197"/>
      <c r="K63" s="193"/>
      <c r="S63" s="196">
        <f t="shared" si="0"/>
        <v>0</v>
      </c>
    </row>
    <row r="64" spans="1:19" x14ac:dyDescent="0.3">
      <c r="G64" s="191"/>
      <c r="H64" s="194"/>
      <c r="I64" s="193"/>
      <c r="J64" s="197"/>
      <c r="K64" s="193"/>
      <c r="S64" s="196">
        <f t="shared" si="0"/>
        <v>0</v>
      </c>
    </row>
    <row r="65" spans="6:19" x14ac:dyDescent="0.3">
      <c r="G65" s="195"/>
      <c r="H65" s="193"/>
      <c r="I65" s="193"/>
      <c r="J65" s="193"/>
      <c r="K65" s="193"/>
      <c r="S65" s="196">
        <f t="shared" si="0"/>
        <v>0</v>
      </c>
    </row>
    <row r="66" spans="6:19" x14ac:dyDescent="0.3">
      <c r="G66" s="195"/>
      <c r="H66" s="193"/>
      <c r="I66" s="193"/>
      <c r="J66" s="193"/>
      <c r="K66" s="193"/>
      <c r="S66" s="196">
        <f t="shared" si="0"/>
        <v>0</v>
      </c>
    </row>
    <row r="67" spans="6:19" x14ac:dyDescent="0.3">
      <c r="F67" s="198"/>
    </row>
    <row r="115" spans="6:11" x14ac:dyDescent="0.3">
      <c r="F115" s="5"/>
      <c r="K115" s="129"/>
    </row>
  </sheetData>
  <mergeCells count="5">
    <mergeCell ref="A5:H5"/>
    <mergeCell ref="A6:H6"/>
    <mergeCell ref="A7:H7"/>
    <mergeCell ref="A8:H8"/>
    <mergeCell ref="A9:H9"/>
  </mergeCells>
  <pageMargins left="0.22" right="0.23" top="0.37" bottom="0.4" header="0.3" footer="0.3"/>
  <pageSetup scale="68" orientation="landscape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3"/>
  <sheetViews>
    <sheetView zoomScale="80" zoomScaleNormal="80" workbookViewId="0"/>
  </sheetViews>
  <sheetFormatPr defaultColWidth="8.88671875" defaultRowHeight="14.4" x14ac:dyDescent="0.3"/>
  <cols>
    <col min="1" max="1" width="5.5546875" style="5" customWidth="1"/>
    <col min="2" max="2" width="57.44140625" style="5" customWidth="1"/>
    <col min="3" max="3" width="9" style="5" customWidth="1"/>
    <col min="4" max="4" width="12.109375" style="5" customWidth="1"/>
    <col min="5" max="5" width="17.109375" style="5" customWidth="1"/>
    <col min="6" max="6" width="10.88671875" style="5" customWidth="1"/>
    <col min="7" max="7" width="66" style="5" customWidth="1"/>
    <col min="8" max="16384" width="8.88671875" style="5"/>
  </cols>
  <sheetData>
    <row r="1" spans="1:7" x14ac:dyDescent="0.3">
      <c r="A1" s="10"/>
      <c r="B1" s="11"/>
      <c r="C1" s="11"/>
      <c r="D1" s="11"/>
      <c r="E1" s="11"/>
      <c r="F1" s="12"/>
      <c r="G1" s="13" t="s">
        <v>77</v>
      </c>
    </row>
    <row r="2" spans="1:7" x14ac:dyDescent="0.3">
      <c r="A2" s="10"/>
      <c r="B2" s="11"/>
      <c r="C2" s="11"/>
      <c r="D2" s="11"/>
      <c r="E2" s="9"/>
      <c r="F2" s="12"/>
      <c r="G2" s="13" t="str">
        <f ca="1">RIGHT(CELL("filename",$A$1),LEN(CELL("filename",$A$1))-SEARCH("\Exhibits",CELL("filename",$A$1),1))</f>
        <v>Exhibits\[KAWC 2018 Rate Case - Revenue Requirement and Conversion Factor.xlsx]Rev Conversion Factor - SCH H</v>
      </c>
    </row>
    <row r="3" spans="1:7" x14ac:dyDescent="0.3">
      <c r="A3" s="14"/>
      <c r="B3" s="14"/>
      <c r="C3" s="14"/>
      <c r="D3" s="14"/>
      <c r="E3" s="15"/>
      <c r="F3" s="12"/>
      <c r="G3" s="13" t="s">
        <v>99</v>
      </c>
    </row>
    <row r="6" spans="1:7" x14ac:dyDescent="0.3">
      <c r="A6" s="203" t="s">
        <v>11</v>
      </c>
      <c r="B6" s="203"/>
      <c r="C6" s="203"/>
      <c r="D6" s="203"/>
      <c r="E6" s="203"/>
      <c r="F6" s="203"/>
      <c r="G6" s="203"/>
    </row>
    <row r="7" spans="1:7" x14ac:dyDescent="0.3">
      <c r="A7" s="203" t="str">
        <f>'Rev Requirement - SCH A'!A6:H6</f>
        <v>Case No. 2018-00358</v>
      </c>
      <c r="B7" s="203"/>
      <c r="C7" s="203"/>
      <c r="D7" s="203"/>
      <c r="E7" s="203"/>
      <c r="F7" s="203"/>
      <c r="G7" s="203"/>
    </row>
    <row r="8" spans="1:7" x14ac:dyDescent="0.3">
      <c r="A8" s="203" t="s">
        <v>86</v>
      </c>
      <c r="B8" s="203"/>
      <c r="C8" s="203"/>
      <c r="D8" s="203"/>
      <c r="E8" s="203"/>
      <c r="F8" s="203"/>
      <c r="G8" s="203"/>
    </row>
    <row r="9" spans="1:7" x14ac:dyDescent="0.3">
      <c r="A9" s="16"/>
      <c r="B9" s="16"/>
      <c r="C9" s="16"/>
      <c r="D9" s="16"/>
      <c r="E9" s="16"/>
    </row>
    <row r="10" spans="1:7" x14ac:dyDescent="0.3">
      <c r="A10" s="16"/>
      <c r="B10" s="16"/>
      <c r="C10" s="16"/>
      <c r="D10" s="16"/>
      <c r="E10" s="16"/>
      <c r="G10" s="17" t="s">
        <v>77</v>
      </c>
    </row>
    <row r="11" spans="1:7" x14ac:dyDescent="0.3">
      <c r="A11" s="18" t="s">
        <v>113</v>
      </c>
      <c r="B11" s="16"/>
      <c r="C11" s="16"/>
      <c r="D11" s="16"/>
      <c r="E11" s="16"/>
      <c r="G11" s="17" t="str">
        <f ca="1">RIGHT(CELL("filename",$A$1),LEN(CELL("filename",$A$1))-SEARCH("\Exhibits",CELL("filename",$A$1),1))</f>
        <v>Exhibits\[KAWC 2018 Rate Case - Revenue Requirement and Conversion Factor.xlsx]Rev Conversion Factor - SCH H</v>
      </c>
    </row>
    <row r="12" spans="1:7" x14ac:dyDescent="0.3">
      <c r="A12" s="19" t="s">
        <v>114</v>
      </c>
      <c r="B12" s="16"/>
      <c r="C12" s="16"/>
      <c r="D12" s="20"/>
      <c r="E12" s="16"/>
      <c r="G12" s="21" t="s">
        <v>123</v>
      </c>
    </row>
    <row r="13" spans="1:7" x14ac:dyDescent="0.3">
      <c r="A13" s="19"/>
      <c r="B13" s="16"/>
      <c r="C13" s="16"/>
      <c r="D13" s="181" t="s">
        <v>103</v>
      </c>
      <c r="E13" s="16"/>
      <c r="G13" s="21"/>
    </row>
    <row r="14" spans="1:7" x14ac:dyDescent="0.3">
      <c r="A14" s="14"/>
      <c r="B14" s="14"/>
      <c r="C14" s="14"/>
      <c r="D14" s="20" t="s">
        <v>51</v>
      </c>
      <c r="E14" s="20" t="s">
        <v>37</v>
      </c>
      <c r="G14" s="17"/>
    </row>
    <row r="15" spans="1:7" x14ac:dyDescent="0.3">
      <c r="A15" s="11" t="s">
        <v>1</v>
      </c>
      <c r="B15" s="14"/>
      <c r="C15" s="11" t="s">
        <v>12</v>
      </c>
      <c r="D15" s="20" t="s">
        <v>101</v>
      </c>
      <c r="E15" s="20" t="s">
        <v>12</v>
      </c>
      <c r="F15" s="11" t="s">
        <v>100</v>
      </c>
    </row>
    <row r="16" spans="1:7" x14ac:dyDescent="0.3">
      <c r="A16" s="22" t="s">
        <v>104</v>
      </c>
      <c r="B16" s="22" t="s">
        <v>5</v>
      </c>
      <c r="C16" s="22" t="s">
        <v>69</v>
      </c>
      <c r="D16" s="22" t="s">
        <v>102</v>
      </c>
      <c r="E16" s="22" t="s">
        <v>2</v>
      </c>
      <c r="F16" s="22" t="s">
        <v>72</v>
      </c>
      <c r="G16" s="22" t="s">
        <v>84</v>
      </c>
    </row>
    <row r="17" spans="1:7" x14ac:dyDescent="0.3">
      <c r="A17" s="11"/>
      <c r="B17" s="11"/>
      <c r="C17" s="11"/>
      <c r="D17" s="11"/>
      <c r="E17" s="11"/>
    </row>
    <row r="18" spans="1:7" x14ac:dyDescent="0.3">
      <c r="A18" s="23">
        <v>1</v>
      </c>
      <c r="B18" s="24" t="s">
        <v>64</v>
      </c>
      <c r="C18" s="25"/>
      <c r="D18" s="26">
        <v>1</v>
      </c>
      <c r="E18" s="26"/>
    </row>
    <row r="19" spans="1:7" x14ac:dyDescent="0.3">
      <c r="A19" s="23">
        <v>2</v>
      </c>
      <c r="B19" s="27" t="s">
        <v>6</v>
      </c>
      <c r="C19" s="28">
        <f>'Link In'!D18</f>
        <v>9.1410712374342465E-3</v>
      </c>
      <c r="D19" s="26">
        <f>C19</f>
        <v>9.1410712374342465E-3</v>
      </c>
      <c r="E19" s="29">
        <f>ROUND(D19/(D$18-D$29),6)</f>
        <v>3.5450000000000002E-2</v>
      </c>
      <c r="F19" s="30" t="str">
        <f>'Link In'!C60</f>
        <v>W/P - 3-10</v>
      </c>
      <c r="G19" s="5" t="str">
        <f ca="1">'Link In'!D60</f>
        <v>O&amp;M\[KAWC 2018 Rate Case - Uncollectibles Expense Exhibit.xlsx]Exhibit</v>
      </c>
    </row>
    <row r="20" spans="1:7" x14ac:dyDescent="0.3">
      <c r="A20" s="23">
        <v>3</v>
      </c>
      <c r="B20" s="31" t="s">
        <v>10</v>
      </c>
      <c r="C20" s="32">
        <f>'Link In'!D19</f>
        <v>2.0000000203431647E-3</v>
      </c>
      <c r="D20" s="26">
        <f>C20</f>
        <v>2.0000000203431647E-3</v>
      </c>
      <c r="E20" s="29">
        <f>ROUND(D20/(D$18-D$29),6)</f>
        <v>7.7559999999999999E-3</v>
      </c>
      <c r="F20" s="30" t="str">
        <f>'Link In'!C61</f>
        <v>W/P - 5-2</v>
      </c>
      <c r="G20" s="5" t="str">
        <f ca="1">'Link In'!D61</f>
        <v>O&amp;M\[KAWC 2018 Rate Case - PSC Fees Exhibit.xlsx]Exhibit</v>
      </c>
    </row>
    <row r="21" spans="1:7" x14ac:dyDescent="0.3">
      <c r="A21" s="23">
        <v>4</v>
      </c>
      <c r="B21" s="27" t="s">
        <v>65</v>
      </c>
      <c r="C21" s="33"/>
      <c r="D21" s="34">
        <f>D18-D19-D20</f>
        <v>0.98885892874222259</v>
      </c>
      <c r="E21" s="35"/>
    </row>
    <row r="22" spans="1:7" x14ac:dyDescent="0.3">
      <c r="A22" s="23">
        <v>5</v>
      </c>
      <c r="B22" s="14"/>
      <c r="C22" s="36"/>
      <c r="D22" s="37"/>
      <c r="E22" s="37"/>
    </row>
    <row r="23" spans="1:7" x14ac:dyDescent="0.3">
      <c r="A23" s="23">
        <v>6</v>
      </c>
      <c r="B23" s="14"/>
      <c r="C23" s="36"/>
      <c r="D23" s="14"/>
      <c r="E23" s="29"/>
    </row>
    <row r="24" spans="1:7" x14ac:dyDescent="0.3">
      <c r="A24" s="23">
        <v>7</v>
      </c>
      <c r="B24" s="31" t="s">
        <v>125</v>
      </c>
      <c r="C24" s="38">
        <v>0.05</v>
      </c>
      <c r="D24" s="26">
        <f>C24*D21</f>
        <v>4.9442946437111134E-2</v>
      </c>
      <c r="E24" s="29">
        <f>ROUND(D24/(D$18-D$29),6)</f>
        <v>0.191742</v>
      </c>
    </row>
    <row r="25" spans="1:7" x14ac:dyDescent="0.3">
      <c r="A25" s="23">
        <v>9</v>
      </c>
      <c r="B25" s="24" t="s">
        <v>66</v>
      </c>
      <c r="C25" s="39"/>
      <c r="D25" s="40">
        <f>D21-D24</f>
        <v>0.93941598230511147</v>
      </c>
      <c r="E25" s="29"/>
    </row>
    <row r="26" spans="1:7" x14ac:dyDescent="0.3">
      <c r="A26" s="23">
        <v>10</v>
      </c>
      <c r="B26" s="14"/>
      <c r="C26" s="36"/>
      <c r="D26" s="29"/>
      <c r="E26" s="29"/>
    </row>
    <row r="27" spans="1:7" x14ac:dyDescent="0.3">
      <c r="A27" s="23">
        <v>11</v>
      </c>
      <c r="B27" s="41" t="s">
        <v>119</v>
      </c>
      <c r="C27" s="42">
        <v>0.21</v>
      </c>
      <c r="D27" s="43">
        <f>C27*D25</f>
        <v>0.19727735628407339</v>
      </c>
      <c r="E27" s="43">
        <f>ROUND(D27/(D$18-D$29),6)</f>
        <v>0.76505199999999995</v>
      </c>
    </row>
    <row r="28" spans="1:7" x14ac:dyDescent="0.3">
      <c r="A28" s="23">
        <v>12</v>
      </c>
      <c r="B28" s="14"/>
      <c r="C28" s="36"/>
      <c r="D28" s="29"/>
      <c r="E28" s="29"/>
    </row>
    <row r="29" spans="1:7" ht="29.4" thickBot="1" x14ac:dyDescent="0.35">
      <c r="A29" s="23">
        <v>13</v>
      </c>
      <c r="B29" s="44" t="s">
        <v>68</v>
      </c>
      <c r="C29" s="25"/>
      <c r="D29" s="45">
        <f>D25-D27</f>
        <v>0.74213862602103808</v>
      </c>
      <c r="E29" s="45">
        <f>SUM(E19:E20,E24,E27)</f>
        <v>1</v>
      </c>
    </row>
    <row r="30" spans="1:7" ht="15" thickTop="1" x14ac:dyDescent="0.3">
      <c r="A30" s="23">
        <v>14</v>
      </c>
      <c r="B30" s="14"/>
      <c r="C30" s="46"/>
      <c r="D30" s="29"/>
      <c r="E30" s="29"/>
    </row>
    <row r="31" spans="1:7" ht="15" thickBot="1" x14ac:dyDescent="0.35">
      <c r="A31" s="23">
        <v>15</v>
      </c>
      <c r="B31" s="24" t="s">
        <v>67</v>
      </c>
      <c r="C31" s="25"/>
      <c r="D31" s="45">
        <f>1/D29</f>
        <v>1.347457152798367</v>
      </c>
      <c r="E31" s="29"/>
    </row>
    <row r="32" spans="1:7" ht="15" thickTop="1" x14ac:dyDescent="0.3">
      <c r="A32" s="23">
        <v>16</v>
      </c>
    </row>
    <row r="133" spans="9:9" x14ac:dyDescent="0.3">
      <c r="I133" s="47"/>
    </row>
  </sheetData>
  <mergeCells count="3">
    <mergeCell ref="A6:G6"/>
    <mergeCell ref="A7:G7"/>
    <mergeCell ref="A8:G8"/>
  </mergeCells>
  <pageMargins left="0.32" right="0.28999999999999998" top="0.75" bottom="0.75" header="0.3" footer="0.3"/>
  <pageSetup scale="74" orientation="landscape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zoomScale="80" zoomScaleNormal="80" workbookViewId="0"/>
  </sheetViews>
  <sheetFormatPr defaultColWidth="9.109375" defaultRowHeight="14.4" x14ac:dyDescent="0.3"/>
  <cols>
    <col min="1" max="1" width="9.109375" style="5"/>
    <col min="2" max="2" width="75" style="5" customWidth="1"/>
    <col min="3" max="3" width="15.109375" style="5" bestFit="1" customWidth="1"/>
    <col min="4" max="4" width="22.109375" style="5" customWidth="1"/>
    <col min="5" max="5" width="16.5546875" style="5" customWidth="1"/>
    <col min="6" max="16384" width="9.109375" style="5"/>
  </cols>
  <sheetData>
    <row r="1" spans="1:5" x14ac:dyDescent="0.3">
      <c r="A1" s="48" t="s">
        <v>90</v>
      </c>
      <c r="B1" s="49"/>
      <c r="C1" s="49"/>
      <c r="E1" s="50" t="str">
        <f>'Link In'!C60&amp;" , "&amp;'Link In'!C61&amp;" &amp; "&amp;'Link In'!C62</f>
        <v>W/P - 3-10 , W/P - 5-2 &amp; W/P - 6-1</v>
      </c>
    </row>
    <row r="2" spans="1:5" x14ac:dyDescent="0.3">
      <c r="A2" s="48" t="s">
        <v>85</v>
      </c>
      <c r="B2" s="49"/>
      <c r="C2" s="49"/>
      <c r="E2" s="12" t="str">
        <f ca="1">RIGHT(CELL("filename",$A$1),LEN(CELL("filename",$A$1))-SEARCH("\Exhibits",CELL("filename",$A$1),1))</f>
        <v>Exhibits\[KAWC 2018 Rate Case - Revenue Requirement and Conversion Factor.xlsx]Proposed Rate Adjustments</v>
      </c>
    </row>
    <row r="3" spans="1:5" x14ac:dyDescent="0.3">
      <c r="A3" s="48"/>
      <c r="B3" s="49"/>
      <c r="C3" s="49"/>
      <c r="D3" s="51"/>
    </row>
    <row r="4" spans="1:5" x14ac:dyDescent="0.3">
      <c r="A4" s="48"/>
      <c r="B4" s="49"/>
      <c r="C4" s="49"/>
      <c r="D4" s="49"/>
    </row>
    <row r="5" spans="1:5" x14ac:dyDescent="0.3">
      <c r="A5" s="48"/>
      <c r="B5" s="49"/>
      <c r="C5" s="49"/>
      <c r="D5" s="49"/>
    </row>
    <row r="6" spans="1:5" x14ac:dyDescent="0.3">
      <c r="A6" s="204" t="str">
        <f>'Link In'!C2</f>
        <v>Kentucky American Water Company</v>
      </c>
      <c r="B6" s="204"/>
      <c r="C6" s="204"/>
      <c r="D6" s="204"/>
      <c r="E6" s="204"/>
    </row>
    <row r="7" spans="1:5" x14ac:dyDescent="0.3">
      <c r="A7" s="204" t="str">
        <f>'Link In'!C4</f>
        <v>Case No. 2018-00358</v>
      </c>
      <c r="B7" s="204"/>
      <c r="C7" s="204"/>
      <c r="D7" s="204"/>
      <c r="E7" s="204"/>
    </row>
    <row r="8" spans="1:5" x14ac:dyDescent="0.3">
      <c r="A8" s="205" t="s">
        <v>91</v>
      </c>
      <c r="B8" s="205"/>
      <c r="C8" s="205"/>
      <c r="D8" s="205"/>
      <c r="E8" s="205"/>
    </row>
    <row r="9" spans="1:5" x14ac:dyDescent="0.3">
      <c r="A9" s="204"/>
      <c r="B9" s="204"/>
      <c r="C9" s="204"/>
      <c r="D9" s="204"/>
    </row>
    <row r="10" spans="1:5" x14ac:dyDescent="0.3">
      <c r="A10" s="52"/>
      <c r="B10" s="52"/>
      <c r="C10" s="52"/>
      <c r="D10" s="52"/>
    </row>
    <row r="11" spans="1:5" x14ac:dyDescent="0.3">
      <c r="A11" s="53" t="s">
        <v>115</v>
      </c>
      <c r="B11" s="52"/>
      <c r="C11" s="52"/>
      <c r="D11" s="49"/>
    </row>
    <row r="12" spans="1:5" x14ac:dyDescent="0.3">
      <c r="A12" s="54" t="s">
        <v>116</v>
      </c>
      <c r="B12" s="52"/>
      <c r="C12" s="52"/>
      <c r="D12" s="49"/>
    </row>
    <row r="13" spans="1:5" x14ac:dyDescent="0.3">
      <c r="A13" s="49"/>
      <c r="B13" s="49"/>
      <c r="C13" s="55" t="s">
        <v>0</v>
      </c>
      <c r="D13" s="56"/>
    </row>
    <row r="14" spans="1:5" x14ac:dyDescent="0.3">
      <c r="A14" s="57" t="s">
        <v>1</v>
      </c>
      <c r="B14" s="49"/>
      <c r="C14" s="55" t="s">
        <v>2</v>
      </c>
      <c r="D14" s="58" t="s">
        <v>12</v>
      </c>
    </row>
    <row r="15" spans="1:5" x14ac:dyDescent="0.3">
      <c r="A15" s="59" t="s">
        <v>4</v>
      </c>
      <c r="B15" s="59" t="s">
        <v>13</v>
      </c>
      <c r="C15" s="59" t="s">
        <v>3</v>
      </c>
      <c r="D15" s="60" t="s">
        <v>14</v>
      </c>
    </row>
    <row r="16" spans="1:5" x14ac:dyDescent="0.3">
      <c r="A16" s="61">
        <v>1</v>
      </c>
      <c r="B16" s="49"/>
      <c r="C16" s="49"/>
      <c r="D16" s="49"/>
    </row>
    <row r="17" spans="1:5" x14ac:dyDescent="0.3">
      <c r="A17" s="61">
        <v>2</v>
      </c>
      <c r="B17" s="62" t="s">
        <v>117</v>
      </c>
      <c r="C17" s="49"/>
      <c r="D17" s="172">
        <f>'Rev Requirement - SCH A'!F48</f>
        <v>19846246.132661626</v>
      </c>
      <c r="E17" s="6"/>
    </row>
    <row r="18" spans="1:5" x14ac:dyDescent="0.3">
      <c r="A18" s="61">
        <v>3</v>
      </c>
      <c r="B18" s="63" t="s">
        <v>118</v>
      </c>
      <c r="C18" s="64"/>
      <c r="D18" s="65">
        <f>'Rev Requirement - SCH A'!F44</f>
        <v>14728665.83656884</v>
      </c>
    </row>
    <row r="19" spans="1:5" ht="15" thickBot="1" x14ac:dyDescent="0.35">
      <c r="A19" s="61">
        <v>4</v>
      </c>
      <c r="B19" s="66" t="s">
        <v>55</v>
      </c>
      <c r="C19" s="49"/>
      <c r="D19" s="173">
        <f>D17-D18</f>
        <v>5117580.2960927859</v>
      </c>
    </row>
    <row r="20" spans="1:5" ht="15" thickTop="1" x14ac:dyDescent="0.3">
      <c r="A20" s="61">
        <v>5</v>
      </c>
      <c r="B20" s="49"/>
      <c r="C20" s="49"/>
      <c r="D20" s="49"/>
    </row>
    <row r="21" spans="1:5" x14ac:dyDescent="0.3">
      <c r="A21" s="61">
        <v>6</v>
      </c>
      <c r="B21" s="67" t="s">
        <v>79</v>
      </c>
      <c r="C21" s="68"/>
      <c r="D21" s="49"/>
    </row>
    <row r="22" spans="1:5" x14ac:dyDescent="0.3">
      <c r="A22" s="61">
        <v>7</v>
      </c>
      <c r="B22" s="49" t="s">
        <v>96</v>
      </c>
      <c r="C22" s="69">
        <f>'Rev Conversion Factor - SCH H'!E19</f>
        <v>3.5450000000000002E-2</v>
      </c>
      <c r="D22" s="172">
        <f>D19*C22</f>
        <v>181418.22149648928</v>
      </c>
    </row>
    <row r="23" spans="1:5" x14ac:dyDescent="0.3">
      <c r="A23" s="61">
        <v>8</v>
      </c>
      <c r="B23" s="49" t="s">
        <v>93</v>
      </c>
      <c r="C23" s="69">
        <f>'Rev Conversion Factor - SCH H'!E20</f>
        <v>7.7559999999999999E-3</v>
      </c>
      <c r="D23" s="65">
        <f>D19*C23</f>
        <v>39691.952776495644</v>
      </c>
    </row>
    <row r="24" spans="1:5" x14ac:dyDescent="0.3">
      <c r="A24" s="61">
        <v>9</v>
      </c>
      <c r="B24" s="49" t="s">
        <v>94</v>
      </c>
      <c r="C24" s="69">
        <f>'Rev Conversion Factor - SCH H'!E24</f>
        <v>0.191742</v>
      </c>
      <c r="D24" s="65">
        <f>D19*C24</f>
        <v>981255.08113342291</v>
      </c>
    </row>
    <row r="25" spans="1:5" x14ac:dyDescent="0.3">
      <c r="A25" s="61">
        <v>10</v>
      </c>
      <c r="B25" s="71" t="s">
        <v>95</v>
      </c>
      <c r="C25" s="72">
        <f>'Rev Conversion Factor - SCH H'!E27</f>
        <v>0.76505199999999995</v>
      </c>
      <c r="D25" s="73">
        <f>D19*C25</f>
        <v>3915215.0406863778</v>
      </c>
    </row>
    <row r="26" spans="1:5" x14ac:dyDescent="0.3">
      <c r="A26" s="61">
        <v>11</v>
      </c>
      <c r="B26" s="49"/>
      <c r="C26" s="74"/>
      <c r="D26" s="65"/>
    </row>
    <row r="27" spans="1:5" ht="15" thickBot="1" x14ac:dyDescent="0.35">
      <c r="A27" s="61">
        <v>12</v>
      </c>
      <c r="B27" s="51" t="s">
        <v>38</v>
      </c>
      <c r="C27" s="76">
        <v>1</v>
      </c>
      <c r="D27" s="174">
        <f>SUM(D22:D25)</f>
        <v>5117580.2960927859</v>
      </c>
    </row>
    <row r="28" spans="1:5" ht="15" thickTop="1" x14ac:dyDescent="0.3">
      <c r="A28" s="61">
        <v>13</v>
      </c>
      <c r="B28" s="48"/>
      <c r="C28" s="49"/>
      <c r="D28" s="172"/>
    </row>
    <row r="29" spans="1:5" ht="15" thickBot="1" x14ac:dyDescent="0.35">
      <c r="A29" s="61">
        <v>14</v>
      </c>
      <c r="B29" s="51" t="s">
        <v>56</v>
      </c>
      <c r="C29" s="49"/>
      <c r="D29" s="174">
        <f>D17-D27</f>
        <v>14728665.83656884</v>
      </c>
    </row>
    <row r="30" spans="1:5" ht="15" thickTop="1" x14ac:dyDescent="0.3">
      <c r="A30" s="61">
        <v>15</v>
      </c>
      <c r="B30" s="49"/>
      <c r="C30" s="49"/>
      <c r="D30" s="70"/>
    </row>
    <row r="31" spans="1:5" x14ac:dyDescent="0.3">
      <c r="A31" s="61">
        <v>16</v>
      </c>
      <c r="B31" s="49"/>
      <c r="C31" s="49"/>
      <c r="D31" s="65"/>
    </row>
    <row r="32" spans="1:5" x14ac:dyDescent="0.3">
      <c r="A32" s="61">
        <v>17</v>
      </c>
      <c r="C32" s="49"/>
      <c r="D32" s="65"/>
    </row>
    <row r="33" spans="1:5" x14ac:dyDescent="0.3">
      <c r="A33" s="61">
        <v>18</v>
      </c>
      <c r="B33" s="77" t="s">
        <v>57</v>
      </c>
      <c r="C33" s="59" t="s">
        <v>44</v>
      </c>
      <c r="D33" s="60" t="s">
        <v>45</v>
      </c>
      <c r="E33" s="60" t="s">
        <v>46</v>
      </c>
    </row>
    <row r="34" spans="1:5" ht="15" thickBot="1" x14ac:dyDescent="0.35">
      <c r="A34" s="61">
        <v>19</v>
      </c>
      <c r="B34" s="48" t="s">
        <v>32</v>
      </c>
      <c r="C34" s="174">
        <f>'Rev Requirement - SCH A'!F18</f>
        <v>88474669</v>
      </c>
      <c r="D34" s="174">
        <f>D17</f>
        <v>19846246.132661626</v>
      </c>
      <c r="E34" s="174">
        <f>C34+D34</f>
        <v>108320915.13266163</v>
      </c>
    </row>
    <row r="35" spans="1:5" ht="15" thickTop="1" x14ac:dyDescent="0.3">
      <c r="A35" s="61">
        <v>20</v>
      </c>
      <c r="B35" s="49"/>
      <c r="C35" s="49"/>
      <c r="D35" s="75"/>
    </row>
    <row r="36" spans="1:5" x14ac:dyDescent="0.3">
      <c r="A36" s="61">
        <v>21</v>
      </c>
      <c r="B36" s="77" t="s">
        <v>33</v>
      </c>
      <c r="C36" s="49"/>
      <c r="D36" s="75"/>
    </row>
    <row r="37" spans="1:5" x14ac:dyDescent="0.3">
      <c r="A37" s="61">
        <v>22</v>
      </c>
      <c r="B37" s="49" t="s">
        <v>28</v>
      </c>
      <c r="C37" s="172">
        <f>'Rev Requirement - SCH A'!F21</f>
        <v>37805850.987251282</v>
      </c>
      <c r="D37" s="172">
        <f>D22</f>
        <v>181418.22149648928</v>
      </c>
      <c r="E37" s="172">
        <f t="shared" ref="E37:E43" si="0">C37+D37</f>
        <v>37987269.208747774</v>
      </c>
    </row>
    <row r="38" spans="1:5" x14ac:dyDescent="0.3">
      <c r="A38" s="61">
        <v>23</v>
      </c>
      <c r="B38" s="49" t="s">
        <v>34</v>
      </c>
      <c r="C38" s="65">
        <f>'Rev Requirement - SCH A'!F22</f>
        <v>18333501.935904205</v>
      </c>
      <c r="D38" s="65">
        <v>0</v>
      </c>
      <c r="E38" s="75">
        <f t="shared" si="0"/>
        <v>18333501.935904205</v>
      </c>
    </row>
    <row r="39" spans="1:5" x14ac:dyDescent="0.3">
      <c r="A39" s="61">
        <v>24</v>
      </c>
      <c r="B39" s="49" t="s">
        <v>35</v>
      </c>
      <c r="C39" s="65">
        <f>'Rev Requirement - SCH A'!F23+'Rev Requirement - SCH A'!F24</f>
        <v>288004.495</v>
      </c>
      <c r="D39" s="65">
        <v>0</v>
      </c>
      <c r="E39" s="65">
        <f t="shared" si="0"/>
        <v>288004.495</v>
      </c>
    </row>
    <row r="40" spans="1:5" x14ac:dyDescent="0.3">
      <c r="A40" s="61">
        <v>25</v>
      </c>
      <c r="B40" s="49" t="s">
        <v>29</v>
      </c>
      <c r="C40" s="65">
        <f>'Rev Requirement - SCH A'!F28</f>
        <v>7811387</v>
      </c>
      <c r="D40" s="65">
        <f>D23</f>
        <v>39691.952776495644</v>
      </c>
      <c r="E40" s="65">
        <f t="shared" si="0"/>
        <v>7851078.9527764954</v>
      </c>
    </row>
    <row r="41" spans="1:5" x14ac:dyDescent="0.3">
      <c r="A41" s="61">
        <v>26</v>
      </c>
      <c r="B41" s="49" t="s">
        <v>30</v>
      </c>
      <c r="C41" s="65">
        <f>'Rev Requirement - SCH A'!F25</f>
        <v>506075.24840219237</v>
      </c>
      <c r="D41" s="65">
        <f>D24</f>
        <v>981255.08113342291</v>
      </c>
      <c r="E41" s="65">
        <f t="shared" si="0"/>
        <v>1487330.3295356152</v>
      </c>
    </row>
    <row r="42" spans="1:5" x14ac:dyDescent="0.3">
      <c r="A42" s="61">
        <v>27</v>
      </c>
      <c r="B42" s="49" t="s">
        <v>31</v>
      </c>
      <c r="C42" s="73">
        <f>'Rev Requirement - SCH A'!F26+'Rev Requirement - SCH A'!F27</f>
        <v>2149854.1475115297</v>
      </c>
      <c r="D42" s="73">
        <f>D25</f>
        <v>3915215.0406863778</v>
      </c>
      <c r="E42" s="73">
        <f t="shared" si="0"/>
        <v>6065069.1881979071</v>
      </c>
    </row>
    <row r="43" spans="1:5" ht="15" thickBot="1" x14ac:dyDescent="0.35">
      <c r="A43" s="61">
        <v>28</v>
      </c>
      <c r="B43" s="51" t="s">
        <v>23</v>
      </c>
      <c r="C43" s="174">
        <f>'Rev Requirement - SCH A'!F29</f>
        <v>66894673.814069211</v>
      </c>
      <c r="D43" s="174">
        <f>SUM(D37:D42)</f>
        <v>5117580.2960927859</v>
      </c>
      <c r="E43" s="174">
        <f t="shared" si="0"/>
        <v>72012254.11016199</v>
      </c>
    </row>
    <row r="44" spans="1:5" ht="15" thickTop="1" x14ac:dyDescent="0.3">
      <c r="A44" s="61">
        <v>29</v>
      </c>
      <c r="B44" s="49"/>
      <c r="C44" s="49"/>
      <c r="D44" s="49"/>
    </row>
    <row r="45" spans="1:5" ht="15" thickBot="1" x14ac:dyDescent="0.35">
      <c r="A45" s="61">
        <v>30</v>
      </c>
      <c r="B45" s="51" t="s">
        <v>36</v>
      </c>
      <c r="C45" s="174">
        <f>'Rev Requirement - SCH A'!F31</f>
        <v>21579995.185930789</v>
      </c>
      <c r="D45" s="174">
        <f>D34-D43</f>
        <v>14728665.83656884</v>
      </c>
      <c r="E45" s="174">
        <f>C45+D45</f>
        <v>36308661.022499628</v>
      </c>
    </row>
    <row r="46" spans="1:5" ht="15" thickTop="1" x14ac:dyDescent="0.3">
      <c r="A46" s="61">
        <v>31</v>
      </c>
      <c r="B46" s="49"/>
      <c r="C46" s="49"/>
      <c r="D46" s="49"/>
    </row>
    <row r="47" spans="1:5" x14ac:dyDescent="0.3">
      <c r="E47" s="196"/>
    </row>
  </sheetData>
  <mergeCells count="4">
    <mergeCell ref="A9:D9"/>
    <mergeCell ref="A6:E6"/>
    <mergeCell ref="A7:E7"/>
    <mergeCell ref="A8:E8"/>
  </mergeCells>
  <printOptions horizontalCentered="1"/>
  <pageMargins left="0.7" right="0.7" top="0.75" bottom="0.75" header="0.3" footer="0.3"/>
  <pageSetup scale="74" orientation="landscape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Link In</vt:lpstr>
      <vt:lpstr>Link Out</vt:lpstr>
      <vt:lpstr>Rev Requirement - SCH A</vt:lpstr>
      <vt:lpstr>Rev Conversion Factor - SCH H</vt:lpstr>
      <vt:lpstr>Proposed Rate Adjustments</vt:lpstr>
      <vt:lpstr>'Rev Conversion Factor - SCH H'!Print_Area</vt:lpstr>
      <vt:lpstr>'Rev Requirement - SCH A'!Print_Area</vt:lpstr>
    </vt:vector>
  </TitlesOfParts>
  <Company>American Water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SCHWARML</dc:creator>
  <cp:lastModifiedBy>Lori N O'Malley</cp:lastModifiedBy>
  <cp:lastPrinted>2018-12-03T19:06:08Z</cp:lastPrinted>
  <dcterms:created xsi:type="dcterms:W3CDTF">2012-10-23T17:09:57Z</dcterms:created>
  <dcterms:modified xsi:type="dcterms:W3CDTF">2019-04-11T13:47:35Z</dcterms:modified>
</cp:coreProperties>
</file>