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Revenues\"/>
    </mc:Choice>
  </mc:AlternateContent>
  <bookViews>
    <workbookView xWindow="-36" yWindow="1068" windowWidth="7356" windowHeight="2712" tabRatio="587" activeTab="2"/>
  </bookViews>
  <sheets>
    <sheet name="Link out" sheetId="3" r:id="rId1"/>
    <sheet name="Link in" sheetId="4" r:id="rId2"/>
    <sheet name="Sch M" sheetId="1" r:id="rId3"/>
    <sheet name="Sch N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'Link in'!$A$110:$K$128</definedName>
    <definedName name="_xlnm.Print_Area" localSheetId="0">'Link out'!$A$1:$O$98</definedName>
    <definedName name="_xlnm.Print_Area" localSheetId="2">'Sch M'!$A$1:$Z$313</definedName>
    <definedName name="_xlnm.Print_Area" localSheetId="3">'Sch N'!$A$1:$I$249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B94" i="4" l="1"/>
  <c r="A94" i="4"/>
  <c r="A178" i="4"/>
  <c r="A93" i="4"/>
  <c r="A92" i="4"/>
  <c r="A91" i="4"/>
  <c r="A90" i="4"/>
  <c r="A3" i="4"/>
  <c r="A2" i="4"/>
  <c r="A1" i="4"/>
  <c r="I240" i="1" l="1"/>
  <c r="I283" i="1"/>
  <c r="I200" i="1"/>
  <c r="I161" i="1"/>
  <c r="I122" i="1"/>
  <c r="I83" i="1"/>
  <c r="I44" i="1"/>
  <c r="A6" i="1"/>
  <c r="F39" i="4" l="1"/>
  <c r="M25" i="4" l="1"/>
  <c r="G21" i="1" l="1"/>
  <c r="P223" i="1" l="1"/>
  <c r="P187" i="1"/>
  <c r="P188" i="1"/>
  <c r="Q188" i="1"/>
  <c r="Q187" i="1"/>
  <c r="P149" i="1"/>
  <c r="P148" i="1"/>
  <c r="P147" i="1"/>
  <c r="P146" i="1"/>
  <c r="P145" i="1"/>
  <c r="Q108" i="1"/>
  <c r="Q109" i="1"/>
  <c r="Q110" i="1"/>
  <c r="Q72" i="1"/>
  <c r="Q68" i="1"/>
  <c r="Q69" i="1"/>
  <c r="Q70" i="1"/>
  <c r="Q71" i="1"/>
  <c r="N26" i="4"/>
  <c r="N27" i="4"/>
  <c r="N28" i="4"/>
  <c r="Q32" i="4"/>
  <c r="Q24" i="4"/>
  <c r="Q25" i="4"/>
  <c r="Q26" i="4"/>
  <c r="Q27" i="4"/>
  <c r="P27" i="4"/>
  <c r="P28" i="4"/>
  <c r="M26" i="4" l="1"/>
  <c r="M27" i="4"/>
  <c r="M28" i="4"/>
  <c r="J19" i="1" l="1"/>
  <c r="F254" i="1" l="1"/>
  <c r="D86" i="4"/>
  <c r="D76" i="4"/>
  <c r="D77" i="4"/>
  <c r="D78" i="4"/>
  <c r="D79" i="4"/>
  <c r="D80" i="4"/>
  <c r="D81" i="4"/>
  <c r="D82" i="4"/>
  <c r="D83" i="4"/>
  <c r="D75" i="4"/>
  <c r="G59" i="4"/>
  <c r="F59" i="4"/>
  <c r="E59" i="4"/>
  <c r="D59" i="4"/>
  <c r="L21" i="1" l="1"/>
  <c r="P305" i="1"/>
  <c r="F292" i="1"/>
  <c r="F293" i="1"/>
  <c r="F294" i="1"/>
  <c r="F295" i="1"/>
  <c r="F296" i="1"/>
  <c r="F297" i="1"/>
  <c r="F298" i="1"/>
  <c r="F299" i="1"/>
  <c r="F291" i="1"/>
  <c r="P255" i="1"/>
  <c r="C234" i="5" s="1"/>
  <c r="P254" i="1"/>
  <c r="C233" i="5" s="1"/>
  <c r="P253" i="1"/>
  <c r="C232" i="5" s="1"/>
  <c r="P252" i="1"/>
  <c r="C231" i="5" s="1"/>
  <c r="P251" i="1"/>
  <c r="C230" i="5" s="1"/>
  <c r="P250" i="1"/>
  <c r="C229" i="5" s="1"/>
  <c r="P249" i="1"/>
  <c r="C228" i="5" s="1"/>
  <c r="P248" i="1"/>
  <c r="C227" i="5" s="1"/>
  <c r="P247" i="1"/>
  <c r="C226" i="5" s="1"/>
  <c r="Q229" i="1"/>
  <c r="Q228" i="1"/>
  <c r="T228" i="1"/>
  <c r="J228" i="1"/>
  <c r="E122" i="4"/>
  <c r="E121" i="4"/>
  <c r="D122" i="4"/>
  <c r="D121" i="4"/>
  <c r="C122" i="4"/>
  <c r="C121" i="4"/>
  <c r="B122" i="4"/>
  <c r="B121" i="4"/>
  <c r="O262" i="1" l="1"/>
  <c r="T262" i="1" s="1"/>
  <c r="U262" i="1"/>
  <c r="K262" i="1" s="1"/>
  <c r="A263" i="1"/>
  <c r="A264" i="1"/>
  <c r="A265" i="1" s="1"/>
  <c r="A266" i="1" s="1"/>
  <c r="A267" i="1" s="1"/>
  <c r="A268" i="1" s="1"/>
  <c r="A269" i="1" s="1"/>
  <c r="A270" i="1" s="1"/>
  <c r="A271" i="1" s="1"/>
  <c r="A272" i="1" s="1"/>
  <c r="A262" i="1"/>
  <c r="V262" i="1" l="1"/>
  <c r="D70" i="4" l="1"/>
  <c r="F106" i="1" s="1"/>
  <c r="D69" i="4"/>
  <c r="C70" i="4"/>
  <c r="F67" i="1" s="1"/>
  <c r="C69" i="4"/>
  <c r="C53" i="4"/>
  <c r="D53" i="4"/>
  <c r="N32" i="4"/>
  <c r="M32" i="4"/>
  <c r="G49" i="4"/>
  <c r="F49" i="4"/>
  <c r="E49" i="4"/>
  <c r="D49" i="4"/>
  <c r="C49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S34" i="4"/>
  <c r="Q34" i="4"/>
  <c r="P34" i="4"/>
  <c r="O34" i="4"/>
  <c r="N34" i="4"/>
  <c r="M34" i="4"/>
  <c r="R32" i="4"/>
  <c r="P32" i="4"/>
  <c r="O32" i="4"/>
  <c r="G32" i="4"/>
  <c r="R28" i="4"/>
  <c r="O28" i="4"/>
  <c r="R27" i="4"/>
  <c r="O27" i="4"/>
  <c r="R26" i="4"/>
  <c r="O26" i="4"/>
  <c r="R25" i="4"/>
  <c r="O25" i="4"/>
  <c r="R24" i="4"/>
  <c r="O24" i="4"/>
  <c r="H28" i="4"/>
  <c r="F28" i="4"/>
  <c r="E28" i="4"/>
  <c r="D28" i="4"/>
  <c r="C28" i="4"/>
  <c r="H27" i="4"/>
  <c r="G27" i="4"/>
  <c r="F27" i="4"/>
  <c r="E27" i="4"/>
  <c r="D27" i="4"/>
  <c r="C27" i="4"/>
  <c r="H26" i="4"/>
  <c r="G26" i="4"/>
  <c r="F26" i="4"/>
  <c r="E26" i="4"/>
  <c r="D26" i="4"/>
  <c r="C26" i="4"/>
  <c r="H25" i="4"/>
  <c r="G25" i="4"/>
  <c r="F25" i="4"/>
  <c r="E25" i="4"/>
  <c r="D25" i="4"/>
  <c r="C25" i="4"/>
  <c r="H24" i="4"/>
  <c r="F24" i="4"/>
  <c r="E24" i="4"/>
  <c r="J25" i="4" l="1"/>
  <c r="J26" i="4"/>
  <c r="J27" i="4"/>
  <c r="B72" i="3" l="1"/>
  <c r="L86" i="4" l="1"/>
  <c r="U266" i="1" s="1"/>
  <c r="K266" i="1" s="1"/>
  <c r="I221" i="5" l="1"/>
  <c r="I179" i="5"/>
  <c r="I137" i="5"/>
  <c r="I95" i="5"/>
  <c r="I53" i="5"/>
  <c r="A3" i="1" l="1"/>
  <c r="I12" i="5" l="1"/>
  <c r="Z6" i="1"/>
  <c r="J41" i="4" l="1"/>
  <c r="U52" i="1" s="1"/>
  <c r="K52" i="1" s="1"/>
  <c r="J42" i="4"/>
  <c r="U53" i="1" s="1"/>
  <c r="J43" i="4"/>
  <c r="J44" i="4"/>
  <c r="J45" i="4"/>
  <c r="J46" i="4"/>
  <c r="J47" i="4"/>
  <c r="J48" i="4"/>
  <c r="J49" i="4"/>
  <c r="Q270" i="1" l="1"/>
  <c r="V270" i="1" s="1"/>
  <c r="Q189" i="1" l="1"/>
  <c r="Q111" i="1"/>
  <c r="T32" i="4" l="1"/>
  <c r="J59" i="4" l="1"/>
  <c r="J60" i="4" s="1"/>
  <c r="J61" i="4" s="1"/>
  <c r="J62" i="4" s="1"/>
  <c r="J63" i="4" s="1"/>
  <c r="J64" i="4" s="1"/>
  <c r="A98" i="3" l="1"/>
  <c r="A96" i="3"/>
  <c r="A94" i="3"/>
  <c r="A92" i="3"/>
  <c r="A90" i="3"/>
  <c r="A88" i="3"/>
  <c r="A86" i="3"/>
  <c r="G94" i="3"/>
  <c r="E94" i="3"/>
  <c r="A5" i="1" l="1"/>
  <c r="A44" i="1" s="1"/>
  <c r="A83" i="1" s="1"/>
  <c r="A122" i="1" s="1"/>
  <c r="A161" i="1" s="1"/>
  <c r="A200" i="1" s="1"/>
  <c r="A240" i="1" s="1"/>
  <c r="A283" i="1" s="1"/>
  <c r="L77" i="4"/>
  <c r="L78" i="4"/>
  <c r="L79" i="4"/>
  <c r="L80" i="4"/>
  <c r="L81" i="4"/>
  <c r="L82" i="4"/>
  <c r="L83" i="4"/>
  <c r="L76" i="4"/>
  <c r="Z83" i="1"/>
  <c r="Z122" i="1" s="1"/>
  <c r="Z161" i="1" s="1"/>
  <c r="Z200" i="1" s="1"/>
  <c r="Z240" i="1" s="1"/>
  <c r="Z283" i="1" s="1"/>
  <c r="A78" i="3"/>
  <c r="A11" i="5" l="1"/>
  <c r="A52" i="5" s="1"/>
  <c r="A94" i="5" s="1"/>
  <c r="A136" i="5" s="1"/>
  <c r="A178" i="5" s="1"/>
  <c r="A220" i="5" s="1"/>
  <c r="A179" i="5" l="1"/>
  <c r="X25" i="1" l="1"/>
  <c r="Z25" i="1" s="1"/>
  <c r="A45" i="1"/>
  <c r="A84" i="1" s="1"/>
  <c r="A123" i="1" s="1"/>
  <c r="A162" i="1" s="1"/>
  <c r="A201" i="1" s="1"/>
  <c r="A241" i="1" s="1"/>
  <c r="A284" i="1" s="1"/>
  <c r="A53" i="5"/>
  <c r="A137" i="5"/>
  <c r="A221" i="5"/>
  <c r="A12" i="5"/>
  <c r="A95" i="5"/>
  <c r="J224" i="1" l="1"/>
  <c r="J225" i="1"/>
  <c r="J226" i="1"/>
  <c r="J227" i="1"/>
  <c r="J288" i="1"/>
  <c r="J49" i="1"/>
  <c r="J88" i="1" s="1"/>
  <c r="J127" i="1" s="1"/>
  <c r="J166" i="1" s="1"/>
  <c r="J205" i="1" s="1"/>
  <c r="A7" i="5" l="1"/>
  <c r="A4" i="1" l="1"/>
  <c r="F41" i="3" l="1"/>
  <c r="H38" i="3" l="1"/>
  <c r="E38" i="3"/>
  <c r="E306" i="1" l="1"/>
  <c r="E307" i="1"/>
  <c r="E308" i="1"/>
  <c r="J308" i="1" s="1"/>
  <c r="E309" i="1"/>
  <c r="J309" i="1" s="1"/>
  <c r="E310" i="1"/>
  <c r="P309" i="1"/>
  <c r="P307" i="1"/>
  <c r="P306" i="1"/>
  <c r="Z300" i="1"/>
  <c r="X300" i="1"/>
  <c r="P299" i="1"/>
  <c r="U299" i="1" s="1"/>
  <c r="K299" i="1" s="1"/>
  <c r="P298" i="1"/>
  <c r="U298" i="1" s="1"/>
  <c r="K298" i="1" s="1"/>
  <c r="P297" i="1"/>
  <c r="P296" i="1"/>
  <c r="P295" i="1"/>
  <c r="U295" i="1" s="1"/>
  <c r="K295" i="1" s="1"/>
  <c r="P294" i="1"/>
  <c r="U294" i="1" s="1"/>
  <c r="K294" i="1" s="1"/>
  <c r="P293" i="1"/>
  <c r="P292" i="1"/>
  <c r="U292" i="1" s="1"/>
  <c r="K292" i="1" s="1"/>
  <c r="P291" i="1"/>
  <c r="U291" i="1" s="1"/>
  <c r="K291" i="1" s="1"/>
  <c r="E288" i="1"/>
  <c r="O288" i="1" s="1"/>
  <c r="T288" i="1" s="1"/>
  <c r="U305" i="1" l="1"/>
  <c r="K305" i="1" s="1"/>
  <c r="K306" i="1"/>
  <c r="U306" i="1"/>
  <c r="U296" i="1"/>
  <c r="K296" i="1" s="1"/>
  <c r="G309" i="1"/>
  <c r="G308" i="1"/>
  <c r="G307" i="1"/>
  <c r="J307" i="1"/>
  <c r="G310" i="1"/>
  <c r="J310" i="1"/>
  <c r="G306" i="1"/>
  <c r="J306" i="1"/>
  <c r="U293" i="1"/>
  <c r="K293" i="1" s="1"/>
  <c r="U297" i="1"/>
  <c r="K297" i="1" s="1"/>
  <c r="U307" i="1"/>
  <c r="K307" i="1" s="1"/>
  <c r="U309" i="1"/>
  <c r="K309" i="1" s="1"/>
  <c r="P308" i="1"/>
  <c r="P310" i="1"/>
  <c r="U255" i="1"/>
  <c r="E237" i="5" l="1"/>
  <c r="E234" i="5"/>
  <c r="K255" i="1"/>
  <c r="U308" i="1"/>
  <c r="K308" i="1" s="1"/>
  <c r="U310" i="1"/>
  <c r="K310" i="1" s="1"/>
  <c r="E49" i="1"/>
  <c r="E88" i="1" s="1"/>
  <c r="O10" i="1"/>
  <c r="T10" i="1" s="1"/>
  <c r="E127" i="1" l="1"/>
  <c r="O88" i="1"/>
  <c r="T88" i="1" s="1"/>
  <c r="O49" i="1"/>
  <c r="T49" i="1" s="1"/>
  <c r="E166" i="1" l="1"/>
  <c r="O127" i="1"/>
  <c r="T127" i="1" s="1"/>
  <c r="E205" i="1" l="1"/>
  <c r="O205" i="1" s="1"/>
  <c r="T205" i="1" s="1"/>
  <c r="O166" i="1"/>
  <c r="T166" i="1" s="1"/>
  <c r="V72" i="1" l="1"/>
  <c r="T72" i="1"/>
  <c r="T111" i="1"/>
  <c r="Z45" i="1"/>
  <c r="Z84" i="1" s="1"/>
  <c r="Z123" i="1" s="1"/>
  <c r="Z162" i="1" s="1"/>
  <c r="Z201" i="1" s="1"/>
  <c r="Z241" i="1" s="1"/>
  <c r="Z284" i="1" l="1"/>
  <c r="I137" i="4"/>
  <c r="V229" i="1" l="1"/>
  <c r="T229" i="1" l="1"/>
  <c r="A5" i="5" l="1"/>
  <c r="A46" i="5" s="1"/>
  <c r="A88" i="5" s="1"/>
  <c r="A130" i="5" s="1"/>
  <c r="A172" i="5" s="1"/>
  <c r="A214" i="5" s="1"/>
  <c r="A48" i="5" l="1"/>
  <c r="A90" i="5" s="1"/>
  <c r="A132" i="5" s="1"/>
  <c r="A174" i="5" s="1"/>
  <c r="A216" i="5" s="1"/>
  <c r="A6" i="5"/>
  <c r="A47" i="5" s="1"/>
  <c r="A89" i="5" s="1"/>
  <c r="A131" i="5" s="1"/>
  <c r="A173" i="5" s="1"/>
  <c r="A215" i="5" s="1"/>
  <c r="I64" i="4" l="1"/>
  <c r="I63" i="4"/>
  <c r="I62" i="4"/>
  <c r="I61" i="4"/>
  <c r="I60" i="4"/>
  <c r="I59" i="4"/>
  <c r="V258" i="1" l="1"/>
  <c r="A1" i="3" l="1"/>
  <c r="A1" i="1"/>
  <c r="A40" i="1" s="1"/>
  <c r="A79" i="1" s="1"/>
  <c r="A118" i="1" s="1"/>
  <c r="A157" i="1" s="1"/>
  <c r="A196" i="1" s="1"/>
  <c r="A236" i="1" s="1"/>
  <c r="A279" i="1" s="1"/>
  <c r="A43" i="1"/>
  <c r="A82" i="1" s="1"/>
  <c r="A121" i="1" s="1"/>
  <c r="A160" i="1" s="1"/>
  <c r="A199" i="1" s="1"/>
  <c r="A239" i="1" s="1"/>
  <c r="A282" i="1" s="1"/>
  <c r="A42" i="1"/>
  <c r="A81" i="1" s="1"/>
  <c r="A120" i="1" s="1"/>
  <c r="A159" i="1" s="1"/>
  <c r="A198" i="1" s="1"/>
  <c r="A238" i="1" s="1"/>
  <c r="A281" i="1" s="1"/>
  <c r="F71" i="1" l="1"/>
  <c r="F69" i="1"/>
  <c r="F110" i="1"/>
  <c r="F108" i="1"/>
  <c r="F149" i="1"/>
  <c r="F147" i="1"/>
  <c r="F145" i="1"/>
  <c r="F70" i="1"/>
  <c r="F68" i="1"/>
  <c r="F109" i="1"/>
  <c r="F107" i="1"/>
  <c r="F148" i="1"/>
  <c r="F146" i="1"/>
  <c r="F223" i="1" l="1"/>
  <c r="F226" i="1" l="1"/>
  <c r="F224" i="1"/>
  <c r="F227" i="1"/>
  <c r="F225" i="1"/>
  <c r="F187" i="1"/>
  <c r="F185" i="1"/>
  <c r="F188" i="1"/>
  <c r="F186" i="1"/>
  <c r="F184" i="1"/>
  <c r="I57" i="4"/>
  <c r="X229" i="1" l="1"/>
  <c r="Z229" i="1" s="1"/>
  <c r="A5" i="4" l="1"/>
  <c r="A29" i="3" l="1"/>
  <c r="V150" i="1"/>
  <c r="T150" i="1" l="1"/>
  <c r="P224" i="1"/>
  <c r="V111" i="1"/>
  <c r="Z139" i="1" l="1"/>
  <c r="X139" i="1"/>
  <c r="X100" i="1"/>
  <c r="Z100" i="1"/>
  <c r="G224" i="1"/>
  <c r="P226" i="1" l="1"/>
  <c r="G226" i="1"/>
  <c r="G227" i="1"/>
  <c r="P225" i="1"/>
  <c r="G225" i="1"/>
  <c r="Z61" i="1" l="1"/>
  <c r="X61" i="1"/>
  <c r="X178" i="1"/>
  <c r="Z178" i="1"/>
  <c r="X217" i="1"/>
  <c r="Z217" i="1"/>
  <c r="T189" i="1" l="1"/>
  <c r="T226" i="1" l="1"/>
  <c r="Q226" i="1"/>
  <c r="T224" i="1"/>
  <c r="Q224" i="1"/>
  <c r="T227" i="1"/>
  <c r="Q227" i="1"/>
  <c r="T225" i="1"/>
  <c r="Q225" i="1"/>
  <c r="X150" i="1" l="1"/>
  <c r="Z150" i="1" l="1"/>
  <c r="X72" i="1" l="1"/>
  <c r="V189" i="1"/>
  <c r="Z72" i="1" l="1"/>
  <c r="X189" i="1"/>
  <c r="Z189" i="1" l="1"/>
  <c r="G134" i="4" l="1"/>
  <c r="U248" i="1" l="1"/>
  <c r="U249" i="1"/>
  <c r="U250" i="1"/>
  <c r="U251" i="1"/>
  <c r="U252" i="1"/>
  <c r="U253" i="1"/>
  <c r="U254" i="1"/>
  <c r="K41" i="4"/>
  <c r="U91" i="1" s="1"/>
  <c r="E57" i="5" s="1"/>
  <c r="L41" i="4"/>
  <c r="U130" i="1" s="1"/>
  <c r="K130" i="1" s="1"/>
  <c r="M41" i="4"/>
  <c r="U169" i="1" s="1"/>
  <c r="K169" i="1" s="1"/>
  <c r="N41" i="4"/>
  <c r="U208" i="1" s="1"/>
  <c r="K208" i="1" s="1"/>
  <c r="E233" i="5" l="1"/>
  <c r="K254" i="1"/>
  <c r="E231" i="5"/>
  <c r="K252" i="1"/>
  <c r="E229" i="5"/>
  <c r="K250" i="1"/>
  <c r="E227" i="5"/>
  <c r="K248" i="1"/>
  <c r="E232" i="5"/>
  <c r="K253" i="1"/>
  <c r="E230" i="5"/>
  <c r="K251" i="1"/>
  <c r="E228" i="5"/>
  <c r="K249" i="1"/>
  <c r="K91" i="1"/>
  <c r="E16" i="5"/>
  <c r="U68" i="1" l="1"/>
  <c r="K68" i="1" s="1"/>
  <c r="U67" i="1"/>
  <c r="U71" i="1"/>
  <c r="K71" i="1" s="1"/>
  <c r="U66" i="1"/>
  <c r="K66" i="1" s="1"/>
  <c r="K67" i="1" s="1"/>
  <c r="U70" i="1"/>
  <c r="K70" i="1" s="1"/>
  <c r="U69" i="1"/>
  <c r="K69" i="1" s="1"/>
  <c r="U54" i="1"/>
  <c r="K54" i="1" s="1"/>
  <c r="U56" i="1"/>
  <c r="K56" i="1" s="1"/>
  <c r="U57" i="1"/>
  <c r="K57" i="1" s="1"/>
  <c r="U59" i="1"/>
  <c r="K59" i="1" s="1"/>
  <c r="U55" i="1"/>
  <c r="K55" i="1" s="1"/>
  <c r="U58" i="1"/>
  <c r="K58" i="1" s="1"/>
  <c r="U60" i="1"/>
  <c r="K60" i="1" s="1"/>
  <c r="K53" i="1"/>
  <c r="E20" i="5" l="1"/>
  <c r="E28" i="5"/>
  <c r="E21" i="5"/>
  <c r="E29" i="5"/>
  <c r="E17" i="5"/>
  <c r="E26" i="5"/>
  <c r="E22" i="5"/>
  <c r="E32" i="5"/>
  <c r="E23" i="5"/>
  <c r="E27" i="5"/>
  <c r="E31" i="5"/>
  <c r="E35" i="5"/>
  <c r="E19" i="5"/>
  <c r="E24" i="5"/>
  <c r="E30" i="5"/>
  <c r="E36" i="5"/>
  <c r="E18" i="5"/>
  <c r="E25" i="5"/>
  <c r="E33" i="5"/>
  <c r="E34" i="5"/>
  <c r="M59" i="4"/>
  <c r="U183" i="1" l="1"/>
  <c r="K183" i="1" s="1"/>
  <c r="M60" i="4"/>
  <c r="M61" i="4" s="1"/>
  <c r="K43" i="4"/>
  <c r="U93" i="1" s="1"/>
  <c r="K93" i="1" s="1"/>
  <c r="N59" i="4"/>
  <c r="K45" i="4"/>
  <c r="U95" i="1" s="1"/>
  <c r="K95" i="1" s="1"/>
  <c r="K47" i="4"/>
  <c r="U97" i="1" s="1"/>
  <c r="K97" i="1" s="1"/>
  <c r="K59" i="4"/>
  <c r="L59" i="4"/>
  <c r="K42" i="4"/>
  <c r="U92" i="1" s="1"/>
  <c r="K92" i="1" s="1"/>
  <c r="K48" i="4"/>
  <c r="U98" i="1" s="1"/>
  <c r="K98" i="1" s="1"/>
  <c r="K49" i="4"/>
  <c r="U99" i="1" s="1"/>
  <c r="K99" i="1" s="1"/>
  <c r="K46" i="4"/>
  <c r="U96" i="1" s="1"/>
  <c r="K96" i="1" s="1"/>
  <c r="K44" i="4"/>
  <c r="U94" i="1" s="1"/>
  <c r="K94" i="1" s="1"/>
  <c r="U184" i="1"/>
  <c r="K184" i="1" s="1"/>
  <c r="U144" i="1" l="1"/>
  <c r="K144" i="1" s="1"/>
  <c r="L60" i="4"/>
  <c r="U222" i="1"/>
  <c r="K222" i="1" s="1"/>
  <c r="N60" i="4"/>
  <c r="U105" i="1"/>
  <c r="E72" i="5" s="1"/>
  <c r="K60" i="4"/>
  <c r="M62" i="4"/>
  <c r="U185" i="1"/>
  <c r="K185" i="1" s="1"/>
  <c r="K105" i="1"/>
  <c r="K106" i="1" s="1"/>
  <c r="E59" i="5"/>
  <c r="E75" i="5"/>
  <c r="E68" i="5"/>
  <c r="E65" i="5"/>
  <c r="E73" i="5"/>
  <c r="E66" i="5"/>
  <c r="E78" i="5"/>
  <c r="L44" i="4"/>
  <c r="U133" i="1" s="1"/>
  <c r="K133" i="1" s="1"/>
  <c r="L48" i="4"/>
  <c r="U137" i="1" s="1"/>
  <c r="K137" i="1" s="1"/>
  <c r="L42" i="4"/>
  <c r="U131" i="1" s="1"/>
  <c r="K131" i="1" s="1"/>
  <c r="L46" i="4"/>
  <c r="U135" i="1" s="1"/>
  <c r="K135" i="1" s="1"/>
  <c r="L49" i="4"/>
  <c r="U138" i="1" s="1"/>
  <c r="K138" i="1" s="1"/>
  <c r="L47" i="4"/>
  <c r="U136" i="1" s="1"/>
  <c r="K136" i="1" s="1"/>
  <c r="L45" i="4"/>
  <c r="U134" i="1" s="1"/>
  <c r="K134" i="1" s="1"/>
  <c r="L43" i="4"/>
  <c r="U132" i="1" s="1"/>
  <c r="K132" i="1" s="1"/>
  <c r="E77" i="5" l="1"/>
  <c r="E76" i="5"/>
  <c r="E67" i="5"/>
  <c r="E70" i="5"/>
  <c r="E69" i="5"/>
  <c r="E64" i="5"/>
  <c r="E62" i="5"/>
  <c r="E71" i="5"/>
  <c r="E74" i="5"/>
  <c r="E58" i="5"/>
  <c r="E60" i="5"/>
  <c r="E63" i="5"/>
  <c r="E61" i="5"/>
  <c r="N61" i="4"/>
  <c r="U223" i="1"/>
  <c r="K223" i="1" s="1"/>
  <c r="K61" i="4"/>
  <c r="U106" i="1"/>
  <c r="L61" i="4"/>
  <c r="U145" i="1"/>
  <c r="K145" i="1" s="1"/>
  <c r="M63" i="4"/>
  <c r="U186" i="1"/>
  <c r="K186" i="1" s="1"/>
  <c r="E99" i="5"/>
  <c r="E113" i="5" s="1"/>
  <c r="X111" i="1"/>
  <c r="Z111" i="1" s="1"/>
  <c r="M43" i="4"/>
  <c r="U171" i="1" s="1"/>
  <c r="K171" i="1" s="1"/>
  <c r="M47" i="4"/>
  <c r="U175" i="1" s="1"/>
  <c r="K175" i="1" s="1"/>
  <c r="M45" i="4"/>
  <c r="U173" i="1" s="1"/>
  <c r="K173" i="1" s="1"/>
  <c r="M49" i="4"/>
  <c r="U177" i="1" s="1"/>
  <c r="K177" i="1" s="1"/>
  <c r="M48" i="4"/>
  <c r="U176" i="1" s="1"/>
  <c r="K176" i="1" s="1"/>
  <c r="M44" i="4"/>
  <c r="U172" i="1" s="1"/>
  <c r="K172" i="1" s="1"/>
  <c r="M42" i="4"/>
  <c r="U170" i="1" s="1"/>
  <c r="K170" i="1" s="1"/>
  <c r="M46" i="4"/>
  <c r="U174" i="1" s="1"/>
  <c r="K174" i="1" s="1"/>
  <c r="M64" i="4" l="1"/>
  <c r="U188" i="1" s="1"/>
  <c r="K188" i="1" s="1"/>
  <c r="U187" i="1"/>
  <c r="K187" i="1" s="1"/>
  <c r="K62" i="4"/>
  <c r="U107" i="1"/>
  <c r="K107" i="1" s="1"/>
  <c r="L62" i="4"/>
  <c r="U146" i="1"/>
  <c r="K146" i="1" s="1"/>
  <c r="N62" i="4"/>
  <c r="U224" i="1"/>
  <c r="E102" i="5"/>
  <c r="E106" i="5"/>
  <c r="E108" i="5"/>
  <c r="E112" i="5"/>
  <c r="E118" i="5"/>
  <c r="E101" i="5"/>
  <c r="E103" i="5"/>
  <c r="E105" i="5"/>
  <c r="E107" i="5"/>
  <c r="E109" i="5"/>
  <c r="E111" i="5"/>
  <c r="E115" i="5"/>
  <c r="E117" i="5"/>
  <c r="E119" i="5"/>
  <c r="E100" i="5"/>
  <c r="E104" i="5"/>
  <c r="E110" i="5"/>
  <c r="E114" i="5"/>
  <c r="E116" i="5"/>
  <c r="E120" i="5"/>
  <c r="E141" i="5"/>
  <c r="E152" i="5" s="1"/>
  <c r="N46" i="4"/>
  <c r="U213" i="1" s="1"/>
  <c r="K213" i="1" s="1"/>
  <c r="N44" i="4"/>
  <c r="U211" i="1" s="1"/>
  <c r="K211" i="1" s="1"/>
  <c r="N45" i="4"/>
  <c r="U212" i="1" s="1"/>
  <c r="K212" i="1" s="1"/>
  <c r="N49" i="4"/>
  <c r="U216" i="1" s="1"/>
  <c r="K216" i="1" s="1"/>
  <c r="N43" i="4"/>
  <c r="U210" i="1" s="1"/>
  <c r="K210" i="1" s="1"/>
  <c r="N42" i="4"/>
  <c r="U209" i="1" s="1"/>
  <c r="K209" i="1" s="1"/>
  <c r="N47" i="4"/>
  <c r="U214" i="1" s="1"/>
  <c r="K214" i="1" s="1"/>
  <c r="N48" i="4"/>
  <c r="U215" i="1" s="1"/>
  <c r="K215" i="1" s="1"/>
  <c r="K224" i="1" l="1"/>
  <c r="L224" i="1" s="1"/>
  <c r="V224" i="1"/>
  <c r="X224" i="1" s="1"/>
  <c r="Z224" i="1" s="1"/>
  <c r="N63" i="4"/>
  <c r="U225" i="1"/>
  <c r="K63" i="4"/>
  <c r="U108" i="1"/>
  <c r="K108" i="1" s="1"/>
  <c r="L63" i="4"/>
  <c r="U147" i="1"/>
  <c r="K147" i="1" s="1"/>
  <c r="E183" i="5"/>
  <c r="E195" i="5" s="1"/>
  <c r="E143" i="5"/>
  <c r="E147" i="5"/>
  <c r="E153" i="5"/>
  <c r="E157" i="5"/>
  <c r="E161" i="5"/>
  <c r="E144" i="5"/>
  <c r="E146" i="5"/>
  <c r="E148" i="5"/>
  <c r="E150" i="5"/>
  <c r="E154" i="5"/>
  <c r="E156" i="5"/>
  <c r="E158" i="5"/>
  <c r="E160" i="5"/>
  <c r="E162" i="5"/>
  <c r="E145" i="5"/>
  <c r="E149" i="5"/>
  <c r="E151" i="5"/>
  <c r="E155" i="5"/>
  <c r="E159" i="5"/>
  <c r="E142" i="5"/>
  <c r="K225" i="1" l="1"/>
  <c r="L225" i="1" s="1"/>
  <c r="V225" i="1"/>
  <c r="X225" i="1" s="1"/>
  <c r="Z225" i="1" s="1"/>
  <c r="L64" i="4"/>
  <c r="U149" i="1" s="1"/>
  <c r="K149" i="1" s="1"/>
  <c r="U148" i="1"/>
  <c r="K148" i="1" s="1"/>
  <c r="N64" i="4"/>
  <c r="U227" i="1" s="1"/>
  <c r="U226" i="1"/>
  <c r="K64" i="4"/>
  <c r="U110" i="1" s="1"/>
  <c r="K110" i="1" s="1"/>
  <c r="U109" i="1"/>
  <c r="K109" i="1" s="1"/>
  <c r="E186" i="5"/>
  <c r="E190" i="5"/>
  <c r="E194" i="5"/>
  <c r="E200" i="5"/>
  <c r="E204" i="5"/>
  <c r="E185" i="5"/>
  <c r="E187" i="5"/>
  <c r="E189" i="5"/>
  <c r="E191" i="5"/>
  <c r="E193" i="5"/>
  <c r="E197" i="5"/>
  <c r="E199" i="5"/>
  <c r="E201" i="5"/>
  <c r="E203" i="5"/>
  <c r="E184" i="5"/>
  <c r="E188" i="5"/>
  <c r="E192" i="5"/>
  <c r="E196" i="5"/>
  <c r="E198" i="5"/>
  <c r="E202" i="5"/>
  <c r="K226" i="1" l="1"/>
  <c r="L226" i="1" s="1"/>
  <c r="V226" i="1"/>
  <c r="X226" i="1" s="1"/>
  <c r="Z226" i="1" s="1"/>
  <c r="V227" i="1"/>
  <c r="X227" i="1" s="1"/>
  <c r="Z227" i="1" s="1"/>
  <c r="K227" i="1"/>
  <c r="L227" i="1" s="1"/>
  <c r="G217" i="1"/>
  <c r="L217" i="1" l="1"/>
  <c r="O311" i="1"/>
  <c r="T311" i="1" s="1"/>
  <c r="O310" i="1"/>
  <c r="O309" i="1"/>
  <c r="O308" i="1"/>
  <c r="O307" i="1"/>
  <c r="O306" i="1"/>
  <c r="Q306" i="1" l="1"/>
  <c r="Z306" i="1" s="1"/>
  <c r="T306" i="1"/>
  <c r="V306" i="1" s="1"/>
  <c r="Q307" i="1"/>
  <c r="Z307" i="1" s="1"/>
  <c r="T307" i="1"/>
  <c r="V307" i="1" s="1"/>
  <c r="Q308" i="1"/>
  <c r="Z308" i="1" s="1"/>
  <c r="T308" i="1"/>
  <c r="V308" i="1" s="1"/>
  <c r="Q309" i="1"/>
  <c r="Z309" i="1" s="1"/>
  <c r="T309" i="1"/>
  <c r="V309" i="1" s="1"/>
  <c r="T310" i="1"/>
  <c r="V310" i="1" s="1"/>
  <c r="Q310" i="1"/>
  <c r="Z310" i="1" s="1"/>
  <c r="X309" i="1" l="1"/>
  <c r="X308" i="1"/>
  <c r="X307" i="1"/>
  <c r="X306" i="1"/>
  <c r="X310" i="1"/>
  <c r="O223" i="1" l="1"/>
  <c r="E223" i="1"/>
  <c r="O187" i="1"/>
  <c r="O188" i="1"/>
  <c r="E184" i="1"/>
  <c r="E185" i="1"/>
  <c r="E186" i="1"/>
  <c r="E187" i="1"/>
  <c r="E188" i="1"/>
  <c r="E145" i="1"/>
  <c r="E146" i="1"/>
  <c r="E147" i="1"/>
  <c r="E148" i="1"/>
  <c r="E149" i="1"/>
  <c r="O145" i="1"/>
  <c r="O146" i="1"/>
  <c r="O147" i="1"/>
  <c r="O148" i="1"/>
  <c r="O149" i="1"/>
  <c r="E68" i="1"/>
  <c r="E69" i="1"/>
  <c r="E70" i="1"/>
  <c r="E71" i="1"/>
  <c r="O108" i="1"/>
  <c r="P108" i="1" s="1"/>
  <c r="O109" i="1"/>
  <c r="P109" i="1" s="1"/>
  <c r="O110" i="1"/>
  <c r="P110" i="1" s="1"/>
  <c r="E107" i="1"/>
  <c r="E108" i="1"/>
  <c r="E109" i="1"/>
  <c r="E110" i="1"/>
  <c r="F60" i="1"/>
  <c r="F59" i="1"/>
  <c r="F58" i="1"/>
  <c r="F57" i="1"/>
  <c r="F56" i="1"/>
  <c r="F55" i="1"/>
  <c r="F54" i="1"/>
  <c r="F53" i="1"/>
  <c r="G109" i="1" l="1"/>
  <c r="J109" i="1"/>
  <c r="L109" i="1" s="1"/>
  <c r="G107" i="1"/>
  <c r="J107" i="1"/>
  <c r="L107" i="1" s="1"/>
  <c r="G71" i="1"/>
  <c r="J71" i="1"/>
  <c r="L71" i="1" s="1"/>
  <c r="G69" i="1"/>
  <c r="J69" i="1"/>
  <c r="L69" i="1" s="1"/>
  <c r="O71" i="1"/>
  <c r="L310" i="1"/>
  <c r="O69" i="1"/>
  <c r="L308" i="1"/>
  <c r="L306" i="1"/>
  <c r="G148" i="1"/>
  <c r="J148" i="1"/>
  <c r="L148" i="1" s="1"/>
  <c r="G146" i="1"/>
  <c r="J146" i="1"/>
  <c r="L146" i="1" s="1"/>
  <c r="G188" i="1"/>
  <c r="J188" i="1"/>
  <c r="L188" i="1" s="1"/>
  <c r="G186" i="1"/>
  <c r="J186" i="1"/>
  <c r="L186" i="1" s="1"/>
  <c r="G184" i="1"/>
  <c r="J184" i="1"/>
  <c r="L184" i="1" s="1"/>
  <c r="G223" i="1"/>
  <c r="J223" i="1"/>
  <c r="L223" i="1" s="1"/>
  <c r="G110" i="1"/>
  <c r="J110" i="1"/>
  <c r="L110" i="1" s="1"/>
  <c r="G108" i="1"/>
  <c r="J108" i="1"/>
  <c r="L108" i="1" s="1"/>
  <c r="G70" i="1"/>
  <c r="J70" i="1"/>
  <c r="L70" i="1" s="1"/>
  <c r="G68" i="1"/>
  <c r="J68" i="1"/>
  <c r="L68" i="1" s="1"/>
  <c r="O70" i="1"/>
  <c r="P70" i="1" s="1"/>
  <c r="L309" i="1"/>
  <c r="O68" i="1"/>
  <c r="P68" i="1" s="1"/>
  <c r="L307" i="1"/>
  <c r="G149" i="1"/>
  <c r="J149" i="1"/>
  <c r="L149" i="1" s="1"/>
  <c r="G147" i="1"/>
  <c r="J147" i="1"/>
  <c r="L147" i="1" s="1"/>
  <c r="G145" i="1"/>
  <c r="J145" i="1"/>
  <c r="L145" i="1" s="1"/>
  <c r="G187" i="1"/>
  <c r="J187" i="1"/>
  <c r="L187" i="1" s="1"/>
  <c r="G185" i="1"/>
  <c r="J185" i="1"/>
  <c r="L185" i="1" s="1"/>
  <c r="T110" i="1"/>
  <c r="V110" i="1" s="1"/>
  <c r="T108" i="1"/>
  <c r="V108" i="1" s="1"/>
  <c r="T148" i="1"/>
  <c r="V148" i="1" s="1"/>
  <c r="T146" i="1"/>
  <c r="V146" i="1" s="1"/>
  <c r="T187" i="1"/>
  <c r="V187" i="1" s="1"/>
  <c r="T109" i="1"/>
  <c r="V109" i="1" s="1"/>
  <c r="T149" i="1"/>
  <c r="V149" i="1" s="1"/>
  <c r="T147" i="1"/>
  <c r="V147" i="1" s="1"/>
  <c r="T145" i="1"/>
  <c r="V145" i="1" s="1"/>
  <c r="T188" i="1"/>
  <c r="V188" i="1" s="1"/>
  <c r="Q223" i="1"/>
  <c r="T223" i="1"/>
  <c r="V223" i="1" s="1"/>
  <c r="T69" i="1" l="1"/>
  <c r="V69" i="1" s="1"/>
  <c r="X69" i="1" s="1"/>
  <c r="Z69" i="1" s="1"/>
  <c r="P69" i="1"/>
  <c r="T71" i="1"/>
  <c r="V71" i="1" s="1"/>
  <c r="P71" i="1"/>
  <c r="T70" i="1"/>
  <c r="V70" i="1" s="1"/>
  <c r="X70" i="1" s="1"/>
  <c r="Z70" i="1" s="1"/>
  <c r="Z71" i="1"/>
  <c r="T68" i="1"/>
  <c r="V68" i="1" s="1"/>
  <c r="X68" i="1" s="1"/>
  <c r="Z68" i="1" s="1"/>
  <c r="X188" i="1"/>
  <c r="Z188" i="1" s="1"/>
  <c r="X109" i="1"/>
  <c r="Z109" i="1" s="1"/>
  <c r="X108" i="1"/>
  <c r="Z108" i="1" s="1"/>
  <c r="X223" i="1"/>
  <c r="Z223" i="1" s="1"/>
  <c r="X187" i="1"/>
  <c r="Z187" i="1" s="1"/>
  <c r="X110" i="1"/>
  <c r="Z110" i="1" s="1"/>
  <c r="X71" i="1" l="1"/>
  <c r="F215" i="1" l="1"/>
  <c r="F213" i="1"/>
  <c r="F211" i="1"/>
  <c r="F209" i="1"/>
  <c r="F216" i="1"/>
  <c r="F214" i="1"/>
  <c r="F212" i="1"/>
  <c r="F210" i="1"/>
  <c r="F208" i="1"/>
  <c r="F94" i="1"/>
  <c r="F98" i="1"/>
  <c r="F131" i="1"/>
  <c r="P131" i="1" s="1"/>
  <c r="F135" i="1"/>
  <c r="P135" i="1" s="1"/>
  <c r="F172" i="1"/>
  <c r="F176" i="1"/>
  <c r="F93" i="1"/>
  <c r="F95" i="1"/>
  <c r="F97" i="1"/>
  <c r="F99" i="1"/>
  <c r="F130" i="1"/>
  <c r="P130" i="1" s="1"/>
  <c r="F132" i="1"/>
  <c r="P132" i="1" s="1"/>
  <c r="F134" i="1"/>
  <c r="P134" i="1" s="1"/>
  <c r="C99" i="5" s="1"/>
  <c r="F136" i="1"/>
  <c r="P136" i="1" s="1"/>
  <c r="F138" i="1"/>
  <c r="P138" i="1" s="1"/>
  <c r="F169" i="1"/>
  <c r="F171" i="1"/>
  <c r="F173" i="1"/>
  <c r="F175" i="1"/>
  <c r="F177" i="1"/>
  <c r="F92" i="1"/>
  <c r="F96" i="1"/>
  <c r="F133" i="1"/>
  <c r="P133" i="1" s="1"/>
  <c r="F137" i="1"/>
  <c r="P137" i="1" s="1"/>
  <c r="F170" i="1"/>
  <c r="F174" i="1"/>
  <c r="G99" i="5" l="1"/>
  <c r="I99" i="5" s="1"/>
  <c r="E229" i="1" l="1"/>
  <c r="J229" i="1" s="1"/>
  <c r="L258" i="1" l="1"/>
  <c r="C98" i="4" l="1"/>
  <c r="C41" i="3" l="1"/>
  <c r="G233" i="5" l="1"/>
  <c r="I233" i="5" s="1"/>
  <c r="G234" i="5" l="1"/>
  <c r="I234" i="5" s="1"/>
  <c r="G228" i="5"/>
  <c r="I228" i="5" s="1"/>
  <c r="G231" i="5"/>
  <c r="I231" i="5" s="1"/>
  <c r="G232" i="5"/>
  <c r="I232" i="5" s="1"/>
  <c r="G227" i="5"/>
  <c r="I227" i="5" s="1"/>
  <c r="G229" i="5"/>
  <c r="I229" i="5" s="1"/>
  <c r="Q148" i="1" l="1"/>
  <c r="Z148" i="1" s="1"/>
  <c r="Q149" i="1"/>
  <c r="X149" i="1" s="1"/>
  <c r="Q147" i="1"/>
  <c r="X147" i="1" s="1"/>
  <c r="Q146" i="1"/>
  <c r="Z146" i="1" s="1"/>
  <c r="Q145" i="1"/>
  <c r="Z145" i="1" s="1"/>
  <c r="X146" i="1" l="1"/>
  <c r="Z147" i="1"/>
  <c r="X145" i="1"/>
  <c r="Z149" i="1"/>
  <c r="X148" i="1"/>
  <c r="P26" i="4" l="1"/>
  <c r="O186" i="1" s="1"/>
  <c r="T186" i="1" s="1"/>
  <c r="V186" i="1" s="1"/>
  <c r="P25" i="4"/>
  <c r="O185" i="1" s="1"/>
  <c r="T185" i="1" s="1"/>
  <c r="V185" i="1" s="1"/>
  <c r="Q107" i="1"/>
  <c r="N25" i="4"/>
  <c r="O107" i="1" s="1"/>
  <c r="T107" i="1" s="1"/>
  <c r="V107" i="1" s="1"/>
  <c r="P24" i="4"/>
  <c r="O184" i="1" s="1"/>
  <c r="T184" i="1" s="1"/>
  <c r="V184" i="1" s="1"/>
  <c r="P107" i="1" l="1"/>
  <c r="Q186" i="1"/>
  <c r="P186" i="1" s="1"/>
  <c r="Q184" i="1"/>
  <c r="P184" i="1" s="1"/>
  <c r="Q185" i="1"/>
  <c r="P185" i="1" s="1"/>
  <c r="X107" i="1"/>
  <c r="Z107" i="1" s="1"/>
  <c r="X186" i="1" l="1"/>
  <c r="Z186" i="1" s="1"/>
  <c r="X185" i="1"/>
  <c r="Z185" i="1" s="1"/>
  <c r="X184" i="1"/>
  <c r="Z184" i="1" s="1"/>
  <c r="G228" i="1"/>
  <c r="I23" i="4" l="1"/>
  <c r="E262" i="1" l="1"/>
  <c r="I29" i="4"/>
  <c r="J262" i="1" l="1"/>
  <c r="B65" i="3"/>
  <c r="L262" i="1" l="1"/>
  <c r="J18" i="1"/>
  <c r="H34" i="4" l="1"/>
  <c r="G311" i="1" s="1"/>
  <c r="L311" i="1" s="1"/>
  <c r="E32" i="4" l="1"/>
  <c r="E150" i="1" s="1"/>
  <c r="J150" i="1" s="1"/>
  <c r="F262" i="1" l="1"/>
  <c r="P262" i="1" l="1"/>
  <c r="Q262" i="1" s="1"/>
  <c r="G262" i="1"/>
  <c r="Z262" i="1" l="1"/>
  <c r="X262" i="1"/>
  <c r="C34" i="4" l="1"/>
  <c r="G34" i="4" l="1"/>
  <c r="G229" i="1" s="1"/>
  <c r="L229" i="1" s="1"/>
  <c r="G72" i="1"/>
  <c r="L72" i="1" s="1"/>
  <c r="E34" i="4" l="1"/>
  <c r="G150" i="1" s="1"/>
  <c r="L150" i="1" s="1"/>
  <c r="F34" i="4"/>
  <c r="G189" i="1" s="1"/>
  <c r="L189" i="1" s="1"/>
  <c r="D34" i="4" l="1"/>
  <c r="G111" i="1" l="1"/>
  <c r="L111" i="1" s="1"/>
  <c r="L75" i="4" l="1"/>
  <c r="U247" i="1" s="1"/>
  <c r="K247" i="1" l="1"/>
  <c r="E226" i="5"/>
  <c r="G226" i="5" s="1"/>
  <c r="I226" i="5" s="1"/>
  <c r="D107" i="4" l="1"/>
  <c r="Q34" i="1" s="1"/>
  <c r="D105" i="4" l="1"/>
  <c r="Q32" i="1" s="1"/>
  <c r="F105" i="4" l="1"/>
  <c r="V32" i="1" s="1"/>
  <c r="X32" i="1" s="1"/>
  <c r="Z32" i="1" s="1"/>
  <c r="B108" i="4" l="1"/>
  <c r="G35" i="1" s="1"/>
  <c r="C108" i="4" l="1"/>
  <c r="L35" i="1" s="1"/>
  <c r="B98" i="4" l="1"/>
  <c r="G25" i="1" s="1"/>
  <c r="D108" i="4" l="1"/>
  <c r="Q35" i="1" s="1"/>
  <c r="B100" i="4"/>
  <c r="G27" i="1" s="1"/>
  <c r="B103" i="4"/>
  <c r="G30" i="1" s="1"/>
  <c r="B106" i="4"/>
  <c r="G33" i="1" s="1"/>
  <c r="F108" i="4"/>
  <c r="V35" i="1" s="1"/>
  <c r="X35" i="1" s="1"/>
  <c r="B101" i="4"/>
  <c r="G28" i="1" s="1"/>
  <c r="B104" i="4"/>
  <c r="G31" i="1" s="1"/>
  <c r="B102" i="4"/>
  <c r="G29" i="1" s="1"/>
  <c r="B107" i="4"/>
  <c r="G34" i="1" s="1"/>
  <c r="B105" i="4"/>
  <c r="G32" i="1" s="1"/>
  <c r="D103" i="4" l="1"/>
  <c r="Q30" i="1" s="1"/>
  <c r="D101" i="4"/>
  <c r="Q28" i="1" s="1"/>
  <c r="Z35" i="1"/>
  <c r="D102" i="4"/>
  <c r="Q29" i="1" s="1"/>
  <c r="D100" i="4"/>
  <c r="Q27" i="1" s="1"/>
  <c r="D98" i="4"/>
  <c r="C105" i="4"/>
  <c r="L32" i="1" s="1"/>
  <c r="C102" i="4"/>
  <c r="L29" i="1" s="1"/>
  <c r="C101" i="4"/>
  <c r="L28" i="1" s="1"/>
  <c r="C103" i="4"/>
  <c r="L30" i="1" s="1"/>
  <c r="C107" i="4"/>
  <c r="L34" i="1" s="1"/>
  <c r="C100" i="4"/>
  <c r="L27" i="1" s="1"/>
  <c r="F102" i="4"/>
  <c r="V29" i="1" s="1"/>
  <c r="F100" i="4"/>
  <c r="V27" i="1" s="1"/>
  <c r="X27" i="1" s="1"/>
  <c r="Z27" i="1" s="1"/>
  <c r="F107" i="4"/>
  <c r="V34" i="1" s="1"/>
  <c r="X34" i="1" s="1"/>
  <c r="Z34" i="1" s="1"/>
  <c r="F103" i="4"/>
  <c r="V30" i="1" s="1"/>
  <c r="F101" i="4"/>
  <c r="V28" i="1" s="1"/>
  <c r="C104" i="4"/>
  <c r="L31" i="1" s="1"/>
  <c r="F98" i="4"/>
  <c r="V21" i="1" s="1"/>
  <c r="X30" i="1" l="1"/>
  <c r="Z30" i="1" s="1"/>
  <c r="X28" i="1"/>
  <c r="Z28" i="1" s="1"/>
  <c r="X29" i="1"/>
  <c r="Z29" i="1"/>
  <c r="X21" i="1"/>
  <c r="Z21" i="1" s="1"/>
  <c r="I41" i="3"/>
  <c r="D104" i="4"/>
  <c r="Q31" i="1" s="1"/>
  <c r="C106" i="4"/>
  <c r="L33" i="1" s="1"/>
  <c r="F104" i="4"/>
  <c r="V31" i="1" s="1"/>
  <c r="X31" i="1" l="1"/>
  <c r="Z31" i="1" s="1"/>
  <c r="D106" i="4"/>
  <c r="Q33" i="1" s="1"/>
  <c r="F106" i="4"/>
  <c r="V33" i="1" s="1"/>
  <c r="X33" i="1" l="1"/>
  <c r="Z33" i="1" s="1"/>
  <c r="D99" i="4" l="1"/>
  <c r="Q26" i="1" s="1"/>
  <c r="F99" i="4"/>
  <c r="V26" i="1" s="1"/>
  <c r="X26" i="1" l="1"/>
  <c r="Z26" i="1" s="1"/>
  <c r="V36" i="1"/>
  <c r="Q36" i="1"/>
  <c r="X36" i="1" l="1"/>
  <c r="B75" i="3" s="1"/>
  <c r="Z36" i="1" l="1"/>
  <c r="B99" i="4"/>
  <c r="G26" i="1" s="1"/>
  <c r="G36" i="1" s="1"/>
  <c r="C99" i="4" l="1"/>
  <c r="L26" i="1" s="1"/>
  <c r="L36" i="1" s="1"/>
  <c r="I13" i="4" l="1"/>
  <c r="E250" i="1" s="1"/>
  <c r="J250" i="1" s="1"/>
  <c r="L250" i="1" s="1"/>
  <c r="I18" i="4"/>
  <c r="E255" i="1" s="1"/>
  <c r="J255" i="1" s="1"/>
  <c r="L255" i="1" s="1"/>
  <c r="I16" i="4"/>
  <c r="E253" i="1" s="1"/>
  <c r="J253" i="1" s="1"/>
  <c r="L253" i="1" s="1"/>
  <c r="I12" i="4"/>
  <c r="E249" i="1" s="1"/>
  <c r="I17" i="4"/>
  <c r="E254" i="1" s="1"/>
  <c r="I11" i="4"/>
  <c r="E248" i="1" s="1"/>
  <c r="J248" i="1" s="1"/>
  <c r="L248" i="1" s="1"/>
  <c r="I15" i="4"/>
  <c r="E252" i="1" s="1"/>
  <c r="J252" i="1" s="1"/>
  <c r="L252" i="1" s="1"/>
  <c r="G254" i="1" l="1"/>
  <c r="J254" i="1"/>
  <c r="L254" i="1" s="1"/>
  <c r="J249" i="1"/>
  <c r="L249" i="1" s="1"/>
  <c r="I14" i="4"/>
  <c r="E251" i="1" s="1"/>
  <c r="F252" i="1"/>
  <c r="G252" i="1" s="1"/>
  <c r="I10" i="4"/>
  <c r="F250" i="1"/>
  <c r="G250" i="1" s="1"/>
  <c r="I19" i="4"/>
  <c r="E266" i="1" s="1"/>
  <c r="F255" i="1"/>
  <c r="G255" i="1" s="1"/>
  <c r="F247" i="1"/>
  <c r="F253" i="1"/>
  <c r="G253" i="1" s="1"/>
  <c r="F248" i="1"/>
  <c r="G248" i="1" s="1"/>
  <c r="F249" i="1" l="1"/>
  <c r="G249" i="1" s="1"/>
  <c r="J266" i="1"/>
  <c r="E268" i="1"/>
  <c r="E247" i="1"/>
  <c r="I21" i="4"/>
  <c r="J251" i="1"/>
  <c r="L251" i="1" s="1"/>
  <c r="D115" i="4"/>
  <c r="F266" i="1"/>
  <c r="G266" i="1" s="1"/>
  <c r="G268" i="1" s="1"/>
  <c r="B115" i="4" l="1"/>
  <c r="L266" i="1"/>
  <c r="L268" i="1" s="1"/>
  <c r="J268" i="1"/>
  <c r="F251" i="1"/>
  <c r="I35" i="4"/>
  <c r="G247" i="1"/>
  <c r="E259" i="1"/>
  <c r="J247" i="1"/>
  <c r="J259" i="1" l="1"/>
  <c r="L247" i="1"/>
  <c r="L259" i="1" s="1"/>
  <c r="L18" i="1" s="1"/>
  <c r="G230" i="5"/>
  <c r="I230" i="5" s="1"/>
  <c r="G251" i="1"/>
  <c r="G259" i="1" s="1"/>
  <c r="G18" i="1" l="1"/>
  <c r="C38" i="3" s="1"/>
  <c r="I34" i="4" l="1"/>
  <c r="G270" i="1" l="1"/>
  <c r="J34" i="4"/>
  <c r="L270" i="1" l="1"/>
  <c r="G19" i="1"/>
  <c r="C39" i="3" s="1"/>
  <c r="G272" i="1"/>
  <c r="L19" i="1" l="1"/>
  <c r="L272" i="1"/>
  <c r="S16" i="4" l="1"/>
  <c r="O253" i="1" s="1"/>
  <c r="S15" i="4"/>
  <c r="O252" i="1" s="1"/>
  <c r="S11" i="4"/>
  <c r="O248" i="1" s="1"/>
  <c r="S13" i="4"/>
  <c r="O250" i="1" s="1"/>
  <c r="S18" i="4"/>
  <c r="O255" i="1" s="1"/>
  <c r="S17" i="4"/>
  <c r="O254" i="1" s="1"/>
  <c r="S12" i="4"/>
  <c r="O249" i="1" s="1"/>
  <c r="Q250" i="1" l="1"/>
  <c r="T250" i="1"/>
  <c r="V250" i="1" s="1"/>
  <c r="T248" i="1"/>
  <c r="V248" i="1" s="1"/>
  <c r="Q248" i="1"/>
  <c r="T254" i="1"/>
  <c r="V254" i="1" s="1"/>
  <c r="Q254" i="1"/>
  <c r="Q252" i="1"/>
  <c r="T252" i="1"/>
  <c r="V252" i="1" s="1"/>
  <c r="Q249" i="1"/>
  <c r="T249" i="1"/>
  <c r="V249" i="1" s="1"/>
  <c r="Q255" i="1"/>
  <c r="T255" i="1"/>
  <c r="V255" i="1" s="1"/>
  <c r="T253" i="1"/>
  <c r="V253" i="1" s="1"/>
  <c r="Q253" i="1"/>
  <c r="S19" i="4"/>
  <c r="C115" i="4"/>
  <c r="E115" i="4"/>
  <c r="S10" i="4"/>
  <c r="S14" i="4"/>
  <c r="O251" i="1" s="1"/>
  <c r="X249" i="1" l="1"/>
  <c r="Z249" i="1" s="1"/>
  <c r="X250" i="1"/>
  <c r="Z250" i="1" s="1"/>
  <c r="X248" i="1"/>
  <c r="Z248" i="1" s="1"/>
  <c r="T266" i="1"/>
  <c r="O266" i="1"/>
  <c r="X255" i="1"/>
  <c r="Z255" i="1" s="1"/>
  <c r="X252" i="1"/>
  <c r="Z252" i="1" s="1"/>
  <c r="S21" i="4"/>
  <c r="O247" i="1"/>
  <c r="Q251" i="1"/>
  <c r="T251" i="1"/>
  <c r="V251" i="1" s="1"/>
  <c r="X253" i="1"/>
  <c r="Z253" i="1" s="1"/>
  <c r="X254" i="1"/>
  <c r="Z254" i="1" s="1"/>
  <c r="X251" i="1" l="1"/>
  <c r="Z251" i="1" s="1"/>
  <c r="O259" i="1"/>
  <c r="T247" i="1"/>
  <c r="Q247" i="1"/>
  <c r="O268" i="1"/>
  <c r="Q266" i="1"/>
  <c r="Q268" i="1" s="1"/>
  <c r="S35" i="4"/>
  <c r="AC37" i="4"/>
  <c r="V266" i="1"/>
  <c r="T268" i="1"/>
  <c r="P266" i="1" l="1"/>
  <c r="C237" i="5" s="1"/>
  <c r="G237" i="5" s="1"/>
  <c r="I237" i="5" s="1"/>
  <c r="Q19" i="1"/>
  <c r="F39" i="3" s="1"/>
  <c r="Q259" i="1"/>
  <c r="Q18" i="1" s="1"/>
  <c r="F38" i="3" s="1"/>
  <c r="V268" i="1"/>
  <c r="X266" i="1"/>
  <c r="Z266" i="1" s="1"/>
  <c r="C96" i="3"/>
  <c r="T259" i="1"/>
  <c r="V247" i="1"/>
  <c r="X247" i="1" l="1"/>
  <c r="C94" i="3"/>
  <c r="V259" i="1"/>
  <c r="V18" i="1" s="1"/>
  <c r="X268" i="1"/>
  <c r="V19" i="1"/>
  <c r="Q272" i="1"/>
  <c r="F54" i="3"/>
  <c r="Z268" i="1" l="1"/>
  <c r="X18" i="1"/>
  <c r="Z18" i="1" s="1"/>
  <c r="I38" i="3"/>
  <c r="V272" i="1"/>
  <c r="I39" i="3"/>
  <c r="X19" i="1"/>
  <c r="Z19" i="1" s="1"/>
  <c r="X259" i="1"/>
  <c r="Z259" i="1" s="1"/>
  <c r="Z247" i="1"/>
  <c r="X272" i="1" l="1"/>
  <c r="Z272" i="1" s="1"/>
  <c r="Q28" i="4" l="1"/>
  <c r="O230" i="1" s="1"/>
  <c r="T230" i="1" s="1"/>
  <c r="E16" i="4" l="1"/>
  <c r="D136" i="1" s="1"/>
  <c r="E13" i="4"/>
  <c r="D133" i="1" s="1"/>
  <c r="E12" i="4"/>
  <c r="D132" i="1" s="1"/>
  <c r="E11" i="4"/>
  <c r="D131" i="1" s="1"/>
  <c r="E18" i="4"/>
  <c r="D138" i="1" s="1"/>
  <c r="E15" i="4"/>
  <c r="D135" i="1" s="1"/>
  <c r="E10" i="4"/>
  <c r="E14" i="4"/>
  <c r="D134" i="1" s="1"/>
  <c r="E17" i="4"/>
  <c r="D137" i="1" s="1"/>
  <c r="G134" i="1" l="1"/>
  <c r="I134" i="1"/>
  <c r="L134" i="1" s="1"/>
  <c r="G133" i="1"/>
  <c r="I133" i="1"/>
  <c r="L133" i="1" s="1"/>
  <c r="D130" i="1"/>
  <c r="E21" i="4"/>
  <c r="G137" i="1"/>
  <c r="I137" i="1"/>
  <c r="L137" i="1" s="1"/>
  <c r="I138" i="1"/>
  <c r="L138" i="1" s="1"/>
  <c r="G138" i="1"/>
  <c r="G132" i="1"/>
  <c r="I132" i="1"/>
  <c r="L132" i="1" s="1"/>
  <c r="G136" i="1"/>
  <c r="I136" i="1"/>
  <c r="L136" i="1" s="1"/>
  <c r="I135" i="1"/>
  <c r="L135" i="1" s="1"/>
  <c r="G135" i="1"/>
  <c r="I131" i="1"/>
  <c r="L131" i="1" s="1"/>
  <c r="G131" i="1"/>
  <c r="E37" i="4" l="1"/>
  <c r="E35" i="4"/>
  <c r="I130" i="1"/>
  <c r="L130" i="1" s="1"/>
  <c r="G130" i="1"/>
  <c r="E23" i="4" l="1"/>
  <c r="E144" i="1" l="1"/>
  <c r="E29" i="4"/>
  <c r="E36" i="4" l="1"/>
  <c r="J144" i="1"/>
  <c r="E152" i="1"/>
  <c r="E15" i="1" s="1"/>
  <c r="B35" i="3" s="1"/>
  <c r="Q222" i="1"/>
  <c r="Q23" i="4"/>
  <c r="G28" i="4"/>
  <c r="Q29" i="4" l="1"/>
  <c r="O222" i="1"/>
  <c r="L144" i="1"/>
  <c r="L152" i="1" s="1"/>
  <c r="L15" i="1" s="1"/>
  <c r="J152" i="1"/>
  <c r="J15" i="1" s="1"/>
  <c r="F144" i="1"/>
  <c r="G144" i="1" s="1"/>
  <c r="G152" i="1" s="1"/>
  <c r="G15" i="1" s="1"/>
  <c r="C35" i="3" s="1"/>
  <c r="E38" i="4"/>
  <c r="J28" i="4"/>
  <c r="E230" i="1"/>
  <c r="G17" i="4"/>
  <c r="D215" i="1" s="1"/>
  <c r="G14" i="4"/>
  <c r="D212" i="1" s="1"/>
  <c r="G16" i="4"/>
  <c r="D214" i="1" s="1"/>
  <c r="G13" i="4"/>
  <c r="D211" i="1" s="1"/>
  <c r="G10" i="4"/>
  <c r="G12" i="4"/>
  <c r="D210" i="1" s="1"/>
  <c r="G18" i="4"/>
  <c r="D216" i="1" s="1"/>
  <c r="G11" i="4"/>
  <c r="D209" i="1" s="1"/>
  <c r="G15" i="4"/>
  <c r="D213" i="1" s="1"/>
  <c r="G66" i="4"/>
  <c r="I213" i="1" l="1"/>
  <c r="L213" i="1" s="1"/>
  <c r="G213" i="1"/>
  <c r="I216" i="1"/>
  <c r="L216" i="1" s="1"/>
  <c r="G216" i="1"/>
  <c r="I211" i="1"/>
  <c r="L211" i="1" s="1"/>
  <c r="G211" i="1"/>
  <c r="I215" i="1"/>
  <c r="L215" i="1" s="1"/>
  <c r="G215" i="1"/>
  <c r="F230" i="1"/>
  <c r="P230" i="1" s="1"/>
  <c r="Q230" i="1" s="1"/>
  <c r="N66" i="4"/>
  <c r="U230" i="1" s="1"/>
  <c r="G21" i="4"/>
  <c r="D208" i="1"/>
  <c r="I209" i="1"/>
  <c r="L209" i="1" s="1"/>
  <c r="G209" i="1"/>
  <c r="I212" i="1"/>
  <c r="L212" i="1" s="1"/>
  <c r="G212" i="1"/>
  <c r="P222" i="1"/>
  <c r="O231" i="1"/>
  <c r="Q38" i="4" s="1"/>
  <c r="T222" i="1"/>
  <c r="G210" i="1"/>
  <c r="I210" i="1"/>
  <c r="L210" i="1" s="1"/>
  <c r="G214" i="1"/>
  <c r="I214" i="1"/>
  <c r="L214" i="1" s="1"/>
  <c r="J230" i="1"/>
  <c r="G230" i="1"/>
  <c r="Q36" i="4"/>
  <c r="G23" i="4"/>
  <c r="G37" i="4" l="1"/>
  <c r="G35" i="4"/>
  <c r="G29" i="4"/>
  <c r="E222" i="1"/>
  <c r="G208" i="1"/>
  <c r="I208" i="1"/>
  <c r="L208" i="1" s="1"/>
  <c r="T231" i="1"/>
  <c r="T17" i="1" s="1"/>
  <c r="H37" i="3" s="1"/>
  <c r="V222" i="1"/>
  <c r="E92" i="3"/>
  <c r="AA38" i="4"/>
  <c r="O17" i="1"/>
  <c r="E37" i="3" s="1"/>
  <c r="K230" i="1"/>
  <c r="L230" i="1" s="1"/>
  <c r="V230" i="1"/>
  <c r="F222" i="1"/>
  <c r="X222" i="1" l="1"/>
  <c r="Z222" i="1" s="1"/>
  <c r="G92" i="3"/>
  <c r="E231" i="1"/>
  <c r="E17" i="1" s="1"/>
  <c r="B37" i="3" s="1"/>
  <c r="J222" i="1"/>
  <c r="G222" i="1"/>
  <c r="G231" i="1" s="1"/>
  <c r="G17" i="1" s="1"/>
  <c r="C37" i="3" s="1"/>
  <c r="G36" i="4"/>
  <c r="G38" i="4" l="1"/>
  <c r="J231" i="1"/>
  <c r="J17" i="1" s="1"/>
  <c r="L222" i="1"/>
  <c r="L231" i="1" s="1"/>
  <c r="L17" i="1" s="1"/>
  <c r="Q14" i="4" l="1"/>
  <c r="N212" i="1" s="1"/>
  <c r="S212" i="1" s="1"/>
  <c r="V212" i="1" s="1"/>
  <c r="Q212" i="1"/>
  <c r="Q211" i="1"/>
  <c r="Q13" i="4"/>
  <c r="N211" i="1" s="1"/>
  <c r="S211" i="1" s="1"/>
  <c r="V211" i="1" s="1"/>
  <c r="Q210" i="1"/>
  <c r="Q12" i="4"/>
  <c r="N210" i="1" s="1"/>
  <c r="S210" i="1" s="1"/>
  <c r="V210" i="1" s="1"/>
  <c r="Q18" i="4"/>
  <c r="N216" i="1" s="1"/>
  <c r="S216" i="1" s="1"/>
  <c r="V216" i="1" s="1"/>
  <c r="Q216" i="1"/>
  <c r="Q215" i="1"/>
  <c r="Q17" i="4"/>
  <c r="N215" i="1" s="1"/>
  <c r="S215" i="1" s="1"/>
  <c r="V215" i="1" s="1"/>
  <c r="Q213" i="1"/>
  <c r="Q15" i="4"/>
  <c r="N213" i="1" s="1"/>
  <c r="S213" i="1" s="1"/>
  <c r="V213" i="1" s="1"/>
  <c r="Q214" i="1"/>
  <c r="Q16" i="4"/>
  <c r="N214" i="1" s="1"/>
  <c r="S214" i="1" s="1"/>
  <c r="V214" i="1" s="1"/>
  <c r="Q11" i="4"/>
  <c r="N209" i="1" s="1"/>
  <c r="S209" i="1" s="1"/>
  <c r="V209" i="1" s="1"/>
  <c r="Q209" i="1"/>
  <c r="Q208" i="1"/>
  <c r="Q10" i="4"/>
  <c r="P214" i="1" l="1"/>
  <c r="P215" i="1"/>
  <c r="C183" i="5" s="1"/>
  <c r="C189" i="5" s="1"/>
  <c r="G189" i="5" s="1"/>
  <c r="I189" i="5" s="1"/>
  <c r="P210" i="1"/>
  <c r="X212" i="1"/>
  <c r="Z212" i="1" s="1"/>
  <c r="X213" i="1"/>
  <c r="Z213" i="1" s="1"/>
  <c r="X211" i="1"/>
  <c r="Z211" i="1" s="1"/>
  <c r="X214" i="1"/>
  <c r="Z214" i="1" s="1"/>
  <c r="X215" i="1"/>
  <c r="Z215" i="1" s="1"/>
  <c r="Z209" i="1"/>
  <c r="P209" i="1"/>
  <c r="Q21" i="4"/>
  <c r="N208" i="1"/>
  <c r="S208" i="1" s="1"/>
  <c r="V208" i="1" s="1"/>
  <c r="P213" i="1"/>
  <c r="Q231" i="1"/>
  <c r="Q17" i="1" s="1"/>
  <c r="F37" i="3" s="1"/>
  <c r="Z208" i="1"/>
  <c r="X216" i="1"/>
  <c r="P211" i="1"/>
  <c r="X209" i="1"/>
  <c r="Z216" i="1"/>
  <c r="P216" i="1"/>
  <c r="X210" i="1"/>
  <c r="Z210" i="1" s="1"/>
  <c r="P212" i="1"/>
  <c r="C193" i="5" l="1"/>
  <c r="G193" i="5" s="1"/>
  <c r="I193" i="5" s="1"/>
  <c r="C184" i="5"/>
  <c r="G184" i="5" s="1"/>
  <c r="I184" i="5" s="1"/>
  <c r="C192" i="5"/>
  <c r="G192" i="5" s="1"/>
  <c r="I192" i="5" s="1"/>
  <c r="C204" i="5"/>
  <c r="G204" i="5" s="1"/>
  <c r="I204" i="5" s="1"/>
  <c r="C203" i="5"/>
  <c r="G203" i="5" s="1"/>
  <c r="I203" i="5" s="1"/>
  <c r="C195" i="5"/>
  <c r="G195" i="5" s="1"/>
  <c r="I195" i="5" s="1"/>
  <c r="C186" i="5"/>
  <c r="G186" i="5" s="1"/>
  <c r="I186" i="5" s="1"/>
  <c r="C201" i="5"/>
  <c r="G201" i="5" s="1"/>
  <c r="I201" i="5" s="1"/>
  <c r="C200" i="5"/>
  <c r="G200" i="5" s="1"/>
  <c r="I200" i="5" s="1"/>
  <c r="C202" i="5"/>
  <c r="G202" i="5" s="1"/>
  <c r="I202" i="5" s="1"/>
  <c r="G183" i="5"/>
  <c r="I183" i="5" s="1"/>
  <c r="C196" i="5"/>
  <c r="G196" i="5" s="1"/>
  <c r="I196" i="5" s="1"/>
  <c r="C194" i="5"/>
  <c r="G194" i="5" s="1"/>
  <c r="I194" i="5" s="1"/>
  <c r="C198" i="5"/>
  <c r="G198" i="5" s="1"/>
  <c r="I198" i="5" s="1"/>
  <c r="C185" i="5"/>
  <c r="G185" i="5" s="1"/>
  <c r="I185" i="5" s="1"/>
  <c r="C191" i="5"/>
  <c r="G191" i="5" s="1"/>
  <c r="I191" i="5" s="1"/>
  <c r="C199" i="5"/>
  <c r="G199" i="5" s="1"/>
  <c r="I199" i="5" s="1"/>
  <c r="C187" i="5"/>
  <c r="G187" i="5" s="1"/>
  <c r="I187" i="5" s="1"/>
  <c r="C190" i="5"/>
  <c r="G190" i="5" s="1"/>
  <c r="I190" i="5" s="1"/>
  <c r="C188" i="5"/>
  <c r="G188" i="5" s="1"/>
  <c r="I188" i="5" s="1"/>
  <c r="C197" i="5"/>
  <c r="G197" i="5" s="1"/>
  <c r="I197" i="5" s="1"/>
  <c r="P208" i="1"/>
  <c r="V231" i="1"/>
  <c r="V17" i="1" s="1"/>
  <c r="X208" i="1"/>
  <c r="X231" i="1" s="1"/>
  <c r="Z231" i="1" s="1"/>
  <c r="C92" i="3"/>
  <c r="F53" i="3"/>
  <c r="Q37" i="4"/>
  <c r="AA37" i="4"/>
  <c r="Q35" i="4"/>
  <c r="A207" i="5"/>
  <c r="E207" i="5" l="1"/>
  <c r="C207" i="5"/>
  <c r="I37" i="3"/>
  <c r="X17" i="1"/>
  <c r="Z17" i="1" s="1"/>
  <c r="G207" i="5" l="1"/>
  <c r="I207" i="5" s="1"/>
  <c r="H11" i="4" l="1"/>
  <c r="D292" i="1" s="1"/>
  <c r="H16" i="4"/>
  <c r="D297" i="1" s="1"/>
  <c r="H10" i="4"/>
  <c r="H17" i="4"/>
  <c r="D298" i="1" s="1"/>
  <c r="H18" i="4"/>
  <c r="D299" i="1" s="1"/>
  <c r="H15" i="4"/>
  <c r="D296" i="1" s="1"/>
  <c r="H13" i="4"/>
  <c r="D294" i="1" s="1"/>
  <c r="I294" i="1" l="1"/>
  <c r="L294" i="1" s="1"/>
  <c r="G294" i="1"/>
  <c r="D291" i="1"/>
  <c r="I296" i="1"/>
  <c r="L296" i="1" s="1"/>
  <c r="G296" i="1"/>
  <c r="I298" i="1"/>
  <c r="L298" i="1" s="1"/>
  <c r="G298" i="1"/>
  <c r="I297" i="1"/>
  <c r="L297" i="1" s="1"/>
  <c r="G297" i="1"/>
  <c r="G299" i="1"/>
  <c r="I299" i="1"/>
  <c r="L299" i="1" s="1"/>
  <c r="I292" i="1"/>
  <c r="L292" i="1" s="1"/>
  <c r="G292" i="1"/>
  <c r="H23" i="4"/>
  <c r="F305" i="1"/>
  <c r="E305" i="1" l="1"/>
  <c r="H29" i="4"/>
  <c r="H12" i="4"/>
  <c r="H14" i="4"/>
  <c r="D295" i="1" s="1"/>
  <c r="G291" i="1"/>
  <c r="I291" i="1"/>
  <c r="L291" i="1" s="1"/>
  <c r="G305" i="1" l="1"/>
  <c r="J305" i="1"/>
  <c r="I295" i="1"/>
  <c r="L295" i="1" s="1"/>
  <c r="G295" i="1"/>
  <c r="D293" i="1"/>
  <c r="H21" i="4"/>
  <c r="F12" i="4"/>
  <c r="D171" i="1" s="1"/>
  <c r="F13" i="4"/>
  <c r="D172" i="1" s="1"/>
  <c r="F14" i="4"/>
  <c r="D173" i="1" s="1"/>
  <c r="F11" i="4"/>
  <c r="D170" i="1" s="1"/>
  <c r="F17" i="4"/>
  <c r="D176" i="1" s="1"/>
  <c r="F18" i="4"/>
  <c r="D177" i="1" s="1"/>
  <c r="F16" i="4"/>
  <c r="D175" i="1" s="1"/>
  <c r="F10" i="4"/>
  <c r="F15" i="4"/>
  <c r="D174" i="1" s="1"/>
  <c r="G174" i="1" l="1"/>
  <c r="I174" i="1"/>
  <c r="L174" i="1" s="1"/>
  <c r="D169" i="1"/>
  <c r="F21" i="4"/>
  <c r="G172" i="1"/>
  <c r="I172" i="1"/>
  <c r="L172" i="1" s="1"/>
  <c r="G177" i="1"/>
  <c r="I177" i="1"/>
  <c r="L177" i="1" s="1"/>
  <c r="G170" i="1"/>
  <c r="I170" i="1"/>
  <c r="L170" i="1" s="1"/>
  <c r="G173" i="1"/>
  <c r="I173" i="1"/>
  <c r="L173" i="1" s="1"/>
  <c r="I293" i="1"/>
  <c r="L293" i="1" s="1"/>
  <c r="G293" i="1"/>
  <c r="L305" i="1"/>
  <c r="L313" i="1" s="1"/>
  <c r="L20" i="1" s="1"/>
  <c r="G171" i="1"/>
  <c r="I171" i="1"/>
  <c r="L171" i="1" s="1"/>
  <c r="I175" i="1"/>
  <c r="L175" i="1" s="1"/>
  <c r="G175" i="1"/>
  <c r="G176" i="1"/>
  <c r="I176" i="1"/>
  <c r="L176" i="1" s="1"/>
  <c r="G313" i="1"/>
  <c r="G20" i="1" s="1"/>
  <c r="C40" i="3" s="1"/>
  <c r="Q183" i="1"/>
  <c r="P23" i="4"/>
  <c r="P29" i="4" l="1"/>
  <c r="O183" i="1"/>
  <c r="F37" i="4"/>
  <c r="F35" i="4"/>
  <c r="G169" i="1"/>
  <c r="I169" i="1"/>
  <c r="L169" i="1" s="1"/>
  <c r="P183" i="1" l="1"/>
  <c r="O191" i="1"/>
  <c r="O16" i="1" s="1"/>
  <c r="E36" i="3" s="1"/>
  <c r="T183" i="1"/>
  <c r="P36" i="4"/>
  <c r="P38" i="4" l="1"/>
  <c r="T191" i="1"/>
  <c r="T16" i="1" s="1"/>
  <c r="H36" i="3" s="1"/>
  <c r="E90" i="3"/>
  <c r="V183" i="1"/>
  <c r="D15" i="4"/>
  <c r="D96" i="1" s="1"/>
  <c r="D13" i="4"/>
  <c r="D94" i="1" s="1"/>
  <c r="D16" i="4"/>
  <c r="D97" i="1" s="1"/>
  <c r="C11" i="4"/>
  <c r="D53" i="1" s="1"/>
  <c r="C16" i="4"/>
  <c r="D58" i="1" s="1"/>
  <c r="C14" i="4"/>
  <c r="D56" i="1" s="1"/>
  <c r="C12" i="4"/>
  <c r="D54" i="1" s="1"/>
  <c r="C17" i="4"/>
  <c r="D59" i="1" s="1"/>
  <c r="C18" i="4"/>
  <c r="D60" i="1" s="1"/>
  <c r="C15" i="4"/>
  <c r="D57" i="1" s="1"/>
  <c r="D17" i="4"/>
  <c r="D98" i="1" s="1"/>
  <c r="D18" i="4"/>
  <c r="D99" i="1" s="1"/>
  <c r="D12" i="4"/>
  <c r="D93" i="1" s="1"/>
  <c r="D11" i="4"/>
  <c r="D92" i="1" s="1"/>
  <c r="D10" i="4"/>
  <c r="C13" i="4"/>
  <c r="D55" i="1" s="1"/>
  <c r="D14" i="4"/>
  <c r="D95" i="1" s="1"/>
  <c r="C10" i="4"/>
  <c r="D91" i="1" l="1"/>
  <c r="D21" i="4"/>
  <c r="G60" i="1"/>
  <c r="I60" i="1"/>
  <c r="L60" i="1" s="1"/>
  <c r="G58" i="1"/>
  <c r="I58" i="1"/>
  <c r="L58" i="1" s="1"/>
  <c r="I95" i="1"/>
  <c r="L95" i="1" s="1"/>
  <c r="G95" i="1"/>
  <c r="I92" i="1"/>
  <c r="L92" i="1" s="1"/>
  <c r="G92" i="1"/>
  <c r="I57" i="1"/>
  <c r="L57" i="1" s="1"/>
  <c r="G57" i="1"/>
  <c r="G94" i="1"/>
  <c r="I94" i="1"/>
  <c r="L94" i="1" s="1"/>
  <c r="X183" i="1"/>
  <c r="Z183" i="1" s="1"/>
  <c r="G90" i="3"/>
  <c r="I99" i="1"/>
  <c r="L99" i="1" s="1"/>
  <c r="G99" i="1"/>
  <c r="I54" i="1"/>
  <c r="L54" i="1" s="1"/>
  <c r="G54" i="1"/>
  <c r="G96" i="1"/>
  <c r="I96" i="1"/>
  <c r="L96" i="1" s="1"/>
  <c r="D52" i="1"/>
  <c r="C21" i="4"/>
  <c r="G93" i="1"/>
  <c r="I93" i="1"/>
  <c r="L93" i="1" s="1"/>
  <c r="G59" i="1"/>
  <c r="I59" i="1"/>
  <c r="L59" i="1" s="1"/>
  <c r="G56" i="1"/>
  <c r="I56" i="1"/>
  <c r="L56" i="1" s="1"/>
  <c r="I55" i="1"/>
  <c r="L55" i="1" s="1"/>
  <c r="G55" i="1"/>
  <c r="I98" i="1"/>
  <c r="L98" i="1" s="1"/>
  <c r="G98" i="1"/>
  <c r="G53" i="1"/>
  <c r="I53" i="1"/>
  <c r="L53" i="1" s="1"/>
  <c r="G97" i="1"/>
  <c r="I97" i="1"/>
  <c r="L97" i="1" s="1"/>
  <c r="C37" i="4" l="1"/>
  <c r="C35" i="4"/>
  <c r="D35" i="4"/>
  <c r="D37" i="4"/>
  <c r="I52" i="1"/>
  <c r="L52" i="1" s="1"/>
  <c r="G52" i="1"/>
  <c r="G91" i="1"/>
  <c r="F91" i="1" s="1"/>
  <c r="B64" i="3" s="1"/>
  <c r="I91" i="1"/>
  <c r="L91" i="1" s="1"/>
  <c r="F52" i="1" l="1"/>
  <c r="R23" i="4" l="1"/>
  <c r="R29" i="4" l="1"/>
  <c r="O305" i="1"/>
  <c r="Q305" i="1" l="1"/>
  <c r="T305" i="1"/>
  <c r="O313" i="1"/>
  <c r="O20" i="1" s="1"/>
  <c r="E40" i="3" s="1"/>
  <c r="E98" i="3" l="1"/>
  <c r="V305" i="1"/>
  <c r="T313" i="1"/>
  <c r="T20" i="1" s="1"/>
  <c r="H40" i="3" s="1"/>
  <c r="R17" i="4"/>
  <c r="N298" i="1" s="1"/>
  <c r="R10" i="4"/>
  <c r="R16" i="4"/>
  <c r="N297" i="1" s="1"/>
  <c r="R12" i="4"/>
  <c r="N293" i="1" s="1"/>
  <c r="R13" i="4"/>
  <c r="N294" i="1" s="1"/>
  <c r="R18" i="4"/>
  <c r="N299" i="1" s="1"/>
  <c r="R11" i="4"/>
  <c r="N292" i="1" s="1"/>
  <c r="R15" i="4"/>
  <c r="N296" i="1" s="1"/>
  <c r="R14" i="4"/>
  <c r="N295" i="1" s="1"/>
  <c r="S294" i="1" l="1"/>
  <c r="V294" i="1" s="1"/>
  <c r="Q294" i="1"/>
  <c r="Z294" i="1" s="1"/>
  <c r="Q297" i="1"/>
  <c r="Z297" i="1" s="1"/>
  <c r="S297" i="1"/>
  <c r="V297" i="1" s="1"/>
  <c r="Q298" i="1"/>
  <c r="Z298" i="1" s="1"/>
  <c r="S298" i="1"/>
  <c r="V298" i="1" s="1"/>
  <c r="S295" i="1"/>
  <c r="V295" i="1" s="1"/>
  <c r="Q295" i="1"/>
  <c r="Z295" i="1" s="1"/>
  <c r="Q293" i="1"/>
  <c r="S293" i="1"/>
  <c r="V293" i="1" s="1"/>
  <c r="X305" i="1"/>
  <c r="Z305" i="1" s="1"/>
  <c r="S296" i="1"/>
  <c r="V296" i="1" s="1"/>
  <c r="Q296" i="1"/>
  <c r="S292" i="1"/>
  <c r="V292" i="1" s="1"/>
  <c r="Q292" i="1"/>
  <c r="Z292" i="1" s="1"/>
  <c r="S299" i="1"/>
  <c r="V299" i="1" s="1"/>
  <c r="Q299" i="1"/>
  <c r="Z299" i="1" s="1"/>
  <c r="N291" i="1"/>
  <c r="R21" i="4"/>
  <c r="X293" i="1" l="1"/>
  <c r="Z293" i="1" s="1"/>
  <c r="X298" i="1"/>
  <c r="X297" i="1"/>
  <c r="X295" i="1"/>
  <c r="S291" i="1"/>
  <c r="V291" i="1" s="1"/>
  <c r="Q291" i="1"/>
  <c r="X292" i="1"/>
  <c r="R34" i="4"/>
  <c r="X299" i="1"/>
  <c r="X296" i="1"/>
  <c r="Z296" i="1" s="1"/>
  <c r="X294" i="1"/>
  <c r="T34" i="4" l="1"/>
  <c r="Q311" i="1"/>
  <c r="Q313" i="1" s="1"/>
  <c r="Q20" i="1" s="1"/>
  <c r="F40" i="3" s="1"/>
  <c r="X291" i="1"/>
  <c r="Z291" i="1" s="1"/>
  <c r="Q173" i="1"/>
  <c r="P14" i="4"/>
  <c r="N173" i="1" s="1"/>
  <c r="S173" i="1" s="1"/>
  <c r="V173" i="1" s="1"/>
  <c r="Q177" i="1"/>
  <c r="P18" i="4"/>
  <c r="N177" i="1" s="1"/>
  <c r="S177" i="1" s="1"/>
  <c r="V177" i="1" s="1"/>
  <c r="P16" i="4"/>
  <c r="N175" i="1" s="1"/>
  <c r="S175" i="1" s="1"/>
  <c r="V175" i="1" s="1"/>
  <c r="Q175" i="1"/>
  <c r="Q170" i="1"/>
  <c r="P11" i="4"/>
  <c r="N170" i="1" s="1"/>
  <c r="S170" i="1" s="1"/>
  <c r="V170" i="1" s="1"/>
  <c r="Q176" i="1"/>
  <c r="P17" i="4"/>
  <c r="N176" i="1" s="1"/>
  <c r="S176" i="1" s="1"/>
  <c r="V176" i="1" s="1"/>
  <c r="P15" i="4"/>
  <c r="N174" i="1" s="1"/>
  <c r="S174" i="1" s="1"/>
  <c r="V174" i="1" s="1"/>
  <c r="Q174" i="1"/>
  <c r="Q169" i="1"/>
  <c r="P10" i="4"/>
  <c r="Q172" i="1"/>
  <c r="P13" i="4"/>
  <c r="N172" i="1" s="1"/>
  <c r="S172" i="1" s="1"/>
  <c r="V172" i="1" s="1"/>
  <c r="Q171" i="1"/>
  <c r="P12" i="4"/>
  <c r="N171" i="1" s="1"/>
  <c r="S171" i="1" s="1"/>
  <c r="V171" i="1" s="1"/>
  <c r="X171" i="1" l="1"/>
  <c r="Z171" i="1" s="1"/>
  <c r="X172" i="1"/>
  <c r="Z172" i="1" s="1"/>
  <c r="X177" i="1"/>
  <c r="Z177" i="1" s="1"/>
  <c r="X174" i="1"/>
  <c r="Z174" i="1" s="1"/>
  <c r="P170" i="1"/>
  <c r="X176" i="1"/>
  <c r="Z176" i="1" s="1"/>
  <c r="P175" i="1"/>
  <c r="X173" i="1"/>
  <c r="Z173" i="1" s="1"/>
  <c r="P172" i="1"/>
  <c r="F55" i="3"/>
  <c r="P21" i="4"/>
  <c r="N169" i="1"/>
  <c r="S169" i="1" s="1"/>
  <c r="V169" i="1" s="1"/>
  <c r="P176" i="1"/>
  <c r="V311" i="1"/>
  <c r="Z311" i="1"/>
  <c r="P173" i="1"/>
  <c r="C141" i="5" s="1"/>
  <c r="P171" i="1"/>
  <c r="Q191" i="1"/>
  <c r="Q16" i="1" s="1"/>
  <c r="F36" i="3" s="1"/>
  <c r="P174" i="1"/>
  <c r="X170" i="1"/>
  <c r="Z170" i="1" s="1"/>
  <c r="X175" i="1"/>
  <c r="Z175" i="1" s="1"/>
  <c r="P177" i="1"/>
  <c r="P169" i="1" l="1"/>
  <c r="P37" i="4"/>
  <c r="P35" i="4"/>
  <c r="Z37" i="4"/>
  <c r="A165" i="5"/>
  <c r="E165" i="5" s="1"/>
  <c r="V313" i="1"/>
  <c r="X311" i="1"/>
  <c r="X313" i="1" s="1"/>
  <c r="Z313" i="1" s="1"/>
  <c r="G98" i="3"/>
  <c r="C152" i="5"/>
  <c r="G152" i="5" s="1"/>
  <c r="I152" i="5" s="1"/>
  <c r="C143" i="5"/>
  <c r="G143" i="5" s="1"/>
  <c r="I143" i="5" s="1"/>
  <c r="C144" i="5"/>
  <c r="G144" i="5" s="1"/>
  <c r="I144" i="5" s="1"/>
  <c r="G141" i="5"/>
  <c r="I141" i="5" s="1"/>
  <c r="C157" i="5"/>
  <c r="G157" i="5" s="1"/>
  <c r="I157" i="5" s="1"/>
  <c r="C161" i="5"/>
  <c r="G161" i="5" s="1"/>
  <c r="I161" i="5" s="1"/>
  <c r="C146" i="5"/>
  <c r="G146" i="5" s="1"/>
  <c r="I146" i="5" s="1"/>
  <c r="C149" i="5"/>
  <c r="G149" i="5" s="1"/>
  <c r="I149" i="5" s="1"/>
  <c r="C153" i="5"/>
  <c r="G153" i="5" s="1"/>
  <c r="I153" i="5" s="1"/>
  <c r="C155" i="5"/>
  <c r="G155" i="5" s="1"/>
  <c r="I155" i="5" s="1"/>
  <c r="C145" i="5"/>
  <c r="G145" i="5" s="1"/>
  <c r="I145" i="5" s="1"/>
  <c r="C142" i="5"/>
  <c r="G142" i="5" s="1"/>
  <c r="I142" i="5" s="1"/>
  <c r="C159" i="5"/>
  <c r="G159" i="5" s="1"/>
  <c r="I159" i="5" s="1"/>
  <c r="C150" i="5"/>
  <c r="G150" i="5" s="1"/>
  <c r="I150" i="5" s="1"/>
  <c r="C154" i="5"/>
  <c r="G154" i="5" s="1"/>
  <c r="I154" i="5" s="1"/>
  <c r="C156" i="5"/>
  <c r="G156" i="5" s="1"/>
  <c r="I156" i="5" s="1"/>
  <c r="C151" i="5"/>
  <c r="G151" i="5" s="1"/>
  <c r="I151" i="5" s="1"/>
  <c r="C160" i="5"/>
  <c r="G160" i="5" s="1"/>
  <c r="I160" i="5" s="1"/>
  <c r="C147" i="5"/>
  <c r="G147" i="5" s="1"/>
  <c r="I147" i="5" s="1"/>
  <c r="C162" i="5"/>
  <c r="G162" i="5" s="1"/>
  <c r="I162" i="5" s="1"/>
  <c r="C158" i="5"/>
  <c r="G158" i="5" s="1"/>
  <c r="I158" i="5" s="1"/>
  <c r="C148" i="5"/>
  <c r="G148" i="5" s="1"/>
  <c r="I148" i="5" s="1"/>
  <c r="C90" i="3"/>
  <c r="V191" i="1"/>
  <c r="V16" i="1" s="1"/>
  <c r="X169" i="1"/>
  <c r="V20" i="1" l="1"/>
  <c r="C98" i="3"/>
  <c r="I36" i="3"/>
  <c r="X16" i="1"/>
  <c r="Z16" i="1" s="1"/>
  <c r="X191" i="1"/>
  <c r="Z191" i="1" s="1"/>
  <c r="Z169" i="1"/>
  <c r="C165" i="5"/>
  <c r="G165" i="5" s="1"/>
  <c r="I165" i="5" s="1"/>
  <c r="Q52" i="1"/>
  <c r="I40" i="3" l="1"/>
  <c r="X20" i="1"/>
  <c r="Z20" i="1" s="1"/>
  <c r="Q93" i="1"/>
  <c r="N12" i="4"/>
  <c r="N93" i="1" s="1"/>
  <c r="S93" i="1" s="1"/>
  <c r="V93" i="1" s="1"/>
  <c r="N17" i="4"/>
  <c r="N98" i="1" s="1"/>
  <c r="S98" i="1" s="1"/>
  <c r="V98" i="1" s="1"/>
  <c r="Q98" i="1"/>
  <c r="Q53" i="1"/>
  <c r="M11" i="4"/>
  <c r="N53" i="1" s="1"/>
  <c r="S53" i="1" s="1"/>
  <c r="V53" i="1" s="1"/>
  <c r="N13" i="4"/>
  <c r="N94" i="1" s="1"/>
  <c r="S94" i="1" s="1"/>
  <c r="V94" i="1" s="1"/>
  <c r="Q94" i="1"/>
  <c r="Q91" i="1"/>
  <c r="N10" i="4"/>
  <c r="M14" i="4"/>
  <c r="N56" i="1" s="1"/>
  <c r="S56" i="1" s="1"/>
  <c r="V56" i="1" s="1"/>
  <c r="Q56" i="1"/>
  <c r="M15" i="4"/>
  <c r="N57" i="1" s="1"/>
  <c r="S57" i="1" s="1"/>
  <c r="V57" i="1" s="1"/>
  <c r="Q57" i="1"/>
  <c r="M16" i="4"/>
  <c r="N58" i="1" s="1"/>
  <c r="S58" i="1" s="1"/>
  <c r="V58" i="1" s="1"/>
  <c r="Q58" i="1"/>
  <c r="N18" i="4"/>
  <c r="N99" i="1" s="1"/>
  <c r="S99" i="1" s="1"/>
  <c r="V99" i="1" s="1"/>
  <c r="Q99" i="1"/>
  <c r="Q60" i="1"/>
  <c r="M18" i="4"/>
  <c r="N60" i="1" s="1"/>
  <c r="S60" i="1" s="1"/>
  <c r="V60" i="1" s="1"/>
  <c r="Q96" i="1"/>
  <c r="N15" i="4"/>
  <c r="N96" i="1" s="1"/>
  <c r="S96" i="1" s="1"/>
  <c r="V96" i="1" s="1"/>
  <c r="Q54" i="1"/>
  <c r="M12" i="4"/>
  <c r="N54" i="1" s="1"/>
  <c r="S54" i="1" s="1"/>
  <c r="V54" i="1" s="1"/>
  <c r="M10" i="4"/>
  <c r="Q92" i="1"/>
  <c r="N11" i="4"/>
  <c r="N92" i="1" s="1"/>
  <c r="S92" i="1" s="1"/>
  <c r="V92" i="1" s="1"/>
  <c r="N16" i="4"/>
  <c r="N97" i="1" s="1"/>
  <c r="S97" i="1" s="1"/>
  <c r="V97" i="1" s="1"/>
  <c r="Q97" i="1"/>
  <c r="Q95" i="1"/>
  <c r="N14" i="4"/>
  <c r="N95" i="1" s="1"/>
  <c r="S95" i="1" s="1"/>
  <c r="V95" i="1" s="1"/>
  <c r="X54" i="1" l="1"/>
  <c r="Z54" i="1" s="1"/>
  <c r="P98" i="1"/>
  <c r="P94" i="1"/>
  <c r="P53" i="1"/>
  <c r="P93" i="1"/>
  <c r="P96" i="1"/>
  <c r="X97" i="1"/>
  <c r="Z97" i="1" s="1"/>
  <c r="X95" i="1"/>
  <c r="Z95" i="1" s="1"/>
  <c r="X92" i="1"/>
  <c r="Z92" i="1" s="1"/>
  <c r="P60" i="1"/>
  <c r="X58" i="1"/>
  <c r="X56" i="1"/>
  <c r="Z56" i="1" s="1"/>
  <c r="P99" i="1"/>
  <c r="P57" i="1"/>
  <c r="P97" i="1"/>
  <c r="N52" i="1"/>
  <c r="X96" i="1"/>
  <c r="Z96" i="1" s="1"/>
  <c r="X60" i="1"/>
  <c r="Z60" i="1" s="1"/>
  <c r="Z58" i="1"/>
  <c r="P58" i="1"/>
  <c r="P56" i="1"/>
  <c r="X53" i="1"/>
  <c r="Z53" i="1" s="1"/>
  <c r="X93" i="1"/>
  <c r="Z93" i="1" s="1"/>
  <c r="N21" i="4"/>
  <c r="N91" i="1"/>
  <c r="S91" i="1" s="1"/>
  <c r="V91" i="1" s="1"/>
  <c r="P95" i="1"/>
  <c r="P92" i="1"/>
  <c r="P54" i="1"/>
  <c r="X99" i="1"/>
  <c r="Z99" i="1" s="1"/>
  <c r="X57" i="1"/>
  <c r="Z57" i="1" s="1"/>
  <c r="X94" i="1"/>
  <c r="Z94" i="1" s="1"/>
  <c r="X98" i="1"/>
  <c r="Z98" i="1" s="1"/>
  <c r="Q55" i="1"/>
  <c r="M13" i="4"/>
  <c r="N55" i="1" s="1"/>
  <c r="S55" i="1" s="1"/>
  <c r="V55" i="1" s="1"/>
  <c r="Q59" i="1"/>
  <c r="M17" i="4"/>
  <c r="N59" i="1" s="1"/>
  <c r="S59" i="1" s="1"/>
  <c r="V59" i="1" s="1"/>
  <c r="X55" i="1" l="1"/>
  <c r="Z55" i="1" s="1"/>
  <c r="X59" i="1"/>
  <c r="Z59" i="1" s="1"/>
  <c r="N35" i="4"/>
  <c r="X37" i="4"/>
  <c r="N37" i="4"/>
  <c r="P55" i="1"/>
  <c r="M21" i="4"/>
  <c r="S52" i="1"/>
  <c r="V52" i="1" s="1"/>
  <c r="P52" i="1"/>
  <c r="C16" i="5" s="1"/>
  <c r="P59" i="1"/>
  <c r="C86" i="3"/>
  <c r="X91" i="1"/>
  <c r="P91" i="1"/>
  <c r="C57" i="5" s="1"/>
  <c r="Z91" i="1" l="1"/>
  <c r="M35" i="4"/>
  <c r="W37" i="4"/>
  <c r="M37" i="4"/>
  <c r="C84" i="3"/>
  <c r="X52" i="1"/>
  <c r="G57" i="5"/>
  <c r="I57" i="5" s="1"/>
  <c r="G16" i="5"/>
  <c r="I16" i="5" s="1"/>
  <c r="Z52" i="1" l="1"/>
  <c r="D118" i="4" l="1"/>
  <c r="D23" i="4"/>
  <c r="B119" i="4"/>
  <c r="C24" i="4"/>
  <c r="B118" i="4"/>
  <c r="E67" i="1" l="1"/>
  <c r="E105" i="1"/>
  <c r="D24" i="4" l="1"/>
  <c r="D119" i="4"/>
  <c r="G105" i="1"/>
  <c r="F105" i="1" s="1"/>
  <c r="J105" i="1"/>
  <c r="L105" i="1" s="1"/>
  <c r="J67" i="1"/>
  <c r="L67" i="1" s="1"/>
  <c r="G67" i="1"/>
  <c r="E106" i="1" l="1"/>
  <c r="J24" i="4"/>
  <c r="D29" i="4"/>
  <c r="J106" i="1" l="1"/>
  <c r="L106" i="1" s="1"/>
  <c r="L113" i="1" s="1"/>
  <c r="L14" i="1" s="1"/>
  <c r="G106" i="1"/>
  <c r="G113" i="1" s="1"/>
  <c r="G14" i="1" s="1"/>
  <c r="C34" i="3" s="1"/>
  <c r="Q67" i="1" l="1"/>
  <c r="Q105" i="1"/>
  <c r="C119" i="4" l="1"/>
  <c r="M24" i="4"/>
  <c r="O67" i="1" s="1"/>
  <c r="T67" i="1" s="1"/>
  <c r="V67" i="1" s="1"/>
  <c r="X67" i="1" s="1"/>
  <c r="Z67" i="1" s="1"/>
  <c r="E118" i="4"/>
  <c r="N23" i="4"/>
  <c r="O105" i="1" l="1"/>
  <c r="P67" i="1"/>
  <c r="C118" i="4"/>
  <c r="Q106" i="1"/>
  <c r="N24" i="4" l="1"/>
  <c r="E119" i="4"/>
  <c r="Q113" i="1"/>
  <c r="Q14" i="1" s="1"/>
  <c r="F34" i="3" s="1"/>
  <c r="T105" i="1"/>
  <c r="P105" i="1"/>
  <c r="F50" i="3" l="1"/>
  <c r="C68" i="5"/>
  <c r="G68" i="5" s="1"/>
  <c r="I68" i="5" s="1"/>
  <c r="C65" i="5"/>
  <c r="G65" i="5" s="1"/>
  <c r="I65" i="5" s="1"/>
  <c r="C73" i="5"/>
  <c r="G73" i="5" s="1"/>
  <c r="I73" i="5" s="1"/>
  <c r="C74" i="5"/>
  <c r="G74" i="5" s="1"/>
  <c r="I74" i="5" s="1"/>
  <c r="C61" i="5"/>
  <c r="G61" i="5" s="1"/>
  <c r="I61" i="5" s="1"/>
  <c r="C69" i="5"/>
  <c r="G69" i="5" s="1"/>
  <c r="I69" i="5" s="1"/>
  <c r="C77" i="5"/>
  <c r="G77" i="5" s="1"/>
  <c r="I77" i="5" s="1"/>
  <c r="C72" i="5"/>
  <c r="G72" i="5" s="1"/>
  <c r="I72" i="5" s="1"/>
  <c r="C75" i="5"/>
  <c r="G75" i="5" s="1"/>
  <c r="I75" i="5" s="1"/>
  <c r="C67" i="5"/>
  <c r="G67" i="5" s="1"/>
  <c r="I67" i="5" s="1"/>
  <c r="C59" i="5"/>
  <c r="G59" i="5" s="1"/>
  <c r="I59" i="5" s="1"/>
  <c r="C64" i="5"/>
  <c r="G64" i="5" s="1"/>
  <c r="I64" i="5" s="1"/>
  <c r="C63" i="5"/>
  <c r="G63" i="5" s="1"/>
  <c r="I63" i="5" s="1"/>
  <c r="C60" i="5"/>
  <c r="G60" i="5" s="1"/>
  <c r="I60" i="5" s="1"/>
  <c r="C78" i="5"/>
  <c r="G78" i="5" s="1"/>
  <c r="I78" i="5" s="1"/>
  <c r="C76" i="5"/>
  <c r="G76" i="5" s="1"/>
  <c r="I76" i="5" s="1"/>
  <c r="C66" i="5"/>
  <c r="G66" i="5" s="1"/>
  <c r="I66" i="5" s="1"/>
  <c r="C62" i="5"/>
  <c r="G62" i="5" s="1"/>
  <c r="I62" i="5" s="1"/>
  <c r="C58" i="5"/>
  <c r="G58" i="5" s="1"/>
  <c r="I58" i="5" s="1"/>
  <c r="C70" i="5"/>
  <c r="G70" i="5" s="1"/>
  <c r="I70" i="5" s="1"/>
  <c r="C71" i="5"/>
  <c r="G71" i="5" s="1"/>
  <c r="I71" i="5" s="1"/>
  <c r="V105" i="1"/>
  <c r="O106" i="1"/>
  <c r="N29" i="4"/>
  <c r="A81" i="5" l="1"/>
  <c r="N36" i="4"/>
  <c r="X105" i="1"/>
  <c r="P106" i="1"/>
  <c r="T106" i="1"/>
  <c r="O113" i="1"/>
  <c r="O14" i="1" s="1"/>
  <c r="E34" i="3" s="1"/>
  <c r="N38" i="4" l="1"/>
  <c r="V106" i="1"/>
  <c r="T113" i="1"/>
  <c r="T14" i="1" s="1"/>
  <c r="H34" i="3" s="1"/>
  <c r="E86" i="3"/>
  <c r="Z105" i="1"/>
  <c r="E81" i="5"/>
  <c r="C81" i="5"/>
  <c r="G81" i="5" l="1"/>
  <c r="I81" i="5" s="1"/>
  <c r="X106" i="1"/>
  <c r="G86" i="3"/>
  <c r="V113" i="1"/>
  <c r="V14" i="1" s="1"/>
  <c r="X14" i="1" l="1"/>
  <c r="Z14" i="1" s="1"/>
  <c r="I34" i="3"/>
  <c r="Z106" i="1"/>
  <c r="X113" i="1"/>
  <c r="Z113" i="1" s="1"/>
  <c r="O23" i="4"/>
  <c r="Q144" i="1"/>
  <c r="O29" i="4" l="1"/>
  <c r="O144" i="1"/>
  <c r="P144" i="1" l="1"/>
  <c r="T144" i="1"/>
  <c r="O152" i="1"/>
  <c r="O15" i="1" s="1"/>
  <c r="E35" i="3" s="1"/>
  <c r="O36" i="4"/>
  <c r="Y38" i="4" l="1"/>
  <c r="T152" i="1"/>
  <c r="T15" i="1" s="1"/>
  <c r="H35" i="3" s="1"/>
  <c r="E88" i="3"/>
  <c r="V144" i="1"/>
  <c r="O38" i="4"/>
  <c r="C105" i="5"/>
  <c r="G105" i="5" s="1"/>
  <c r="I105" i="5" s="1"/>
  <c r="C114" i="5"/>
  <c r="G114" i="5" s="1"/>
  <c r="I114" i="5" s="1"/>
  <c r="C109" i="5"/>
  <c r="G109" i="5" s="1"/>
  <c r="I109" i="5" s="1"/>
  <c r="C118" i="5"/>
  <c r="G118" i="5" s="1"/>
  <c r="I118" i="5" s="1"/>
  <c r="C102" i="5"/>
  <c r="G102" i="5" s="1"/>
  <c r="I102" i="5" s="1"/>
  <c r="C111" i="5"/>
  <c r="G111" i="5" s="1"/>
  <c r="I111" i="5" s="1"/>
  <c r="C103" i="5"/>
  <c r="G103" i="5" s="1"/>
  <c r="I103" i="5" s="1"/>
  <c r="C115" i="5"/>
  <c r="G115" i="5" s="1"/>
  <c r="I115" i="5" s="1"/>
  <c r="C101" i="5"/>
  <c r="G101" i="5" s="1"/>
  <c r="I101" i="5" s="1"/>
  <c r="C107" i="5"/>
  <c r="G107" i="5" s="1"/>
  <c r="I107" i="5" s="1"/>
  <c r="C104" i="5"/>
  <c r="G104" i="5" s="1"/>
  <c r="I104" i="5" s="1"/>
  <c r="C113" i="5"/>
  <c r="G113" i="5" s="1"/>
  <c r="I113" i="5" s="1"/>
  <c r="C120" i="5"/>
  <c r="G120" i="5" s="1"/>
  <c r="I120" i="5" s="1"/>
  <c r="C108" i="5"/>
  <c r="G108" i="5" s="1"/>
  <c r="I108" i="5" s="1"/>
  <c r="C119" i="5"/>
  <c r="G119" i="5" s="1"/>
  <c r="I119" i="5" s="1"/>
  <c r="C106" i="5"/>
  <c r="G106" i="5" s="1"/>
  <c r="I106" i="5" s="1"/>
  <c r="C100" i="5"/>
  <c r="G100" i="5" s="1"/>
  <c r="I100" i="5" s="1"/>
  <c r="C110" i="5"/>
  <c r="G110" i="5" s="1"/>
  <c r="I110" i="5" s="1"/>
  <c r="C117" i="5"/>
  <c r="G117" i="5" s="1"/>
  <c r="I117" i="5" s="1"/>
  <c r="C112" i="5"/>
  <c r="G112" i="5" s="1"/>
  <c r="I112" i="5" s="1"/>
  <c r="C116" i="5"/>
  <c r="G116" i="5" s="1"/>
  <c r="I116" i="5" s="1"/>
  <c r="G88" i="3" l="1"/>
  <c r="X144" i="1"/>
  <c r="Z144" i="1" s="1"/>
  <c r="O17" i="4" l="1"/>
  <c r="N137" i="1" s="1"/>
  <c r="O12" i="4"/>
  <c r="N132" i="1" s="1"/>
  <c r="O16" i="4"/>
  <c r="N136" i="1" s="1"/>
  <c r="O15" i="4"/>
  <c r="N135" i="1" s="1"/>
  <c r="O18" i="4"/>
  <c r="N138" i="1" s="1"/>
  <c r="O11" i="4"/>
  <c r="N131" i="1" s="1"/>
  <c r="O14" i="4"/>
  <c r="N134" i="1" s="1"/>
  <c r="O13" i="4"/>
  <c r="N133" i="1" s="1"/>
  <c r="O10" i="4"/>
  <c r="S133" i="1" l="1"/>
  <c r="V133" i="1" s="1"/>
  <c r="Q133" i="1"/>
  <c r="Q135" i="1"/>
  <c r="Z135" i="1" s="1"/>
  <c r="S135" i="1"/>
  <c r="V135" i="1" s="1"/>
  <c r="S132" i="1"/>
  <c r="V132" i="1" s="1"/>
  <c r="Q132" i="1"/>
  <c r="Q138" i="1"/>
  <c r="Z138" i="1" s="1"/>
  <c r="S138" i="1"/>
  <c r="V138" i="1" s="1"/>
  <c r="Q136" i="1"/>
  <c r="S136" i="1"/>
  <c r="V136" i="1" s="1"/>
  <c r="S137" i="1"/>
  <c r="V137" i="1" s="1"/>
  <c r="Q137" i="1"/>
  <c r="Q134" i="1"/>
  <c r="S134" i="1"/>
  <c r="V134" i="1" s="1"/>
  <c r="N130" i="1"/>
  <c r="O21" i="4"/>
  <c r="S131" i="1"/>
  <c r="V131" i="1" s="1"/>
  <c r="Q131" i="1"/>
  <c r="X131" i="1" l="1"/>
  <c r="Z131" i="1" s="1"/>
  <c r="X132" i="1"/>
  <c r="Z132" i="1" s="1"/>
  <c r="X137" i="1"/>
  <c r="Z137" i="1" s="1"/>
  <c r="O35" i="4"/>
  <c r="Y37" i="4"/>
  <c r="O37" i="4"/>
  <c r="A123" i="5"/>
  <c r="X138" i="1"/>
  <c r="X135" i="1"/>
  <c r="S130" i="1"/>
  <c r="V130" i="1" s="1"/>
  <c r="Q130" i="1"/>
  <c r="X134" i="1"/>
  <c r="Z134" i="1" s="1"/>
  <c r="X136" i="1"/>
  <c r="Z136" i="1" s="1"/>
  <c r="X133" i="1"/>
  <c r="Z133" i="1" s="1"/>
  <c r="Q152" i="1" l="1"/>
  <c r="E123" i="5"/>
  <c r="C123" i="5"/>
  <c r="X130" i="1"/>
  <c r="X152" i="1" s="1"/>
  <c r="V152" i="1"/>
  <c r="V15" i="1" s="1"/>
  <c r="C88" i="3"/>
  <c r="Z130" i="1" l="1"/>
  <c r="G123" i="5"/>
  <c r="I123" i="5" s="1"/>
  <c r="I35" i="3"/>
  <c r="Z152" i="1"/>
  <c r="Q15" i="1"/>
  <c r="F35" i="3" s="1"/>
  <c r="X15" i="1" l="1"/>
  <c r="Z15" i="1" s="1"/>
  <c r="F51" i="3"/>
  <c r="C23" i="4" l="1"/>
  <c r="E66" i="1" l="1"/>
  <c r="C29" i="4"/>
  <c r="M23" i="4"/>
  <c r="Q66" i="1"/>
  <c r="M29" i="4" l="1"/>
  <c r="O66" i="1"/>
  <c r="Q74" i="1"/>
  <c r="Q13" i="1" s="1"/>
  <c r="C106" i="3"/>
  <c r="J66" i="1"/>
  <c r="L66" i="1" s="1"/>
  <c r="L74" i="1" s="1"/>
  <c r="L13" i="1" s="1"/>
  <c r="C59" i="4"/>
  <c r="P66" i="1" l="1"/>
  <c r="T66" i="1"/>
  <c r="O74" i="1"/>
  <c r="O13" i="1" s="1"/>
  <c r="F33" i="3"/>
  <c r="Q22" i="1"/>
  <c r="A39" i="5"/>
  <c r="S29" i="4"/>
  <c r="M36" i="4"/>
  <c r="G66" i="1"/>
  <c r="B69" i="3" l="1"/>
  <c r="L40" i="5"/>
  <c r="M38" i="4"/>
  <c r="F42" i="3"/>
  <c r="E84" i="3"/>
  <c r="T74" i="1"/>
  <c r="T13" i="1" s="1"/>
  <c r="V66" i="1"/>
  <c r="C19" i="5"/>
  <c r="G19" i="5" s="1"/>
  <c r="I19" i="5" s="1"/>
  <c r="C28" i="5"/>
  <c r="G28" i="5" s="1"/>
  <c r="I28" i="5" s="1"/>
  <c r="C33" i="5"/>
  <c r="G33" i="5" s="1"/>
  <c r="I33" i="5" s="1"/>
  <c r="C34" i="5"/>
  <c r="G34" i="5" s="1"/>
  <c r="I34" i="5" s="1"/>
  <c r="C35" i="5"/>
  <c r="G35" i="5" s="1"/>
  <c r="I35" i="5" s="1"/>
  <c r="C26" i="5"/>
  <c r="G26" i="5" s="1"/>
  <c r="I26" i="5" s="1"/>
  <c r="C27" i="5"/>
  <c r="G27" i="5" s="1"/>
  <c r="I27" i="5" s="1"/>
  <c r="C31" i="5"/>
  <c r="G31" i="5" s="1"/>
  <c r="I31" i="5" s="1"/>
  <c r="C18" i="5"/>
  <c r="G18" i="5" s="1"/>
  <c r="I18" i="5" s="1"/>
  <c r="C22" i="5"/>
  <c r="G22" i="5" s="1"/>
  <c r="I22" i="5" s="1"/>
  <c r="C29" i="5"/>
  <c r="G29" i="5" s="1"/>
  <c r="I29" i="5" s="1"/>
  <c r="C17" i="5"/>
  <c r="G17" i="5" s="1"/>
  <c r="I17" i="5" s="1"/>
  <c r="C32" i="5"/>
  <c r="G32" i="5" s="1"/>
  <c r="I32" i="5" s="1"/>
  <c r="C36" i="5"/>
  <c r="G36" i="5" s="1"/>
  <c r="I36" i="5" s="1"/>
  <c r="C25" i="5"/>
  <c r="G25" i="5" s="1"/>
  <c r="I25" i="5" s="1"/>
  <c r="C21" i="5"/>
  <c r="G21" i="5" s="1"/>
  <c r="I21" i="5" s="1"/>
  <c r="C24" i="5"/>
  <c r="G24" i="5" s="1"/>
  <c r="I24" i="5" s="1"/>
  <c r="C23" i="5"/>
  <c r="G23" i="5" s="1"/>
  <c r="I23" i="5" s="1"/>
  <c r="C20" i="5"/>
  <c r="G20" i="5" s="1"/>
  <c r="I20" i="5" s="1"/>
  <c r="C30" i="5"/>
  <c r="G30" i="5" s="1"/>
  <c r="I30" i="5" s="1"/>
  <c r="E39" i="5"/>
  <c r="D69" i="3" s="1"/>
  <c r="C39" i="5"/>
  <c r="F66" i="1"/>
  <c r="G74" i="1"/>
  <c r="G13" i="1" s="1"/>
  <c r="G11" i="3"/>
  <c r="G20" i="3" s="1"/>
  <c r="Q38" i="1"/>
  <c r="O22" i="1"/>
  <c r="E33" i="3"/>
  <c r="E42" i="3" s="1"/>
  <c r="F23" i="4"/>
  <c r="D72" i="3" l="1"/>
  <c r="C69" i="3"/>
  <c r="C33" i="3"/>
  <c r="J23" i="4"/>
  <c r="E183" i="1"/>
  <c r="F29" i="4"/>
  <c r="C11" i="3"/>
  <c r="C20" i="3" s="1"/>
  <c r="C23" i="3" s="1"/>
  <c r="C142" i="4"/>
  <c r="V74" i="1"/>
  <c r="V13" i="1" s="1"/>
  <c r="X66" i="1"/>
  <c r="G84" i="3"/>
  <c r="F43" i="3"/>
  <c r="F72" i="3"/>
  <c r="G39" i="5"/>
  <c r="I39" i="5" s="1"/>
  <c r="T22" i="1"/>
  <c r="E43" i="3" s="1"/>
  <c r="H33" i="3"/>
  <c r="H42" i="3" s="1"/>
  <c r="F183" i="1"/>
  <c r="H43" i="3" l="1"/>
  <c r="I33" i="3"/>
  <c r="I42" i="3" s="1"/>
  <c r="X13" i="1"/>
  <c r="Z13" i="1" s="1"/>
  <c r="V22" i="1"/>
  <c r="J29" i="4"/>
  <c r="G183" i="1"/>
  <c r="G191" i="1" s="1"/>
  <c r="G16" i="1" s="1"/>
  <c r="J183" i="1"/>
  <c r="L183" i="1" s="1"/>
  <c r="L191" i="1" s="1"/>
  <c r="L16" i="1" s="1"/>
  <c r="L22" i="1" s="1"/>
  <c r="L38" i="1" s="1"/>
  <c r="X74" i="1"/>
  <c r="Z74" i="1" s="1"/>
  <c r="Z66" i="1"/>
  <c r="F49" i="3"/>
  <c r="X22" i="1" l="1"/>
  <c r="Z22" i="1" s="1"/>
  <c r="H11" i="3"/>
  <c r="H20" i="3" s="1"/>
  <c r="V38" i="1"/>
  <c r="C36" i="3"/>
  <c r="G22" i="1"/>
  <c r="I43" i="3"/>
  <c r="F52" i="3" l="1"/>
  <c r="F56" i="3" s="1"/>
  <c r="C42" i="3"/>
  <c r="C43" i="3" s="1"/>
  <c r="D142" i="4"/>
  <c r="D11" i="3"/>
  <c r="D20" i="3" s="1"/>
  <c r="X38" i="1"/>
  <c r="Z38" i="1" s="1"/>
  <c r="F11" i="3"/>
  <c r="F20" i="3" s="1"/>
  <c r="G38" i="1"/>
  <c r="B11" i="3" s="1"/>
  <c r="B20" i="3" s="1"/>
  <c r="B23" i="3" l="1"/>
  <c r="D23" i="3"/>
  <c r="E6" i="3"/>
  <c r="I32" i="4" l="1"/>
  <c r="E270" i="1" s="1"/>
  <c r="E18" i="1" s="1"/>
  <c r="B38" i="3" s="1"/>
  <c r="H32" i="4" l="1"/>
  <c r="E311" i="1" s="1"/>
  <c r="J311" i="1" l="1"/>
  <c r="J313" i="1" s="1"/>
  <c r="J20" i="1" s="1"/>
  <c r="E313" i="1"/>
  <c r="E20" i="1" s="1"/>
  <c r="B40" i="3" s="1"/>
  <c r="D32" i="4" l="1"/>
  <c r="E111" i="1" l="1"/>
  <c r="J111" i="1" l="1"/>
  <c r="J113" i="1" s="1"/>
  <c r="J14" i="1" s="1"/>
  <c r="E113" i="1"/>
  <c r="E14" i="1" l="1"/>
  <c r="B34" i="3" s="1"/>
  <c r="D38" i="4"/>
  <c r="C32" i="4" l="1"/>
  <c r="E72" i="1" l="1"/>
  <c r="C36" i="4"/>
  <c r="E74" i="1" l="1"/>
  <c r="J72" i="1"/>
  <c r="J74" i="1" s="1"/>
  <c r="J13" i="1" s="1"/>
  <c r="F32" i="4"/>
  <c r="E189" i="1" l="1"/>
  <c r="Z38" i="4"/>
  <c r="J32" i="4"/>
  <c r="E13" i="1"/>
  <c r="C38" i="4"/>
  <c r="F36" i="4"/>
  <c r="B33" i="3" l="1"/>
  <c r="J189" i="1"/>
  <c r="J191" i="1" s="1"/>
  <c r="J16" i="1" s="1"/>
  <c r="J22" i="1" s="1"/>
  <c r="E191" i="1"/>
  <c r="E16" i="1" l="1"/>
  <c r="F38" i="4"/>
  <c r="B36" i="3" l="1"/>
  <c r="B42" i="3" s="1"/>
  <c r="E22" i="1"/>
  <c r="B43" i="3" l="1"/>
  <c r="C141" i="4" l="1"/>
  <c r="C144" i="4" s="1"/>
  <c r="D141" i="4" l="1"/>
  <c r="D144" i="4" s="1"/>
</calcChain>
</file>

<file path=xl/sharedStrings.xml><?xml version="1.0" encoding="utf-8"?>
<sst xmlns="http://schemas.openxmlformats.org/spreadsheetml/2006/main" count="982" uniqueCount="215">
  <si>
    <t>Line #</t>
  </si>
  <si>
    <t>Total</t>
  </si>
  <si>
    <t>Description</t>
  </si>
  <si>
    <t>Residential</t>
  </si>
  <si>
    <t>Commecial</t>
  </si>
  <si>
    <t>Industrial</t>
  </si>
  <si>
    <t>OPA</t>
  </si>
  <si>
    <t>OWU</t>
  </si>
  <si>
    <t>Private Fire</t>
  </si>
  <si>
    <t>Number of Meters</t>
  </si>
  <si>
    <t xml:space="preserve">Totals </t>
  </si>
  <si>
    <t>Size / #</t>
  </si>
  <si>
    <t>Monthly</t>
  </si>
  <si>
    <t>2"</t>
  </si>
  <si>
    <t>3"</t>
  </si>
  <si>
    <t>1-1/2"</t>
  </si>
  <si>
    <t>4"</t>
  </si>
  <si>
    <t>Total Meters</t>
  </si>
  <si>
    <t>Consumption</t>
  </si>
  <si>
    <t>1st Block</t>
  </si>
  <si>
    <t>2nd Block</t>
  </si>
  <si>
    <t>3rd Block</t>
  </si>
  <si>
    <t>4th Block</t>
  </si>
  <si>
    <t>Fire Service</t>
  </si>
  <si>
    <t>Class/</t>
  </si>
  <si>
    <t>Residential:</t>
  </si>
  <si>
    <t>Minimum Charge:</t>
  </si>
  <si>
    <t>Customer</t>
  </si>
  <si>
    <t>Meter</t>
  </si>
  <si>
    <t>Billings</t>
  </si>
  <si>
    <t>5/8" Monthly</t>
  </si>
  <si>
    <t>3/4" Monthly</t>
  </si>
  <si>
    <t>1" Monthly</t>
  </si>
  <si>
    <t>1-1/2" Monthly</t>
  </si>
  <si>
    <t>2" Monthly</t>
  </si>
  <si>
    <t>3" Monthly</t>
  </si>
  <si>
    <t>4" Monthly</t>
  </si>
  <si>
    <t>6" Monthly</t>
  </si>
  <si>
    <t>8" Monthly</t>
  </si>
  <si>
    <t>Sales</t>
  </si>
  <si>
    <t>Volumetric Charges:</t>
  </si>
  <si>
    <t>First Block</t>
  </si>
  <si>
    <t>Second Block</t>
  </si>
  <si>
    <t>Third Block</t>
  </si>
  <si>
    <t>Fourth Block</t>
  </si>
  <si>
    <t>Current</t>
  </si>
  <si>
    <t>Rate</t>
  </si>
  <si>
    <t>Revenue</t>
  </si>
  <si>
    <t>Service Charge</t>
  </si>
  <si>
    <t>Consumption:</t>
  </si>
  <si>
    <t>Commercial</t>
  </si>
  <si>
    <t>Dollar</t>
  </si>
  <si>
    <t>Change</t>
  </si>
  <si>
    <t>Percentage</t>
  </si>
  <si>
    <t>Commercial:</t>
  </si>
  <si>
    <t>Industrial:</t>
  </si>
  <si>
    <t>Other Public Authority:</t>
  </si>
  <si>
    <t>Private Fire Service:</t>
  </si>
  <si>
    <t>Connection</t>
  </si>
  <si>
    <t>Size</t>
  </si>
  <si>
    <t>6"</t>
  </si>
  <si>
    <t>8"</t>
  </si>
  <si>
    <t>10"</t>
  </si>
  <si>
    <t>12"</t>
  </si>
  <si>
    <t>Number</t>
  </si>
  <si>
    <t>of</t>
  </si>
  <si>
    <t>Connections</t>
  </si>
  <si>
    <t>Monthly Billing:</t>
  </si>
  <si>
    <t>Other Public Authority</t>
  </si>
  <si>
    <t>Other Water Utilities</t>
  </si>
  <si>
    <t>Miscellaneous Revenues:</t>
  </si>
  <si>
    <t>Present Rates for General Water Service</t>
  </si>
  <si>
    <t>Proposed Rates for General Water Service</t>
  </si>
  <si>
    <t>Proposed</t>
  </si>
  <si>
    <t>5/8"</t>
  </si>
  <si>
    <t>3/4"</t>
  </si>
  <si>
    <t>1"</t>
  </si>
  <si>
    <t>Test Year Operating Revenues at Present Rates vs Proposed Rates</t>
  </si>
  <si>
    <t>Private Fire Service</t>
  </si>
  <si>
    <t>Present</t>
  </si>
  <si>
    <t>Operation</t>
  </si>
  <si>
    <t>Link Out Sheet</t>
  </si>
  <si>
    <t>Test Check</t>
  </si>
  <si>
    <t>Total Revenues</t>
  </si>
  <si>
    <t>Water Revenues</t>
  </si>
  <si>
    <t>Public Fire Protection</t>
  </si>
  <si>
    <t>Public Fire Protection:</t>
  </si>
  <si>
    <t>Public Fire Hydrants</t>
  </si>
  <si>
    <t>Res</t>
  </si>
  <si>
    <t>Com</t>
  </si>
  <si>
    <t>Ind</t>
  </si>
  <si>
    <t>Other Water Revenue</t>
  </si>
  <si>
    <t>Total Rev / RRM</t>
  </si>
  <si>
    <t>Per Bill Analysis</t>
  </si>
  <si>
    <t>SFR</t>
  </si>
  <si>
    <t>Check</t>
  </si>
  <si>
    <t>Fifth Block</t>
  </si>
  <si>
    <t>Normalized</t>
  </si>
  <si>
    <t>Attrition Year at Present Rates</t>
  </si>
  <si>
    <t>Attrition Year at Proposed Rates</t>
  </si>
  <si>
    <t>5th Block</t>
  </si>
  <si>
    <t>Sixth Block</t>
  </si>
  <si>
    <t xml:space="preserve">    First                   </t>
  </si>
  <si>
    <t xml:space="preserve">    Next                </t>
  </si>
  <si>
    <t xml:space="preserve">    Next              </t>
  </si>
  <si>
    <t xml:space="preserve">    Next            </t>
  </si>
  <si>
    <t xml:space="preserve">    Next         </t>
  </si>
  <si>
    <t xml:space="preserve">    All Over   </t>
  </si>
  <si>
    <t>Credits</t>
  </si>
  <si>
    <t>Credits (Cons)</t>
  </si>
  <si>
    <t>Credits ($'s)</t>
  </si>
  <si>
    <t>CHAT</t>
  </si>
  <si>
    <t>Checks</t>
  </si>
  <si>
    <t>Surcharge</t>
  </si>
  <si>
    <t>Present Rates</t>
  </si>
  <si>
    <t>Proposed Rates</t>
  </si>
  <si>
    <t>Water</t>
  </si>
  <si>
    <t>Total Company</t>
  </si>
  <si>
    <t>Other Revenue</t>
  </si>
  <si>
    <t>Base Period</t>
  </si>
  <si>
    <t>Test Year at Present Rates</t>
  </si>
  <si>
    <t>Test Year at Proposed Rates</t>
  </si>
  <si>
    <t>Test Year</t>
  </si>
  <si>
    <t>T-Gals</t>
  </si>
  <si>
    <t>All</t>
  </si>
  <si>
    <t>Residential - 5/8" Meter</t>
  </si>
  <si>
    <t>Difference</t>
  </si>
  <si>
    <t>Average User</t>
  </si>
  <si>
    <t>Thousand Gallons</t>
  </si>
  <si>
    <t>Commercial - 5/8" Meter</t>
  </si>
  <si>
    <t>Industrial - 2" Meter</t>
  </si>
  <si>
    <t>Other Public Authority - 2" Meter</t>
  </si>
  <si>
    <t>Sales for Resale - 6" Meter</t>
  </si>
  <si>
    <t>Fire</t>
  </si>
  <si>
    <t>14"</t>
  </si>
  <si>
    <t>16"</t>
  </si>
  <si>
    <t>('000 Gal)</t>
  </si>
  <si>
    <t>Base</t>
  </si>
  <si>
    <t>Hydrant</t>
  </si>
  <si>
    <t>Public Hydrants</t>
  </si>
  <si>
    <t>OthRev-Late Pymt Fee</t>
  </si>
  <si>
    <t>OthRev-Rent</t>
  </si>
  <si>
    <t>OthRev-Rent I/C</t>
  </si>
  <si>
    <t>OthRev-CFO</t>
  </si>
  <si>
    <t>OthRev-NSF Ck Chrg</t>
  </si>
  <si>
    <t>OthRev-Appl/InitFee</t>
  </si>
  <si>
    <t>OthRev-Usage Data</t>
  </si>
  <si>
    <t>OthRev-Reconnct Fee</t>
  </si>
  <si>
    <t>OthRev-Misc Svc</t>
  </si>
  <si>
    <t>OthRev WW-Misc Svc</t>
  </si>
  <si>
    <t>Public Fire</t>
  </si>
  <si>
    <t>Private Fire Hydrant</t>
  </si>
  <si>
    <t>Public Fire Hydrant</t>
  </si>
  <si>
    <t>MISC</t>
  </si>
  <si>
    <t>Miscellaneous:</t>
  </si>
  <si>
    <t>Total Other Revenue</t>
  </si>
  <si>
    <t>Total Revenue</t>
  </si>
  <si>
    <t>Rent</t>
  </si>
  <si>
    <t>Rent I/C</t>
  </si>
  <si>
    <t>Collect for Others</t>
  </si>
  <si>
    <t>Usage Data</t>
  </si>
  <si>
    <t>Miscellaneous</t>
  </si>
  <si>
    <t>Owenton</t>
  </si>
  <si>
    <t>Late Payment Fee</t>
  </si>
  <si>
    <t>NSF Check Charge</t>
  </si>
  <si>
    <t>Reconnect Fee</t>
  </si>
  <si>
    <t>Miscellaneous Service</t>
  </si>
  <si>
    <t>WW-Miscellaneous Service</t>
  </si>
  <si>
    <t>Total Fire</t>
  </si>
  <si>
    <t>Application/Initiation Fee</t>
  </si>
  <si>
    <t>Other</t>
  </si>
  <si>
    <t>Per Books</t>
  </si>
  <si>
    <t>Public Fire Service</t>
  </si>
  <si>
    <t>Base Period at Proposed Rates</t>
  </si>
  <si>
    <t>Base Period at Present Rates</t>
  </si>
  <si>
    <t xml:space="preserve">Proposed </t>
  </si>
  <si>
    <t>Sale for Resale</t>
  </si>
  <si>
    <t>Sale for Resale:</t>
  </si>
  <si>
    <t>Other Water Revenue - Fire</t>
  </si>
  <si>
    <t>Fire Revenue</t>
  </si>
  <si>
    <t>5/8" Meter</t>
  </si>
  <si>
    <t>Usage</t>
  </si>
  <si>
    <t>All Divisions</t>
  </si>
  <si>
    <t>Forecast Year</t>
  </si>
  <si>
    <t>Average User:</t>
  </si>
  <si>
    <t>Other Revenue Increase:</t>
  </si>
  <si>
    <t>Exhibit 37, Schedule N</t>
  </si>
  <si>
    <t>Present Rate</t>
  </si>
  <si>
    <t>Proposed Rate</t>
  </si>
  <si>
    <t>Exhibit 37, Schedule M-2</t>
  </si>
  <si>
    <t>Exhibit 37, Schedule M-3</t>
  </si>
  <si>
    <t>Revenue Classification</t>
  </si>
  <si>
    <t>Revenue  from</t>
  </si>
  <si>
    <t>Billed Consumption</t>
  </si>
  <si>
    <t>in Test Year</t>
  </si>
  <si>
    <t>Revenue From</t>
  </si>
  <si>
    <t/>
  </si>
  <si>
    <t>2018 Rate Case</t>
  </si>
  <si>
    <t>East Rockcastle</t>
  </si>
  <si>
    <t>Block 1</t>
  </si>
  <si>
    <t>Block 2</t>
  </si>
  <si>
    <t>&gt; 2000</t>
  </si>
  <si>
    <t>Special Contract</t>
  </si>
  <si>
    <t>Special Contract - SFR</t>
  </si>
  <si>
    <t>Meter count</t>
  </si>
  <si>
    <t>Base Year</t>
  </si>
  <si>
    <t>Test</t>
  </si>
  <si>
    <t>Price</t>
  </si>
  <si>
    <t>SFR-Intercompany</t>
  </si>
  <si>
    <t xml:space="preserve"> </t>
  </si>
  <si>
    <t>Volumetric Revenue Test Year present</t>
  </si>
  <si>
    <t>Typical Bill Comparisons under Present and Proposed Rates
ALL CUSTOMERS</t>
  </si>
  <si>
    <t>Forecast Year Operating Revenues at Present Rates vs Proposed Rates
 ALL CUSTOMERS</t>
  </si>
  <si>
    <t>ALL CUSTOMERS</t>
  </si>
  <si>
    <t>(residential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</si>
</sst>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&quot;$&quot;#,##0.0000_);[Red]\(&quot;$&quot;#,##0.0000\)"/>
    <numFmt numFmtId="167" formatCode="#,##0.0"/>
    <numFmt numFmtId="168" formatCode="#,##0.0000_);\(#,##0.0000\)"/>
    <numFmt numFmtId="169" formatCode="&quot;$&quot;#,##0.0000_);\(&quot;$&quot;#,##0.0000\)"/>
    <numFmt numFmtId="170" formatCode="_(&quot;$&quot;* #,##0_);_(&quot;$&quot;* \(#,##0\);_(&quot;$&quot;* &quot;-&quot;??_);_(@_)"/>
    <numFmt numFmtId="171" formatCode="0.000"/>
    <numFmt numFmtId="172" formatCode="#,##0.000"/>
    <numFmt numFmtId="173" formatCode="#,##0.0000"/>
    <numFmt numFmtId="174" formatCode="0.000%"/>
    <numFmt numFmtId="175" formatCode="#,##0.000_);\(#,##0.000\)"/>
    <numFmt numFmtId="176" formatCode="#,##0.0000000000_);\(#,##0.0000000000\)"/>
    <numFmt numFmtId="177" formatCode="_(* #,##0.0000_);_(* \(#,##0.0000\);_(* &quot;-&quot;??_);_(@_)"/>
    <numFmt numFmtId="178" formatCode="_(* #,##0.000_);_(* \(#,##0.0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00FF00"/>
      </left>
      <right/>
      <top/>
      <bottom/>
      <diagonal/>
    </border>
    <border>
      <left/>
      <right style="thick">
        <color rgb="FF00FF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/>
    <xf numFmtId="0" fontId="1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5" borderId="17" applyNumberFormat="0" applyFont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</cellStyleXfs>
  <cellXfs count="341">
    <xf numFmtId="0" fontId="0" fillId="0" borderId="0" xfId="0"/>
    <xf numFmtId="0" fontId="0" fillId="0" borderId="0" xfId="0" applyAlignment="1">
      <alignment horizontal="center"/>
    </xf>
    <xf numFmtId="37" fontId="8" fillId="0" borderId="0" xfId="0" applyNumberFormat="1" applyFont="1" applyBorder="1"/>
    <xf numFmtId="37" fontId="8" fillId="0" borderId="0" xfId="0" applyNumberFormat="1" applyFont="1" applyBorder="1" applyAlignment="1">
      <alignment horizontal="center"/>
    </xf>
    <xf numFmtId="0" fontId="8" fillId="0" borderId="0" xfId="0" applyFont="1"/>
    <xf numFmtId="37" fontId="8" fillId="0" borderId="0" xfId="0" applyNumberFormat="1" applyFont="1" applyBorder="1" applyAlignment="1">
      <alignment horizontal="centerContinuous"/>
    </xf>
    <xf numFmtId="0" fontId="8" fillId="0" borderId="7" xfId="0" applyFont="1" applyBorder="1"/>
    <xf numFmtId="10" fontId="0" fillId="0" borderId="0" xfId="0" applyNumberFormat="1"/>
    <xf numFmtId="0" fontId="0" fillId="0" borderId="0" xfId="0" applyBorder="1"/>
    <xf numFmtId="37" fontId="0" fillId="0" borderId="0" xfId="0" applyNumberFormat="1" applyBorder="1"/>
    <xf numFmtId="37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8" fillId="0" borderId="0" xfId="0" applyFont="1" applyFill="1" applyBorder="1"/>
    <xf numFmtId="0" fontId="0" fillId="0" borderId="0" xfId="0" applyBorder="1" applyAlignment="1">
      <alignment horizontal="centerContinuous"/>
    </xf>
    <xf numFmtId="37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7" fontId="11" fillId="0" borderId="0" xfId="0" applyNumberFormat="1" applyFont="1"/>
    <xf numFmtId="37" fontId="11" fillId="0" borderId="0" xfId="0" applyNumberFormat="1" applyFont="1" applyBorder="1"/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Border="1"/>
    <xf numFmtId="39" fontId="11" fillId="0" borderId="0" xfId="0" applyNumberFormat="1" applyFont="1" applyBorder="1"/>
    <xf numFmtId="10" fontId="11" fillId="0" borderId="0" xfId="0" applyNumberFormat="1" applyFont="1"/>
    <xf numFmtId="37" fontId="11" fillId="0" borderId="0" xfId="0" applyNumberFormat="1" applyFont="1" applyFill="1" applyBorder="1"/>
    <xf numFmtId="37" fontId="11" fillId="0" borderId="0" xfId="0" applyNumberFormat="1" applyFont="1" applyFill="1" applyBorder="1" applyAlignment="1">
      <alignment horizontal="right" vertical="top"/>
    </xf>
    <xf numFmtId="39" fontId="12" fillId="0" borderId="9" xfId="0" applyNumberFormat="1" applyFont="1" applyFill="1" applyBorder="1"/>
    <xf numFmtId="0" fontId="12" fillId="0" borderId="9" xfId="0" applyFont="1" applyFill="1" applyBorder="1"/>
    <xf numFmtId="0" fontId="12" fillId="0" borderId="14" xfId="0" applyFont="1" applyFill="1" applyBorder="1"/>
    <xf numFmtId="39" fontId="12" fillId="0" borderId="0" xfId="0" applyNumberFormat="1" applyFont="1" applyFill="1" applyBorder="1"/>
    <xf numFmtId="39" fontId="7" fillId="0" borderId="0" xfId="0" applyNumberFormat="1" applyFont="1" applyFill="1" applyBorder="1"/>
    <xf numFmtId="0" fontId="12" fillId="0" borderId="12" xfId="0" applyFont="1" applyFill="1" applyBorder="1"/>
    <xf numFmtId="0" fontId="12" fillId="0" borderId="10" xfId="0" applyFont="1" applyFill="1" applyBorder="1"/>
    <xf numFmtId="0" fontId="8" fillId="0" borderId="16" xfId="0" applyFont="1" applyFill="1" applyBorder="1"/>
    <xf numFmtId="39" fontId="12" fillId="0" borderId="16" xfId="0" applyNumberFormat="1" applyFont="1" applyFill="1" applyBorder="1"/>
    <xf numFmtId="0" fontId="3" fillId="0" borderId="0" xfId="23" applyFont="1"/>
    <xf numFmtId="3" fontId="3" fillId="0" borderId="0" xfId="23" applyNumberFormat="1" applyFont="1" applyAlignment="1">
      <alignment horizontal="centerContinuous"/>
    </xf>
    <xf numFmtId="3" fontId="3" fillId="0" borderId="0" xfId="23" applyNumberFormat="1" applyFont="1"/>
    <xf numFmtId="4" fontId="3" fillId="0" borderId="0" xfId="23" applyNumberFormat="1" applyFont="1"/>
    <xf numFmtId="172" fontId="3" fillId="0" borderId="0" xfId="23" applyNumberFormat="1" applyFont="1"/>
    <xf numFmtId="173" fontId="3" fillId="0" borderId="0" xfId="23" applyNumberFormat="1" applyFont="1"/>
    <xf numFmtId="3" fontId="3" fillId="0" borderId="0" xfId="23" applyNumberFormat="1" applyFont="1" applyAlignment="1">
      <alignment horizontal="center"/>
    </xf>
    <xf numFmtId="3" fontId="14" fillId="0" borderId="0" xfId="23" applyNumberFormat="1" applyFont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1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left"/>
    </xf>
    <xf numFmtId="44" fontId="3" fillId="0" borderId="0" xfId="23" applyNumberFormat="1" applyFont="1" applyAlignment="1">
      <alignment horizontal="center"/>
    </xf>
    <xf numFmtId="44" fontId="3" fillId="0" borderId="0" xfId="23" applyNumberFormat="1" applyFont="1" applyBorder="1" applyAlignment="1">
      <alignment horizontal="right"/>
    </xf>
    <xf numFmtId="10" fontId="0" fillId="0" borderId="0" xfId="24" applyNumberFormat="1" applyFont="1" applyBorder="1" applyAlignment="1">
      <alignment horizontal="right"/>
    </xf>
    <xf numFmtId="174" fontId="0" fillId="0" borderId="0" xfId="24" applyNumberFormat="1" applyFont="1"/>
    <xf numFmtId="3" fontId="3" fillId="0" borderId="0" xfId="23" applyNumberFormat="1" applyFont="1" applyAlignment="1">
      <alignment horizontal="left"/>
    </xf>
    <xf numFmtId="43" fontId="3" fillId="0" borderId="0" xfId="23" applyNumberFormat="1" applyFont="1"/>
    <xf numFmtId="43" fontId="3" fillId="0" borderId="0" xfId="23" applyNumberFormat="1" applyFont="1" applyBorder="1" applyAlignment="1">
      <alignment horizontal="right"/>
    </xf>
    <xf numFmtId="3" fontId="3" fillId="0" borderId="0" xfId="23" applyNumberFormat="1" applyFont="1" applyBorder="1"/>
    <xf numFmtId="43" fontId="3" fillId="0" borderId="0" xfId="23" applyNumberFormat="1" applyFont="1" applyBorder="1"/>
    <xf numFmtId="44" fontId="3" fillId="0" borderId="0" xfId="23" applyNumberFormat="1" applyFont="1" applyBorder="1"/>
    <xf numFmtId="4" fontId="3" fillId="0" borderId="0" xfId="23" applyNumberFormat="1" applyFont="1" applyBorder="1"/>
    <xf numFmtId="4" fontId="3" fillId="0" borderId="0" xfId="23" applyNumberFormat="1" applyFont="1" applyBorder="1" applyAlignment="1">
      <alignment horizontal="centerContinuous"/>
    </xf>
    <xf numFmtId="3" fontId="3" fillId="0" borderId="0" xfId="23" applyNumberFormat="1" applyFont="1" applyBorder="1" applyAlignment="1">
      <alignment horizontal="centerContinuous"/>
    </xf>
    <xf numFmtId="7" fontId="3" fillId="0" borderId="0" xfId="23" applyNumberFormat="1" applyFont="1"/>
    <xf numFmtId="0" fontId="11" fillId="0" borderId="0" xfId="25" applyFont="1" applyFill="1" applyBorder="1" applyAlignment="1">
      <alignment horizontal="left" indent="2"/>
    </xf>
    <xf numFmtId="3" fontId="3" fillId="0" borderId="0" xfId="23" applyNumberFormat="1" applyFont="1" applyFill="1" applyAlignment="1">
      <alignment horizontal="center"/>
    </xf>
    <xf numFmtId="3" fontId="3" fillId="0" borderId="0" xfId="23" applyNumberFormat="1" applyFont="1" applyFill="1"/>
    <xf numFmtId="3" fontId="14" fillId="0" borderId="0" xfId="23" applyNumberFormat="1" applyFont="1" applyFill="1" applyBorder="1" applyAlignment="1">
      <alignment horizontal="center"/>
    </xf>
    <xf numFmtId="3" fontId="14" fillId="0" borderId="0" xfId="23" applyNumberFormat="1" applyFont="1" applyFill="1" applyAlignment="1">
      <alignment horizontal="center"/>
    </xf>
    <xf numFmtId="3" fontId="14" fillId="0" borderId="1" xfId="23" applyNumberFormat="1" applyFont="1" applyFill="1" applyBorder="1" applyAlignment="1">
      <alignment horizontal="center"/>
    </xf>
    <xf numFmtId="7" fontId="3" fillId="0" borderId="0" xfId="23" applyNumberFormat="1" applyFont="1" applyFill="1"/>
    <xf numFmtId="44" fontId="3" fillId="0" borderId="0" xfId="23" applyNumberFormat="1" applyFont="1" applyFill="1" applyAlignment="1">
      <alignment horizontal="center"/>
    </xf>
    <xf numFmtId="44" fontId="3" fillId="0" borderId="0" xfId="23" applyNumberFormat="1" applyFont="1" applyFill="1" applyBorder="1" applyAlignment="1">
      <alignment horizontal="right"/>
    </xf>
    <xf numFmtId="10" fontId="0" fillId="0" borderId="0" xfId="24" applyNumberFormat="1" applyFont="1" applyFill="1" applyBorder="1" applyAlignment="1">
      <alignment horizontal="right"/>
    </xf>
    <xf numFmtId="43" fontId="3" fillId="0" borderId="0" xfId="23" applyNumberFormat="1" applyFont="1" applyFill="1"/>
    <xf numFmtId="43" fontId="3" fillId="0" borderId="0" xfId="23" applyNumberFormat="1" applyFont="1" applyFill="1" applyBorder="1" applyAlignment="1">
      <alignment horizontal="right"/>
    </xf>
    <xf numFmtId="3" fontId="3" fillId="0" borderId="0" xfId="23" applyNumberFormat="1" applyFont="1" applyFill="1" applyBorder="1"/>
    <xf numFmtId="43" fontId="3" fillId="0" borderId="0" xfId="23" applyNumberFormat="1" applyFont="1" applyFill="1" applyBorder="1"/>
    <xf numFmtId="3" fontId="3" fillId="0" borderId="0" xfId="23" applyNumberFormat="1" applyFont="1" applyFill="1" applyBorder="1" applyAlignment="1">
      <alignment horizontal="center"/>
    </xf>
    <xf numFmtId="3" fontId="3" fillId="0" borderId="0" xfId="23" applyNumberFormat="1" applyFont="1" applyFill="1" applyAlignment="1">
      <alignment horizontal="left"/>
    </xf>
    <xf numFmtId="44" fontId="3" fillId="0" borderId="0" xfId="23" applyNumberFormat="1" applyFont="1" applyFill="1" applyBorder="1"/>
    <xf numFmtId="37" fontId="16" fillId="0" borderId="0" xfId="0" applyNumberFormat="1" applyFont="1" applyBorder="1"/>
    <xf numFmtId="3" fontId="2" fillId="0" borderId="0" xfId="23" applyNumberFormat="1" applyFont="1" applyFill="1" applyBorder="1" applyAlignment="1">
      <alignment horizontal="left"/>
    </xf>
    <xf numFmtId="37" fontId="11" fillId="0" borderId="0" xfId="0" applyNumberFormat="1" applyFont="1" applyFill="1"/>
    <xf numFmtId="0" fontId="3" fillId="0" borderId="0" xfId="23" applyFont="1" applyFill="1"/>
    <xf numFmtId="0" fontId="14" fillId="0" borderId="0" xfId="23" applyFont="1" applyFill="1" applyAlignment="1">
      <alignment horizontal="right"/>
    </xf>
    <xf numFmtId="3" fontId="14" fillId="0" borderId="0" xfId="23" applyNumberFormat="1" applyFont="1" applyBorder="1" applyAlignment="1">
      <alignment horizontal="left"/>
    </xf>
    <xf numFmtId="3" fontId="14" fillId="0" borderId="0" xfId="23" applyNumberFormat="1" applyFont="1" applyBorder="1" applyAlignment="1">
      <alignment horizontal="right"/>
    </xf>
    <xf numFmtId="0" fontId="17" fillId="0" borderId="0" xfId="25" applyFont="1" applyFill="1" applyBorder="1" applyAlignment="1">
      <alignment horizontal="left" indent="2"/>
    </xf>
    <xf numFmtId="3" fontId="14" fillId="0" borderId="0" xfId="23" applyNumberFormat="1" applyFont="1" applyAlignment="1"/>
    <xf numFmtId="10" fontId="11" fillId="0" borderId="0" xfId="0" applyNumberFormat="1" applyFont="1" applyFill="1" applyBorder="1"/>
    <xf numFmtId="10" fontId="11" fillId="0" borderId="0" xfId="0" applyNumberFormat="1" applyFont="1" applyBorder="1"/>
    <xf numFmtId="3" fontId="14" fillId="0" borderId="0" xfId="23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 vertical="top"/>
    </xf>
    <xf numFmtId="37" fontId="16" fillId="0" borderId="0" xfId="0" applyNumberFormat="1" applyFont="1"/>
    <xf numFmtId="37" fontId="16" fillId="0" borderId="0" xfId="0" applyNumberFormat="1" applyFont="1" applyFill="1" applyBorder="1"/>
    <xf numFmtId="37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left" vertical="top"/>
    </xf>
    <xf numFmtId="5" fontId="16" fillId="0" borderId="0" xfId="0" applyNumberFormat="1" applyFont="1" applyBorder="1" applyAlignment="1">
      <alignment horizontal="right" vertical="top"/>
    </xf>
    <xf numFmtId="37" fontId="18" fillId="0" borderId="0" xfId="0" applyNumberFormat="1" applyFont="1" applyFill="1" applyBorder="1"/>
    <xf numFmtId="37" fontId="18" fillId="0" borderId="0" xfId="0" applyNumberFormat="1" applyFont="1" applyBorder="1" applyAlignment="1">
      <alignment horizontal="right"/>
    </xf>
    <xf numFmtId="37" fontId="18" fillId="0" borderId="1" xfId="0" applyNumberFormat="1" applyFont="1" applyFill="1" applyBorder="1"/>
    <xf numFmtId="37" fontId="16" fillId="0" borderId="1" xfId="0" applyNumberFormat="1" applyFont="1" applyFill="1" applyBorder="1"/>
    <xf numFmtId="37" fontId="19" fillId="0" borderId="1" xfId="0" applyNumberFormat="1" applyFont="1" applyFill="1" applyBorder="1" applyAlignment="1"/>
    <xf numFmtId="37" fontId="18" fillId="0" borderId="1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37" fontId="16" fillId="0" borderId="0" xfId="0" applyNumberFormat="1" applyFont="1" applyFill="1" applyBorder="1" applyAlignment="1">
      <alignment horizontal="centerContinuous"/>
    </xf>
    <xf numFmtId="37" fontId="16" fillId="0" borderId="0" xfId="0" applyNumberFormat="1" applyFont="1" applyFill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0" xfId="0" applyNumberFormat="1" applyFont="1" applyBorder="1"/>
    <xf numFmtId="37" fontId="20" fillId="0" borderId="0" xfId="0" applyNumberFormat="1" applyFont="1" applyBorder="1"/>
    <xf numFmtId="5" fontId="16" fillId="0" borderId="0" xfId="0" applyNumberFormat="1" applyFont="1" applyFill="1" applyBorder="1" applyAlignment="1">
      <alignment horizontal="right" vertical="top"/>
    </xf>
    <xf numFmtId="10" fontId="16" fillId="0" borderId="0" xfId="0" applyNumberFormat="1" applyFont="1" applyFill="1" applyBorder="1"/>
    <xf numFmtId="39" fontId="16" fillId="0" borderId="0" xfId="0" applyNumberFormat="1" applyFont="1" applyBorder="1" applyAlignment="1">
      <alignment horizontal="right" vertical="top"/>
    </xf>
    <xf numFmtId="39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/>
    <xf numFmtId="37" fontId="16" fillId="0" borderId="4" xfId="0" applyNumberFormat="1" applyFont="1" applyBorder="1" applyAlignment="1">
      <alignment horizontal="right" vertical="top"/>
    </xf>
    <xf numFmtId="5" fontId="16" fillId="0" borderId="18" xfId="0" applyNumberFormat="1" applyFont="1" applyFill="1" applyBorder="1" applyAlignment="1">
      <alignment horizontal="right" vertical="top"/>
    </xf>
    <xf numFmtId="37" fontId="16" fillId="0" borderId="4" xfId="0" applyNumberFormat="1" applyFont="1" applyFill="1" applyBorder="1" applyAlignment="1">
      <alignment horizontal="right" vertical="top"/>
    </xf>
    <xf numFmtId="5" fontId="16" fillId="0" borderId="18" xfId="0" applyNumberFormat="1" applyFont="1" applyBorder="1" applyAlignment="1">
      <alignment horizontal="right" vertical="top"/>
    </xf>
    <xf numFmtId="10" fontId="16" fillId="0" borderId="18" xfId="0" applyNumberFormat="1" applyFont="1" applyFill="1" applyBorder="1"/>
    <xf numFmtId="42" fontId="1" fillId="0" borderId="0" xfId="11" applyNumberFormat="1" applyFont="1" applyFill="1" applyAlignment="1">
      <alignment horizontal="left" indent="1"/>
    </xf>
    <xf numFmtId="168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right"/>
    </xf>
    <xf numFmtId="37" fontId="20" fillId="0" borderId="0" xfId="0" applyNumberFormat="1" applyFont="1" applyFill="1" applyBorder="1" applyAlignment="1">
      <alignment horizontal="center"/>
    </xf>
    <xf numFmtId="43" fontId="16" fillId="0" borderId="0" xfId="0" applyNumberFormat="1" applyFont="1" applyFill="1" applyBorder="1"/>
    <xf numFmtId="6" fontId="16" fillId="0" borderId="0" xfId="0" applyNumberFormat="1" applyFont="1" applyFill="1" applyBorder="1"/>
    <xf numFmtId="42" fontId="16" fillId="0" borderId="0" xfId="0" applyNumberFormat="1" applyFont="1" applyFill="1" applyBorder="1"/>
    <xf numFmtId="168" fontId="16" fillId="0" borderId="0" xfId="0" applyNumberFormat="1" applyFont="1" applyFill="1" applyBorder="1"/>
    <xf numFmtId="5" fontId="16" fillId="0" borderId="0" xfId="0" applyNumberFormat="1" applyFont="1" applyFill="1" applyBorder="1"/>
    <xf numFmtId="5" fontId="16" fillId="0" borderId="0" xfId="0" applyNumberFormat="1" applyFont="1" applyBorder="1"/>
    <xf numFmtId="168" fontId="16" fillId="0" borderId="0" xfId="0" applyNumberFormat="1" applyFont="1" applyBorder="1"/>
    <xf numFmtId="42" fontId="16" fillId="0" borderId="0" xfId="0" applyNumberFormat="1" applyFont="1" applyBorder="1"/>
    <xf numFmtId="37" fontId="20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37" fontId="20" fillId="0" borderId="0" xfId="0" applyNumberFormat="1" applyFont="1" applyFill="1" applyBorder="1"/>
    <xf numFmtId="10" fontId="16" fillId="0" borderId="4" xfId="0" applyNumberFormat="1" applyFont="1" applyFill="1" applyBorder="1"/>
    <xf numFmtId="6" fontId="16" fillId="0" borderId="0" xfId="0" applyNumberFormat="1" applyFont="1" applyBorder="1"/>
    <xf numFmtId="40" fontId="16" fillId="0" borderId="0" xfId="0" applyNumberFormat="1" applyFont="1" applyBorder="1"/>
    <xf numFmtId="37" fontId="18" fillId="0" borderId="1" xfId="0" applyNumberFormat="1" applyFont="1" applyBorder="1"/>
    <xf numFmtId="37" fontId="16" fillId="0" borderId="1" xfId="0" applyNumberFormat="1" applyFont="1" applyBorder="1"/>
    <xf numFmtId="37" fontId="18" fillId="0" borderId="1" xfId="0" applyNumberFormat="1" applyFont="1" applyBorder="1" applyAlignment="1">
      <alignment horizontal="right"/>
    </xf>
    <xf numFmtId="7" fontId="16" fillId="0" borderId="0" xfId="0" applyNumberFormat="1" applyFont="1" applyFill="1" applyBorder="1" applyAlignment="1">
      <alignment horizontal="right" vertical="top"/>
    </xf>
    <xf numFmtId="7" fontId="16" fillId="0" borderId="0" xfId="0" applyNumberFormat="1" applyFont="1" applyBorder="1" applyAlignment="1">
      <alignment horizontal="right" vertical="top"/>
    </xf>
    <xf numFmtId="169" fontId="16" fillId="0" borderId="0" xfId="0" applyNumberFormat="1" applyFont="1" applyFill="1" applyBorder="1" applyAlignment="1">
      <alignment horizontal="right" vertical="top"/>
    </xf>
    <xf numFmtId="169" fontId="16" fillId="0" borderId="0" xfId="0" applyNumberFormat="1" applyFont="1" applyBorder="1" applyAlignment="1">
      <alignment horizontal="right" vertical="top"/>
    </xf>
    <xf numFmtId="168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/>
    </xf>
    <xf numFmtId="37" fontId="16" fillId="0" borderId="4" xfId="0" applyNumberFormat="1" applyFont="1" applyBorder="1"/>
    <xf numFmtId="6" fontId="16" fillId="0" borderId="4" xfId="0" applyNumberFormat="1" applyFont="1" applyBorder="1"/>
    <xf numFmtId="37" fontId="16" fillId="0" borderId="0" xfId="0" applyNumberFormat="1" applyFont="1" applyFill="1" applyBorder="1" applyAlignment="1">
      <alignment horizontal="left"/>
    </xf>
    <xf numFmtId="37" fontId="16" fillId="0" borderId="4" xfId="0" applyNumberFormat="1" applyFont="1" applyFill="1" applyBorder="1"/>
    <xf numFmtId="6" fontId="16" fillId="0" borderId="4" xfId="0" applyNumberFormat="1" applyFont="1" applyFill="1" applyBorder="1"/>
    <xf numFmtId="39" fontId="16" fillId="0" borderId="0" xfId="0" applyNumberFormat="1" applyFont="1" applyBorder="1"/>
    <xf numFmtId="5" fontId="16" fillId="0" borderId="0" xfId="0" applyNumberFormat="1" applyFont="1" applyBorder="1" applyAlignment="1">
      <alignment horizontal="right"/>
    </xf>
    <xf numFmtId="5" fontId="16" fillId="0" borderId="3" xfId="0" applyNumberFormat="1" applyFont="1" applyFill="1" applyBorder="1" applyAlignment="1">
      <alignment horizontal="right"/>
    </xf>
    <xf numFmtId="5" fontId="16" fillId="0" borderId="0" xfId="0" applyNumberFormat="1" applyFont="1" applyFill="1" applyBorder="1" applyAlignment="1">
      <alignment horizontal="right"/>
    </xf>
    <xf numFmtId="5" fontId="16" fillId="0" borderId="3" xfId="0" applyNumberFormat="1" applyFont="1" applyBorder="1" applyAlignment="1">
      <alignment horizontal="right"/>
    </xf>
    <xf numFmtId="0" fontId="16" fillId="0" borderId="0" xfId="25" applyFont="1" applyFill="1" applyBorder="1" applyAlignment="1"/>
    <xf numFmtId="164" fontId="16" fillId="0" borderId="0" xfId="1" applyNumberFormat="1" applyFont="1" applyBorder="1"/>
    <xf numFmtId="0" fontId="16" fillId="0" borderId="0" xfId="0" applyFont="1" applyFill="1"/>
    <xf numFmtId="0" fontId="16" fillId="0" borderId="0" xfId="0" applyFont="1"/>
    <xf numFmtId="1" fontId="16" fillId="0" borderId="0" xfId="0" applyNumberFormat="1" applyFont="1"/>
    <xf numFmtId="175" fontId="16" fillId="0" borderId="0" xfId="0" applyNumberFormat="1" applyFont="1"/>
    <xf numFmtId="0" fontId="21" fillId="0" borderId="7" xfId="0" applyFont="1" applyBorder="1"/>
    <xf numFmtId="0" fontId="16" fillId="0" borderId="7" xfId="0" applyFont="1" applyBorder="1"/>
    <xf numFmtId="167" fontId="16" fillId="0" borderId="7" xfId="1" applyNumberFormat="1" applyFont="1" applyBorder="1"/>
    <xf numFmtId="43" fontId="16" fillId="0" borderId="7" xfId="1" applyFont="1" applyBorder="1"/>
    <xf numFmtId="8" fontId="21" fillId="0" borderId="0" xfId="0" applyNumberFormat="1" applyFont="1"/>
    <xf numFmtId="8" fontId="16" fillId="0" borderId="0" xfId="0" applyNumberFormat="1" applyFont="1"/>
    <xf numFmtId="0" fontId="16" fillId="0" borderId="0" xfId="0" applyFont="1" applyAlignment="1">
      <alignment horizontal="center"/>
    </xf>
    <xf numFmtId="167" fontId="16" fillId="0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7" fontId="16" fillId="0" borderId="2" xfId="1" applyNumberFormat="1" applyFont="1" applyFill="1" applyBorder="1" applyAlignment="1">
      <alignment horizontal="center"/>
    </xf>
    <xf numFmtId="164" fontId="16" fillId="0" borderId="0" xfId="1" applyNumberFormat="1" applyFont="1" applyFill="1"/>
    <xf numFmtId="0" fontId="16" fillId="0" borderId="0" xfId="25" applyFont="1" applyFill="1" applyBorder="1" applyAlignment="1">
      <alignment horizontal="left" indent="2"/>
    </xf>
    <xf numFmtId="165" fontId="16" fillId="0" borderId="0" xfId="1" applyNumberFormat="1" applyFont="1" applyFill="1"/>
    <xf numFmtId="175" fontId="16" fillId="0" borderId="0" xfId="1" applyNumberFormat="1" applyFont="1" applyFill="1"/>
    <xf numFmtId="164" fontId="16" fillId="0" borderId="3" xfId="1" applyNumberFormat="1" applyFont="1" applyFill="1" applyBorder="1"/>
    <xf numFmtId="37" fontId="16" fillId="0" borderId="3" xfId="1" applyNumberFormat="1" applyFont="1" applyFill="1" applyBorder="1"/>
    <xf numFmtId="43" fontId="16" fillId="0" borderId="0" xfId="1" applyFont="1" applyFill="1"/>
    <xf numFmtId="0" fontId="16" fillId="0" borderId="0" xfId="0" quotePrefix="1" applyFont="1"/>
    <xf numFmtId="39" fontId="16" fillId="0" borderId="0" xfId="0" applyNumberFormat="1" applyFont="1"/>
    <xf numFmtId="39" fontId="16" fillId="0" borderId="0" xfId="1" applyNumberFormat="1" applyFont="1" applyAlignment="1">
      <alignment horizontal="center"/>
    </xf>
    <xf numFmtId="167" fontId="16" fillId="0" borderId="0" xfId="1" applyNumberFormat="1" applyFont="1" applyAlignment="1">
      <alignment horizontal="center"/>
    </xf>
    <xf numFmtId="39" fontId="16" fillId="0" borderId="0" xfId="0" applyNumberFormat="1" applyFont="1" applyAlignment="1">
      <alignment horizontal="center"/>
    </xf>
    <xf numFmtId="39" fontId="16" fillId="0" borderId="0" xfId="1" applyNumberFormat="1" applyFont="1" applyFill="1" applyAlignment="1">
      <alignment horizontal="center"/>
    </xf>
    <xf numFmtId="39" fontId="16" fillId="0" borderId="0" xfId="0" applyNumberFormat="1" applyFont="1" applyFill="1" applyAlignment="1">
      <alignment horizontal="center"/>
    </xf>
    <xf numFmtId="37" fontId="16" fillId="0" borderId="0" xfId="0" quotePrefix="1" applyNumberFormat="1" applyFont="1" applyFill="1"/>
    <xf numFmtId="39" fontId="16" fillId="0" borderId="0" xfId="0" applyNumberFormat="1" applyFont="1" applyFill="1"/>
    <xf numFmtId="0" fontId="18" fillId="0" borderId="11" xfId="0" applyFont="1" applyFill="1" applyBorder="1"/>
    <xf numFmtId="0" fontId="16" fillId="0" borderId="12" xfId="0" applyFont="1" applyFill="1" applyBorder="1"/>
    <xf numFmtId="39" fontId="19" fillId="0" borderId="12" xfId="0" applyNumberFormat="1" applyFont="1" applyFill="1" applyBorder="1"/>
    <xf numFmtId="0" fontId="19" fillId="0" borderId="12" xfId="0" applyFont="1" applyFill="1" applyBorder="1"/>
    <xf numFmtId="0" fontId="16" fillId="0" borderId="15" xfId="0" applyFont="1" applyFill="1" applyBorder="1"/>
    <xf numFmtId="0" fontId="16" fillId="0" borderId="0" xfId="0" applyFont="1" applyFill="1" applyBorder="1"/>
    <xf numFmtId="39" fontId="19" fillId="0" borderId="0" xfId="0" applyNumberFormat="1" applyFont="1" applyFill="1" applyBorder="1"/>
    <xf numFmtId="0" fontId="18" fillId="0" borderId="15" xfId="0" applyFont="1" applyFill="1" applyBorder="1"/>
    <xf numFmtId="39" fontId="18" fillId="0" borderId="0" xfId="0" applyNumberFormat="1" applyFont="1" applyFill="1" applyBorder="1"/>
    <xf numFmtId="39" fontId="16" fillId="0" borderId="0" xfId="0" applyNumberFormat="1" applyFont="1" applyFill="1" applyBorder="1"/>
    <xf numFmtId="0" fontId="16" fillId="0" borderId="13" xfId="0" applyFont="1" applyFill="1" applyBorder="1"/>
    <xf numFmtId="0" fontId="16" fillId="0" borderId="9" xfId="0" applyFont="1" applyFill="1" applyBorder="1"/>
    <xf numFmtId="39" fontId="19" fillId="0" borderId="9" xfId="0" applyNumberFormat="1" applyFont="1" applyFill="1" applyBorder="1"/>
    <xf numFmtId="0" fontId="19" fillId="0" borderId="9" xfId="0" applyFont="1" applyFill="1" applyBorder="1"/>
    <xf numFmtId="0" fontId="18" fillId="0" borderId="0" xfId="0" applyFont="1"/>
    <xf numFmtId="43" fontId="16" fillId="0" borderId="0" xfId="1" applyFont="1"/>
    <xf numFmtId="44" fontId="16" fillId="0" borderId="0" xfId="0" applyNumberFormat="1" applyFont="1" applyFill="1"/>
    <xf numFmtId="44" fontId="16" fillId="0" borderId="0" xfId="1" applyNumberFormat="1" applyFont="1" applyFill="1"/>
    <xf numFmtId="8" fontId="16" fillId="0" borderId="0" xfId="0" applyNumberFormat="1" applyFont="1" applyFill="1"/>
    <xf numFmtId="8" fontId="16" fillId="0" borderId="0" xfId="1" applyNumberFormat="1" applyFont="1" applyFill="1"/>
    <xf numFmtId="0" fontId="18" fillId="0" borderId="0" xfId="0" applyFont="1" applyFill="1" applyProtection="1"/>
    <xf numFmtId="164" fontId="16" fillId="0" borderId="0" xfId="1" applyNumberFormat="1" applyFont="1"/>
    <xf numFmtId="166" fontId="16" fillId="0" borderId="0" xfId="1" applyNumberFormat="1" applyFont="1" applyFill="1"/>
    <xf numFmtId="3" fontId="16" fillId="0" borderId="0" xfId="0" applyNumberFormat="1" applyFont="1"/>
    <xf numFmtId="3" fontId="16" fillId="0" borderId="0" xfId="1" applyNumberFormat="1" applyFont="1" applyFill="1" applyAlignment="1">
      <alignment horizontal="center"/>
    </xf>
    <xf numFmtId="3" fontId="16" fillId="0" borderId="0" xfId="1" applyNumberFormat="1" applyFont="1" applyAlignment="1">
      <alignment horizontal="center"/>
    </xf>
    <xf numFmtId="171" fontId="16" fillId="0" borderId="0" xfId="0" applyNumberFormat="1" applyFont="1" applyFill="1"/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40" fontId="16" fillId="0" borderId="0" xfId="1" applyNumberFormat="1" applyFont="1" applyFill="1"/>
    <xf numFmtId="7" fontId="16" fillId="0" borderId="0" xfId="1" applyNumberFormat="1" applyFont="1" applyFill="1"/>
    <xf numFmtId="44" fontId="16" fillId="0" borderId="0" xfId="0" applyNumberFormat="1" applyFont="1"/>
    <xf numFmtId="7" fontId="16" fillId="0" borderId="0" xfId="1" applyNumberFormat="1" applyFont="1"/>
    <xf numFmtId="0" fontId="18" fillId="0" borderId="1" xfId="0" applyFont="1" applyFill="1" applyBorder="1"/>
    <xf numFmtId="7" fontId="18" fillId="0" borderId="1" xfId="1" applyNumberFormat="1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37" fontId="18" fillId="0" borderId="0" xfId="0" applyNumberFormat="1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43" fontId="16" fillId="0" borderId="0" xfId="0" applyNumberFormat="1" applyFont="1" applyBorder="1"/>
    <xf numFmtId="164" fontId="16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Border="1"/>
    <xf numFmtId="164" fontId="18" fillId="0" borderId="0" xfId="0" applyNumberFormat="1" applyFont="1" applyBorder="1"/>
    <xf numFmtId="7" fontId="16" fillId="0" borderId="0" xfId="0" applyNumberFormat="1" applyFont="1" applyBorder="1"/>
    <xf numFmtId="0" fontId="18" fillId="0" borderId="0" xfId="0" applyFont="1" applyFill="1" applyBorder="1"/>
    <xf numFmtId="0" fontId="16" fillId="0" borderId="8" xfId="0" applyFont="1" applyBorder="1"/>
    <xf numFmtId="37" fontId="16" fillId="0" borderId="8" xfId="0" applyNumberFormat="1" applyFont="1" applyBorder="1"/>
    <xf numFmtId="0" fontId="17" fillId="0" borderId="0" xfId="0" applyFont="1" applyFill="1" applyAlignment="1">
      <alignment horizontal="center"/>
    </xf>
    <xf numFmtId="3" fontId="16" fillId="0" borderId="0" xfId="0" applyNumberFormat="1" applyFont="1" applyFill="1"/>
    <xf numFmtId="0" fontId="16" fillId="3" borderId="0" xfId="0" applyFont="1" applyFill="1"/>
    <xf numFmtId="3" fontId="16" fillId="3" borderId="0" xfId="0" applyNumberFormat="1" applyFont="1" applyFill="1" applyBorder="1"/>
    <xf numFmtId="3" fontId="16" fillId="0" borderId="0" xfId="0" applyNumberFormat="1" applyFont="1" applyFill="1" applyBorder="1"/>
    <xf numFmtId="0" fontId="18" fillId="0" borderId="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5" fontId="16" fillId="0" borderId="0" xfId="0" applyNumberFormat="1" applyFont="1" applyFill="1"/>
    <xf numFmtId="5" fontId="16" fillId="0" borderId="0" xfId="0" applyNumberFormat="1" applyFont="1"/>
    <xf numFmtId="7" fontId="16" fillId="0" borderId="0" xfId="0" applyNumberFormat="1" applyFont="1"/>
    <xf numFmtId="0" fontId="22" fillId="0" borderId="0" xfId="0" applyFont="1"/>
    <xf numFmtId="42" fontId="22" fillId="0" borderId="0" xfId="0" applyNumberFormat="1" applyFont="1"/>
    <xf numFmtId="0" fontId="22" fillId="0" borderId="0" xfId="0" applyFont="1" applyBorder="1"/>
    <xf numFmtId="37" fontId="18" fillId="0" borderId="0" xfId="0" applyNumberFormat="1" applyFont="1" applyAlignment="1">
      <alignment horizontal="center"/>
    </xf>
    <xf numFmtId="10" fontId="16" fillId="0" borderId="0" xfId="0" applyNumberFormat="1" applyFont="1" applyFill="1"/>
    <xf numFmtId="10" fontId="16" fillId="0" borderId="0" xfId="0" applyNumberFormat="1" applyFont="1"/>
    <xf numFmtId="10" fontId="16" fillId="0" borderId="0" xfId="0" applyNumberFormat="1" applyFont="1" applyBorder="1"/>
    <xf numFmtId="42" fontId="16" fillId="0" borderId="0" xfId="0" applyNumberFormat="1" applyFont="1"/>
    <xf numFmtId="37" fontId="16" fillId="0" borderId="0" xfId="0" applyNumberFormat="1" applyFont="1" applyBorder="1" applyAlignment="1">
      <alignment horizontal="right"/>
    </xf>
    <xf numFmtId="0" fontId="18" fillId="0" borderId="0" xfId="0" applyFont="1" applyFill="1"/>
    <xf numFmtId="164" fontId="16" fillId="0" borderId="0" xfId="1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170" fontId="16" fillId="0" borderId="0" xfId="0" applyNumberFormat="1" applyFont="1"/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/>
    <xf numFmtId="37" fontId="16" fillId="0" borderId="0" xfId="0" applyNumberFormat="1" applyFont="1" applyBorder="1" applyAlignment="1">
      <alignment horizontal="centerContinuous"/>
    </xf>
    <xf numFmtId="0" fontId="16" fillId="0" borderId="5" xfId="0" applyFont="1" applyBorder="1" applyAlignment="1">
      <alignment horizontal="center"/>
    </xf>
    <xf numFmtId="37" fontId="16" fillId="0" borderId="5" xfId="0" applyNumberFormat="1" applyFont="1" applyBorder="1" applyAlignment="1">
      <alignment horizontal="center"/>
    </xf>
    <xf numFmtId="0" fontId="16" fillId="0" borderId="4" xfId="0" applyFont="1" applyBorder="1"/>
    <xf numFmtId="170" fontId="16" fillId="0" borderId="4" xfId="6" applyNumberFormat="1" applyFont="1" applyBorder="1"/>
    <xf numFmtId="37" fontId="16" fillId="0" borderId="1" xfId="0" applyNumberFormat="1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0" xfId="0" applyNumberFormat="1" applyFont="1" applyFill="1" applyAlignment="1">
      <alignment horizontal="right"/>
    </xf>
    <xf numFmtId="5" fontId="16" fillId="0" borderId="0" xfId="0" applyNumberFormat="1" applyFont="1" applyFill="1" applyAlignment="1">
      <alignment horizontal="right"/>
    </xf>
    <xf numFmtId="0" fontId="16" fillId="0" borderId="0" xfId="0" applyFont="1" applyBorder="1" applyAlignment="1">
      <alignment horizontal="right"/>
    </xf>
    <xf numFmtId="37" fontId="16" fillId="0" borderId="6" xfId="0" applyNumberFormat="1" applyFont="1" applyFill="1" applyBorder="1"/>
    <xf numFmtId="0" fontId="16" fillId="0" borderId="6" xfId="0" applyFont="1" applyBorder="1" applyAlignment="1">
      <alignment horizontal="center"/>
    </xf>
    <xf numFmtId="37" fontId="16" fillId="0" borderId="0" xfId="0" applyNumberFormat="1" applyFont="1" applyBorder="1" applyAlignment="1"/>
    <xf numFmtId="5" fontId="18" fillId="0" borderId="0" xfId="0" applyNumberFormat="1" applyFont="1" applyBorder="1" applyAlignment="1">
      <alignment horizontal="right"/>
    </xf>
    <xf numFmtId="39" fontId="16" fillId="0" borderId="0" xfId="0" applyNumberFormat="1" applyFont="1" applyBorder="1" applyAlignment="1">
      <alignment horizontal="right"/>
    </xf>
    <xf numFmtId="44" fontId="16" fillId="0" borderId="0" xfId="0" applyNumberFormat="1" applyFont="1" applyBorder="1" applyAlignment="1">
      <alignment horizontal="right"/>
    </xf>
    <xf numFmtId="37" fontId="16" fillId="3" borderId="0" xfId="0" applyNumberFormat="1" applyFont="1" applyFill="1" applyBorder="1" applyAlignment="1">
      <alignment horizontal="right"/>
    </xf>
    <xf numFmtId="0" fontId="16" fillId="0" borderId="0" xfId="0" applyFont="1" applyBorder="1" applyAlignment="1"/>
    <xf numFmtId="0" fontId="16" fillId="0" borderId="1" xfId="0" applyFont="1" applyBorder="1" applyAlignment="1"/>
    <xf numFmtId="5" fontId="16" fillId="0" borderId="0" xfId="0" applyNumberFormat="1" applyFont="1" applyFill="1" applyBorder="1" applyAlignment="1"/>
    <xf numFmtId="37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6" fontId="1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Continuous"/>
    </xf>
    <xf numFmtId="10" fontId="16" fillId="0" borderId="0" xfId="18" applyNumberFormat="1" applyFont="1"/>
    <xf numFmtId="37" fontId="18" fillId="0" borderId="0" xfId="0" applyNumberFormat="1" applyFont="1"/>
    <xf numFmtId="43" fontId="16" fillId="0" borderId="0" xfId="0" applyNumberFormat="1" applyFont="1"/>
    <xf numFmtId="164" fontId="18" fillId="0" borderId="0" xfId="0" applyNumberFormat="1" applyFont="1"/>
    <xf numFmtId="5" fontId="16" fillId="0" borderId="4" xfId="0" applyNumberFormat="1" applyFont="1" applyFill="1" applyBorder="1" applyAlignment="1">
      <alignment horizontal="right" vertical="top"/>
    </xf>
    <xf numFmtId="37" fontId="16" fillId="0" borderId="18" xfId="0" applyNumberFormat="1" applyFont="1" applyBorder="1" applyAlignment="1">
      <alignment horizontal="right" vertical="top"/>
    </xf>
    <xf numFmtId="42" fontId="16" fillId="0" borderId="0" xfId="0" applyNumberFormat="1" applyFont="1" applyFill="1"/>
    <xf numFmtId="39" fontId="16" fillId="0" borderId="0" xfId="0" applyNumberFormat="1" applyFont="1" applyFill="1" applyBorder="1" applyAlignment="1"/>
    <xf numFmtId="37" fontId="16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16" fillId="0" borderId="0" xfId="0" applyNumberFormat="1" applyFont="1"/>
    <xf numFmtId="37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176" fontId="16" fillId="0" borderId="0" xfId="0" applyNumberFormat="1" applyFont="1"/>
    <xf numFmtId="0" fontId="18" fillId="0" borderId="0" xfId="0" applyFont="1" applyFill="1" applyBorder="1" applyAlignment="1">
      <alignment horizontal="left"/>
    </xf>
    <xf numFmtId="164" fontId="16" fillId="0" borderId="0" xfId="1" applyNumberFormat="1" applyFont="1" applyFill="1" applyBorder="1"/>
    <xf numFmtId="43" fontId="16" fillId="0" borderId="0" xfId="1" applyNumberFormat="1" applyFont="1" applyFill="1" applyBorder="1"/>
    <xf numFmtId="177" fontId="16" fillId="0" borderId="0" xfId="0" applyNumberFormat="1" applyFont="1" applyFill="1" applyBorder="1"/>
    <xf numFmtId="43" fontId="16" fillId="0" borderId="0" xfId="1" applyFont="1" applyBorder="1"/>
    <xf numFmtId="42" fontId="16" fillId="0" borderId="0" xfId="0" quotePrefix="1" applyNumberFormat="1" applyFont="1" applyFill="1" applyBorder="1" applyAlignment="1">
      <alignment horizontal="right" vertical="top"/>
    </xf>
    <xf numFmtId="42" fontId="16" fillId="0" borderId="18" xfId="0" applyNumberFormat="1" applyFont="1" applyFill="1" applyBorder="1" applyAlignment="1">
      <alignment horizontal="right" vertical="top"/>
    </xf>
    <xf numFmtId="42" fontId="16" fillId="0" borderId="4" xfId="0" applyNumberFormat="1" applyFont="1" applyFill="1" applyBorder="1" applyAlignment="1">
      <alignment horizontal="right" vertical="top"/>
    </xf>
    <xf numFmtId="5" fontId="22" fillId="0" borderId="0" xfId="0" applyNumberFormat="1" applyFont="1"/>
    <xf numFmtId="6" fontId="16" fillId="0" borderId="0" xfId="0" applyNumberFormat="1" applyFont="1" applyBorder="1" applyAlignment="1"/>
    <xf numFmtId="4" fontId="3" fillId="0" borderId="0" xfId="23" applyNumberFormat="1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166" fontId="16" fillId="0" borderId="0" xfId="0" applyNumberFormat="1" applyFont="1" applyFill="1"/>
    <xf numFmtId="164" fontId="8" fillId="0" borderId="0" xfId="0" applyNumberFormat="1" applyFont="1"/>
    <xf numFmtId="178" fontId="16" fillId="0" borderId="0" xfId="1" applyNumberFormat="1" applyFont="1"/>
    <xf numFmtId="168" fontId="16" fillId="0" borderId="0" xfId="0" applyNumberFormat="1" applyFont="1" applyFill="1" applyBorder="1" applyAlignment="1">
      <alignment horizontal="right"/>
    </xf>
    <xf numFmtId="43" fontId="16" fillId="3" borderId="0" xfId="0" applyNumberFormat="1" applyFont="1" applyFill="1" applyBorder="1" applyAlignment="1">
      <alignment horizontal="right"/>
    </xf>
    <xf numFmtId="43" fontId="16" fillId="0" borderId="0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8" fillId="0" borderId="5" xfId="0" applyNumberFormat="1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37" fontId="18" fillId="0" borderId="0" xfId="0" applyNumberFormat="1" applyFont="1" applyBorder="1" applyAlignment="1">
      <alignment horizontal="center" wrapText="1"/>
    </xf>
    <xf numFmtId="37" fontId="18" fillId="0" borderId="1" xfId="0" applyNumberFormat="1" applyFont="1" applyFill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0" xfId="23" applyNumberFormat="1" applyFont="1" applyAlignment="1">
      <alignment horizontal="center" wrapText="1"/>
    </xf>
    <xf numFmtId="3" fontId="14" fillId="0" borderId="0" xfId="23" applyNumberFormat="1" applyFont="1" applyFill="1" applyAlignment="1">
      <alignment horizontal="center"/>
    </xf>
  </cellXfs>
  <cellStyles count="26">
    <cellStyle name="Comma" xfId="1" builtinId="3"/>
    <cellStyle name="Comma 2" xfId="2"/>
    <cellStyle name="Comma 2 2" xfId="3"/>
    <cellStyle name="Comma 3" xfId="4"/>
    <cellStyle name="Comma 4" xfId="5"/>
    <cellStyle name="Currency" xfId="6" builtinId="4"/>
    <cellStyle name="Currency 2" xfId="7"/>
    <cellStyle name="Normal" xfId="0" builtinId="0"/>
    <cellStyle name="Normal 10" xfId="23"/>
    <cellStyle name="Normal 2" xfId="8"/>
    <cellStyle name="Normal 2 2" xfId="9"/>
    <cellStyle name="Normal 2_Aqua Revenue" xfId="10"/>
    <cellStyle name="Normal 3" xfId="11"/>
    <cellStyle name="Normal 4" xfId="12"/>
    <cellStyle name="Normal 5" xfId="13"/>
    <cellStyle name="Normal 6" xfId="14"/>
    <cellStyle name="Normal 7" xfId="15"/>
    <cellStyle name="Normal 8" xfId="19"/>
    <cellStyle name="Normal 9" xfId="22"/>
    <cellStyle name="Normal_revenue detail model v2.0" xfId="25"/>
    <cellStyle name="Note 2" xfId="21"/>
    <cellStyle name="Percent" xfId="18" builtinId="5"/>
    <cellStyle name="Percent 2" xfId="16"/>
    <cellStyle name="Percent 3" xfId="17"/>
    <cellStyle name="Percent 4" xfId="20"/>
    <cellStyle name="Percent 5" xfId="24"/>
  </cellStyles>
  <dxfs count="0"/>
  <tableStyles count="0" defaultTableStyle="TableStyleMedium9" defaultPivotStyle="PivotStyleLight16"/>
  <colors>
    <mruColors>
      <color rgb="FF00FF00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Bill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a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Other%20Operating%20Revenu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%20Exhibi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Exhibit%2037%20(I-2),(I-3),(I-4),(I-5)%20W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1">
          <cell r="C11" t="str">
            <v>Case No. 2018-00358</v>
          </cell>
        </row>
        <row r="15">
          <cell r="C15" t="str">
            <v>Base Year for the 12 Months Ended February 28, 2019</v>
          </cell>
        </row>
        <row r="17">
          <cell r="C17" t="str">
            <v>Forecast Year for the 12 Months Ended June 30, 2020</v>
          </cell>
        </row>
        <row r="39">
          <cell r="C39" t="str">
            <v>Witness Responsible:   Melissa Schwarzell</v>
          </cell>
        </row>
      </sheetData>
      <sheetData sheetId="1">
        <row r="21">
          <cell r="F21" t="str">
            <v>W/P - 1-10</v>
          </cell>
        </row>
      </sheetData>
      <sheetData sheetId="2">
        <row r="5">
          <cell r="A5" t="str">
            <v>Type of Filing: __X__ Original  _____ Updated  _____ Revised</v>
          </cell>
        </row>
        <row r="116">
          <cell r="M116" t="str">
            <v>Schedule M-3</v>
          </cell>
        </row>
        <row r="119">
          <cell r="M119" t="str">
            <v>Schedule N-3</v>
          </cell>
        </row>
      </sheetData>
      <sheetData sheetId="3">
        <row r="6">
          <cell r="A6" t="str">
            <v>Line</v>
          </cell>
        </row>
      </sheetData>
      <sheetData sheetId="4">
        <row r="5">
          <cell r="C5" t="str">
            <v>Account</v>
          </cell>
        </row>
      </sheetData>
      <sheetData sheetId="5"/>
      <sheetData sheetId="6"/>
      <sheetData sheetId="7">
        <row r="16">
          <cell r="E16">
            <v>2520765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</sheetNames>
    <sheetDataSet>
      <sheetData sheetId="0">
        <row r="248">
          <cell r="B248" t="str">
            <v>Yes</v>
          </cell>
        </row>
      </sheetData>
      <sheetData sheetId="1">
        <row r="28">
          <cell r="C28">
            <v>1404177.0268470095</v>
          </cell>
          <cell r="E28">
            <v>12.49</v>
          </cell>
          <cell r="I28">
            <v>1419565</v>
          </cell>
        </row>
        <row r="29">
          <cell r="C29">
            <v>4.4002134471718248</v>
          </cell>
          <cell r="E29">
            <v>18.739999999999998</v>
          </cell>
          <cell r="I29">
            <v>0</v>
          </cell>
        </row>
        <row r="30">
          <cell r="C30">
            <v>23799.503682356706</v>
          </cell>
          <cell r="E30">
            <v>31.23</v>
          </cell>
          <cell r="I30">
            <v>24807</v>
          </cell>
        </row>
        <row r="31">
          <cell r="C31">
            <v>156.07125700560448</v>
          </cell>
          <cell r="E31">
            <v>62.45</v>
          </cell>
          <cell r="I31">
            <v>156</v>
          </cell>
        </row>
        <row r="32">
          <cell r="C32">
            <v>1414.7951361088872</v>
          </cell>
          <cell r="E32">
            <v>99.92</v>
          </cell>
          <cell r="I32">
            <v>1404</v>
          </cell>
        </row>
        <row r="33">
          <cell r="C33">
            <v>0</v>
          </cell>
          <cell r="E33">
            <v>187.35</v>
          </cell>
          <cell r="I33">
            <v>0</v>
          </cell>
        </row>
        <row r="34">
          <cell r="C34">
            <v>0</v>
          </cell>
          <cell r="E34">
            <v>312.25</v>
          </cell>
          <cell r="I34">
            <v>0</v>
          </cell>
        </row>
        <row r="35">
          <cell r="C35">
            <v>36</v>
          </cell>
          <cell r="E35">
            <v>624.5</v>
          </cell>
          <cell r="I35">
            <v>36</v>
          </cell>
        </row>
        <row r="36">
          <cell r="C36">
            <v>12</v>
          </cell>
          <cell r="E36">
            <v>999.2</v>
          </cell>
          <cell r="I36">
            <v>12</v>
          </cell>
        </row>
        <row r="38">
          <cell r="C38">
            <v>1429599.7971359282</v>
          </cell>
          <cell r="I38">
            <v>1445980</v>
          </cell>
        </row>
        <row r="42">
          <cell r="C42">
            <v>5581622.9224405708</v>
          </cell>
          <cell r="E42">
            <v>5.5475421736973445</v>
          </cell>
          <cell r="I42">
            <v>5594439.0873605534</v>
          </cell>
          <cell r="K42">
            <v>5.0589999999999993</v>
          </cell>
        </row>
        <row r="43">
          <cell r="C43">
            <v>0</v>
          </cell>
          <cell r="I43">
            <v>0</v>
          </cell>
        </row>
        <row r="44">
          <cell r="C44">
            <v>0</v>
          </cell>
          <cell r="I44">
            <v>0</v>
          </cell>
        </row>
        <row r="45">
          <cell r="C45">
            <v>0</v>
          </cell>
          <cell r="I45">
            <v>0</v>
          </cell>
        </row>
        <row r="46">
          <cell r="C46">
            <v>0</v>
          </cell>
          <cell r="I46">
            <v>0</v>
          </cell>
        </row>
        <row r="47">
          <cell r="C47">
            <v>0</v>
          </cell>
          <cell r="I47">
            <v>0</v>
          </cell>
        </row>
        <row r="48">
          <cell r="C48">
            <v>26247.781241624616</v>
          </cell>
          <cell r="G48">
            <v>4708.1456821875472</v>
          </cell>
          <cell r="I48">
            <v>0</v>
          </cell>
          <cell r="M48">
            <v>0</v>
          </cell>
        </row>
        <row r="49">
          <cell r="C49">
            <v>5607870.7036821954</v>
          </cell>
          <cell r="I49">
            <v>5594439.0873605534</v>
          </cell>
        </row>
        <row r="63">
          <cell r="C63">
            <v>55177.624635878907</v>
          </cell>
          <cell r="E63">
            <v>13.63</v>
          </cell>
          <cell r="I63">
            <v>54975</v>
          </cell>
        </row>
        <row r="64">
          <cell r="C64">
            <v>0</v>
          </cell>
          <cell r="E64">
            <v>20.46</v>
          </cell>
          <cell r="I64">
            <v>0</v>
          </cell>
        </row>
        <row r="65">
          <cell r="C65">
            <v>29048.959495157029</v>
          </cell>
          <cell r="E65">
            <v>34.07</v>
          </cell>
          <cell r="I65">
            <v>29094</v>
          </cell>
        </row>
        <row r="66">
          <cell r="C66">
            <v>2127.6661287956576</v>
          </cell>
          <cell r="E66">
            <v>68.17</v>
          </cell>
          <cell r="I66">
            <v>2112</v>
          </cell>
        </row>
        <row r="67">
          <cell r="C67">
            <v>23919.648922953478</v>
          </cell>
          <cell r="E67">
            <v>109.04</v>
          </cell>
          <cell r="I67">
            <v>23968</v>
          </cell>
        </row>
        <row r="68">
          <cell r="C68">
            <v>12</v>
          </cell>
          <cell r="E68">
            <v>204.47</v>
          </cell>
          <cell r="I68">
            <v>12</v>
          </cell>
        </row>
        <row r="69">
          <cell r="C69">
            <v>361.59177744519764</v>
          </cell>
          <cell r="E69">
            <v>340.77</v>
          </cell>
          <cell r="I69">
            <v>360</v>
          </cell>
        </row>
        <row r="70">
          <cell r="C70">
            <v>171.38083639031549</v>
          </cell>
          <cell r="E70">
            <v>681.5</v>
          </cell>
          <cell r="I70">
            <v>168</v>
          </cell>
        </row>
        <row r="71">
          <cell r="C71">
            <v>131.7232850330154</v>
          </cell>
          <cell r="E71">
            <v>1090.4000000000001</v>
          </cell>
          <cell r="I71">
            <v>132</v>
          </cell>
        </row>
        <row r="73">
          <cell r="C73">
            <v>110950.59508165361</v>
          </cell>
          <cell r="I73">
            <v>110821</v>
          </cell>
        </row>
        <row r="77">
          <cell r="C77">
            <v>3746367.6323469798</v>
          </cell>
          <cell r="E77">
            <v>4.762811346704912</v>
          </cell>
          <cell r="I77">
            <v>3796367.1663238001</v>
          </cell>
          <cell r="K77">
            <v>4.4119999999999999</v>
          </cell>
        </row>
        <row r="78">
          <cell r="C78">
            <v>0</v>
          </cell>
          <cell r="I78">
            <v>0</v>
          </cell>
        </row>
        <row r="79">
          <cell r="C79">
            <v>0</v>
          </cell>
          <cell r="I79">
            <v>0</v>
          </cell>
        </row>
        <row r="80">
          <cell r="C80">
            <v>0</v>
          </cell>
          <cell r="I80">
            <v>0</v>
          </cell>
        </row>
        <row r="81">
          <cell r="C81">
            <v>0</v>
          </cell>
          <cell r="I81">
            <v>0</v>
          </cell>
        </row>
        <row r="82">
          <cell r="C82">
            <v>0</v>
          </cell>
          <cell r="I82">
            <v>0</v>
          </cell>
        </row>
        <row r="83">
          <cell r="C83">
            <v>1456.0660349265672</v>
          </cell>
          <cell r="G83">
            <v>-48418.300319119357</v>
          </cell>
          <cell r="I83">
            <v>0</v>
          </cell>
          <cell r="M83">
            <v>0</v>
          </cell>
        </row>
        <row r="84">
          <cell r="I84">
            <v>3796367.1663238001</v>
          </cell>
        </row>
        <row r="98">
          <cell r="C98">
            <v>77</v>
          </cell>
          <cell r="E98">
            <v>13.63</v>
          </cell>
          <cell r="I98">
            <v>72</v>
          </cell>
        </row>
        <row r="99">
          <cell r="C99">
            <v>0</v>
          </cell>
          <cell r="E99">
            <v>20.46</v>
          </cell>
          <cell r="I99">
            <v>0</v>
          </cell>
        </row>
        <row r="100">
          <cell r="C100">
            <v>48</v>
          </cell>
          <cell r="E100">
            <v>34.07</v>
          </cell>
          <cell r="I100">
            <v>48</v>
          </cell>
        </row>
        <row r="101">
          <cell r="C101">
            <v>24</v>
          </cell>
          <cell r="E101">
            <v>68.17</v>
          </cell>
          <cell r="I101">
            <v>24</v>
          </cell>
        </row>
        <row r="102">
          <cell r="C102">
            <v>263.82190022010275</v>
          </cell>
          <cell r="E102">
            <v>109.04</v>
          </cell>
          <cell r="I102">
            <v>264</v>
          </cell>
        </row>
        <row r="103">
          <cell r="C103">
            <v>0</v>
          </cell>
          <cell r="E103">
            <v>204.47</v>
          </cell>
          <cell r="I103">
            <v>0</v>
          </cell>
        </row>
        <row r="104">
          <cell r="C104">
            <v>120</v>
          </cell>
          <cell r="E104">
            <v>340.77</v>
          </cell>
          <cell r="I104">
            <v>120</v>
          </cell>
        </row>
        <row r="105">
          <cell r="C105">
            <v>108</v>
          </cell>
          <cell r="E105">
            <v>681.5</v>
          </cell>
          <cell r="I105">
            <v>108</v>
          </cell>
        </row>
        <row r="106">
          <cell r="C106">
            <v>0</v>
          </cell>
          <cell r="E106">
            <v>1090.4000000000001</v>
          </cell>
          <cell r="I106">
            <v>0</v>
          </cell>
        </row>
        <row r="108">
          <cell r="C108">
            <v>640.82190022010275</v>
          </cell>
          <cell r="I108">
            <v>636</v>
          </cell>
        </row>
        <row r="112">
          <cell r="C112">
            <v>651882.09211704892</v>
          </cell>
          <cell r="E112">
            <v>4.0890674815387182</v>
          </cell>
          <cell r="I112">
            <v>617725.2612666277</v>
          </cell>
          <cell r="K112">
            <v>3.8340000000000001</v>
          </cell>
        </row>
        <row r="113">
          <cell r="C113">
            <v>0</v>
          </cell>
          <cell r="I113">
            <v>0</v>
          </cell>
        </row>
        <row r="114">
          <cell r="C114">
            <v>0</v>
          </cell>
          <cell r="I114">
            <v>0</v>
          </cell>
        </row>
        <row r="115">
          <cell r="C115">
            <v>0</v>
          </cell>
          <cell r="I115">
            <v>0</v>
          </cell>
        </row>
        <row r="116">
          <cell r="C116">
            <v>0</v>
          </cell>
          <cell r="I116">
            <v>0</v>
          </cell>
        </row>
        <row r="117">
          <cell r="C117">
            <v>0</v>
          </cell>
          <cell r="I117">
            <v>0</v>
          </cell>
        </row>
        <row r="118">
          <cell r="C118">
            <v>0</v>
          </cell>
          <cell r="G118">
            <v>41.542676825309172</v>
          </cell>
          <cell r="I118">
            <v>0</v>
          </cell>
          <cell r="M118">
            <v>0</v>
          </cell>
        </row>
        <row r="119">
          <cell r="C119">
            <v>651882.09211704892</v>
          </cell>
          <cell r="I119">
            <v>617725.2612666277</v>
          </cell>
        </row>
        <row r="133">
          <cell r="C133">
            <v>1581.8793094637117</v>
          </cell>
          <cell r="E133">
            <v>13.63</v>
          </cell>
          <cell r="I133">
            <v>1500</v>
          </cell>
        </row>
        <row r="134">
          <cell r="C134">
            <v>0</v>
          </cell>
          <cell r="E134">
            <v>20.46</v>
          </cell>
          <cell r="I134">
            <v>0</v>
          </cell>
        </row>
        <row r="135">
          <cell r="C135">
            <v>2128.4141473437039</v>
          </cell>
          <cell r="E135">
            <v>34.07</v>
          </cell>
          <cell r="I135">
            <v>2184</v>
          </cell>
        </row>
        <row r="136">
          <cell r="C136">
            <v>355.03828663635034</v>
          </cell>
          <cell r="E136">
            <v>68.17</v>
          </cell>
          <cell r="I136">
            <v>384</v>
          </cell>
        </row>
        <row r="137">
          <cell r="C137">
            <v>4705.4821839863671</v>
          </cell>
          <cell r="E137">
            <v>109.04</v>
          </cell>
          <cell r="I137">
            <v>4860</v>
          </cell>
        </row>
        <row r="138">
          <cell r="C138">
            <v>12</v>
          </cell>
          <cell r="E138">
            <v>204.47</v>
          </cell>
          <cell r="I138">
            <v>12</v>
          </cell>
        </row>
        <row r="139">
          <cell r="C139">
            <v>525.82190333656126</v>
          </cell>
          <cell r="E139">
            <v>340.77</v>
          </cell>
          <cell r="I139">
            <v>540</v>
          </cell>
        </row>
        <row r="140">
          <cell r="C140">
            <v>146</v>
          </cell>
          <cell r="E140">
            <v>681.5</v>
          </cell>
          <cell r="I140">
            <v>168</v>
          </cell>
        </row>
        <row r="141">
          <cell r="C141">
            <v>24</v>
          </cell>
          <cell r="E141">
            <v>1090.4000000000001</v>
          </cell>
          <cell r="I141">
            <v>24</v>
          </cell>
        </row>
        <row r="143">
          <cell r="C143">
            <v>9478.6358307666924</v>
          </cell>
          <cell r="I143">
            <v>9672</v>
          </cell>
        </row>
        <row r="147">
          <cell r="C147">
            <v>1120134.9367899653</v>
          </cell>
          <cell r="E147">
            <v>4.3466219734038738</v>
          </cell>
          <cell r="I147">
            <v>1165871.6583333332</v>
          </cell>
          <cell r="K147">
            <v>4.0529999999999999</v>
          </cell>
        </row>
        <row r="148">
          <cell r="C148">
            <v>0</v>
          </cell>
          <cell r="I148">
            <v>0</v>
          </cell>
        </row>
        <row r="149">
          <cell r="C149">
            <v>0</v>
          </cell>
          <cell r="I149">
            <v>0</v>
          </cell>
        </row>
        <row r="150">
          <cell r="C150">
            <v>0</v>
          </cell>
          <cell r="I150">
            <v>0</v>
          </cell>
        </row>
        <row r="151">
          <cell r="C151">
            <v>0</v>
          </cell>
          <cell r="I151">
            <v>0</v>
          </cell>
        </row>
        <row r="152">
          <cell r="C152">
            <v>0</v>
          </cell>
          <cell r="I152">
            <v>0</v>
          </cell>
        </row>
        <row r="153">
          <cell r="C153">
            <v>-232.11353723378852</v>
          </cell>
          <cell r="G153">
            <v>-21853.390700165764</v>
          </cell>
          <cell r="I153">
            <v>0</v>
          </cell>
          <cell r="M153">
            <v>0</v>
          </cell>
        </row>
        <row r="154">
          <cell r="C154">
            <v>1119902.8232527315</v>
          </cell>
          <cell r="I154">
            <v>1165871.6583333332</v>
          </cell>
        </row>
        <row r="168">
          <cell r="C168">
            <v>0</v>
          </cell>
          <cell r="E168">
            <v>13.63</v>
          </cell>
          <cell r="I168">
            <v>0</v>
          </cell>
        </row>
        <row r="169">
          <cell r="C169">
            <v>0</v>
          </cell>
          <cell r="E169">
            <v>20.46</v>
          </cell>
          <cell r="I169">
            <v>0</v>
          </cell>
        </row>
        <row r="170">
          <cell r="C170">
            <v>0</v>
          </cell>
          <cell r="E170">
            <v>34.07</v>
          </cell>
          <cell r="I170">
            <v>0</v>
          </cell>
        </row>
        <row r="171">
          <cell r="C171">
            <v>54</v>
          </cell>
          <cell r="E171">
            <v>68.17</v>
          </cell>
          <cell r="I171">
            <v>60</v>
          </cell>
        </row>
        <row r="172">
          <cell r="C172">
            <v>57.63563829787234</v>
          </cell>
          <cell r="E172">
            <v>109.04</v>
          </cell>
          <cell r="I172">
            <v>60</v>
          </cell>
        </row>
        <row r="173">
          <cell r="C173">
            <v>0</v>
          </cell>
          <cell r="E173">
            <v>204.47</v>
          </cell>
          <cell r="I173">
            <v>0</v>
          </cell>
        </row>
        <row r="174">
          <cell r="C174">
            <v>54.032866742964465</v>
          </cell>
          <cell r="E174">
            <v>340.77</v>
          </cell>
          <cell r="I174">
            <v>72</v>
          </cell>
        </row>
        <row r="175">
          <cell r="C175">
            <v>49.178576669112253</v>
          </cell>
          <cell r="E175">
            <v>681.5</v>
          </cell>
          <cell r="I175">
            <v>48</v>
          </cell>
        </row>
        <row r="176">
          <cell r="C176">
            <v>0</v>
          </cell>
          <cell r="E176">
            <v>1090.4000000000001</v>
          </cell>
          <cell r="I176">
            <v>0</v>
          </cell>
        </row>
        <row r="178">
          <cell r="C178">
            <v>214.84708170994907</v>
          </cell>
          <cell r="I178">
            <v>240</v>
          </cell>
        </row>
        <row r="182">
          <cell r="C182">
            <v>437974.80628075969</v>
          </cell>
          <cell r="E182">
            <v>4.0915220560391719</v>
          </cell>
          <cell r="I182">
            <v>443019.7</v>
          </cell>
          <cell r="K182">
            <v>3.8370000000000002</v>
          </cell>
        </row>
        <row r="183">
          <cell r="I183">
            <v>0</v>
          </cell>
        </row>
        <row r="184">
          <cell r="C184">
            <v>0</v>
          </cell>
          <cell r="I184">
            <v>0</v>
          </cell>
        </row>
        <row r="185">
          <cell r="C185">
            <v>0</v>
          </cell>
          <cell r="I185">
            <v>0</v>
          </cell>
        </row>
        <row r="186">
          <cell r="C186">
            <v>0</v>
          </cell>
          <cell r="I186">
            <v>0</v>
          </cell>
        </row>
        <row r="188">
          <cell r="C188">
            <v>0</v>
          </cell>
          <cell r="G188">
            <v>5654.0612980101414</v>
          </cell>
          <cell r="I188">
            <v>0</v>
          </cell>
          <cell r="M188">
            <v>0</v>
          </cell>
        </row>
        <row r="189">
          <cell r="I189">
            <v>443019.7</v>
          </cell>
        </row>
        <row r="191">
          <cell r="G191">
            <v>15095.53</v>
          </cell>
        </row>
        <row r="192">
          <cell r="C192">
            <v>10298.8313149767</v>
          </cell>
          <cell r="E192">
            <v>2.25</v>
          </cell>
          <cell r="I192">
            <v>10491.362000000001</v>
          </cell>
        </row>
        <row r="204">
          <cell r="C204">
            <v>14850.901341356399</v>
          </cell>
          <cell r="E204">
            <v>75.326310119963907</v>
          </cell>
          <cell r="I204">
            <v>14880</v>
          </cell>
          <cell r="K204">
            <v>70.900000000000006</v>
          </cell>
        </row>
        <row r="205">
          <cell r="C205">
            <v>879</v>
          </cell>
          <cell r="E205">
            <v>8.607815699658703</v>
          </cell>
          <cell r="I205">
            <v>900</v>
          </cell>
          <cell r="K205">
            <v>8.11</v>
          </cell>
        </row>
        <row r="206">
          <cell r="C206">
            <v>5508.0854189336242</v>
          </cell>
          <cell r="E206">
            <v>34.625926341738584</v>
          </cell>
          <cell r="I206">
            <v>5748</v>
          </cell>
          <cell r="K206">
            <v>32.67</v>
          </cell>
        </row>
        <row r="207">
          <cell r="C207">
            <v>11472.50701499758</v>
          </cell>
          <cell r="E207">
            <v>78.027527795779562</v>
          </cell>
          <cell r="I207">
            <v>11616</v>
          </cell>
          <cell r="K207">
            <v>73.489999999999995</v>
          </cell>
        </row>
        <row r="208">
          <cell r="C208">
            <v>3803.8438563069803</v>
          </cell>
          <cell r="E208">
            <v>138.73234284446713</v>
          </cell>
          <cell r="I208">
            <v>3840</v>
          </cell>
          <cell r="K208">
            <v>130.63999999999999</v>
          </cell>
        </row>
        <row r="209">
          <cell r="C209">
            <v>152</v>
          </cell>
          <cell r="E209">
            <v>216.61394736842104</v>
          </cell>
          <cell r="I209">
            <v>156</v>
          </cell>
          <cell r="K209">
            <v>204.18</v>
          </cell>
        </row>
        <row r="210">
          <cell r="C210">
            <v>72</v>
          </cell>
          <cell r="E210">
            <v>312.84500000000003</v>
          </cell>
          <cell r="I210">
            <v>72</v>
          </cell>
          <cell r="K210">
            <v>294.43</v>
          </cell>
        </row>
        <row r="211">
          <cell r="C211">
            <v>0</v>
          </cell>
          <cell r="E211">
            <v>0</v>
          </cell>
          <cell r="I211">
            <v>0</v>
          </cell>
          <cell r="K211">
            <v>423.96</v>
          </cell>
        </row>
        <row r="212">
          <cell r="C212">
            <v>12</v>
          </cell>
          <cell r="E212">
            <v>555.50999999999988</v>
          </cell>
          <cell r="I212">
            <v>12</v>
          </cell>
          <cell r="K212">
            <v>522.80999999999995</v>
          </cell>
        </row>
        <row r="214">
          <cell r="C214">
            <v>36750.337631594586</v>
          </cell>
          <cell r="I214">
            <v>37224</v>
          </cell>
        </row>
        <row r="217">
          <cell r="E217">
            <v>5.0952000000000002</v>
          </cell>
        </row>
        <row r="223">
          <cell r="C223">
            <v>-39.981720314033907</v>
          </cell>
          <cell r="G223">
            <v>-16491.003562943923</v>
          </cell>
        </row>
        <row r="233">
          <cell r="C233">
            <v>90026</v>
          </cell>
          <cell r="E233">
            <v>42.290053095772315</v>
          </cell>
          <cell r="I233">
            <v>90024</v>
          </cell>
          <cell r="K233">
            <v>39.9</v>
          </cell>
          <cell r="M233">
            <v>3591957.6</v>
          </cell>
        </row>
        <row r="238">
          <cell r="G238">
            <v>0</v>
          </cell>
          <cell r="M238">
            <v>0</v>
          </cell>
        </row>
        <row r="250">
          <cell r="C250">
            <v>28.104181951577402</v>
          </cell>
          <cell r="E250">
            <v>13.63</v>
          </cell>
          <cell r="I250">
            <v>48</v>
          </cell>
        </row>
        <row r="251">
          <cell r="C251">
            <v>0</v>
          </cell>
          <cell r="E251">
            <v>20.46</v>
          </cell>
          <cell r="I251">
            <v>0</v>
          </cell>
        </row>
        <row r="252">
          <cell r="C252">
            <v>262.11535074845904</v>
          </cell>
          <cell r="E252">
            <v>34.07</v>
          </cell>
          <cell r="I252">
            <v>288</v>
          </cell>
        </row>
        <row r="253">
          <cell r="C253">
            <v>0</v>
          </cell>
          <cell r="E253">
            <v>68.17</v>
          </cell>
          <cell r="I253">
            <v>0</v>
          </cell>
        </row>
        <row r="254">
          <cell r="C254">
            <v>0</v>
          </cell>
          <cell r="E254">
            <v>109.04</v>
          </cell>
          <cell r="I254">
            <v>0</v>
          </cell>
        </row>
        <row r="255">
          <cell r="C255">
            <v>177.32082946153469</v>
          </cell>
          <cell r="E255">
            <v>204.47</v>
          </cell>
          <cell r="I255">
            <v>192</v>
          </cell>
        </row>
        <row r="256">
          <cell r="C256">
            <v>0</v>
          </cell>
          <cell r="E256">
            <v>340.77</v>
          </cell>
          <cell r="I256">
            <v>0</v>
          </cell>
        </row>
        <row r="257">
          <cell r="C257">
            <v>0</v>
          </cell>
          <cell r="E257">
            <v>681.5</v>
          </cell>
          <cell r="I257">
            <v>0</v>
          </cell>
        </row>
        <row r="258">
          <cell r="C258">
            <v>0</v>
          </cell>
          <cell r="E258">
            <v>1090.4000000000001</v>
          </cell>
          <cell r="I258">
            <v>0</v>
          </cell>
          <cell r="M258">
            <v>0</v>
          </cell>
        </row>
        <row r="264">
          <cell r="C264">
            <v>8171.195228010567</v>
          </cell>
          <cell r="E264">
            <v>4.2975187974351181</v>
          </cell>
          <cell r="I264">
            <v>3153.34584</v>
          </cell>
          <cell r="K264">
            <v>3.3479999999999999</v>
          </cell>
        </row>
        <row r="265">
          <cell r="C265">
            <v>0</v>
          </cell>
          <cell r="I265">
            <v>0</v>
          </cell>
        </row>
        <row r="266">
          <cell r="C266">
            <v>0</v>
          </cell>
          <cell r="I266">
            <v>0</v>
          </cell>
        </row>
        <row r="267">
          <cell r="C267">
            <v>0</v>
          </cell>
          <cell r="I267">
            <v>0</v>
          </cell>
        </row>
        <row r="268">
          <cell r="C268">
            <v>0</v>
          </cell>
          <cell r="I268">
            <v>0</v>
          </cell>
        </row>
        <row r="269">
          <cell r="C269">
            <v>0</v>
          </cell>
          <cell r="I269">
            <v>0</v>
          </cell>
        </row>
        <row r="270">
          <cell r="C270">
            <v>-2283.9556480105657</v>
          </cell>
          <cell r="G270">
            <v>10.414583952451721</v>
          </cell>
          <cell r="I270">
            <v>0</v>
          </cell>
        </row>
        <row r="285">
          <cell r="C285">
            <v>7206.3193069306926</v>
          </cell>
          <cell r="E285">
            <v>28.28</v>
          </cell>
          <cell r="I285">
            <v>7356</v>
          </cell>
        </row>
        <row r="286">
          <cell r="C286">
            <v>0</v>
          </cell>
          <cell r="I286">
            <v>0</v>
          </cell>
        </row>
        <row r="287">
          <cell r="C287">
            <v>0</v>
          </cell>
          <cell r="I287">
            <v>0</v>
          </cell>
        </row>
        <row r="288">
          <cell r="C288">
            <v>0</v>
          </cell>
          <cell r="I288">
            <v>0</v>
          </cell>
        </row>
        <row r="289">
          <cell r="C289">
            <v>0</v>
          </cell>
          <cell r="I289">
            <v>0</v>
          </cell>
        </row>
        <row r="290">
          <cell r="C290">
            <v>0</v>
          </cell>
          <cell r="I290">
            <v>0</v>
          </cell>
        </row>
        <row r="291">
          <cell r="C291">
            <v>0</v>
          </cell>
          <cell r="I291">
            <v>0</v>
          </cell>
        </row>
        <row r="292">
          <cell r="C292">
            <v>0</v>
          </cell>
          <cell r="I292">
            <v>0</v>
          </cell>
        </row>
        <row r="293">
          <cell r="C293">
            <v>0</v>
          </cell>
          <cell r="I293">
            <v>0</v>
          </cell>
        </row>
        <row r="295">
          <cell r="C295">
            <v>7206.3193069306926</v>
          </cell>
          <cell r="I295">
            <v>7356</v>
          </cell>
        </row>
        <row r="299">
          <cell r="C299">
            <v>10751.6</v>
          </cell>
          <cell r="E299">
            <v>0</v>
          </cell>
          <cell r="I299">
            <v>10751.599999999999</v>
          </cell>
          <cell r="K299">
            <v>0</v>
          </cell>
        </row>
        <row r="300">
          <cell r="C300">
            <v>8772.7198612315715</v>
          </cell>
          <cell r="E300">
            <v>11.53</v>
          </cell>
          <cell r="I300">
            <v>8772.7198612315715</v>
          </cell>
          <cell r="K300">
            <v>11.53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C305">
            <v>99.940069384207163</v>
          </cell>
          <cell r="G305">
            <v>-1048.9599999999987</v>
          </cell>
          <cell r="I305">
            <v>0</v>
          </cell>
        </row>
        <row r="306">
          <cell r="C306">
            <v>19624.259930615779</v>
          </cell>
          <cell r="I306">
            <v>19524.319861231568</v>
          </cell>
        </row>
        <row r="320">
          <cell r="C320">
            <v>230.82036775106081</v>
          </cell>
          <cell r="E320">
            <v>28.28</v>
          </cell>
          <cell r="I320">
            <v>264</v>
          </cell>
        </row>
        <row r="321">
          <cell r="C321">
            <v>0</v>
          </cell>
          <cell r="I321">
            <v>0</v>
          </cell>
        </row>
        <row r="322">
          <cell r="C322">
            <v>0</v>
          </cell>
          <cell r="I322">
            <v>0</v>
          </cell>
        </row>
        <row r="323">
          <cell r="C323">
            <v>0</v>
          </cell>
          <cell r="I323">
            <v>0</v>
          </cell>
        </row>
        <row r="324">
          <cell r="C324">
            <v>4.4333501711848236</v>
          </cell>
          <cell r="E324">
            <v>178.17</v>
          </cell>
          <cell r="I324">
            <v>0</v>
          </cell>
        </row>
        <row r="325">
          <cell r="C325">
            <v>0</v>
          </cell>
          <cell r="I325">
            <v>0</v>
          </cell>
        </row>
        <row r="326">
          <cell r="I326">
            <v>0</v>
          </cell>
        </row>
        <row r="327">
          <cell r="C327">
            <v>0</v>
          </cell>
          <cell r="I327">
            <v>0</v>
          </cell>
        </row>
        <row r="328">
          <cell r="C328">
            <v>0</v>
          </cell>
          <cell r="I328">
            <v>0</v>
          </cell>
        </row>
        <row r="330">
          <cell r="C330">
            <v>235.25371792224564</v>
          </cell>
          <cell r="I330">
            <v>264</v>
          </cell>
        </row>
        <row r="334">
          <cell r="C334">
            <v>444.40000000000015</v>
          </cell>
          <cell r="E334">
            <v>0</v>
          </cell>
          <cell r="I334">
            <v>444.4000000000002</v>
          </cell>
          <cell r="K334">
            <v>0</v>
          </cell>
        </row>
        <row r="335">
          <cell r="C335">
            <v>243.98612315698173</v>
          </cell>
          <cell r="E335">
            <v>11.53</v>
          </cell>
          <cell r="I335">
            <v>243.98612315698173</v>
          </cell>
          <cell r="K335">
            <v>11.53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C340">
            <v>-15.393061578490915</v>
          </cell>
          <cell r="G340">
            <v>0</v>
          </cell>
          <cell r="I340">
            <v>0</v>
          </cell>
        </row>
        <row r="341">
          <cell r="I341">
            <v>688.38612315698197</v>
          </cell>
        </row>
        <row r="353">
          <cell r="I353">
            <v>4668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3">
          <cell r="I363">
            <v>4668</v>
          </cell>
        </row>
        <row r="367">
          <cell r="I367">
            <v>9336</v>
          </cell>
        </row>
        <row r="368">
          <cell r="I368">
            <v>8355.4926490083835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4">
          <cell r="I374">
            <v>17691.492649008382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132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8">
          <cell r="I398">
            <v>132</v>
          </cell>
        </row>
        <row r="402">
          <cell r="I402">
            <v>264</v>
          </cell>
        </row>
        <row r="403">
          <cell r="I403">
            <v>396</v>
          </cell>
        </row>
        <row r="404">
          <cell r="I404">
            <v>653.40000000000009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9">
          <cell r="I409">
            <v>1313.4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I426">
            <v>-12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2">
          <cell r="I432">
            <v>-12</v>
          </cell>
        </row>
        <row r="436">
          <cell r="I436">
            <v>-26683.69999999999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3">
          <cell r="I443">
            <v>-26683.69999999999</v>
          </cell>
        </row>
        <row r="455">
          <cell r="I455">
            <v>0</v>
          </cell>
        </row>
        <row r="456"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5">
          <cell r="I465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6">
          <cell r="I476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500">
          <cell r="I500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1">
          <cell r="I511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0</v>
          </cell>
        </row>
        <row r="531">
          <cell r="I531">
            <v>0</v>
          </cell>
        </row>
        <row r="532">
          <cell r="I532">
            <v>0</v>
          </cell>
        </row>
        <row r="534">
          <cell r="I534">
            <v>0</v>
          </cell>
        </row>
        <row r="538">
          <cell r="I538">
            <v>0</v>
          </cell>
        </row>
        <row r="539">
          <cell r="I539">
            <v>0</v>
          </cell>
        </row>
        <row r="540">
          <cell r="I540">
            <v>0</v>
          </cell>
        </row>
        <row r="541">
          <cell r="I541">
            <v>0</v>
          </cell>
        </row>
        <row r="542">
          <cell r="I542">
            <v>0</v>
          </cell>
        </row>
        <row r="543">
          <cell r="I543">
            <v>0</v>
          </cell>
        </row>
        <row r="545">
          <cell r="I545">
            <v>0</v>
          </cell>
        </row>
        <row r="550">
          <cell r="I550">
            <v>480</v>
          </cell>
          <cell r="M550">
            <v>19152</v>
          </cell>
        </row>
      </sheetData>
      <sheetData sheetId="2">
        <row r="29">
          <cell r="M29">
            <v>17730367</v>
          </cell>
        </row>
        <row r="30">
          <cell r="M30">
            <v>0</v>
          </cell>
        </row>
        <row r="31">
          <cell r="M31">
            <v>774723</v>
          </cell>
        </row>
        <row r="32">
          <cell r="M32">
            <v>9742</v>
          </cell>
        </row>
        <row r="33">
          <cell r="M33">
            <v>140288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22482</v>
          </cell>
        </row>
        <row r="37">
          <cell r="M37">
            <v>11990</v>
          </cell>
        </row>
        <row r="43">
          <cell r="M43">
            <v>28302267.342957035</v>
          </cell>
        </row>
        <row r="49">
          <cell r="M49"/>
        </row>
        <row r="64">
          <cell r="M64">
            <v>749309</v>
          </cell>
        </row>
        <row r="65">
          <cell r="M65">
            <v>0</v>
          </cell>
        </row>
        <row r="66">
          <cell r="M66">
            <v>991233</v>
          </cell>
        </row>
        <row r="67">
          <cell r="M67">
            <v>143975</v>
          </cell>
        </row>
        <row r="68">
          <cell r="M68">
            <v>2613471</v>
          </cell>
        </row>
        <row r="69">
          <cell r="M69">
            <v>2454</v>
          </cell>
        </row>
        <row r="70">
          <cell r="M70">
            <v>122677</v>
          </cell>
        </row>
        <row r="71">
          <cell r="M71">
            <v>114492</v>
          </cell>
        </row>
        <row r="72">
          <cell r="M72">
            <v>143933</v>
          </cell>
        </row>
        <row r="78">
          <cell r="M78">
            <v>16749572</v>
          </cell>
        </row>
        <row r="113">
          <cell r="M113">
            <v>2368359</v>
          </cell>
        </row>
        <row r="134">
          <cell r="M134">
            <v>20445</v>
          </cell>
        </row>
        <row r="135">
          <cell r="M135">
            <v>0</v>
          </cell>
        </row>
        <row r="136">
          <cell r="M136">
            <v>74409</v>
          </cell>
        </row>
        <row r="137">
          <cell r="M137">
            <v>26177</v>
          </cell>
        </row>
        <row r="138">
          <cell r="M138">
            <v>529934</v>
          </cell>
        </row>
        <row r="139">
          <cell r="M139">
            <v>2454</v>
          </cell>
        </row>
        <row r="140">
          <cell r="M140">
            <v>184016</v>
          </cell>
        </row>
        <row r="141">
          <cell r="M141">
            <v>114492</v>
          </cell>
        </row>
        <row r="142">
          <cell r="M142">
            <v>26170</v>
          </cell>
        </row>
        <row r="148">
          <cell r="M148">
            <v>4725278</v>
          </cell>
        </row>
        <row r="169">
          <cell r="M169">
            <v>0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4090</v>
          </cell>
        </row>
        <row r="173">
          <cell r="M173">
            <v>6542</v>
          </cell>
        </row>
        <row r="174">
          <cell r="M174">
            <v>0</v>
          </cell>
        </row>
        <row r="175">
          <cell r="M175">
            <v>24535</v>
          </cell>
        </row>
        <row r="176">
          <cell r="M176">
            <v>32712</v>
          </cell>
        </row>
        <row r="177">
          <cell r="M177">
            <v>0</v>
          </cell>
        </row>
        <row r="183">
          <cell r="M183">
            <v>1699867</v>
          </cell>
        </row>
        <row r="218">
          <cell r="C218">
            <v>3137.8147203140338</v>
          </cell>
        </row>
        <row r="286">
          <cell r="M286">
            <v>208028</v>
          </cell>
        </row>
        <row r="287">
          <cell r="M287">
            <v>0</v>
          </cell>
        </row>
        <row r="288">
          <cell r="M288">
            <v>0</v>
          </cell>
        </row>
        <row r="289">
          <cell r="M289">
            <v>0</v>
          </cell>
        </row>
        <row r="290">
          <cell r="M290">
            <v>0</v>
          </cell>
        </row>
        <row r="291">
          <cell r="M291">
            <v>0</v>
          </cell>
        </row>
        <row r="292"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300">
          <cell r="M300">
            <v>0</v>
          </cell>
        </row>
        <row r="301">
          <cell r="M301">
            <v>101149</v>
          </cell>
        </row>
        <row r="306">
          <cell r="M306"/>
        </row>
        <row r="321">
          <cell r="M321">
            <v>7466</v>
          </cell>
        </row>
        <row r="322">
          <cell r="M322">
            <v>0</v>
          </cell>
        </row>
        <row r="323">
          <cell r="M323">
            <v>0</v>
          </cell>
        </row>
        <row r="324">
          <cell r="M324">
            <v>0</v>
          </cell>
        </row>
        <row r="325">
          <cell r="M325">
            <v>0</v>
          </cell>
        </row>
        <row r="326">
          <cell r="M326">
            <v>0</v>
          </cell>
        </row>
        <row r="327">
          <cell r="M327">
            <v>0</v>
          </cell>
        </row>
        <row r="328">
          <cell r="M328">
            <v>0</v>
          </cell>
        </row>
        <row r="329">
          <cell r="M329">
            <v>0</v>
          </cell>
        </row>
        <row r="335">
          <cell r="M335">
            <v>0</v>
          </cell>
        </row>
        <row r="336">
          <cell r="M336">
            <v>2813</v>
          </cell>
        </row>
        <row r="354">
          <cell r="M354">
            <v>147135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8">
          <cell r="M368">
            <v>0</v>
          </cell>
        </row>
        <row r="369">
          <cell r="M369">
            <v>103023</v>
          </cell>
        </row>
        <row r="370">
          <cell r="M370">
            <v>0</v>
          </cell>
        </row>
        <row r="371">
          <cell r="M371">
            <v>0</v>
          </cell>
        </row>
        <row r="374">
          <cell r="M374"/>
        </row>
        <row r="389">
          <cell r="M389">
            <v>0</v>
          </cell>
        </row>
        <row r="390">
          <cell r="M390">
            <v>0</v>
          </cell>
        </row>
        <row r="391">
          <cell r="M391">
            <v>0</v>
          </cell>
        </row>
        <row r="392">
          <cell r="M392">
            <v>0</v>
          </cell>
        </row>
        <row r="393">
          <cell r="M393">
            <v>3800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403">
          <cell r="M403">
            <v>0</v>
          </cell>
        </row>
        <row r="404">
          <cell r="M404">
            <v>7077</v>
          </cell>
        </row>
        <row r="405">
          <cell r="M405">
            <v>11676</v>
          </cell>
        </row>
        <row r="406">
          <cell r="M406">
            <v>0</v>
          </cell>
        </row>
        <row r="424">
          <cell r="M424">
            <v>0</v>
          </cell>
        </row>
        <row r="425">
          <cell r="M425">
            <v>0</v>
          </cell>
        </row>
        <row r="426">
          <cell r="M426">
            <v>0</v>
          </cell>
        </row>
        <row r="427">
          <cell r="M427">
            <v>0</v>
          </cell>
        </row>
        <row r="428">
          <cell r="M428">
            <v>0</v>
          </cell>
        </row>
        <row r="429">
          <cell r="M429">
            <v>0</v>
          </cell>
        </row>
        <row r="430">
          <cell r="M430">
            <v>345</v>
          </cell>
        </row>
        <row r="431">
          <cell r="M431">
            <v>0</v>
          </cell>
        </row>
        <row r="432">
          <cell r="M432">
            <v>0</v>
          </cell>
        </row>
        <row r="438">
          <cell r="M438">
            <v>169427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M458">
            <v>0</v>
          </cell>
        </row>
        <row r="459">
          <cell r="M459">
            <v>0</v>
          </cell>
        </row>
        <row r="460">
          <cell r="M460">
            <v>-1310</v>
          </cell>
        </row>
        <row r="461">
          <cell r="M461">
            <v>0</v>
          </cell>
        </row>
        <row r="462">
          <cell r="M462">
            <v>-4089</v>
          </cell>
        </row>
        <row r="463">
          <cell r="M463">
            <v>0</v>
          </cell>
        </row>
        <row r="464">
          <cell r="M464">
            <v>0</v>
          </cell>
        </row>
        <row r="470">
          <cell r="M470">
            <v>-244637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M498">
            <v>0</v>
          </cell>
        </row>
        <row r="499">
          <cell r="M499">
            <v>0</v>
          </cell>
        </row>
        <row r="500">
          <cell r="M500">
            <v>0</v>
          </cell>
        </row>
        <row r="506">
          <cell r="M506">
            <v>0</v>
          </cell>
        </row>
        <row r="507">
          <cell r="M507">
            <v>0</v>
          </cell>
        </row>
        <row r="508">
          <cell r="M508">
            <v>0</v>
          </cell>
        </row>
        <row r="509"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27">
          <cell r="M527">
            <v>0</v>
          </cell>
        </row>
        <row r="528">
          <cell r="M528">
            <v>0</v>
          </cell>
        </row>
        <row r="529"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41">
          <cell r="M541">
            <v>0</v>
          </cell>
        </row>
        <row r="542">
          <cell r="M542">
            <v>0</v>
          </cell>
        </row>
        <row r="543">
          <cell r="M543">
            <v>0</v>
          </cell>
        </row>
        <row r="562">
          <cell r="M562">
            <v>0</v>
          </cell>
        </row>
        <row r="563">
          <cell r="M563">
            <v>0</v>
          </cell>
        </row>
        <row r="564">
          <cell r="M564">
            <v>0</v>
          </cell>
        </row>
        <row r="565">
          <cell r="M565">
            <v>0</v>
          </cell>
        </row>
        <row r="566">
          <cell r="M566">
            <v>0</v>
          </cell>
        </row>
        <row r="567">
          <cell r="M567">
            <v>0</v>
          </cell>
        </row>
        <row r="568">
          <cell r="M568">
            <v>0</v>
          </cell>
        </row>
        <row r="569">
          <cell r="M569">
            <v>0</v>
          </cell>
        </row>
        <row r="570">
          <cell r="M570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M578">
            <v>0</v>
          </cell>
        </row>
        <row r="579">
          <cell r="M579">
            <v>0</v>
          </cell>
        </row>
      </sheetData>
      <sheetData sheetId="3">
        <row r="341">
          <cell r="W341">
            <v>1488.7317520791999</v>
          </cell>
        </row>
      </sheetData>
      <sheetData sheetId="4">
        <row r="337">
          <cell r="Z337">
            <v>109.45</v>
          </cell>
        </row>
      </sheetData>
      <sheetData sheetId="5"/>
      <sheetData sheetId="6">
        <row r="198">
          <cell r="W198">
            <v>0</v>
          </cell>
        </row>
      </sheetData>
      <sheetData sheetId="7">
        <row r="290">
          <cell r="W290">
            <v>-3182.7581517118419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Exhibit 3"/>
    </sheetNames>
    <sheetDataSet>
      <sheetData sheetId="0">
        <row r="14">
          <cell r="K14">
            <v>15</v>
          </cell>
          <cell r="L14">
            <v>15</v>
          </cell>
          <cell r="M14">
            <v>15</v>
          </cell>
          <cell r="N14">
            <v>15</v>
          </cell>
          <cell r="O14">
            <v>15</v>
          </cell>
        </row>
        <row r="15">
          <cell r="K15">
            <v>22.4</v>
          </cell>
          <cell r="L15">
            <v>22.4</v>
          </cell>
          <cell r="M15">
            <v>22.4</v>
          </cell>
          <cell r="N15">
            <v>22.4</v>
          </cell>
          <cell r="O15">
            <v>22.4</v>
          </cell>
        </row>
        <row r="16">
          <cell r="K16">
            <v>37.299999999999997</v>
          </cell>
          <cell r="L16">
            <v>37.299999999999997</v>
          </cell>
          <cell r="M16">
            <v>37.299999999999997</v>
          </cell>
          <cell r="N16">
            <v>37.299999999999997</v>
          </cell>
          <cell r="O16">
            <v>37.299999999999997</v>
          </cell>
        </row>
        <row r="17">
          <cell r="K17">
            <v>74.7</v>
          </cell>
          <cell r="L17">
            <v>74.7</v>
          </cell>
          <cell r="M17">
            <v>74.7</v>
          </cell>
          <cell r="N17">
            <v>74.7</v>
          </cell>
          <cell r="O17">
            <v>74.7</v>
          </cell>
        </row>
        <row r="18">
          <cell r="K18">
            <v>119.5</v>
          </cell>
          <cell r="L18">
            <v>119.5</v>
          </cell>
          <cell r="M18">
            <v>119.5</v>
          </cell>
          <cell r="N18">
            <v>119.5</v>
          </cell>
          <cell r="O18">
            <v>119.5</v>
          </cell>
        </row>
        <row r="19">
          <cell r="K19">
            <v>224</v>
          </cell>
          <cell r="L19">
            <v>224</v>
          </cell>
          <cell r="M19">
            <v>224</v>
          </cell>
          <cell r="N19">
            <v>224</v>
          </cell>
          <cell r="O19">
            <v>224</v>
          </cell>
        </row>
        <row r="20">
          <cell r="K20">
            <v>373.4</v>
          </cell>
          <cell r="L20">
            <v>373.4</v>
          </cell>
          <cell r="M20">
            <v>373.4</v>
          </cell>
          <cell r="N20">
            <v>373.4</v>
          </cell>
          <cell r="O20">
            <v>373.4</v>
          </cell>
        </row>
        <row r="21">
          <cell r="K21">
            <v>746.7</v>
          </cell>
          <cell r="L21">
            <v>746.7</v>
          </cell>
          <cell r="M21">
            <v>746.7</v>
          </cell>
          <cell r="N21">
            <v>746.7</v>
          </cell>
          <cell r="O21">
            <v>746.7</v>
          </cell>
        </row>
        <row r="22">
          <cell r="K22">
            <v>1194.7</v>
          </cell>
          <cell r="L22">
            <v>1194.7</v>
          </cell>
          <cell r="M22">
            <v>1194.7</v>
          </cell>
          <cell r="N22">
            <v>1194.7</v>
          </cell>
          <cell r="O22">
            <v>1194.7</v>
          </cell>
        </row>
        <row r="28">
          <cell r="K28">
            <v>6.3639999999999999</v>
          </cell>
          <cell r="L28">
            <v>5.7119999999999997</v>
          </cell>
          <cell r="M28">
            <v>4.75</v>
          </cell>
          <cell r="N28">
            <v>5.1909999999999998</v>
          </cell>
          <cell r="O28">
            <v>4.76</v>
          </cell>
        </row>
        <row r="38">
          <cell r="L38">
            <v>9.16</v>
          </cell>
        </row>
        <row r="39">
          <cell r="L39">
            <v>36.92</v>
          </cell>
        </row>
        <row r="40">
          <cell r="L40">
            <v>83.04</v>
          </cell>
        </row>
        <row r="41">
          <cell r="L41">
            <v>147.62</v>
          </cell>
        </row>
        <row r="42">
          <cell r="L42">
            <v>230.72</v>
          </cell>
        </row>
        <row r="43">
          <cell r="L43">
            <v>332.71</v>
          </cell>
        </row>
        <row r="44">
          <cell r="L44">
            <v>479.07</v>
          </cell>
        </row>
        <row r="45">
          <cell r="L45">
            <v>590.78</v>
          </cell>
        </row>
        <row r="46">
          <cell r="L46">
            <v>80.12</v>
          </cell>
        </row>
        <row r="48">
          <cell r="L48">
            <v>49.16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workpaper"/>
      <sheetName val="Proposed Rates"/>
      <sheetName val="Other Operating Revenues"/>
      <sheetName val="Pivot Table"/>
      <sheetName val="Map"/>
      <sheetName val="Data"/>
    </sheetNames>
    <sheetDataSet>
      <sheetData sheetId="0"/>
      <sheetData sheetId="1">
        <row r="11">
          <cell r="C11">
            <v>0</v>
          </cell>
          <cell r="G11">
            <v>0</v>
          </cell>
        </row>
        <row r="12">
          <cell r="C12">
            <v>784484</v>
          </cell>
          <cell r="G12">
            <v>784484</v>
          </cell>
        </row>
        <row r="13">
          <cell r="C13">
            <v>96878</v>
          </cell>
          <cell r="G13">
            <v>96878</v>
          </cell>
        </row>
        <row r="14">
          <cell r="C14">
            <v>154930</v>
          </cell>
          <cell r="G14">
            <v>154930</v>
          </cell>
        </row>
        <row r="15">
          <cell r="C15">
            <v>0</v>
          </cell>
          <cell r="G15">
            <v>0</v>
          </cell>
        </row>
        <row r="16">
          <cell r="C16">
            <v>30840</v>
          </cell>
          <cell r="G16">
            <v>30840</v>
          </cell>
        </row>
        <row r="17">
          <cell r="C17">
            <v>765681</v>
          </cell>
          <cell r="G17">
            <v>765681</v>
          </cell>
        </row>
        <row r="18">
          <cell r="C18">
            <v>51538</v>
          </cell>
          <cell r="G18">
            <v>51538</v>
          </cell>
        </row>
        <row r="19">
          <cell r="C19">
            <v>598864</v>
          </cell>
          <cell r="G19">
            <v>598864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  <row r="29">
          <cell r="C29">
            <v>0</v>
          </cell>
          <cell r="G29">
            <v>0</v>
          </cell>
        </row>
        <row r="30">
          <cell r="C30">
            <v>798426.55937264196</v>
          </cell>
          <cell r="G30">
            <v>798426.55937264196</v>
          </cell>
        </row>
        <row r="31">
          <cell r="C31">
            <v>96878.04</v>
          </cell>
          <cell r="G31">
            <v>96878.04</v>
          </cell>
        </row>
        <row r="32">
          <cell r="C32">
            <v>154929.96</v>
          </cell>
          <cell r="G32">
            <v>154929.96</v>
          </cell>
        </row>
        <row r="33">
          <cell r="C33">
            <v>0</v>
          </cell>
          <cell r="G33">
            <v>0</v>
          </cell>
        </row>
        <row r="34">
          <cell r="C34">
            <v>30804</v>
          </cell>
          <cell r="G34">
            <v>30804</v>
          </cell>
        </row>
        <row r="35">
          <cell r="C35">
            <v>765680.63</v>
          </cell>
          <cell r="G35">
            <v>765680.63</v>
          </cell>
        </row>
        <row r="36">
          <cell r="C36">
            <v>47194.280000000013</v>
          </cell>
          <cell r="G36">
            <v>47194.280000000013</v>
          </cell>
        </row>
        <row r="37">
          <cell r="C37">
            <v>583109.21</v>
          </cell>
          <cell r="G37">
            <v>583109.21</v>
          </cell>
        </row>
        <row r="38">
          <cell r="C38">
            <v>0</v>
          </cell>
          <cell r="G38">
            <v>0</v>
          </cell>
        </row>
        <row r="39">
          <cell r="C39">
            <v>0</v>
          </cell>
          <cell r="G39">
            <v>0</v>
          </cell>
        </row>
      </sheetData>
      <sheetData sheetId="2"/>
      <sheetData sheetId="3"/>
      <sheetData sheetId="4">
        <row r="33">
          <cell r="E33">
            <v>0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Operating Revenues"/>
      <sheetName val="Other Revenues"/>
      <sheetName val="Proposed Rates"/>
      <sheetName val="Prop Rates Other Revenues"/>
      <sheetName val="Notes"/>
    </sheetNames>
    <sheetDataSet>
      <sheetData sheetId="0">
        <row r="18">
          <cell r="B18">
            <v>89387222</v>
          </cell>
        </row>
      </sheetData>
      <sheetData sheetId="1">
        <row r="9">
          <cell r="G9">
            <v>-3905611</v>
          </cell>
        </row>
      </sheetData>
      <sheetData sheetId="2">
        <row r="44">
          <cell r="F44">
            <v>87964826</v>
          </cell>
          <cell r="H44">
            <v>107829562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&amp; Base Customer Count&amp;Usg"/>
      <sheetName val="Customer-Base"/>
      <sheetName val="Customer-E.Rockcastle"/>
      <sheetName val="HYP-Usage"/>
      <sheetName val="HYP-Water Revenues"/>
      <sheetName val="HYP-SystemDelivery"/>
    </sheetNames>
    <sheetDataSet>
      <sheetData sheetId="0">
        <row r="3">
          <cell r="B3">
            <v>119170</v>
          </cell>
        </row>
        <row r="50">
          <cell r="B50">
            <v>0</v>
          </cell>
          <cell r="C50">
            <v>-1433759</v>
          </cell>
          <cell r="D50">
            <v>-437526.45</v>
          </cell>
          <cell r="E50">
            <v>-694433.74</v>
          </cell>
          <cell r="F50">
            <v>-338535.74</v>
          </cell>
          <cell r="G50">
            <v>-504696.07</v>
          </cell>
          <cell r="H50">
            <v>340895.1</v>
          </cell>
          <cell r="I50">
            <v>340895.1</v>
          </cell>
          <cell r="J50">
            <v>340895.1</v>
          </cell>
          <cell r="K50">
            <v>340895.1</v>
          </cell>
          <cell r="L50">
            <v>340895.1</v>
          </cell>
          <cell r="M50">
            <v>340895.1</v>
          </cell>
        </row>
      </sheetData>
      <sheetData sheetId="1"/>
      <sheetData sheetId="2"/>
      <sheetData sheetId="3"/>
      <sheetData sheetId="4"/>
      <sheetData sheetId="5">
        <row r="7">
          <cell r="F7">
            <v>1131684.4287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48"/>
  <sheetViews>
    <sheetView topLeftCell="A53" zoomScale="80" zoomScaleNormal="80" workbookViewId="0">
      <selection activeCell="C98" sqref="C98"/>
    </sheetView>
  </sheetViews>
  <sheetFormatPr defaultRowHeight="13.2" x14ac:dyDescent="0.25"/>
  <cols>
    <col min="1" max="1" width="23.88671875" customWidth="1"/>
    <col min="2" max="2" width="14.109375" customWidth="1"/>
    <col min="3" max="4" width="15.44140625" customWidth="1"/>
    <col min="5" max="6" width="14.88671875" customWidth="1"/>
    <col min="7" max="7" width="20.109375" style="1" customWidth="1"/>
    <col min="8" max="8" width="15" style="1" customWidth="1"/>
    <col min="9" max="9" width="14.109375" style="1" customWidth="1"/>
    <col min="10" max="10" width="19.88671875" style="1" customWidth="1"/>
    <col min="11" max="12" width="12.6640625" style="1" customWidth="1"/>
    <col min="13" max="13" width="13" style="1" customWidth="1"/>
    <col min="14" max="16" width="12.6640625" style="1" customWidth="1"/>
    <col min="17" max="17" width="19.44140625" style="1" customWidth="1"/>
    <col min="18" max="18" width="12.6640625" style="1" customWidth="1"/>
    <col min="19" max="61" width="12.6640625" customWidth="1"/>
  </cols>
  <sheetData>
    <row r="1" spans="1:25" ht="14.4" x14ac:dyDescent="0.3">
      <c r="A1" s="259" t="str">
        <f>'Link in'!A90</f>
        <v>Kentucky American Water Company</v>
      </c>
      <c r="B1" s="115"/>
      <c r="C1" s="93"/>
      <c r="D1" s="93"/>
      <c r="E1" s="161"/>
      <c r="F1" s="161"/>
      <c r="G1" s="170"/>
      <c r="H1" s="170"/>
      <c r="I1" s="170"/>
      <c r="J1" s="170"/>
      <c r="K1" s="170"/>
      <c r="L1" s="170"/>
      <c r="M1" s="170"/>
      <c r="N1" s="170"/>
      <c r="O1" s="170"/>
    </row>
    <row r="2" spans="1:25" ht="14.4" x14ac:dyDescent="0.3">
      <c r="A2" s="259" t="s">
        <v>81</v>
      </c>
      <c r="B2" s="115"/>
      <c r="C2" s="93"/>
      <c r="D2" s="93"/>
      <c r="E2" s="161"/>
      <c r="F2" s="161"/>
      <c r="G2" s="170"/>
      <c r="H2" s="170"/>
      <c r="I2" s="170"/>
      <c r="J2" s="170"/>
      <c r="K2" s="170"/>
      <c r="L2" s="170"/>
      <c r="M2" s="170"/>
      <c r="N2" s="170"/>
      <c r="O2" s="170"/>
    </row>
    <row r="3" spans="1:25" ht="14.4" x14ac:dyDescent="0.3">
      <c r="A3" s="259" t="s">
        <v>197</v>
      </c>
      <c r="B3" s="115"/>
      <c r="C3" s="93"/>
      <c r="D3" s="93"/>
      <c r="E3" s="161"/>
      <c r="F3" s="161"/>
      <c r="G3" s="170"/>
      <c r="H3" s="170"/>
      <c r="I3" s="170"/>
      <c r="J3" s="170"/>
      <c r="K3" s="170"/>
      <c r="L3" s="170"/>
      <c r="M3" s="170"/>
      <c r="N3" s="170"/>
      <c r="O3" s="170"/>
    </row>
    <row r="4" spans="1:25" ht="14.4" x14ac:dyDescent="0.3">
      <c r="A4" s="161"/>
      <c r="B4" s="93"/>
      <c r="C4" s="93"/>
      <c r="D4" s="93"/>
      <c r="E4" s="161"/>
      <c r="F4" s="161"/>
      <c r="G4" s="170"/>
      <c r="H4" s="170"/>
      <c r="I4" s="170"/>
      <c r="J4" s="170"/>
      <c r="K4" s="170"/>
      <c r="L4" s="170"/>
      <c r="M4" s="170"/>
      <c r="N4" s="170"/>
      <c r="O4" s="170"/>
      <c r="P4" s="12"/>
    </row>
    <row r="5" spans="1:25" ht="14.4" x14ac:dyDescent="0.3">
      <c r="A5" s="161"/>
      <c r="B5" s="93"/>
      <c r="C5" s="93"/>
      <c r="D5" s="93"/>
      <c r="E5" s="93"/>
      <c r="F5" s="93"/>
      <c r="G5" s="170"/>
      <c r="H5" s="260"/>
      <c r="I5" s="261"/>
      <c r="J5" s="170"/>
      <c r="K5" s="170"/>
      <c r="L5" s="170"/>
      <c r="M5" s="170"/>
      <c r="N5" s="170"/>
      <c r="O5" s="170"/>
    </row>
    <row r="6" spans="1:25" ht="14.4" x14ac:dyDescent="0.3">
      <c r="A6" s="161"/>
      <c r="B6" s="93"/>
      <c r="C6" s="93"/>
      <c r="D6" s="93"/>
      <c r="E6" s="262">
        <f>D20-C20</f>
        <v>19864739</v>
      </c>
      <c r="F6" s="161"/>
      <c r="G6" s="170"/>
      <c r="H6" s="170"/>
      <c r="I6" s="170"/>
      <c r="J6" s="327"/>
      <c r="K6" s="327"/>
      <c r="L6" s="327"/>
      <c r="M6" s="327"/>
      <c r="N6" s="327"/>
      <c r="O6" s="327"/>
      <c r="P6" s="11"/>
      <c r="Q6" s="11"/>
      <c r="R6" s="11"/>
      <c r="S6" s="8"/>
      <c r="T6" s="8"/>
    </row>
    <row r="7" spans="1:25" ht="14.4" x14ac:dyDescent="0.3">
      <c r="A7" s="161"/>
      <c r="B7" s="93"/>
      <c r="C7" s="93"/>
      <c r="D7" s="93"/>
      <c r="E7" s="161"/>
      <c r="F7" s="161"/>
      <c r="G7" s="170"/>
      <c r="H7" s="170"/>
      <c r="I7" s="170"/>
      <c r="J7" s="263"/>
      <c r="K7" s="263"/>
      <c r="L7" s="263"/>
      <c r="M7" s="263"/>
      <c r="N7" s="263"/>
      <c r="O7" s="263"/>
      <c r="P7" s="11"/>
      <c r="Q7" s="11"/>
      <c r="R7" s="11"/>
      <c r="S7" s="8"/>
      <c r="T7" s="8"/>
    </row>
    <row r="8" spans="1:25" ht="15" thickBot="1" x14ac:dyDescent="0.35">
      <c r="A8" s="161"/>
      <c r="B8" s="329" t="s">
        <v>83</v>
      </c>
      <c r="C8" s="329"/>
      <c r="D8" s="329"/>
      <c r="E8" s="264"/>
      <c r="F8" s="329" t="s">
        <v>84</v>
      </c>
      <c r="G8" s="329"/>
      <c r="H8" s="329"/>
      <c r="I8" s="264"/>
      <c r="J8" s="79"/>
      <c r="K8" s="263"/>
      <c r="L8" s="325"/>
      <c r="M8" s="325"/>
      <c r="N8" s="263"/>
      <c r="O8" s="265"/>
      <c r="P8" s="14"/>
      <c r="Q8" s="11"/>
      <c r="R8" s="326"/>
      <c r="S8" s="326"/>
      <c r="T8" s="5"/>
      <c r="U8" s="14"/>
      <c r="V8" s="11"/>
      <c r="W8" s="5"/>
      <c r="X8" s="14"/>
      <c r="Y8" s="8"/>
    </row>
    <row r="9" spans="1:25" ht="14.4" x14ac:dyDescent="0.3">
      <c r="A9" s="161"/>
      <c r="B9" s="261" t="s">
        <v>137</v>
      </c>
      <c r="C9" s="261" t="s">
        <v>122</v>
      </c>
      <c r="D9" s="261" t="s">
        <v>122</v>
      </c>
      <c r="E9" s="104"/>
      <c r="F9" s="261" t="s">
        <v>97</v>
      </c>
      <c r="G9" s="261" t="s">
        <v>122</v>
      </c>
      <c r="H9" s="261" t="s">
        <v>122</v>
      </c>
      <c r="I9" s="104"/>
      <c r="J9" s="104"/>
      <c r="K9" s="227"/>
      <c r="L9" s="227"/>
      <c r="M9" s="227"/>
      <c r="N9" s="227"/>
      <c r="O9" s="227"/>
      <c r="P9" s="8"/>
      <c r="Q9" s="11"/>
      <c r="R9" s="11"/>
      <c r="S9" s="11"/>
      <c r="T9" s="8"/>
      <c r="U9" s="11"/>
      <c r="V9" s="1"/>
      <c r="W9" s="8"/>
      <c r="X9" s="8"/>
      <c r="Y9" s="8"/>
    </row>
    <row r="10" spans="1:25" ht="15" thickBot="1" x14ac:dyDescent="0.35">
      <c r="A10" s="266" t="s">
        <v>80</v>
      </c>
      <c r="B10" s="267" t="s">
        <v>114</v>
      </c>
      <c r="C10" s="267" t="s">
        <v>114</v>
      </c>
      <c r="D10" s="267" t="s">
        <v>115</v>
      </c>
      <c r="E10" s="106"/>
      <c r="F10" s="267" t="s">
        <v>114</v>
      </c>
      <c r="G10" s="267" t="s">
        <v>114</v>
      </c>
      <c r="H10" s="267" t="s">
        <v>115</v>
      </c>
      <c r="I10" s="104"/>
      <c r="J10" s="104"/>
      <c r="K10" s="104"/>
      <c r="L10" s="104"/>
      <c r="M10" s="104"/>
      <c r="N10" s="263"/>
      <c r="O10" s="104"/>
      <c r="P10" s="3"/>
      <c r="Q10" s="8"/>
      <c r="R10" s="3"/>
      <c r="S10" s="3"/>
      <c r="T10" s="8"/>
      <c r="U10" s="8"/>
      <c r="W10" s="8"/>
      <c r="X10" s="8"/>
      <c r="Y10" s="8"/>
    </row>
    <row r="11" spans="1:25" ht="14.4" x14ac:dyDescent="0.3">
      <c r="A11" s="161" t="s">
        <v>182</v>
      </c>
      <c r="B11" s="247">
        <f>'Sch M'!$G$38</f>
        <v>90725485.279372633</v>
      </c>
      <c r="C11" s="247">
        <f>'Sch M'!$Q$38</f>
        <v>87964824</v>
      </c>
      <c r="D11" s="247">
        <f>'Sch M'!$V$38</f>
        <v>107829563</v>
      </c>
      <c r="E11" s="195"/>
      <c r="F11" s="247">
        <f>'Sch M'!$G$22</f>
        <v>88248462.599999994</v>
      </c>
      <c r="G11" s="247">
        <f>'Sch M'!$Q$22</f>
        <v>85481609</v>
      </c>
      <c r="H11" s="247">
        <f>'Sch M'!$V$22</f>
        <v>105346348</v>
      </c>
      <c r="I11" s="79"/>
      <c r="J11" s="79"/>
      <c r="K11" s="104"/>
      <c r="L11" s="104"/>
      <c r="M11" s="104"/>
      <c r="N11" s="263"/>
      <c r="O11" s="104"/>
      <c r="P11" s="3"/>
      <c r="Q11" s="8"/>
      <c r="R11" s="3"/>
      <c r="S11" s="3"/>
      <c r="T11" s="8"/>
      <c r="U11" s="8"/>
    </row>
    <row r="12" spans="1:25" ht="14.4" x14ac:dyDescent="0.3">
      <c r="A12" s="161"/>
      <c r="B12" s="248"/>
      <c r="C12" s="248"/>
      <c r="D12" s="248"/>
      <c r="E12" s="161"/>
      <c r="F12" s="248"/>
      <c r="G12" s="248"/>
      <c r="H12" s="248"/>
      <c r="I12" s="79"/>
      <c r="J12" s="79"/>
      <c r="K12" s="154"/>
      <c r="L12" s="258"/>
      <c r="M12" s="258"/>
      <c r="N12" s="258"/>
      <c r="O12" s="258"/>
      <c r="P12" s="15"/>
      <c r="Q12" s="15"/>
      <c r="R12" s="15"/>
      <c r="S12" s="15"/>
      <c r="T12" s="8"/>
    </row>
    <row r="13" spans="1:25" ht="14.4" x14ac:dyDescent="0.3">
      <c r="A13" s="161"/>
      <c r="B13" s="248"/>
      <c r="C13" s="248"/>
      <c r="D13" s="248"/>
      <c r="E13" s="161"/>
      <c r="F13" s="248"/>
      <c r="G13" s="248"/>
      <c r="H13" s="248"/>
      <c r="I13" s="79"/>
      <c r="J13" s="79"/>
      <c r="K13" s="154"/>
      <c r="L13" s="258"/>
      <c r="M13" s="258"/>
      <c r="N13" s="258"/>
      <c r="O13" s="258"/>
      <c r="P13" s="15"/>
      <c r="Q13" s="15"/>
      <c r="R13" s="15"/>
      <c r="S13" s="15"/>
      <c r="T13" s="8"/>
    </row>
    <row r="14" spans="1:25" ht="14.4" x14ac:dyDescent="0.3">
      <c r="A14" s="161"/>
      <c r="B14" s="248"/>
      <c r="C14" s="248"/>
      <c r="D14" s="248"/>
      <c r="E14" s="161"/>
      <c r="F14" s="248"/>
      <c r="G14" s="248"/>
      <c r="H14" s="248"/>
      <c r="I14" s="79"/>
      <c r="J14" s="79"/>
      <c r="K14" s="154"/>
      <c r="L14" s="258"/>
      <c r="M14" s="258"/>
      <c r="N14" s="258"/>
      <c r="O14" s="258"/>
      <c r="P14" s="15"/>
      <c r="Q14" s="15"/>
      <c r="R14" s="15"/>
      <c r="S14" s="15"/>
      <c r="T14" s="8"/>
    </row>
    <row r="15" spans="1:25" ht="14.4" x14ac:dyDescent="0.3">
      <c r="A15" s="161"/>
      <c r="B15" s="248"/>
      <c r="C15" s="248"/>
      <c r="D15" s="248"/>
      <c r="E15" s="161"/>
      <c r="F15" s="248"/>
      <c r="G15" s="248"/>
      <c r="H15" s="248"/>
      <c r="I15" s="79"/>
      <c r="J15" s="79"/>
      <c r="K15" s="154"/>
      <c r="L15" s="258"/>
      <c r="M15" s="258"/>
      <c r="N15" s="258"/>
      <c r="O15" s="258"/>
      <c r="P15" s="15"/>
      <c r="Q15" s="15"/>
      <c r="R15" s="15"/>
      <c r="S15" s="15"/>
      <c r="T15" s="8"/>
    </row>
    <row r="16" spans="1:25" ht="14.4" x14ac:dyDescent="0.3">
      <c r="A16" s="161"/>
      <c r="B16" s="93"/>
      <c r="C16" s="93"/>
      <c r="D16" s="161"/>
      <c r="E16" s="161"/>
      <c r="F16" s="161"/>
      <c r="G16" s="161"/>
      <c r="H16" s="161"/>
      <c r="I16" s="79"/>
      <c r="J16" s="79"/>
      <c r="K16" s="154"/>
      <c r="L16" s="258"/>
      <c r="M16" s="258"/>
      <c r="N16" s="258"/>
      <c r="O16" s="258"/>
      <c r="P16" s="15"/>
      <c r="Q16" s="15"/>
      <c r="R16" s="15"/>
      <c r="S16" s="15"/>
      <c r="T16" s="8"/>
    </row>
    <row r="17" spans="1:22" ht="14.4" x14ac:dyDescent="0.3">
      <c r="A17" s="161"/>
      <c r="B17" s="93"/>
      <c r="C17" s="93"/>
      <c r="D17" s="161"/>
      <c r="E17" s="161"/>
      <c r="F17" s="161"/>
      <c r="G17" s="161"/>
      <c r="H17" s="161"/>
      <c r="I17" s="79"/>
      <c r="J17" s="79"/>
      <c r="K17" s="154"/>
      <c r="L17" s="258"/>
      <c r="M17" s="258"/>
      <c r="N17" s="258"/>
      <c r="O17" s="258"/>
      <c r="P17" s="15"/>
      <c r="Q17" s="15"/>
      <c r="R17" s="15"/>
      <c r="S17" s="15"/>
      <c r="T17" s="8"/>
    </row>
    <row r="18" spans="1:22" ht="14.4" x14ac:dyDescent="0.3">
      <c r="A18" s="161"/>
      <c r="B18" s="93"/>
      <c r="C18" s="93"/>
      <c r="D18" s="161"/>
      <c r="E18" s="161"/>
      <c r="F18" s="93"/>
      <c r="G18" s="170"/>
      <c r="H18" s="227"/>
      <c r="I18" s="79"/>
      <c r="J18" s="79"/>
      <c r="K18" s="227"/>
      <c r="L18" s="227"/>
      <c r="M18" s="227"/>
      <c r="N18" s="263"/>
      <c r="O18" s="263"/>
      <c r="P18" s="11"/>
      <c r="Q18" s="11"/>
      <c r="R18" s="11"/>
      <c r="S18" s="11"/>
      <c r="T18" s="8"/>
    </row>
    <row r="19" spans="1:22" ht="14.4" x14ac:dyDescent="0.3">
      <c r="A19" s="161"/>
      <c r="B19" s="93"/>
      <c r="C19" s="93"/>
      <c r="D19" s="161"/>
      <c r="E19" s="161"/>
      <c r="F19" s="93"/>
      <c r="G19" s="170"/>
      <c r="H19" s="227"/>
      <c r="I19" s="79"/>
      <c r="J19" s="79"/>
      <c r="K19" s="154"/>
      <c r="L19" s="258"/>
      <c r="M19" s="154"/>
      <c r="N19" s="263"/>
      <c r="O19" s="258"/>
      <c r="P19" s="16"/>
      <c r="Q19" s="2"/>
      <c r="R19" s="15"/>
      <c r="S19" s="16"/>
      <c r="T19" s="8"/>
    </row>
    <row r="20" spans="1:22" ht="15" thickBot="1" x14ac:dyDescent="0.35">
      <c r="A20" s="268" t="s">
        <v>1</v>
      </c>
      <c r="B20" s="269">
        <f>SUM(B11:B19)</f>
        <v>90725485.279372633</v>
      </c>
      <c r="C20" s="269">
        <f t="shared" ref="C20:D20" si="0">SUM(C11:C19)</f>
        <v>87964824</v>
      </c>
      <c r="D20" s="269">
        <f t="shared" si="0"/>
        <v>107829563</v>
      </c>
      <c r="E20" s="161"/>
      <c r="F20" s="269">
        <f t="shared" ref="F20:H20" si="1">SUM(F11:F19)</f>
        <v>88248462.599999994</v>
      </c>
      <c r="G20" s="269">
        <f t="shared" si="1"/>
        <v>85481609</v>
      </c>
      <c r="H20" s="269">
        <f t="shared" si="1"/>
        <v>105346348</v>
      </c>
      <c r="I20" s="79"/>
      <c r="J20" s="79"/>
      <c r="K20" s="79"/>
      <c r="L20" s="79"/>
      <c r="M20" s="79"/>
      <c r="N20" s="263"/>
      <c r="O20" s="79"/>
      <c r="P20" s="9"/>
      <c r="Q20" s="2"/>
      <c r="R20" s="9"/>
      <c r="S20" s="9"/>
      <c r="T20" s="8"/>
    </row>
    <row r="21" spans="1:22" ht="15" thickTop="1" x14ac:dyDescent="0.3">
      <c r="A21" s="161"/>
      <c r="B21" s="161"/>
      <c r="C21" s="161"/>
      <c r="D21" s="161"/>
      <c r="E21" s="161"/>
      <c r="F21" s="161"/>
      <c r="G21" s="170"/>
      <c r="H21" s="263"/>
      <c r="I21" s="263"/>
      <c r="J21" s="263"/>
      <c r="K21" s="263"/>
      <c r="L21" s="263"/>
      <c r="M21" s="263"/>
      <c r="N21" s="263"/>
      <c r="O21" s="263"/>
      <c r="P21" s="11"/>
      <c r="Q21" s="10"/>
      <c r="R21" s="11"/>
      <c r="S21" s="11"/>
      <c r="T21" s="8"/>
    </row>
    <row r="22" spans="1:22" ht="14.4" x14ac:dyDescent="0.3">
      <c r="A22" s="161"/>
      <c r="B22" s="211"/>
      <c r="C22" s="211"/>
      <c r="D22" s="211"/>
      <c r="E22" s="161"/>
      <c r="F22" s="93"/>
      <c r="G22" s="170"/>
      <c r="H22" s="263"/>
      <c r="I22" s="79"/>
      <c r="J22" s="79"/>
      <c r="K22" s="263"/>
      <c r="L22" s="104"/>
      <c r="M22" s="104"/>
      <c r="N22" s="263"/>
      <c r="O22" s="263"/>
      <c r="P22" s="11"/>
      <c r="Q22" s="8"/>
      <c r="R22" s="8"/>
      <c r="S22" s="8"/>
      <c r="T22" s="8"/>
    </row>
    <row r="23" spans="1:22" ht="14.4" x14ac:dyDescent="0.3">
      <c r="A23" s="161" t="s">
        <v>118</v>
      </c>
      <c r="B23" s="115">
        <f>B20-F20</f>
        <v>2477022.6793726385</v>
      </c>
      <c r="C23" s="115">
        <f>C20-G20</f>
        <v>2483215</v>
      </c>
      <c r="D23" s="115">
        <f>D20-H20</f>
        <v>2483215</v>
      </c>
      <c r="E23" s="161"/>
      <c r="F23" s="93"/>
      <c r="G23" s="170"/>
      <c r="H23" s="263"/>
      <c r="I23" s="79"/>
      <c r="J23" s="79"/>
      <c r="K23" s="263"/>
      <c r="L23" s="104"/>
      <c r="M23" s="104"/>
      <c r="N23" s="263"/>
      <c r="O23" s="263"/>
      <c r="P23" s="11"/>
      <c r="Q23" s="8"/>
      <c r="R23" s="8"/>
      <c r="S23" s="8"/>
      <c r="T23" s="8"/>
    </row>
    <row r="24" spans="1:22" ht="14.4" x14ac:dyDescent="0.3">
      <c r="A24" s="161"/>
      <c r="B24" s="93"/>
      <c r="C24" s="93"/>
      <c r="D24" s="93"/>
      <c r="E24" s="93"/>
      <c r="F24" s="161"/>
      <c r="G24" s="93"/>
      <c r="H24" s="93"/>
      <c r="I24" s="170"/>
      <c r="J24" s="263"/>
      <c r="K24" s="79"/>
      <c r="L24" s="79"/>
      <c r="M24" s="263"/>
      <c r="N24" s="104"/>
      <c r="O24" s="104"/>
      <c r="P24" s="11"/>
      <c r="Q24" s="11"/>
      <c r="R24" s="11"/>
      <c r="S24" s="8"/>
      <c r="T24" s="8"/>
      <c r="U24" s="8"/>
      <c r="V24" s="8"/>
    </row>
    <row r="25" spans="1:22" ht="14.4" x14ac:dyDescent="0.3">
      <c r="A25" s="161"/>
      <c r="B25" s="93"/>
      <c r="C25" s="93"/>
      <c r="D25" s="93"/>
      <c r="E25" s="161"/>
      <c r="F25" s="161"/>
      <c r="G25" s="93"/>
      <c r="H25" s="93"/>
      <c r="I25" s="170"/>
      <c r="J25" s="263"/>
      <c r="K25" s="263"/>
      <c r="L25" s="263"/>
      <c r="M25" s="263"/>
      <c r="N25" s="263"/>
      <c r="O25" s="263"/>
      <c r="P25" s="11"/>
      <c r="Q25" s="11"/>
      <c r="R25" s="11"/>
      <c r="S25" s="8"/>
      <c r="T25" s="8"/>
      <c r="U25" s="8"/>
      <c r="V25" s="8"/>
    </row>
    <row r="26" spans="1:22" ht="14.4" x14ac:dyDescent="0.3">
      <c r="A26" s="161"/>
      <c r="B26" s="93"/>
      <c r="C26" s="93"/>
      <c r="D26" s="93"/>
      <c r="E26" s="161"/>
      <c r="F26" s="161"/>
      <c r="G26" s="93"/>
      <c r="H26" s="93"/>
      <c r="I26" s="170"/>
      <c r="J26" s="263"/>
      <c r="K26" s="263"/>
      <c r="L26" s="263"/>
      <c r="M26" s="263"/>
      <c r="N26" s="263"/>
      <c r="O26" s="263"/>
      <c r="P26" s="11"/>
      <c r="Q26" s="11"/>
      <c r="R26" s="11"/>
      <c r="S26" s="8"/>
      <c r="T26" s="8"/>
      <c r="U26" s="8"/>
      <c r="V26" s="8"/>
    </row>
    <row r="27" spans="1:22" ht="14.4" x14ac:dyDescent="0.3">
      <c r="A27" s="161"/>
      <c r="B27" s="93"/>
      <c r="C27" s="93"/>
      <c r="D27" s="93"/>
      <c r="E27" s="161"/>
      <c r="F27" s="161"/>
      <c r="G27" s="93"/>
      <c r="H27" s="93"/>
      <c r="I27" s="170"/>
      <c r="J27" s="79"/>
      <c r="K27" s="263"/>
      <c r="L27" s="263"/>
      <c r="M27" s="263"/>
      <c r="N27" s="263"/>
      <c r="O27" s="263"/>
      <c r="P27" s="11"/>
      <c r="Q27" s="9"/>
      <c r="R27" s="11"/>
      <c r="S27" s="11"/>
      <c r="T27" s="11"/>
      <c r="U27" s="11"/>
      <c r="V27" s="11"/>
    </row>
    <row r="28" spans="1:22" ht="14.4" x14ac:dyDescent="0.3">
      <c r="A28" s="161"/>
      <c r="B28" s="93"/>
      <c r="C28" s="93"/>
      <c r="D28" s="93"/>
      <c r="E28" s="161"/>
      <c r="F28" s="161"/>
      <c r="G28" s="93"/>
      <c r="H28" s="93"/>
      <c r="I28" s="170"/>
      <c r="J28" s="263"/>
      <c r="K28" s="263"/>
      <c r="L28" s="263"/>
      <c r="M28" s="263"/>
      <c r="N28" s="263"/>
      <c r="O28" s="263"/>
      <c r="P28" s="11"/>
      <c r="Q28" s="11"/>
      <c r="R28" s="11"/>
      <c r="S28" s="11"/>
      <c r="T28" s="11"/>
      <c r="U28" s="11"/>
      <c r="V28" s="11"/>
    </row>
    <row r="29" spans="1:22" ht="14.4" x14ac:dyDescent="0.3">
      <c r="A29" s="93" t="str">
        <f>+'Sch M'!A6</f>
        <v/>
      </c>
      <c r="B29" s="328" t="s">
        <v>119</v>
      </c>
      <c r="C29" s="328"/>
      <c r="D29" s="170"/>
      <c r="E29" s="270" t="s">
        <v>122</v>
      </c>
      <c r="F29" s="271"/>
      <c r="G29" s="263"/>
      <c r="H29" s="270" t="s">
        <v>122</v>
      </c>
      <c r="I29" s="271"/>
      <c r="J29" s="227"/>
      <c r="K29" s="265"/>
      <c r="L29" s="272"/>
      <c r="M29" s="263"/>
      <c r="N29" s="263"/>
      <c r="O29" s="265"/>
      <c r="P29" s="14"/>
      <c r="Q29" s="8"/>
      <c r="R29" s="5"/>
      <c r="S29" s="14"/>
    </row>
    <row r="30" spans="1:22" ht="14.4" x14ac:dyDescent="0.3">
      <c r="A30" s="161"/>
      <c r="B30" s="161"/>
      <c r="C30" s="161"/>
      <c r="D30" s="170"/>
      <c r="E30" s="170"/>
      <c r="F30" s="170"/>
      <c r="G30" s="227"/>
      <c r="H30" s="170"/>
      <c r="I30" s="170"/>
      <c r="J30" s="227"/>
      <c r="K30" s="263"/>
      <c r="L30" s="263"/>
      <c r="M30" s="263"/>
      <c r="N30" s="227"/>
      <c r="O30" s="227"/>
      <c r="P30" s="8"/>
      <c r="Q30" s="8"/>
      <c r="R30" s="11"/>
      <c r="S30" s="11"/>
    </row>
    <row r="31" spans="1:22" ht="14.4" x14ac:dyDescent="0.3">
      <c r="A31" s="161"/>
      <c r="B31" s="104" t="s">
        <v>39</v>
      </c>
      <c r="C31" s="104" t="s">
        <v>116</v>
      </c>
      <c r="D31" s="170"/>
      <c r="E31" s="104" t="s">
        <v>39</v>
      </c>
      <c r="F31" s="104" t="s">
        <v>116</v>
      </c>
      <c r="G31" s="227"/>
      <c r="H31" s="104" t="s">
        <v>39</v>
      </c>
      <c r="I31" s="104" t="s">
        <v>116</v>
      </c>
      <c r="J31" s="227"/>
      <c r="K31" s="104"/>
      <c r="L31" s="104"/>
      <c r="M31" s="263"/>
      <c r="N31" s="227"/>
      <c r="O31" s="104"/>
      <c r="P31" s="3"/>
      <c r="Q31" s="8"/>
      <c r="R31" s="3"/>
      <c r="S31" s="3"/>
    </row>
    <row r="32" spans="1:22" ht="14.4" x14ac:dyDescent="0.3">
      <c r="A32" s="161"/>
      <c r="B32" s="107" t="s">
        <v>136</v>
      </c>
      <c r="C32" s="107" t="s">
        <v>47</v>
      </c>
      <c r="D32" s="170"/>
      <c r="E32" s="107" t="s">
        <v>136</v>
      </c>
      <c r="F32" s="107" t="s">
        <v>47</v>
      </c>
      <c r="G32" s="227"/>
      <c r="H32" s="107" t="s">
        <v>136</v>
      </c>
      <c r="I32" s="107" t="s">
        <v>47</v>
      </c>
      <c r="J32" s="227"/>
      <c r="K32" s="104"/>
      <c r="L32" s="104"/>
      <c r="M32" s="263"/>
      <c r="N32" s="227"/>
      <c r="O32" s="104"/>
      <c r="P32" s="3"/>
      <c r="Q32" s="8"/>
      <c r="R32" s="3"/>
      <c r="S32" s="3"/>
    </row>
    <row r="33" spans="1:22" ht="14.4" x14ac:dyDescent="0.3">
      <c r="A33" s="79" t="s">
        <v>3</v>
      </c>
      <c r="B33" s="273">
        <f>+'Sch M'!E13</f>
        <v>5627494.9636128107</v>
      </c>
      <c r="C33" s="274">
        <f>+'Sch M'!G13</f>
        <v>49739989</v>
      </c>
      <c r="D33" s="172"/>
      <c r="E33" s="273">
        <f>+'Sch M'!O13</f>
        <v>5631654.8998707933</v>
      </c>
      <c r="F33" s="274">
        <f>+'Sch M'!Q13</f>
        <v>47551194</v>
      </c>
      <c r="G33" s="94"/>
      <c r="H33" s="273">
        <f>+'Sch M'!T13</f>
        <v>5631654.8998707933</v>
      </c>
      <c r="I33" s="274">
        <f>+'Sch M'!V13</f>
        <v>58459636</v>
      </c>
      <c r="J33" s="275"/>
      <c r="K33" s="258"/>
      <c r="L33" s="154"/>
      <c r="M33" s="263"/>
      <c r="N33" s="79"/>
      <c r="O33" s="258"/>
      <c r="P33" s="16"/>
      <c r="Q33" s="17"/>
      <c r="R33" s="15"/>
      <c r="S33" s="16"/>
    </row>
    <row r="34" spans="1:22" ht="14.4" x14ac:dyDescent="0.3">
      <c r="A34" s="79" t="s">
        <v>50</v>
      </c>
      <c r="B34" s="273">
        <f>+'Sch M'!E14</f>
        <v>3748496.6914434852</v>
      </c>
      <c r="C34" s="274">
        <f>+'Sch M'!G14</f>
        <v>22686067</v>
      </c>
      <c r="D34" s="172"/>
      <c r="E34" s="273">
        <f>+'Sch M'!O14</f>
        <v>3798368.9524469571</v>
      </c>
      <c r="F34" s="274">
        <f>+'Sch M'!Q14</f>
        <v>21663948</v>
      </c>
      <c r="G34" s="94"/>
      <c r="H34" s="273">
        <f>+'Sch M'!T14</f>
        <v>3798368.9524469571</v>
      </c>
      <c r="I34" s="274">
        <f>+'Sch M'!V14</f>
        <v>27068049</v>
      </c>
      <c r="J34" s="275"/>
      <c r="K34" s="258"/>
      <c r="L34" s="154"/>
      <c r="M34" s="263"/>
      <c r="N34" s="79"/>
      <c r="O34" s="258"/>
      <c r="P34" s="16"/>
      <c r="Q34" s="17"/>
      <c r="R34" s="15"/>
      <c r="S34" s="16"/>
    </row>
    <row r="35" spans="1:22" ht="14.4" x14ac:dyDescent="0.3">
      <c r="A35" s="79" t="s">
        <v>5</v>
      </c>
      <c r="B35" s="273">
        <f>+'Sch M'!E15</f>
        <v>651882.09211704892</v>
      </c>
      <c r="C35" s="274">
        <f>+'Sch M'!G15</f>
        <v>2813214</v>
      </c>
      <c r="D35" s="172"/>
      <c r="E35" s="273">
        <f>+'Sch M'!O15</f>
        <v>617725.2612666277</v>
      </c>
      <c r="F35" s="274">
        <f>+'Sch M'!Q15</f>
        <v>2515892</v>
      </c>
      <c r="G35" s="94"/>
      <c r="H35" s="273">
        <f>+'Sch M'!T15</f>
        <v>617725.2612666277</v>
      </c>
      <c r="I35" s="274">
        <f>+'Sch M'!V15</f>
        <v>3095858</v>
      </c>
      <c r="J35" s="275"/>
      <c r="K35" s="258"/>
      <c r="L35" s="154"/>
      <c r="M35" s="263"/>
      <c r="N35" s="79"/>
      <c r="O35" s="258"/>
      <c r="P35" s="16"/>
      <c r="Q35" s="17"/>
      <c r="R35" s="15"/>
      <c r="S35" s="16"/>
    </row>
    <row r="36" spans="1:22" ht="14.4" x14ac:dyDescent="0.3">
      <c r="A36" s="79" t="s">
        <v>68</v>
      </c>
      <c r="B36" s="273">
        <f>+'Sch M'!E16</f>
        <v>1119902.8232527315</v>
      </c>
      <c r="C36" s="274">
        <f>+'Sch M'!G16</f>
        <v>5785622</v>
      </c>
      <c r="D36" s="172"/>
      <c r="E36" s="273">
        <f>+'Sch M'!O16</f>
        <v>1165871.6583333332</v>
      </c>
      <c r="F36" s="274">
        <f>+'Sch M'!Q16</f>
        <v>5703375</v>
      </c>
      <c r="G36" s="94"/>
      <c r="H36" s="273">
        <f>+'Sch M'!T16</f>
        <v>1165871.6583333332</v>
      </c>
      <c r="I36" s="274">
        <f>+'Sch M'!V16</f>
        <v>7123901</v>
      </c>
      <c r="J36" s="275"/>
      <c r="K36" s="258"/>
      <c r="L36" s="154"/>
      <c r="M36" s="263"/>
      <c r="N36" s="79"/>
      <c r="O36" s="258"/>
      <c r="P36" s="16"/>
      <c r="Q36" s="17"/>
      <c r="R36" s="15"/>
      <c r="S36" s="16"/>
    </row>
    <row r="37" spans="1:22" ht="14.4" x14ac:dyDescent="0.3">
      <c r="A37" s="79" t="s">
        <v>69</v>
      </c>
      <c r="B37" s="273">
        <f>+'Sch M'!E17</f>
        <v>448273.63759573636</v>
      </c>
      <c r="C37" s="274">
        <f>+'Sch M'!G17</f>
        <v>1897800</v>
      </c>
      <c r="D37" s="172"/>
      <c r="E37" s="273">
        <f>+'Sch M'!O17</f>
        <v>426827.36200000002</v>
      </c>
      <c r="F37" s="274">
        <f>+'Sch M'!Q17</f>
        <v>1711088</v>
      </c>
      <c r="G37" s="94"/>
      <c r="H37" s="273">
        <f>+'Sch M'!T17</f>
        <v>426827.36200000002</v>
      </c>
      <c r="I37" s="274">
        <f>+'Sch M'!V17</f>
        <v>2078310</v>
      </c>
      <c r="J37" s="275"/>
      <c r="K37" s="258"/>
      <c r="L37" s="154"/>
      <c r="M37" s="263"/>
      <c r="N37" s="79"/>
      <c r="O37" s="258"/>
      <c r="P37" s="16"/>
      <c r="Q37" s="17"/>
      <c r="R37" s="15"/>
      <c r="S37" s="16"/>
    </row>
    <row r="38" spans="1:22" ht="14.4" x14ac:dyDescent="0.3">
      <c r="A38" s="79" t="s">
        <v>8</v>
      </c>
      <c r="B38" s="273">
        <f>+'Sch M'!E18</f>
        <v>3098</v>
      </c>
      <c r="C38" s="274">
        <f>+'Sch M'!G18</f>
        <v>2817944</v>
      </c>
      <c r="D38" s="172"/>
      <c r="E38" s="273">
        <f>+'Sch M'!O18</f>
        <v>0</v>
      </c>
      <c r="F38" s="274">
        <f>+'Sch M'!Q18</f>
        <v>2664721</v>
      </c>
      <c r="G38" s="94"/>
      <c r="H38" s="273">
        <f>+'Sch M'!T18</f>
        <v>0</v>
      </c>
      <c r="I38" s="274">
        <f>+'Sch M'!V18</f>
        <v>3011136</v>
      </c>
      <c r="J38" s="275"/>
      <c r="K38" s="258"/>
      <c r="L38" s="154"/>
      <c r="M38" s="263"/>
      <c r="N38" s="79"/>
      <c r="O38" s="258"/>
      <c r="P38" s="16"/>
      <c r="Q38" s="17"/>
      <c r="R38" s="15"/>
      <c r="S38" s="16"/>
    </row>
    <row r="39" spans="1:22" ht="14.4" x14ac:dyDescent="0.3">
      <c r="A39" s="79" t="s">
        <v>150</v>
      </c>
      <c r="B39" s="273"/>
      <c r="C39" s="274">
        <f>+'Sch M'!G19</f>
        <v>3790713</v>
      </c>
      <c r="D39" s="172"/>
      <c r="E39" s="273"/>
      <c r="F39" s="274">
        <f>+'Sch M'!Q19</f>
        <v>3611110</v>
      </c>
      <c r="G39" s="94"/>
      <c r="H39" s="273"/>
      <c r="I39" s="274">
        <f>+'Sch M'!V19</f>
        <v>4449177</v>
      </c>
      <c r="J39" s="275"/>
      <c r="K39" s="258"/>
      <c r="L39" s="154"/>
      <c r="M39" s="263"/>
      <c r="N39" s="79"/>
      <c r="O39" s="258"/>
      <c r="P39" s="16"/>
      <c r="Q39" s="17"/>
      <c r="R39" s="15"/>
      <c r="S39" s="16"/>
    </row>
    <row r="40" spans="1:22" ht="14.4" x14ac:dyDescent="0.3">
      <c r="A40" s="79" t="s">
        <v>161</v>
      </c>
      <c r="B40" s="273">
        <f>+'Sch M'!E20</f>
        <v>5887.2395800000013</v>
      </c>
      <c r="C40" s="274">
        <f>+'Sch M'!G20</f>
        <v>80861</v>
      </c>
      <c r="D40" s="172"/>
      <c r="E40" s="273">
        <f>+'Sch M'!O20</f>
        <v>3153.34584</v>
      </c>
      <c r="F40" s="274">
        <f>+'Sch M'!Q20</f>
        <v>60281</v>
      </c>
      <c r="G40" s="94"/>
      <c r="H40" s="273">
        <f>+'Sch M'!T20</f>
        <v>3153.34584</v>
      </c>
      <c r="I40" s="274">
        <f>+'Sch M'!V20</f>
        <v>60281</v>
      </c>
      <c r="J40" s="275"/>
      <c r="K40" s="258"/>
      <c r="L40" s="154"/>
      <c r="M40" s="263"/>
      <c r="N40" s="79"/>
      <c r="O40" s="258"/>
      <c r="P40" s="16"/>
      <c r="Q40" s="17"/>
      <c r="R40" s="15"/>
      <c r="S40" s="16"/>
    </row>
    <row r="41" spans="1:22" ht="14.4" x14ac:dyDescent="0.3">
      <c r="A41" s="94" t="s">
        <v>170</v>
      </c>
      <c r="B41" s="160"/>
      <c r="C41" s="274">
        <f>+'Sch M'!G21</f>
        <v>-1363747.399999999</v>
      </c>
      <c r="D41" s="160"/>
      <c r="E41" s="160"/>
      <c r="F41" s="274">
        <f>+'Sch M'!Q21</f>
        <v>0</v>
      </c>
      <c r="G41" s="172"/>
      <c r="H41" s="172"/>
      <c r="I41" s="274">
        <f>+'Sch M'!V21</f>
        <v>0</v>
      </c>
      <c r="J41" s="275"/>
      <c r="K41" s="258"/>
      <c r="L41" s="154"/>
      <c r="M41" s="263"/>
      <c r="N41" s="79"/>
      <c r="O41" s="258"/>
      <c r="P41" s="16"/>
      <c r="Q41" s="17"/>
      <c r="R41" s="15"/>
      <c r="S41" s="16"/>
    </row>
    <row r="42" spans="1:22" ht="15" thickBot="1" x14ac:dyDescent="0.35">
      <c r="A42" s="148" t="s">
        <v>1</v>
      </c>
      <c r="B42" s="148">
        <f>SUM(B33:B41)</f>
        <v>11605035.447601812</v>
      </c>
      <c r="C42" s="148">
        <f>SUM(C33:C41)</f>
        <v>88248462.599999994</v>
      </c>
      <c r="D42" s="170"/>
      <c r="E42" s="148">
        <f>SUM(E33:E41)</f>
        <v>11643601.479757711</v>
      </c>
      <c r="F42" s="148">
        <f>SUM(F33:F41)</f>
        <v>85481609</v>
      </c>
      <c r="G42" s="79"/>
      <c r="H42" s="148">
        <f>SUM(H33:H41)</f>
        <v>11643601.479757711</v>
      </c>
      <c r="I42" s="148">
        <f>SUM(I33:I41)</f>
        <v>105346348</v>
      </c>
      <c r="J42" s="227"/>
      <c r="K42" s="79"/>
      <c r="L42" s="79"/>
      <c r="M42" s="263"/>
      <c r="N42" s="79"/>
      <c r="O42" s="258"/>
      <c r="P42" s="16"/>
      <c r="Q42" s="8"/>
      <c r="R42" s="15"/>
      <c r="S42" s="16"/>
    </row>
    <row r="43" spans="1:22" ht="15.6" thickTop="1" thickBot="1" x14ac:dyDescent="0.35">
      <c r="A43" s="276" t="s">
        <v>82</v>
      </c>
      <c r="B43" s="277" t="str">
        <f>IF(B42='Sch M'!$E$22,"OK","FIX IT")</f>
        <v>OK</v>
      </c>
      <c r="C43" s="277" t="str">
        <f>IF(C42='Sch M'!$G$22,"OK","FIX IT")</f>
        <v>OK</v>
      </c>
      <c r="D43" s="170"/>
      <c r="E43" s="277" t="str">
        <f>IF(E42='Sch M'!$T$22,"OK","FIX IT")</f>
        <v>OK</v>
      </c>
      <c r="F43" s="277" t="str">
        <f>IF(F42='Sch M'!$Q$22,"OK","FIX IT")</f>
        <v>OK</v>
      </c>
      <c r="G43" s="94"/>
      <c r="H43" s="277" t="str">
        <f>IF(H42='Sch M'!$T$22,"OK","FIX IT")</f>
        <v>OK</v>
      </c>
      <c r="I43" s="277" t="str">
        <f>IF(I42='Sch M'!$V$22,"OK","FIX IT")</f>
        <v>OK</v>
      </c>
      <c r="J43" s="227"/>
      <c r="K43" s="263"/>
      <c r="L43" s="263"/>
      <c r="M43" s="263"/>
      <c r="N43" s="79"/>
      <c r="O43" s="258"/>
      <c r="P43" s="16"/>
      <c r="Q43" s="8"/>
      <c r="R43" s="15"/>
      <c r="S43" s="16"/>
    </row>
    <row r="44" spans="1:22" ht="15" thickTop="1" x14ac:dyDescent="0.3">
      <c r="A44" s="161"/>
      <c r="B44" s="161"/>
      <c r="C44" s="161"/>
      <c r="D44" s="161"/>
      <c r="E44" s="161"/>
      <c r="F44" s="161"/>
      <c r="G44" s="170"/>
      <c r="H44" s="170"/>
      <c r="I44" s="170"/>
      <c r="J44" s="263"/>
      <c r="K44" s="263"/>
      <c r="L44" s="263"/>
      <c r="M44" s="263"/>
      <c r="N44" s="263"/>
      <c r="O44" s="263"/>
      <c r="P44" s="11"/>
      <c r="Q44" s="2"/>
      <c r="R44" s="9"/>
      <c r="S44" s="9"/>
      <c r="T44" s="8"/>
      <c r="U44" s="9"/>
      <c r="V44" s="9"/>
    </row>
    <row r="45" spans="1:22" ht="14.4" x14ac:dyDescent="0.3">
      <c r="A45" s="161"/>
      <c r="B45" s="161"/>
      <c r="C45" s="161"/>
      <c r="D45" s="161"/>
      <c r="E45" s="161"/>
      <c r="F45" s="161"/>
      <c r="G45" s="170"/>
      <c r="H45" s="170"/>
      <c r="I45" s="170"/>
      <c r="J45" s="263"/>
      <c r="K45" s="263"/>
      <c r="L45" s="263"/>
      <c r="M45" s="263"/>
      <c r="N45" s="263"/>
      <c r="O45" s="263"/>
      <c r="P45" s="11"/>
      <c r="Q45" s="10"/>
      <c r="R45" s="11"/>
      <c r="S45" s="11"/>
      <c r="T45" s="8"/>
      <c r="U45" s="11"/>
      <c r="V45" s="11"/>
    </row>
    <row r="46" spans="1:22" ht="14.4" x14ac:dyDescent="0.3">
      <c r="A46" s="161"/>
      <c r="B46" s="161"/>
      <c r="C46" s="161"/>
      <c r="D46" s="161"/>
      <c r="E46" s="161"/>
      <c r="F46" s="161"/>
      <c r="G46" s="170"/>
      <c r="H46" s="170"/>
      <c r="I46" s="170"/>
      <c r="J46" s="263"/>
      <c r="K46" s="263"/>
      <c r="L46" s="263"/>
      <c r="M46" s="263"/>
      <c r="N46" s="263"/>
      <c r="O46" s="263"/>
      <c r="P46" s="11"/>
      <c r="Q46" s="11"/>
      <c r="R46" s="11"/>
      <c r="S46" s="8"/>
      <c r="T46" s="8"/>
      <c r="U46" s="8"/>
      <c r="V46" s="8"/>
    </row>
    <row r="47" spans="1:22" ht="14.4" x14ac:dyDescent="0.3">
      <c r="A47" s="79"/>
      <c r="B47" s="325"/>
      <c r="C47" s="325"/>
      <c r="D47" s="272"/>
      <c r="E47" s="325"/>
      <c r="F47" s="325"/>
      <c r="G47" s="263"/>
      <c r="H47" s="265"/>
      <c r="I47" s="272"/>
      <c r="J47" s="263"/>
      <c r="K47" s="265"/>
      <c r="L47" s="272"/>
      <c r="M47" s="263"/>
      <c r="N47" s="263"/>
      <c r="O47" s="263"/>
      <c r="P47" s="11"/>
      <c r="Q47" s="9"/>
      <c r="R47" s="11"/>
      <c r="S47" s="11"/>
      <c r="T47" s="11"/>
      <c r="U47" s="11"/>
      <c r="V47" s="11"/>
    </row>
    <row r="48" spans="1:22" ht="14.4" x14ac:dyDescent="0.3">
      <c r="A48" s="227"/>
      <c r="B48" s="227" t="s">
        <v>171</v>
      </c>
      <c r="C48" s="227"/>
      <c r="D48" s="227"/>
      <c r="E48" s="227"/>
      <c r="F48" s="227"/>
      <c r="G48" s="263"/>
      <c r="H48" s="263"/>
      <c r="I48" s="263"/>
      <c r="J48" s="227"/>
      <c r="K48" s="263"/>
      <c r="L48" s="263"/>
      <c r="M48" s="263"/>
      <c r="N48" s="263"/>
      <c r="O48" s="263"/>
      <c r="P48" s="11"/>
      <c r="Q48" s="11"/>
      <c r="R48" s="11"/>
      <c r="S48" s="11"/>
      <c r="T48" s="11"/>
      <c r="U48" s="11"/>
      <c r="V48" s="11"/>
    </row>
    <row r="49" spans="1:22" ht="14.4" x14ac:dyDescent="0.3">
      <c r="A49" s="79" t="s">
        <v>3</v>
      </c>
      <c r="B49" s="104"/>
      <c r="C49" s="104"/>
      <c r="D49" s="104"/>
      <c r="E49" s="104"/>
      <c r="F49" s="106">
        <f>F33-C33</f>
        <v>-2188795</v>
      </c>
      <c r="G49" s="263"/>
      <c r="H49" s="104"/>
      <c r="I49" s="104"/>
      <c r="J49" s="227"/>
      <c r="K49" s="104"/>
      <c r="L49" s="104"/>
      <c r="M49" s="227"/>
      <c r="N49" s="265"/>
      <c r="O49" s="272"/>
      <c r="P49" s="11"/>
      <c r="Q49" s="11"/>
      <c r="R49" s="5"/>
      <c r="S49" s="14"/>
      <c r="T49" s="8"/>
      <c r="U49" s="5"/>
      <c r="V49" s="14"/>
    </row>
    <row r="50" spans="1:22" ht="14.4" x14ac:dyDescent="0.3">
      <c r="A50" s="79" t="s">
        <v>50</v>
      </c>
      <c r="B50" s="104"/>
      <c r="C50" s="104"/>
      <c r="D50" s="104"/>
      <c r="E50" s="104"/>
      <c r="F50" s="106">
        <f>F34-C34</f>
        <v>-1022119</v>
      </c>
      <c r="G50" s="263"/>
      <c r="H50" s="104"/>
      <c r="I50" s="104"/>
      <c r="J50" s="227"/>
      <c r="K50" s="104"/>
      <c r="L50" s="104"/>
      <c r="M50" s="227"/>
      <c r="N50" s="263"/>
      <c r="O50" s="263"/>
      <c r="P50" s="11"/>
      <c r="Q50" s="8"/>
      <c r="R50" s="8"/>
      <c r="S50" s="8"/>
      <c r="T50" s="8"/>
      <c r="U50" s="11"/>
      <c r="V50" s="11"/>
    </row>
    <row r="51" spans="1:22" ht="14.4" x14ac:dyDescent="0.3">
      <c r="A51" s="79" t="s">
        <v>5</v>
      </c>
      <c r="B51" s="258"/>
      <c r="C51" s="154"/>
      <c r="D51" s="154"/>
      <c r="E51" s="258"/>
      <c r="F51" s="106">
        <f t="shared" ref="F51:F54" si="2">F35-C35</f>
        <v>-297322</v>
      </c>
      <c r="G51" s="263"/>
      <c r="H51" s="258"/>
      <c r="I51" s="154"/>
      <c r="J51" s="79"/>
      <c r="K51" s="258"/>
      <c r="L51" s="154"/>
      <c r="M51" s="227"/>
      <c r="N51" s="104"/>
      <c r="O51" s="104"/>
      <c r="P51" s="11"/>
      <c r="Q51" s="8"/>
      <c r="R51" s="3"/>
      <c r="S51" s="3"/>
      <c r="T51" s="8"/>
      <c r="U51" s="3"/>
      <c r="V51" s="3"/>
    </row>
    <row r="52" spans="1:22" ht="14.4" x14ac:dyDescent="0.3">
      <c r="A52" s="79" t="s">
        <v>68</v>
      </c>
      <c r="B52" s="258"/>
      <c r="C52" s="154"/>
      <c r="D52" s="154"/>
      <c r="E52" s="258"/>
      <c r="F52" s="106">
        <f t="shared" si="2"/>
        <v>-82247</v>
      </c>
      <c r="G52" s="263"/>
      <c r="H52" s="258"/>
      <c r="I52" s="154"/>
      <c r="J52" s="79"/>
      <c r="K52" s="258"/>
      <c r="L52" s="154"/>
      <c r="M52" s="227"/>
      <c r="N52" s="104"/>
      <c r="O52" s="104"/>
      <c r="P52" s="11"/>
      <c r="Q52" s="8"/>
      <c r="R52" s="3"/>
      <c r="S52" s="3"/>
      <c r="T52" s="8"/>
      <c r="U52" s="3"/>
      <c r="V52" s="3"/>
    </row>
    <row r="53" spans="1:22" ht="14.4" x14ac:dyDescent="0.3">
      <c r="A53" s="79" t="s">
        <v>69</v>
      </c>
      <c r="B53" s="258"/>
      <c r="C53" s="154"/>
      <c r="D53" s="154"/>
      <c r="E53" s="258"/>
      <c r="F53" s="106">
        <f t="shared" si="2"/>
        <v>-186712</v>
      </c>
      <c r="G53" s="263"/>
      <c r="H53" s="258"/>
      <c r="I53" s="154"/>
      <c r="J53" s="79"/>
      <c r="K53" s="258"/>
      <c r="L53" s="154"/>
      <c r="M53" s="275"/>
      <c r="N53" s="258"/>
      <c r="O53" s="154"/>
      <c r="P53" s="11"/>
      <c r="Q53" s="2"/>
      <c r="R53" s="15"/>
      <c r="S53" s="16"/>
      <c r="T53" s="17"/>
      <c r="U53" s="15"/>
      <c r="V53" s="16"/>
    </row>
    <row r="54" spans="1:22" ht="14.4" x14ac:dyDescent="0.3">
      <c r="A54" s="79" t="s">
        <v>133</v>
      </c>
      <c r="B54" s="258"/>
      <c r="C54" s="154"/>
      <c r="D54" s="154"/>
      <c r="E54" s="258"/>
      <c r="F54" s="106">
        <f t="shared" si="2"/>
        <v>-153223</v>
      </c>
      <c r="G54" s="263"/>
      <c r="H54" s="258"/>
      <c r="I54" s="154"/>
      <c r="J54" s="79"/>
      <c r="K54" s="258"/>
      <c r="L54" s="154"/>
      <c r="M54" s="275"/>
      <c r="N54" s="258"/>
      <c r="O54" s="154"/>
      <c r="P54" s="11"/>
      <c r="Q54" s="2"/>
      <c r="R54" s="15"/>
      <c r="S54" s="16"/>
      <c r="T54" s="17"/>
      <c r="U54" s="15"/>
      <c r="V54" s="16"/>
    </row>
    <row r="55" spans="1:22" ht="14.4" x14ac:dyDescent="0.3">
      <c r="A55" s="79" t="s">
        <v>161</v>
      </c>
      <c r="B55" s="258"/>
      <c r="C55" s="154"/>
      <c r="D55" s="154"/>
      <c r="E55" s="258"/>
      <c r="F55" s="106">
        <f>F40-C40</f>
        <v>-20580</v>
      </c>
      <c r="G55" s="263"/>
      <c r="H55" s="258"/>
      <c r="I55" s="154"/>
      <c r="J55" s="79"/>
      <c r="K55" s="258"/>
      <c r="L55" s="154"/>
      <c r="M55" s="275"/>
      <c r="N55" s="258"/>
      <c r="O55" s="154"/>
      <c r="P55" s="11"/>
      <c r="Q55" s="2"/>
      <c r="R55" s="15"/>
      <c r="S55" s="16"/>
      <c r="T55" s="17"/>
      <c r="U55" s="15"/>
      <c r="V55" s="16"/>
    </row>
    <row r="56" spans="1:22" ht="14.4" x14ac:dyDescent="0.3">
      <c r="A56" s="79" t="s">
        <v>1</v>
      </c>
      <c r="B56" s="258"/>
      <c r="C56" s="154"/>
      <c r="D56" s="154"/>
      <c r="E56" s="258"/>
      <c r="F56" s="156">
        <f>SUM(F49:F55)</f>
        <v>-3950998</v>
      </c>
      <c r="G56" s="263"/>
      <c r="H56" s="258"/>
      <c r="I56" s="154"/>
      <c r="J56" s="79"/>
      <c r="K56" s="258"/>
      <c r="L56" s="154"/>
      <c r="M56" s="275"/>
      <c r="N56" s="258"/>
      <c r="O56" s="154"/>
      <c r="P56" s="11"/>
      <c r="Q56" s="2"/>
      <c r="R56" s="15"/>
      <c r="S56" s="16"/>
      <c r="T56" s="17"/>
      <c r="U56" s="15"/>
      <c r="V56" s="16"/>
    </row>
    <row r="57" spans="1:22" ht="14.4" x14ac:dyDescent="0.3">
      <c r="A57" s="227"/>
      <c r="B57" s="227"/>
      <c r="C57" s="227"/>
      <c r="D57" s="227"/>
      <c r="E57" s="227"/>
      <c r="F57" s="227"/>
      <c r="G57" s="263"/>
      <c r="H57" s="263"/>
      <c r="I57" s="263"/>
      <c r="J57" s="263"/>
      <c r="K57" s="263"/>
      <c r="L57" s="263"/>
      <c r="M57" s="275"/>
      <c r="N57" s="258"/>
      <c r="O57" s="154"/>
      <c r="P57" s="11"/>
      <c r="Q57" s="2"/>
      <c r="R57" s="15"/>
      <c r="S57" s="16"/>
      <c r="T57" s="17"/>
      <c r="U57" s="15"/>
      <c r="V57" s="16"/>
    </row>
    <row r="58" spans="1:22" ht="14.4" x14ac:dyDescent="0.3">
      <c r="A58" s="79"/>
      <c r="B58" s="258"/>
      <c r="C58" s="154"/>
      <c r="D58" s="154"/>
      <c r="E58" s="258"/>
      <c r="F58" s="154"/>
      <c r="G58" s="263"/>
      <c r="H58" s="258"/>
      <c r="I58" s="154"/>
      <c r="J58" s="79"/>
      <c r="K58" s="258"/>
      <c r="L58" s="154"/>
      <c r="M58" s="275"/>
      <c r="N58" s="258"/>
      <c r="O58" s="154"/>
      <c r="P58" s="11"/>
      <c r="Q58" s="2"/>
      <c r="R58" s="15"/>
      <c r="S58" s="16"/>
      <c r="T58" s="17"/>
      <c r="U58" s="15"/>
      <c r="V58" s="16"/>
    </row>
    <row r="59" spans="1:22" ht="14.4" x14ac:dyDescent="0.3">
      <c r="A59" s="79"/>
      <c r="B59" s="79"/>
      <c r="C59" s="79"/>
      <c r="D59" s="79"/>
      <c r="E59" s="79"/>
      <c r="F59" s="79"/>
      <c r="G59" s="263"/>
      <c r="H59" s="79"/>
      <c r="I59" s="79"/>
      <c r="J59" s="79"/>
      <c r="K59" s="79"/>
      <c r="L59" s="79"/>
      <c r="M59" s="275"/>
      <c r="N59" s="258"/>
      <c r="O59" s="154"/>
      <c r="P59" s="11"/>
      <c r="Q59" s="2"/>
      <c r="R59" s="15"/>
      <c r="S59" s="16"/>
      <c r="T59" s="17"/>
      <c r="U59" s="15"/>
      <c r="V59" s="16"/>
    </row>
    <row r="60" spans="1:22" ht="14.4" x14ac:dyDescent="0.3">
      <c r="A60" s="94"/>
      <c r="B60" s="263"/>
      <c r="C60" s="263"/>
      <c r="D60" s="263"/>
      <c r="E60" s="263"/>
      <c r="F60" s="263"/>
      <c r="G60" s="263"/>
      <c r="H60" s="263"/>
      <c r="I60" s="263"/>
      <c r="J60" s="94"/>
      <c r="K60" s="263"/>
      <c r="L60" s="263"/>
      <c r="M60" s="275"/>
      <c r="N60" s="258"/>
      <c r="O60" s="154"/>
      <c r="P60" s="11"/>
      <c r="Q60" s="2"/>
      <c r="R60" s="15"/>
      <c r="S60" s="16"/>
      <c r="T60" s="17"/>
      <c r="U60" s="15"/>
      <c r="V60" s="16"/>
    </row>
    <row r="61" spans="1:22" ht="14.4" x14ac:dyDescent="0.3">
      <c r="A61" s="227"/>
      <c r="B61" s="227"/>
      <c r="C61" s="227"/>
      <c r="D61" s="227"/>
      <c r="E61" s="227"/>
      <c r="F61" s="227"/>
      <c r="G61" s="263"/>
      <c r="H61" s="263"/>
      <c r="I61" s="263"/>
      <c r="J61" s="263"/>
      <c r="K61" s="263"/>
      <c r="L61" s="263"/>
      <c r="M61" s="263"/>
      <c r="N61" s="263"/>
      <c r="O61" s="263"/>
      <c r="P61" s="11"/>
      <c r="Q61" s="11"/>
      <c r="R61" s="11"/>
      <c r="S61" s="8"/>
      <c r="T61" s="8"/>
      <c r="U61" s="8"/>
      <c r="V61" s="8"/>
    </row>
    <row r="62" spans="1:22" ht="14.4" x14ac:dyDescent="0.3">
      <c r="A62" s="227"/>
      <c r="B62" s="227"/>
      <c r="C62" s="227"/>
      <c r="D62" s="227"/>
      <c r="E62" s="227"/>
      <c r="F62" s="227"/>
      <c r="G62" s="263"/>
      <c r="H62" s="263"/>
      <c r="I62" s="263"/>
      <c r="J62" s="263"/>
      <c r="K62" s="263"/>
      <c r="L62" s="263"/>
      <c r="M62" s="263"/>
      <c r="N62" s="263"/>
      <c r="O62" s="263"/>
      <c r="P62" s="11"/>
      <c r="Q62" s="11"/>
      <c r="R62" s="11"/>
      <c r="S62" s="8"/>
      <c r="T62" s="8"/>
      <c r="U62" s="8"/>
      <c r="V62" s="8"/>
    </row>
    <row r="63" spans="1:22" ht="14.4" x14ac:dyDescent="0.3">
      <c r="A63" s="227" t="s">
        <v>179</v>
      </c>
      <c r="B63" s="227"/>
      <c r="C63" s="227"/>
      <c r="D63" s="227"/>
      <c r="E63" s="227"/>
      <c r="F63" s="227"/>
      <c r="G63" s="263"/>
      <c r="H63" s="263"/>
      <c r="I63" s="263"/>
      <c r="J63" s="263"/>
      <c r="K63" s="263"/>
      <c r="L63" s="263"/>
      <c r="M63" s="263"/>
      <c r="N63" s="263"/>
      <c r="O63" s="263"/>
      <c r="P63" s="11"/>
      <c r="Q63" s="11"/>
      <c r="R63" s="11"/>
      <c r="S63" s="8"/>
      <c r="T63" s="8"/>
      <c r="U63" s="8"/>
      <c r="V63" s="8"/>
    </row>
    <row r="64" spans="1:22" ht="14.4" x14ac:dyDescent="0.3">
      <c r="A64" s="79" t="s">
        <v>180</v>
      </c>
      <c r="B64" s="298">
        <f>+'Sch M'!F91</f>
        <v>13.691035724794334</v>
      </c>
      <c r="C64" s="278"/>
      <c r="D64" s="272"/>
      <c r="E64" s="325"/>
      <c r="F64" s="325"/>
      <c r="G64" s="263"/>
      <c r="H64" s="265"/>
      <c r="I64" s="272"/>
      <c r="J64" s="263"/>
      <c r="K64" s="265"/>
      <c r="L64" s="272"/>
      <c r="M64" s="263"/>
      <c r="N64" s="263"/>
      <c r="O64" s="263"/>
      <c r="P64" s="11"/>
      <c r="Q64" s="9"/>
      <c r="R64" s="11"/>
      <c r="S64" s="11"/>
      <c r="T64" s="11"/>
      <c r="U64" s="11"/>
      <c r="V64" s="11"/>
    </row>
    <row r="65" spans="1:22" ht="14.4" x14ac:dyDescent="0.3">
      <c r="A65" s="227" t="s">
        <v>181</v>
      </c>
      <c r="B65" s="94">
        <f>+'Sch M'!E262</f>
        <v>3137.8147203140338</v>
      </c>
      <c r="C65" s="227"/>
      <c r="D65" s="227"/>
      <c r="E65" s="227"/>
      <c r="F65" s="227"/>
      <c r="G65" s="263"/>
      <c r="H65" s="263"/>
      <c r="I65" s="263"/>
      <c r="J65" s="227"/>
      <c r="K65" s="263"/>
      <c r="L65" s="263"/>
      <c r="M65" s="263"/>
      <c r="N65" s="263"/>
      <c r="O65" s="263"/>
      <c r="P65" s="11"/>
      <c r="Q65" s="11"/>
      <c r="R65" s="11"/>
      <c r="S65" s="11"/>
      <c r="T65" s="11"/>
      <c r="U65" s="11"/>
      <c r="V65" s="11"/>
    </row>
    <row r="66" spans="1:22" ht="14.4" x14ac:dyDescent="0.3">
      <c r="A66" s="227"/>
      <c r="B66" s="104"/>
      <c r="C66" s="104"/>
      <c r="D66" s="104"/>
      <c r="E66" s="104"/>
      <c r="F66" s="104"/>
      <c r="G66" s="263"/>
      <c r="H66" s="104"/>
      <c r="I66" s="104"/>
      <c r="J66" s="227"/>
      <c r="K66" s="104"/>
      <c r="L66" s="104"/>
      <c r="M66" s="227"/>
      <c r="N66" s="265"/>
      <c r="O66" s="272"/>
      <c r="P66" s="11"/>
      <c r="Q66" s="11"/>
      <c r="R66" s="5"/>
      <c r="S66" s="14"/>
      <c r="T66" s="8"/>
      <c r="U66" s="5"/>
      <c r="V66" s="14"/>
    </row>
    <row r="67" spans="1:22" ht="14.4" x14ac:dyDescent="0.3">
      <c r="A67" s="195"/>
      <c r="B67" s="106" t="s">
        <v>18</v>
      </c>
      <c r="C67" s="106"/>
      <c r="D67" s="104"/>
      <c r="E67" s="104"/>
      <c r="F67" s="104"/>
      <c r="G67" s="263"/>
      <c r="H67" s="104"/>
      <c r="I67" s="104"/>
      <c r="J67" s="227"/>
      <c r="K67" s="104"/>
      <c r="L67" s="104"/>
      <c r="M67" s="227"/>
      <c r="N67" s="263"/>
      <c r="O67" s="263"/>
      <c r="P67" s="11"/>
      <c r="Q67" s="8"/>
      <c r="R67" s="8"/>
      <c r="S67" s="8"/>
      <c r="T67" s="8"/>
      <c r="U67" s="11"/>
      <c r="V67" s="11"/>
    </row>
    <row r="68" spans="1:22" ht="14.4" x14ac:dyDescent="0.3">
      <c r="A68" s="94"/>
      <c r="B68" s="123" t="s">
        <v>128</v>
      </c>
      <c r="C68" s="156" t="s">
        <v>187</v>
      </c>
      <c r="D68" s="154" t="s">
        <v>188</v>
      </c>
      <c r="E68" s="258"/>
      <c r="F68" s="154"/>
      <c r="G68" s="263"/>
      <c r="H68" s="258"/>
      <c r="I68" s="154"/>
      <c r="J68" s="79"/>
      <c r="K68" s="258"/>
      <c r="L68" s="154"/>
      <c r="M68" s="227"/>
      <c r="N68" s="104"/>
      <c r="O68" s="104"/>
      <c r="P68" s="11"/>
      <c r="Q68" s="8"/>
      <c r="R68" s="3"/>
      <c r="S68" s="3"/>
      <c r="T68" s="8"/>
      <c r="U68" s="3"/>
      <c r="V68" s="3"/>
    </row>
    <row r="69" spans="1:22" ht="14.4" x14ac:dyDescent="0.3">
      <c r="A69" s="94" t="s">
        <v>184</v>
      </c>
      <c r="B69" s="322">
        <f>'Sch N'!A39</f>
        <v>3.8625784976384105</v>
      </c>
      <c r="C69" s="323">
        <f>'Sch N'!C39</f>
        <v>32.1</v>
      </c>
      <c r="D69" s="324">
        <f>'Sch N'!E39</f>
        <v>39.58</v>
      </c>
      <c r="E69" s="258"/>
      <c r="F69" s="154"/>
      <c r="G69" s="263"/>
      <c r="H69" s="258"/>
      <c r="I69" s="154"/>
      <c r="J69" s="79"/>
      <c r="K69" s="258"/>
      <c r="L69" s="154"/>
      <c r="M69" s="227"/>
      <c r="N69" s="104"/>
      <c r="O69" s="104"/>
      <c r="P69" s="11"/>
      <c r="Q69" s="8"/>
      <c r="R69" s="3"/>
      <c r="S69" s="3"/>
      <c r="T69" s="8"/>
      <c r="U69" s="3"/>
      <c r="V69" s="3"/>
    </row>
    <row r="70" spans="1:22" ht="14.4" x14ac:dyDescent="0.3">
      <c r="A70" s="79" t="s">
        <v>214</v>
      </c>
      <c r="B70" s="258"/>
      <c r="C70" s="154"/>
      <c r="D70" s="154"/>
      <c r="E70" s="258"/>
      <c r="F70" s="154"/>
      <c r="G70" s="263"/>
      <c r="H70" s="258"/>
      <c r="I70" s="154"/>
      <c r="J70" s="79"/>
      <c r="K70" s="258"/>
      <c r="L70" s="154"/>
      <c r="M70" s="275"/>
      <c r="N70" s="258"/>
      <c r="O70" s="154"/>
      <c r="P70" s="11"/>
      <c r="Q70" s="2"/>
      <c r="R70" s="15"/>
      <c r="S70" s="16"/>
      <c r="T70" s="17"/>
      <c r="U70" s="15"/>
      <c r="V70" s="16"/>
    </row>
    <row r="71" spans="1:22" ht="14.4" x14ac:dyDescent="0.3">
      <c r="A71" s="79"/>
      <c r="B71" s="99" t="s">
        <v>181</v>
      </c>
      <c r="C71" s="154"/>
      <c r="D71" s="279" t="s">
        <v>187</v>
      </c>
      <c r="E71" s="258"/>
      <c r="F71" s="279" t="s">
        <v>188</v>
      </c>
      <c r="G71" s="263"/>
      <c r="H71" s="258"/>
      <c r="I71" s="154"/>
      <c r="J71" s="79"/>
      <c r="K71" s="258"/>
      <c r="L71" s="154"/>
      <c r="M71" s="275"/>
      <c r="N71" s="258"/>
      <c r="O71" s="154"/>
      <c r="P71" s="11"/>
      <c r="Q71" s="2"/>
      <c r="R71" s="15"/>
      <c r="S71" s="16"/>
      <c r="T71" s="17"/>
      <c r="U71" s="15"/>
      <c r="V71" s="16"/>
    </row>
    <row r="72" spans="1:22" ht="14.4" x14ac:dyDescent="0.3">
      <c r="A72" s="109" t="s">
        <v>127</v>
      </c>
      <c r="B72" s="280">
        <f>'Sch N'!A20</f>
        <v>4</v>
      </c>
      <c r="C72" s="154"/>
      <c r="D72" s="281">
        <f>'Sch N'!C39</f>
        <v>32.1</v>
      </c>
      <c r="E72" s="281"/>
      <c r="F72" s="281">
        <f>'Sch N'!E39</f>
        <v>39.58</v>
      </c>
      <c r="G72" s="263"/>
      <c r="H72" s="258"/>
      <c r="I72" s="154"/>
      <c r="J72" s="79"/>
      <c r="K72" s="258"/>
      <c r="L72" s="154"/>
      <c r="M72" s="275"/>
      <c r="N72" s="258"/>
      <c r="O72" s="154"/>
      <c r="P72" s="11"/>
      <c r="Q72" s="2"/>
      <c r="R72" s="15"/>
      <c r="S72" s="16"/>
      <c r="T72" s="17"/>
      <c r="U72" s="15"/>
      <c r="V72" s="16"/>
    </row>
    <row r="73" spans="1:22" ht="14.4" x14ac:dyDescent="0.3">
      <c r="A73" s="79"/>
      <c r="B73" s="258"/>
      <c r="C73" s="154"/>
      <c r="D73" s="154"/>
      <c r="E73" s="258"/>
      <c r="F73" s="154"/>
      <c r="G73" s="263"/>
      <c r="H73" s="258"/>
      <c r="I73" s="154"/>
      <c r="J73" s="79"/>
      <c r="K73" s="258"/>
      <c r="L73" s="154"/>
      <c r="M73" s="275"/>
      <c r="N73" s="258"/>
      <c r="O73" s="154"/>
      <c r="P73" s="11"/>
      <c r="Q73" s="2"/>
      <c r="R73" s="15"/>
      <c r="S73" s="16"/>
      <c r="T73" s="17"/>
      <c r="U73" s="15"/>
      <c r="V73" s="16"/>
    </row>
    <row r="74" spans="1:22" ht="14.4" x14ac:dyDescent="0.3">
      <c r="A74" s="227"/>
      <c r="B74" s="227"/>
      <c r="C74" s="227"/>
      <c r="D74" s="227"/>
      <c r="E74" s="227"/>
      <c r="F74" s="227"/>
      <c r="G74" s="263"/>
      <c r="H74" s="263"/>
      <c r="I74" s="263"/>
      <c r="J74" s="263"/>
      <c r="K74" s="263"/>
      <c r="L74" s="263"/>
      <c r="M74" s="275"/>
      <c r="N74" s="258"/>
      <c r="O74" s="154"/>
      <c r="P74" s="11"/>
      <c r="Q74" s="2"/>
      <c r="R74" s="15"/>
      <c r="S74" s="16"/>
      <c r="T74" s="17"/>
      <c r="U74" s="15"/>
      <c r="V74" s="16"/>
    </row>
    <row r="75" spans="1:22" ht="14.4" x14ac:dyDescent="0.3">
      <c r="A75" s="79" t="s">
        <v>185</v>
      </c>
      <c r="B75" s="282">
        <f>'Sch M'!X36</f>
        <v>0</v>
      </c>
      <c r="C75" s="154"/>
      <c r="D75" s="154"/>
      <c r="E75" s="258"/>
      <c r="F75" s="154"/>
      <c r="G75" s="263"/>
      <c r="H75" s="258"/>
      <c r="I75" s="154"/>
      <c r="J75" s="79"/>
      <c r="K75" s="258"/>
      <c r="L75" s="154"/>
      <c r="M75" s="275"/>
      <c r="N75" s="258"/>
      <c r="O75" s="154"/>
      <c r="P75" s="11"/>
      <c r="Q75" s="2"/>
      <c r="R75" s="15"/>
      <c r="S75" s="16"/>
      <c r="T75" s="17"/>
      <c r="U75" s="15"/>
      <c r="V75" s="16"/>
    </row>
    <row r="76" spans="1:22" ht="14.4" x14ac:dyDescent="0.3">
      <c r="A76" s="79"/>
      <c r="B76" s="79"/>
      <c r="C76" s="79"/>
      <c r="D76" s="79"/>
      <c r="E76" s="79"/>
      <c r="F76" s="79"/>
      <c r="G76" s="263"/>
      <c r="H76" s="79"/>
      <c r="I76" s="79"/>
      <c r="J76" s="79"/>
      <c r="K76" s="79"/>
      <c r="L76" s="79"/>
      <c r="M76" s="275"/>
      <c r="N76" s="258"/>
      <c r="O76" s="154"/>
      <c r="P76" s="11"/>
      <c r="Q76" s="2"/>
      <c r="R76" s="15"/>
      <c r="S76" s="16"/>
      <c r="T76" s="17"/>
      <c r="U76" s="15"/>
      <c r="V76" s="16"/>
    </row>
    <row r="77" spans="1:22" ht="14.4" x14ac:dyDescent="0.3">
      <c r="A77" s="94"/>
      <c r="B77" s="263"/>
      <c r="C77" s="263"/>
      <c r="D77" s="263"/>
      <c r="E77" s="263"/>
      <c r="F77" s="263"/>
      <c r="G77" s="263"/>
      <c r="H77" s="263"/>
      <c r="I77" s="263"/>
      <c r="J77" s="94"/>
      <c r="K77" s="263"/>
      <c r="L77" s="263"/>
      <c r="M77" s="275"/>
      <c r="N77" s="258"/>
      <c r="O77" s="154"/>
      <c r="P77" s="11"/>
      <c r="Q77" s="2"/>
      <c r="R77" s="15"/>
      <c r="S77" s="16"/>
      <c r="T77" s="17"/>
      <c r="U77" s="15"/>
      <c r="V77" s="16"/>
    </row>
    <row r="78" spans="1:22" ht="14.4" x14ac:dyDescent="0.3">
      <c r="A78" s="94" t="str">
        <f ca="1">'Sch M'!Z6</f>
        <v>Revenues\[KAWC 2018 Rate Case - Revenue.xlsx]Sch M</v>
      </c>
      <c r="B78" s="227"/>
      <c r="C78" s="227"/>
      <c r="D78" s="227"/>
      <c r="E78" s="227"/>
      <c r="F78" s="227"/>
      <c r="G78" s="263"/>
      <c r="H78" s="263"/>
      <c r="I78" s="263"/>
      <c r="J78" s="263"/>
      <c r="K78" s="263"/>
      <c r="L78" s="263"/>
      <c r="M78" s="263"/>
      <c r="N78" s="263"/>
      <c r="O78" s="263"/>
      <c r="P78" s="11"/>
      <c r="Q78" s="11"/>
      <c r="R78" s="11"/>
      <c r="S78" s="8"/>
      <c r="T78" s="8"/>
      <c r="U78" s="8"/>
      <c r="V78" s="8"/>
    </row>
    <row r="79" spans="1:22" ht="14.4" x14ac:dyDescent="0.3">
      <c r="A79" s="227"/>
      <c r="B79" s="227"/>
      <c r="C79" s="227"/>
      <c r="D79" s="227"/>
      <c r="E79" s="227"/>
      <c r="F79" s="227"/>
      <c r="G79" s="263"/>
      <c r="H79" s="263"/>
      <c r="I79" s="263"/>
      <c r="J79" s="263"/>
      <c r="K79" s="263"/>
      <c r="L79" s="263"/>
      <c r="M79" s="263"/>
      <c r="N79" s="263"/>
      <c r="O79" s="263"/>
      <c r="P79" s="11"/>
      <c r="Q79" s="11"/>
      <c r="R79" s="11"/>
      <c r="S79" s="8"/>
      <c r="T79" s="8"/>
      <c r="U79" s="8"/>
      <c r="V79" s="8"/>
    </row>
    <row r="80" spans="1:22" ht="14.4" x14ac:dyDescent="0.3">
      <c r="A80" s="283"/>
      <c r="B80" s="283"/>
      <c r="C80" s="283"/>
      <c r="D80" s="227" t="s">
        <v>121</v>
      </c>
      <c r="E80" s="227"/>
      <c r="F80" s="227"/>
      <c r="G80" s="263"/>
      <c r="H80" s="263"/>
      <c r="I80" s="263"/>
      <c r="J80" s="263"/>
      <c r="K80" s="263"/>
      <c r="L80" s="263"/>
      <c r="M80" s="263"/>
      <c r="N80" s="263"/>
      <c r="O80" s="263"/>
      <c r="P80" s="11"/>
      <c r="Q80" s="11"/>
      <c r="R80" s="11"/>
      <c r="S80" s="8"/>
      <c r="T80" s="8"/>
      <c r="U80" s="8"/>
      <c r="V80" s="8"/>
    </row>
    <row r="81" spans="1:23" ht="14.4" x14ac:dyDescent="0.3">
      <c r="A81" s="104" t="s">
        <v>191</v>
      </c>
      <c r="B81" s="104"/>
      <c r="C81" s="283" t="s">
        <v>192</v>
      </c>
      <c r="D81" s="104"/>
      <c r="E81" s="278" t="s">
        <v>193</v>
      </c>
      <c r="F81" s="278"/>
      <c r="G81" s="278" t="s">
        <v>195</v>
      </c>
      <c r="H81" s="278"/>
      <c r="I81" s="278"/>
      <c r="J81" s="278"/>
      <c r="K81" s="265"/>
      <c r="L81" s="272"/>
      <c r="M81" s="263"/>
      <c r="N81" s="263"/>
      <c r="O81" s="263"/>
      <c r="P81" s="11"/>
      <c r="Q81" s="9"/>
      <c r="R81" s="11"/>
      <c r="S81" s="11"/>
      <c r="T81" s="11"/>
      <c r="U81" s="11"/>
      <c r="V81" s="11"/>
      <c r="W81" s="8"/>
    </row>
    <row r="82" spans="1:23" ht="14.4" x14ac:dyDescent="0.3">
      <c r="A82" s="107" t="s">
        <v>2</v>
      </c>
      <c r="B82" s="104"/>
      <c r="C82" s="284" t="s">
        <v>48</v>
      </c>
      <c r="D82" s="107"/>
      <c r="E82" s="278" t="s">
        <v>194</v>
      </c>
      <c r="F82" s="278"/>
      <c r="G82" s="278" t="s">
        <v>193</v>
      </c>
      <c r="H82" s="278"/>
      <c r="I82" s="278"/>
      <c r="J82" s="278"/>
      <c r="K82" s="263"/>
      <c r="L82" s="263"/>
      <c r="M82" s="263"/>
      <c r="N82" s="263"/>
      <c r="O82" s="263"/>
      <c r="P82" s="11"/>
      <c r="Q82" s="11"/>
      <c r="R82" s="11"/>
      <c r="S82" s="11"/>
      <c r="T82" s="11"/>
      <c r="U82" s="11"/>
      <c r="V82" s="11"/>
      <c r="W82" s="8"/>
    </row>
    <row r="83" spans="1:23" ht="14.4" x14ac:dyDescent="0.3">
      <c r="A83" s="161"/>
      <c r="B83" s="109"/>
      <c r="C83" s="283"/>
      <c r="D83" s="109"/>
      <c r="E83" s="278"/>
      <c r="F83" s="278"/>
      <c r="G83" s="278"/>
      <c r="H83" s="278"/>
      <c r="I83" s="278"/>
      <c r="J83" s="278"/>
      <c r="K83" s="104"/>
      <c r="L83" s="104"/>
      <c r="M83" s="227"/>
      <c r="N83" s="265"/>
      <c r="O83" s="272"/>
      <c r="Q83" s="11"/>
      <c r="R83" s="5"/>
      <c r="S83" s="14"/>
      <c r="T83" s="8"/>
      <c r="U83" s="5"/>
      <c r="V83" s="14"/>
      <c r="W83" s="8"/>
    </row>
    <row r="84" spans="1:23" ht="14.4" x14ac:dyDescent="0.3">
      <c r="A84" s="79" t="s">
        <v>25</v>
      </c>
      <c r="B84" s="110"/>
      <c r="C84" s="285">
        <f>SUM('Sch M'!V52:V61)</f>
        <v>22619784</v>
      </c>
      <c r="D84" s="106"/>
      <c r="E84" s="286">
        <f>SUM('Sch M'!T66:T72)</f>
        <v>5631654.8998707933</v>
      </c>
      <c r="F84" s="286"/>
      <c r="G84" s="286">
        <f>SUM('Sch M'!V66:V72)</f>
        <v>35839852</v>
      </c>
      <c r="H84" s="278"/>
      <c r="I84" s="278"/>
      <c r="J84" s="278"/>
      <c r="K84" s="104"/>
      <c r="L84" s="104"/>
      <c r="M84" s="227"/>
      <c r="N84" s="263"/>
      <c r="O84" s="263"/>
      <c r="Q84" s="8"/>
      <c r="R84" s="8"/>
      <c r="S84" s="8"/>
      <c r="T84" s="8"/>
      <c r="U84" s="11"/>
      <c r="V84" s="11"/>
      <c r="W84" s="8"/>
    </row>
    <row r="85" spans="1:23" ht="14.4" x14ac:dyDescent="0.3">
      <c r="A85" s="79"/>
      <c r="B85" s="79"/>
      <c r="C85" s="287"/>
      <c r="D85" s="156"/>
      <c r="E85" s="286"/>
      <c r="F85" s="286"/>
      <c r="G85" s="286"/>
      <c r="H85" s="278"/>
      <c r="I85" s="278"/>
      <c r="J85" s="278"/>
      <c r="K85" s="258"/>
      <c r="L85" s="154"/>
      <c r="M85" s="227"/>
      <c r="N85" s="104"/>
      <c r="O85" s="104"/>
      <c r="Q85" s="8"/>
      <c r="R85" s="3"/>
      <c r="S85" s="3"/>
      <c r="T85" s="8"/>
      <c r="U85" s="3"/>
      <c r="V85" s="3"/>
      <c r="W85" s="8"/>
    </row>
    <row r="86" spans="1:23" ht="14.4" x14ac:dyDescent="0.3">
      <c r="A86" s="79" t="str">
        <f>'Sch M'!B89</f>
        <v>Commercial:</v>
      </c>
      <c r="B86" s="79"/>
      <c r="C86" s="285">
        <f>SUM('Sch M'!V91:V100)</f>
        <v>5371765</v>
      </c>
      <c r="D86" s="106"/>
      <c r="E86" s="286">
        <f>SUM('Sch M'!T105:T111)</f>
        <v>3798368.9524469571</v>
      </c>
      <c r="F86" s="286"/>
      <c r="G86" s="286">
        <f>SUM('Sch M'!V105:V111)</f>
        <v>21696284</v>
      </c>
      <c r="H86" s="278"/>
      <c r="I86" s="278"/>
      <c r="J86" s="278"/>
      <c r="K86" s="258"/>
      <c r="L86" s="154"/>
      <c r="M86" s="227"/>
      <c r="N86" s="104"/>
      <c r="O86" s="104"/>
      <c r="Q86" s="8"/>
      <c r="R86" s="3"/>
      <c r="S86" s="3"/>
      <c r="T86" s="8"/>
      <c r="U86" s="3"/>
      <c r="V86" s="3"/>
      <c r="W86" s="8"/>
    </row>
    <row r="87" spans="1:23" ht="14.4" x14ac:dyDescent="0.3">
      <c r="A87" s="79"/>
      <c r="B87" s="79"/>
      <c r="C87" s="287"/>
      <c r="D87" s="156"/>
      <c r="E87" s="286"/>
      <c r="F87" s="286"/>
      <c r="G87" s="286"/>
      <c r="H87" s="278"/>
      <c r="I87" s="278"/>
      <c r="J87" s="278"/>
      <c r="K87" s="258"/>
      <c r="L87" s="154"/>
      <c r="M87" s="275"/>
      <c r="N87" s="258"/>
      <c r="O87" s="154"/>
      <c r="Q87" s="2"/>
      <c r="R87" s="15"/>
      <c r="S87" s="16"/>
      <c r="T87" s="17"/>
      <c r="U87" s="15"/>
      <c r="V87" s="16"/>
      <c r="W87" s="8"/>
    </row>
    <row r="88" spans="1:23" ht="14.4" x14ac:dyDescent="0.3">
      <c r="A88" s="79" t="str">
        <f>'Sch M'!B128</f>
        <v>Industrial:</v>
      </c>
      <c r="B88" s="79"/>
      <c r="C88" s="285">
        <f>SUM('Sch M'!V130:V138)</f>
        <v>161663</v>
      </c>
      <c r="D88" s="106"/>
      <c r="E88" s="286">
        <f>SUM('Sch M'!T144:T150)</f>
        <v>617725.2612666277</v>
      </c>
      <c r="F88" s="286"/>
      <c r="G88" s="286">
        <f>SUM('Sch M'!V144:V150)</f>
        <v>2934195</v>
      </c>
      <c r="H88" s="278"/>
      <c r="I88" s="278"/>
      <c r="J88" s="278"/>
      <c r="K88" s="258"/>
      <c r="L88" s="154"/>
      <c r="M88" s="275"/>
      <c r="N88" s="258"/>
      <c r="O88" s="154"/>
      <c r="Q88" s="2"/>
      <c r="R88" s="15"/>
      <c r="S88" s="16"/>
      <c r="T88" s="17"/>
      <c r="U88" s="15"/>
      <c r="V88" s="16"/>
      <c r="W88" s="8"/>
    </row>
    <row r="89" spans="1:23" ht="14.4" x14ac:dyDescent="0.3">
      <c r="A89" s="79"/>
      <c r="B89" s="79"/>
      <c r="C89" s="287"/>
      <c r="D89" s="156"/>
      <c r="E89" s="286"/>
      <c r="F89" s="286"/>
      <c r="G89" s="286"/>
      <c r="H89" s="278"/>
      <c r="I89" s="278"/>
      <c r="J89" s="278"/>
      <c r="K89" s="258"/>
      <c r="L89" s="154"/>
      <c r="M89" s="275"/>
      <c r="N89" s="258"/>
      <c r="O89" s="154"/>
      <c r="Q89" s="2"/>
      <c r="R89" s="15"/>
      <c r="S89" s="16"/>
      <c r="T89" s="17"/>
      <c r="U89" s="15"/>
      <c r="V89" s="16"/>
      <c r="W89" s="8"/>
    </row>
    <row r="90" spans="1:23" ht="14.4" x14ac:dyDescent="0.3">
      <c r="A90" s="79" t="str">
        <f>'Sch M'!B167</f>
        <v>Other Public Authority:</v>
      </c>
      <c r="B90" s="79"/>
      <c r="C90" s="285">
        <f>SUM('Sch M'!V169:V178)</f>
        <v>1071861</v>
      </c>
      <c r="D90" s="106"/>
      <c r="E90" s="286">
        <f>SUM('Sch M'!T183:T189)</f>
        <v>1165871.6583333332</v>
      </c>
      <c r="F90" s="286"/>
      <c r="G90" s="286">
        <f>SUM('Sch M'!V183:V189)</f>
        <v>6052040</v>
      </c>
      <c r="H90" s="278"/>
      <c r="I90" s="278"/>
      <c r="J90" s="278"/>
      <c r="K90" s="258"/>
      <c r="L90" s="154"/>
      <c r="M90" s="275"/>
      <c r="N90" s="258"/>
      <c r="O90" s="154"/>
      <c r="Q90" s="2"/>
      <c r="R90" s="15"/>
      <c r="S90" s="16"/>
      <c r="T90" s="17"/>
      <c r="U90" s="15"/>
      <c r="V90" s="16"/>
      <c r="W90" s="8"/>
    </row>
    <row r="91" spans="1:23" ht="14.4" x14ac:dyDescent="0.3">
      <c r="A91" s="79"/>
      <c r="B91" s="79"/>
      <c r="C91" s="287"/>
      <c r="D91" s="156"/>
      <c r="E91" s="286"/>
      <c r="F91" s="286"/>
      <c r="G91" s="286"/>
      <c r="H91" s="278"/>
      <c r="I91" s="278"/>
      <c r="J91" s="278"/>
      <c r="K91" s="263"/>
      <c r="L91" s="263"/>
      <c r="M91" s="275"/>
      <c r="N91" s="258"/>
      <c r="O91" s="154"/>
      <c r="Q91" s="2"/>
      <c r="R91" s="15"/>
      <c r="S91" s="16"/>
      <c r="T91" s="17"/>
      <c r="U91" s="15"/>
      <c r="V91" s="16"/>
      <c r="W91" s="8"/>
    </row>
    <row r="92" spans="1:23" ht="14.4" x14ac:dyDescent="0.3">
      <c r="A92" s="79" t="str">
        <f>'Sch M'!B206</f>
        <v>Sale for Resale:</v>
      </c>
      <c r="B92" s="79"/>
      <c r="C92" s="285">
        <f>SUM('Sch M'!V208:V217)</f>
        <v>72945</v>
      </c>
      <c r="D92" s="106"/>
      <c r="E92" s="286">
        <f>SUM('Sch M'!T222:T230)</f>
        <v>426827.36200000002</v>
      </c>
      <c r="F92" s="286"/>
      <c r="G92" s="286">
        <f>SUM('Sch M'!V222:V230)</f>
        <v>2005365</v>
      </c>
      <c r="H92" s="278"/>
      <c r="I92" s="278"/>
      <c r="J92" s="278"/>
      <c r="K92" s="258"/>
      <c r="L92" s="154"/>
      <c r="M92" s="275"/>
      <c r="N92" s="258"/>
      <c r="O92" s="154"/>
      <c r="Q92" s="2"/>
      <c r="R92" s="15"/>
      <c r="S92" s="16"/>
      <c r="T92" s="17"/>
      <c r="U92" s="15"/>
      <c r="V92" s="16"/>
      <c r="W92" s="8"/>
    </row>
    <row r="93" spans="1:23" ht="14.4" x14ac:dyDescent="0.3">
      <c r="A93" s="79"/>
      <c r="B93" s="79"/>
      <c r="C93" s="287"/>
      <c r="D93" s="156"/>
      <c r="E93" s="286"/>
      <c r="F93" s="286"/>
      <c r="G93" s="286"/>
      <c r="H93" s="278"/>
      <c r="I93" s="278"/>
      <c r="J93" s="278"/>
      <c r="K93" s="79"/>
      <c r="L93" s="79"/>
      <c r="M93" s="275"/>
      <c r="N93" s="258"/>
      <c r="O93" s="154"/>
      <c r="Q93" s="2"/>
      <c r="R93" s="15"/>
      <c r="S93" s="16"/>
      <c r="T93" s="17"/>
      <c r="U93" s="15"/>
      <c r="V93" s="16"/>
      <c r="W93" s="8"/>
    </row>
    <row r="94" spans="1:23" ht="14.4" x14ac:dyDescent="0.3">
      <c r="A94" s="79" t="str">
        <f>'Sch M'!B246</f>
        <v>Private Fire Service:</v>
      </c>
      <c r="B94" s="79"/>
      <c r="C94" s="285">
        <f>SUM('Sch M'!V247:V255)</f>
        <v>3011136</v>
      </c>
      <c r="D94" s="156"/>
      <c r="E94" s="286">
        <f>'Sch M'!V100</f>
        <v>0</v>
      </c>
      <c r="F94" s="286"/>
      <c r="G94" s="286">
        <f>'Sch M'!V178</f>
        <v>0</v>
      </c>
      <c r="H94" s="278"/>
      <c r="I94" s="278"/>
      <c r="J94" s="278"/>
      <c r="K94" s="263"/>
      <c r="L94" s="263"/>
      <c r="M94" s="275"/>
      <c r="N94" s="258"/>
      <c r="O94" s="154"/>
      <c r="Q94" s="2"/>
      <c r="R94" s="15"/>
      <c r="S94" s="16"/>
      <c r="T94" s="17"/>
      <c r="U94" s="15"/>
      <c r="V94" s="16"/>
      <c r="W94" s="8"/>
    </row>
    <row r="95" spans="1:23" ht="14.4" x14ac:dyDescent="0.3">
      <c r="A95" s="79"/>
      <c r="B95" s="79"/>
      <c r="C95" s="287"/>
      <c r="D95" s="288"/>
      <c r="E95" s="286"/>
      <c r="F95" s="286"/>
      <c r="G95" s="286"/>
      <c r="H95" s="278"/>
      <c r="I95" s="278"/>
      <c r="J95" s="278"/>
      <c r="K95" s="263"/>
      <c r="L95" s="263"/>
      <c r="M95" s="275"/>
      <c r="N95" s="258"/>
      <c r="O95" s="154"/>
      <c r="Q95" s="2"/>
      <c r="R95" s="15"/>
      <c r="S95" s="16"/>
      <c r="T95" s="17"/>
      <c r="U95" s="15"/>
      <c r="V95" s="16"/>
      <c r="W95" s="8"/>
    </row>
    <row r="96" spans="1:23" ht="14.4" x14ac:dyDescent="0.3">
      <c r="A96" s="79" t="str">
        <f>'Sch M'!B265</f>
        <v>Public Fire Protection:</v>
      </c>
      <c r="B96" s="79"/>
      <c r="C96" s="285">
        <f>'Sch M'!V266</f>
        <v>4449177</v>
      </c>
      <c r="D96" s="288"/>
      <c r="E96" s="286"/>
      <c r="F96" s="286"/>
      <c r="G96" s="286"/>
      <c r="H96" s="278"/>
      <c r="I96" s="278"/>
      <c r="J96" s="278"/>
      <c r="K96" s="263"/>
      <c r="L96" s="263"/>
      <c r="M96" s="275"/>
      <c r="N96" s="258"/>
      <c r="O96" s="154"/>
      <c r="Q96" s="2"/>
      <c r="R96" s="15"/>
      <c r="S96" s="16"/>
      <c r="T96" s="17"/>
      <c r="U96" s="15"/>
      <c r="V96" s="16"/>
      <c r="W96" s="8"/>
    </row>
    <row r="97" spans="1:23" ht="14.4" x14ac:dyDescent="0.3">
      <c r="A97" s="79"/>
      <c r="B97" s="79"/>
      <c r="C97" s="287"/>
      <c r="D97" s="195"/>
      <c r="E97" s="286"/>
      <c r="F97" s="286"/>
      <c r="G97" s="286"/>
      <c r="H97" s="278"/>
      <c r="I97" s="278"/>
      <c r="J97" s="278"/>
      <c r="K97" s="263"/>
      <c r="L97" s="263"/>
      <c r="M97" s="263"/>
      <c r="N97" s="263"/>
      <c r="O97" s="263"/>
      <c r="Q97" s="11"/>
      <c r="R97" s="11"/>
      <c r="S97" s="8"/>
      <c r="T97" s="8"/>
      <c r="U97" s="8"/>
      <c r="V97" s="8"/>
      <c r="W97" s="8"/>
    </row>
    <row r="98" spans="1:23" ht="14.4" x14ac:dyDescent="0.3">
      <c r="A98" s="79" t="str">
        <f>'Sch M'!B289</f>
        <v>Miscellaneous:</v>
      </c>
      <c r="B98" s="110"/>
      <c r="C98" s="289">
        <f>'Sch M'!V313</f>
        <v>60281</v>
      </c>
      <c r="D98" s="290"/>
      <c r="E98" s="286">
        <f>SUM('Sch M'!T305:T311)</f>
        <v>3153.34584</v>
      </c>
      <c r="F98" s="286"/>
      <c r="G98" s="286">
        <f>SUM('Sch M'!V305:V311)</f>
        <v>10557</v>
      </c>
      <c r="H98" s="278"/>
      <c r="I98" s="278"/>
      <c r="J98" s="278"/>
      <c r="K98" s="265"/>
      <c r="L98" s="272"/>
      <c r="M98" s="263"/>
      <c r="N98" s="263"/>
      <c r="O98" s="263"/>
      <c r="Q98" s="11"/>
      <c r="R98" s="11"/>
      <c r="S98" s="8"/>
      <c r="T98" s="8"/>
      <c r="U98" s="8"/>
      <c r="V98" s="8"/>
      <c r="W98" s="8"/>
    </row>
    <row r="99" spans="1:23" ht="14.4" x14ac:dyDescent="0.3">
      <c r="A99" s="79"/>
      <c r="B99" s="79"/>
      <c r="C99" s="283"/>
      <c r="D99" s="154"/>
      <c r="E99" s="278"/>
      <c r="F99" s="278"/>
      <c r="G99" s="278"/>
      <c r="H99" s="278"/>
      <c r="I99" s="278"/>
      <c r="J99" s="278"/>
      <c r="K99" s="263"/>
      <c r="L99" s="263"/>
      <c r="M99" s="170"/>
      <c r="N99" s="170"/>
      <c r="O99" s="170"/>
    </row>
    <row r="100" spans="1:23" ht="14.4" x14ac:dyDescent="0.3">
      <c r="A100" s="79"/>
      <c r="B100" s="79"/>
      <c r="C100" s="283"/>
      <c r="D100" s="154"/>
      <c r="E100" s="278"/>
      <c r="F100" s="278"/>
      <c r="G100" s="278"/>
      <c r="H100" s="278"/>
      <c r="I100" s="278"/>
      <c r="J100" s="278"/>
      <c r="K100" s="104"/>
      <c r="L100" s="104"/>
      <c r="M100" s="170"/>
      <c r="N100" s="170"/>
      <c r="O100" s="170"/>
    </row>
    <row r="101" spans="1:23" ht="14.4" x14ac:dyDescent="0.3">
      <c r="A101" s="79"/>
      <c r="B101" s="79"/>
      <c r="C101" s="283"/>
      <c r="D101" s="154"/>
      <c r="E101" s="278"/>
      <c r="F101" s="278"/>
      <c r="G101" s="278"/>
      <c r="H101" s="278"/>
      <c r="I101" s="278"/>
      <c r="J101" s="278"/>
      <c r="K101" s="104"/>
      <c r="L101" s="104"/>
      <c r="M101" s="170"/>
      <c r="N101" s="170"/>
      <c r="O101" s="170"/>
    </row>
    <row r="102" spans="1:23" ht="14.4" x14ac:dyDescent="0.3">
      <c r="A102" s="79"/>
      <c r="B102" s="79"/>
      <c r="C102" s="283"/>
      <c r="D102" s="154"/>
      <c r="E102" s="278"/>
      <c r="F102" s="278"/>
      <c r="G102" s="278"/>
      <c r="H102" s="278"/>
      <c r="I102" s="278"/>
      <c r="J102" s="278"/>
      <c r="K102" s="258"/>
      <c r="L102" s="154"/>
      <c r="M102" s="170"/>
      <c r="N102" s="170"/>
      <c r="O102" s="170"/>
    </row>
    <row r="103" spans="1:23" ht="14.4" x14ac:dyDescent="0.3">
      <c r="A103" s="79"/>
      <c r="B103" s="79"/>
      <c r="C103" s="283"/>
      <c r="D103" s="154"/>
      <c r="E103" s="278"/>
      <c r="F103" s="278"/>
      <c r="G103" s="278"/>
      <c r="H103" s="278"/>
      <c r="I103" s="278"/>
      <c r="J103" s="278"/>
      <c r="K103" s="258"/>
      <c r="L103" s="154"/>
      <c r="M103" s="170"/>
      <c r="N103" s="170"/>
      <c r="O103" s="170"/>
    </row>
    <row r="104" spans="1:23" ht="14.4" x14ac:dyDescent="0.3">
      <c r="A104" s="79"/>
      <c r="B104" s="79"/>
      <c r="C104" s="283"/>
      <c r="D104" s="154"/>
      <c r="E104" s="278"/>
      <c r="F104" s="278"/>
      <c r="G104" s="278"/>
      <c r="H104" s="278"/>
      <c r="I104" s="278"/>
      <c r="J104" s="278"/>
      <c r="K104" s="258"/>
      <c r="L104" s="154"/>
      <c r="M104" s="170"/>
      <c r="N104" s="170"/>
      <c r="O104" s="170"/>
    </row>
    <row r="105" spans="1:23" ht="14.4" x14ac:dyDescent="0.3">
      <c r="A105" s="94"/>
      <c r="B105" s="94"/>
      <c r="C105" s="283"/>
      <c r="D105" s="154"/>
      <c r="E105" s="278"/>
      <c r="F105" s="278"/>
      <c r="G105" s="278"/>
      <c r="H105" s="278"/>
      <c r="I105" s="278"/>
      <c r="J105" s="278"/>
      <c r="K105" s="258"/>
      <c r="L105" s="154"/>
      <c r="M105" s="170"/>
      <c r="N105" s="170"/>
      <c r="O105" s="170"/>
    </row>
    <row r="106" spans="1:23" ht="14.4" x14ac:dyDescent="0.3">
      <c r="A106" s="79" t="s">
        <v>210</v>
      </c>
      <c r="B106" s="79"/>
      <c r="C106" s="316">
        <f>SUM('Sch M'!Q66:Q73,'Sch M'!Q105:Q111,'Sch M'!Q144:Q149,'Sch M'!Q183:Q189,'Sch M'!Q222:Q230,'Sch M'!Q305:Q311)</f>
        <v>54030034.342957035</v>
      </c>
      <c r="D106" s="154"/>
      <c r="E106" s="278"/>
      <c r="F106" s="278"/>
      <c r="G106" s="278"/>
      <c r="H106" s="278"/>
      <c r="I106" s="278"/>
      <c r="J106" s="278"/>
      <c r="K106" s="258"/>
      <c r="L106" s="154"/>
      <c r="M106" s="170"/>
      <c r="N106" s="170"/>
      <c r="O106" s="170"/>
    </row>
    <row r="107" spans="1:23" ht="14.4" x14ac:dyDescent="0.3">
      <c r="A107" s="79"/>
      <c r="B107" s="79"/>
      <c r="C107" s="283"/>
      <c r="D107" s="154"/>
      <c r="E107" s="278"/>
      <c r="F107" s="278"/>
      <c r="G107" s="278"/>
      <c r="H107" s="278"/>
      <c r="I107" s="278"/>
      <c r="J107" s="278"/>
      <c r="K107" s="258"/>
      <c r="L107" s="154"/>
      <c r="M107" s="170"/>
      <c r="N107" s="170"/>
      <c r="O107" s="170"/>
    </row>
    <row r="108" spans="1:23" ht="14.4" x14ac:dyDescent="0.3">
      <c r="A108" s="283"/>
      <c r="B108" s="283"/>
      <c r="C108" s="283"/>
      <c r="D108" s="227"/>
      <c r="E108" s="278"/>
      <c r="F108" s="278"/>
      <c r="G108" s="278"/>
      <c r="H108" s="278"/>
      <c r="I108" s="278"/>
      <c r="J108" s="278"/>
      <c r="K108" s="263"/>
      <c r="L108" s="263"/>
      <c r="M108" s="170"/>
      <c r="N108" s="170"/>
      <c r="O108" s="170"/>
    </row>
    <row r="109" spans="1:23" ht="14.4" x14ac:dyDescent="0.3">
      <c r="A109" s="79"/>
      <c r="B109" s="258"/>
      <c r="C109" s="154"/>
      <c r="D109" s="154"/>
      <c r="E109" s="258"/>
      <c r="F109" s="154"/>
      <c r="G109" s="263"/>
      <c r="H109" s="258"/>
      <c r="I109" s="154"/>
      <c r="J109" s="79"/>
      <c r="K109" s="258"/>
      <c r="L109" s="154"/>
      <c r="M109" s="170"/>
      <c r="N109" s="170"/>
      <c r="O109" s="170"/>
    </row>
    <row r="110" spans="1:23" ht="14.4" x14ac:dyDescent="0.3">
      <c r="A110" s="79"/>
      <c r="B110" s="79"/>
      <c r="C110" s="79"/>
      <c r="D110" s="79"/>
      <c r="E110" s="79"/>
      <c r="F110" s="79"/>
      <c r="G110" s="263"/>
      <c r="H110" s="79"/>
      <c r="I110" s="79"/>
      <c r="J110" s="79"/>
      <c r="K110" s="79"/>
      <c r="L110" s="79"/>
      <c r="M110" s="170"/>
      <c r="N110" s="170"/>
      <c r="O110" s="170"/>
    </row>
    <row r="111" spans="1:23" ht="14.4" x14ac:dyDescent="0.3">
      <c r="A111" s="94"/>
      <c r="B111" s="263"/>
      <c r="C111" s="263"/>
      <c r="D111" s="263"/>
      <c r="E111" s="263"/>
      <c r="F111" s="263"/>
      <c r="G111" s="263"/>
      <c r="H111" s="263"/>
      <c r="I111" s="263"/>
      <c r="J111" s="94"/>
      <c r="K111" s="263"/>
      <c r="L111" s="263"/>
      <c r="M111" s="170"/>
      <c r="N111" s="170"/>
      <c r="O111" s="170"/>
    </row>
    <row r="112" spans="1:23" ht="14.4" x14ac:dyDescent="0.3">
      <c r="A112" s="161"/>
      <c r="B112" s="161"/>
      <c r="C112" s="161"/>
      <c r="D112" s="161"/>
      <c r="E112" s="161"/>
      <c r="F112" s="161"/>
      <c r="G112" s="170"/>
      <c r="H112" s="170"/>
      <c r="I112" s="170"/>
      <c r="J112" s="170"/>
      <c r="K112" s="170"/>
      <c r="L112" s="170"/>
      <c r="M112" s="170"/>
      <c r="N112" s="170"/>
      <c r="O112" s="170"/>
    </row>
    <row r="113" spans="1:18" ht="14.4" x14ac:dyDescent="0.3">
      <c r="A113" s="161"/>
      <c r="B113" s="161"/>
      <c r="C113" s="161"/>
      <c r="D113" s="161"/>
      <c r="E113" s="161"/>
      <c r="F113" s="161"/>
      <c r="G113" s="170"/>
      <c r="H113" s="170"/>
      <c r="I113" s="170"/>
      <c r="J113" s="170"/>
      <c r="K113" s="170"/>
      <c r="L113" s="170"/>
      <c r="M113" s="170"/>
      <c r="N113" s="170"/>
      <c r="O113" s="170"/>
    </row>
    <row r="114" spans="1:18" ht="14.4" x14ac:dyDescent="0.3">
      <c r="A114" s="161"/>
      <c r="B114" s="161"/>
      <c r="C114" s="161"/>
      <c r="D114" s="161"/>
      <c r="E114" s="161"/>
      <c r="F114" s="161"/>
      <c r="G114" s="170"/>
      <c r="H114" s="170"/>
      <c r="I114" s="170"/>
      <c r="J114" s="170"/>
      <c r="K114" s="170"/>
      <c r="L114" s="170"/>
      <c r="M114" s="170"/>
      <c r="N114" s="170"/>
      <c r="O114" s="170"/>
    </row>
    <row r="115" spans="1:18" ht="14.4" x14ac:dyDescent="0.3">
      <c r="A115" s="204"/>
      <c r="B115" s="204"/>
      <c r="C115" s="204"/>
      <c r="D115" s="246"/>
      <c r="E115" s="246"/>
      <c r="F115" s="246"/>
      <c r="G115" s="246"/>
      <c r="H115" s="246"/>
      <c r="I115" s="170"/>
      <c r="J115" s="170"/>
      <c r="K115" s="170"/>
      <c r="L115" s="170"/>
      <c r="M115" s="170"/>
      <c r="N115" s="170"/>
      <c r="O115" s="170"/>
      <c r="P115"/>
      <c r="Q115"/>
      <c r="R115"/>
    </row>
    <row r="116" spans="1:18" ht="14.4" x14ac:dyDescent="0.3">
      <c r="A116" s="161"/>
      <c r="B116" s="93"/>
      <c r="C116" s="291"/>
      <c r="D116" s="170"/>
      <c r="E116" s="93"/>
      <c r="F116" s="291"/>
      <c r="G116" s="170"/>
      <c r="H116" s="93"/>
      <c r="I116" s="291"/>
      <c r="J116" s="170"/>
      <c r="K116" s="170"/>
      <c r="L116" s="170"/>
      <c r="M116" s="170"/>
      <c r="N116" s="170"/>
      <c r="O116" s="170"/>
      <c r="P116"/>
      <c r="Q116"/>
      <c r="R116"/>
    </row>
    <row r="117" spans="1:18" ht="14.4" x14ac:dyDescent="0.3">
      <c r="A117" s="161"/>
      <c r="B117" s="93"/>
      <c r="C117" s="291"/>
      <c r="D117" s="170"/>
      <c r="E117" s="93"/>
      <c r="F117" s="291"/>
      <c r="G117" s="170"/>
      <c r="H117" s="93"/>
      <c r="I117" s="291"/>
      <c r="J117" s="170"/>
      <c r="K117" s="170"/>
      <c r="L117" s="170"/>
      <c r="M117" s="170"/>
      <c r="N117" s="170"/>
      <c r="O117" s="170"/>
      <c r="P117"/>
      <c r="Q117"/>
      <c r="R117"/>
    </row>
    <row r="118" spans="1:18" ht="14.4" x14ac:dyDescent="0.3">
      <c r="A118" s="161"/>
      <c r="B118" s="93"/>
      <c r="C118" s="291"/>
      <c r="D118" s="170"/>
      <c r="E118" s="93"/>
      <c r="F118" s="291"/>
      <c r="G118" s="170"/>
      <c r="H118" s="93"/>
      <c r="I118" s="291"/>
      <c r="J118" s="170"/>
      <c r="K118" s="170"/>
      <c r="L118" s="170"/>
      <c r="M118" s="170"/>
      <c r="N118" s="170"/>
      <c r="O118" s="170"/>
      <c r="P118"/>
      <c r="Q118"/>
      <c r="R118"/>
    </row>
    <row r="119" spans="1:18" ht="14.4" x14ac:dyDescent="0.3">
      <c r="A119" s="161"/>
      <c r="B119" s="93"/>
      <c r="C119" s="291"/>
      <c r="D119" s="170"/>
      <c r="E119" s="93"/>
      <c r="F119" s="291"/>
      <c r="G119" s="170"/>
      <c r="H119" s="93"/>
      <c r="I119" s="291"/>
      <c r="J119" s="170"/>
      <c r="K119" s="170"/>
      <c r="L119" s="170"/>
      <c r="M119" s="170"/>
      <c r="N119" s="170"/>
      <c r="O119" s="170"/>
      <c r="P119"/>
      <c r="Q119"/>
      <c r="R119"/>
    </row>
    <row r="120" spans="1:18" ht="14.4" x14ac:dyDescent="0.3">
      <c r="A120" s="161"/>
      <c r="B120" s="93"/>
      <c r="C120" s="291"/>
      <c r="D120" s="170"/>
      <c r="E120" s="93"/>
      <c r="F120" s="291"/>
      <c r="G120" s="170"/>
      <c r="H120" s="93"/>
      <c r="I120" s="291"/>
      <c r="J120" s="170"/>
      <c r="K120" s="170"/>
      <c r="L120" s="170"/>
      <c r="M120" s="170"/>
      <c r="N120" s="170"/>
      <c r="O120" s="170"/>
      <c r="P120"/>
      <c r="Q120"/>
      <c r="R120"/>
    </row>
    <row r="121" spans="1:18" ht="14.4" x14ac:dyDescent="0.3">
      <c r="A121" s="204"/>
      <c r="B121" s="292"/>
      <c r="C121" s="204"/>
      <c r="D121" s="246"/>
      <c r="E121" s="292"/>
      <c r="F121" s="246"/>
      <c r="G121" s="246"/>
      <c r="H121" s="292"/>
      <c r="I121" s="170"/>
      <c r="J121" s="170"/>
      <c r="K121" s="170"/>
      <c r="L121" s="170"/>
      <c r="M121" s="170"/>
      <c r="N121" s="170"/>
      <c r="O121" s="170"/>
      <c r="P121"/>
      <c r="Q121"/>
      <c r="R121"/>
    </row>
    <row r="122" spans="1:18" ht="14.4" x14ac:dyDescent="0.3">
      <c r="A122" s="161"/>
      <c r="B122" s="161"/>
      <c r="C122" s="161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/>
      <c r="Q122"/>
      <c r="R122"/>
    </row>
    <row r="123" spans="1:18" ht="14.4" x14ac:dyDescent="0.3">
      <c r="A123" s="161"/>
      <c r="B123" s="93"/>
      <c r="C123" s="161"/>
      <c r="D123" s="170"/>
      <c r="E123" s="93"/>
      <c r="F123" s="170"/>
      <c r="G123" s="170"/>
      <c r="H123" s="93"/>
      <c r="I123" s="170"/>
      <c r="J123" s="170"/>
      <c r="K123" s="170"/>
      <c r="L123" s="170"/>
      <c r="M123" s="170"/>
      <c r="N123" s="170"/>
      <c r="O123" s="170"/>
      <c r="P123"/>
      <c r="Q123"/>
      <c r="R123"/>
    </row>
    <row r="124" spans="1:18" ht="14.4" x14ac:dyDescent="0.3">
      <c r="A124" s="161"/>
      <c r="B124" s="161"/>
      <c r="C124" s="161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/>
      <c r="Q124"/>
      <c r="R124"/>
    </row>
    <row r="125" spans="1:18" ht="14.4" x14ac:dyDescent="0.3">
      <c r="A125" s="204"/>
      <c r="B125" s="161"/>
      <c r="C125" s="161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/>
      <c r="Q125"/>
      <c r="R125"/>
    </row>
    <row r="126" spans="1:18" ht="14.4" x14ac:dyDescent="0.3">
      <c r="A126" s="161"/>
      <c r="B126" s="211"/>
      <c r="C126" s="293"/>
      <c r="D126" s="170"/>
      <c r="E126" s="211"/>
      <c r="F126" s="170"/>
      <c r="G126" s="170"/>
      <c r="H126" s="211"/>
      <c r="I126" s="170"/>
      <c r="J126" s="170"/>
      <c r="K126" s="170"/>
      <c r="L126" s="170"/>
      <c r="M126" s="170"/>
      <c r="N126" s="170"/>
      <c r="O126" s="170"/>
      <c r="P126"/>
      <c r="Q126"/>
      <c r="R126"/>
    </row>
    <row r="127" spans="1:18" ht="14.4" x14ac:dyDescent="0.3">
      <c r="A127" s="161"/>
      <c r="B127" s="211"/>
      <c r="C127" s="161"/>
      <c r="D127" s="170"/>
      <c r="E127" s="211"/>
      <c r="F127" s="170"/>
      <c r="G127" s="170"/>
      <c r="H127" s="211"/>
      <c r="I127" s="170"/>
      <c r="J127" s="170"/>
      <c r="K127" s="170"/>
      <c r="L127" s="170"/>
      <c r="M127" s="170"/>
      <c r="N127" s="170"/>
      <c r="O127" s="170"/>
      <c r="P127"/>
      <c r="Q127"/>
      <c r="R127"/>
    </row>
    <row r="128" spans="1:18" ht="14.4" x14ac:dyDescent="0.3">
      <c r="A128" s="161"/>
      <c r="B128" s="211"/>
      <c r="C128" s="161"/>
      <c r="D128" s="170"/>
      <c r="E128" s="211"/>
      <c r="F128" s="170"/>
      <c r="G128" s="170"/>
      <c r="H128" s="211"/>
      <c r="I128" s="170"/>
      <c r="J128" s="170"/>
      <c r="K128" s="170"/>
      <c r="L128" s="170"/>
      <c r="M128" s="170"/>
      <c r="N128" s="170"/>
      <c r="O128" s="170"/>
      <c r="P128"/>
      <c r="Q128"/>
      <c r="R128"/>
    </row>
    <row r="129" spans="1:18" ht="14.4" x14ac:dyDescent="0.3">
      <c r="A129" s="161"/>
      <c r="B129" s="211"/>
      <c r="C129" s="161"/>
      <c r="D129" s="170"/>
      <c r="E129" s="211"/>
      <c r="F129" s="170"/>
      <c r="G129" s="170"/>
      <c r="H129" s="211"/>
      <c r="I129" s="170"/>
      <c r="J129" s="170"/>
      <c r="K129" s="170"/>
      <c r="L129" s="170"/>
      <c r="M129" s="170"/>
      <c r="N129" s="170"/>
      <c r="O129" s="170"/>
      <c r="P129"/>
      <c r="Q129"/>
      <c r="R129"/>
    </row>
    <row r="130" spans="1:18" ht="14.4" x14ac:dyDescent="0.3">
      <c r="A130" s="161"/>
      <c r="B130" s="211"/>
      <c r="C130" s="161"/>
      <c r="D130" s="170"/>
      <c r="E130" s="211"/>
      <c r="F130" s="170"/>
      <c r="G130" s="170"/>
      <c r="H130" s="211"/>
      <c r="I130" s="170"/>
      <c r="J130" s="170"/>
      <c r="K130" s="170"/>
      <c r="L130" s="170"/>
      <c r="M130" s="170"/>
      <c r="N130" s="170"/>
      <c r="O130" s="170"/>
      <c r="P130"/>
      <c r="Q130"/>
      <c r="R130"/>
    </row>
    <row r="131" spans="1:18" ht="14.4" x14ac:dyDescent="0.3">
      <c r="A131" s="204"/>
      <c r="B131" s="294"/>
      <c r="C131" s="204"/>
      <c r="D131" s="246"/>
      <c r="E131" s="294"/>
      <c r="F131" s="246"/>
      <c r="G131" s="246"/>
      <c r="H131" s="294"/>
      <c r="I131" s="170"/>
      <c r="J131" s="170"/>
      <c r="K131" s="170"/>
      <c r="L131" s="170"/>
      <c r="M131" s="170"/>
      <c r="N131" s="170"/>
      <c r="O131" s="170"/>
      <c r="P131"/>
      <c r="Q131"/>
      <c r="R131"/>
    </row>
    <row r="132" spans="1:18" ht="14.4" x14ac:dyDescent="0.3">
      <c r="A132" s="161"/>
      <c r="B132" s="161"/>
      <c r="C132" s="161"/>
      <c r="D132" s="170"/>
      <c r="E132" s="161"/>
      <c r="F132" s="170"/>
      <c r="G132" s="170"/>
      <c r="H132" s="161"/>
      <c r="I132" s="170"/>
      <c r="J132" s="170"/>
      <c r="K132" s="170"/>
      <c r="L132" s="170"/>
      <c r="M132" s="170"/>
      <c r="N132" s="170"/>
      <c r="O132" s="170"/>
      <c r="P132"/>
      <c r="Q132"/>
      <c r="R132"/>
    </row>
    <row r="133" spans="1:18" ht="14.4" x14ac:dyDescent="0.3">
      <c r="A133" s="161"/>
      <c r="B133" s="161"/>
      <c r="C133" s="161"/>
      <c r="D133" s="170"/>
      <c r="E133" s="161"/>
      <c r="F133" s="170"/>
      <c r="G133" s="170"/>
      <c r="H133" s="161"/>
      <c r="I133" s="170"/>
      <c r="J133" s="170"/>
      <c r="K133" s="170"/>
      <c r="L133" s="170"/>
      <c r="M133" s="170"/>
      <c r="N133" s="170"/>
      <c r="O133" s="170"/>
      <c r="P133"/>
      <c r="Q133"/>
      <c r="R133"/>
    </row>
    <row r="134" spans="1:18" ht="14.4" x14ac:dyDescent="0.3">
      <c r="A134" s="204"/>
      <c r="B134" s="161"/>
      <c r="C134" s="161"/>
      <c r="D134" s="170"/>
      <c r="E134" s="161"/>
      <c r="F134" s="170"/>
      <c r="G134" s="170"/>
      <c r="H134" s="161"/>
      <c r="I134" s="170"/>
      <c r="J134" s="170"/>
      <c r="K134" s="170"/>
      <c r="L134" s="170"/>
      <c r="M134" s="170"/>
      <c r="N134" s="170"/>
      <c r="O134" s="170"/>
      <c r="P134"/>
      <c r="Q134"/>
      <c r="R134"/>
    </row>
    <row r="135" spans="1:18" ht="14.4" x14ac:dyDescent="0.3">
      <c r="A135" s="161"/>
      <c r="B135" s="93"/>
      <c r="C135" s="161"/>
      <c r="D135" s="170"/>
      <c r="E135" s="93"/>
      <c r="F135" s="170"/>
      <c r="G135" s="170"/>
      <c r="H135" s="93"/>
      <c r="I135" s="170"/>
      <c r="J135" s="170"/>
      <c r="K135" s="170"/>
      <c r="L135" s="170"/>
      <c r="M135" s="170"/>
      <c r="N135" s="170"/>
      <c r="O135" s="170"/>
      <c r="P135"/>
      <c r="Q135"/>
      <c r="R135"/>
    </row>
    <row r="136" spans="1:18" ht="14.4" x14ac:dyDescent="0.3">
      <c r="A136" s="161"/>
      <c r="B136" s="93"/>
      <c r="C136" s="161"/>
      <c r="D136" s="170"/>
      <c r="E136" s="93"/>
      <c r="F136" s="170"/>
      <c r="G136" s="170"/>
      <c r="H136" s="93"/>
      <c r="I136" s="170"/>
      <c r="J136" s="170"/>
      <c r="K136" s="170"/>
      <c r="L136" s="170"/>
      <c r="M136" s="170"/>
      <c r="N136" s="170"/>
      <c r="O136" s="170"/>
      <c r="P136"/>
      <c r="Q136"/>
      <c r="R136"/>
    </row>
    <row r="137" spans="1:18" ht="14.4" x14ac:dyDescent="0.3">
      <c r="A137" s="161"/>
      <c r="B137" s="93"/>
      <c r="C137" s="161"/>
      <c r="D137" s="170"/>
      <c r="E137" s="93"/>
      <c r="F137" s="170"/>
      <c r="G137" s="170"/>
      <c r="H137" s="93"/>
      <c r="I137" s="170"/>
      <c r="J137" s="170"/>
      <c r="K137" s="170"/>
      <c r="L137" s="170"/>
      <c r="M137" s="170"/>
      <c r="N137" s="170"/>
      <c r="O137" s="170"/>
      <c r="P137"/>
      <c r="Q137"/>
      <c r="R137"/>
    </row>
    <row r="138" spans="1:18" ht="14.4" x14ac:dyDescent="0.3">
      <c r="A138" s="161"/>
      <c r="B138" s="93"/>
      <c r="C138" s="161"/>
      <c r="D138" s="170"/>
      <c r="E138" s="93"/>
      <c r="F138" s="170"/>
      <c r="G138" s="170"/>
      <c r="H138" s="93"/>
      <c r="I138" s="170"/>
      <c r="J138" s="170"/>
      <c r="K138" s="170"/>
      <c r="L138" s="170"/>
      <c r="M138" s="170"/>
      <c r="N138" s="170"/>
      <c r="O138" s="170"/>
      <c r="P138"/>
      <c r="Q138"/>
      <c r="R138"/>
    </row>
    <row r="139" spans="1:18" ht="14.4" x14ac:dyDescent="0.3">
      <c r="A139" s="161"/>
      <c r="B139" s="93"/>
      <c r="C139" s="161"/>
      <c r="D139" s="170"/>
      <c r="E139" s="93"/>
      <c r="F139" s="170"/>
      <c r="G139" s="170"/>
      <c r="H139" s="93"/>
      <c r="I139" s="170"/>
      <c r="J139" s="170"/>
      <c r="K139" s="170"/>
      <c r="L139" s="170"/>
      <c r="M139" s="170"/>
      <c r="N139" s="170"/>
      <c r="O139" s="170"/>
      <c r="P139"/>
      <c r="Q139"/>
      <c r="R139"/>
    </row>
    <row r="140" spans="1:18" ht="14.4" x14ac:dyDescent="0.3">
      <c r="A140" s="204"/>
      <c r="B140" s="292"/>
      <c r="C140" s="204"/>
      <c r="D140" s="246"/>
      <c r="E140" s="292"/>
      <c r="F140" s="246"/>
      <c r="G140" s="246"/>
      <c r="H140" s="292"/>
      <c r="I140" s="170"/>
      <c r="J140" s="170"/>
      <c r="K140" s="170"/>
      <c r="L140" s="170"/>
      <c r="M140" s="170"/>
      <c r="N140" s="170"/>
      <c r="O140" s="170"/>
      <c r="P140"/>
      <c r="Q140"/>
      <c r="R140"/>
    </row>
    <row r="141" spans="1:18" ht="14.4" x14ac:dyDescent="0.3">
      <c r="A141" s="161"/>
      <c r="B141" s="161"/>
      <c r="C141" s="161"/>
      <c r="D141" s="161"/>
      <c r="E141" s="161"/>
      <c r="F141" s="161"/>
      <c r="G141" s="170"/>
      <c r="H141" s="170"/>
      <c r="I141" s="170"/>
      <c r="J141" s="170"/>
      <c r="K141" s="170"/>
      <c r="L141" s="170"/>
      <c r="M141" s="170"/>
      <c r="N141" s="170"/>
      <c r="O141" s="170"/>
    </row>
    <row r="142" spans="1:18" ht="14.4" x14ac:dyDescent="0.3">
      <c r="A142" s="161"/>
      <c r="B142" s="161"/>
      <c r="C142" s="161"/>
      <c r="D142" s="161"/>
      <c r="E142" s="161"/>
      <c r="F142" s="161"/>
      <c r="G142" s="170"/>
      <c r="H142" s="170"/>
      <c r="I142" s="170"/>
      <c r="J142" s="170"/>
      <c r="K142" s="170"/>
      <c r="L142" s="170"/>
      <c r="M142" s="170"/>
      <c r="N142" s="170"/>
      <c r="O142" s="170"/>
    </row>
    <row r="143" spans="1:18" ht="14.4" x14ac:dyDescent="0.3">
      <c r="A143" s="204"/>
      <c r="B143" s="161"/>
      <c r="C143" s="161"/>
      <c r="D143" s="161"/>
      <c r="E143" s="161"/>
      <c r="F143" s="161"/>
      <c r="G143" s="170"/>
      <c r="H143" s="170"/>
      <c r="I143" s="170"/>
      <c r="J143" s="170"/>
      <c r="K143" s="170"/>
      <c r="L143" s="170"/>
      <c r="M143" s="170"/>
      <c r="N143" s="170"/>
      <c r="O143" s="170"/>
    </row>
    <row r="144" spans="1:18" ht="14.4" x14ac:dyDescent="0.3">
      <c r="A144" s="161"/>
      <c r="B144" s="255"/>
      <c r="C144" s="161"/>
      <c r="D144" s="161"/>
      <c r="E144" s="161"/>
      <c r="F144" s="161"/>
      <c r="G144" s="170"/>
      <c r="H144" s="170"/>
      <c r="I144" s="170"/>
      <c r="J144" s="170"/>
      <c r="K144" s="170"/>
      <c r="L144" s="170"/>
      <c r="M144" s="170"/>
      <c r="N144" s="170"/>
      <c r="O144" s="170"/>
    </row>
    <row r="145" spans="1:15" ht="14.4" x14ac:dyDescent="0.3">
      <c r="A145" s="161"/>
      <c r="B145" s="255"/>
      <c r="C145" s="161"/>
      <c r="D145" s="161"/>
      <c r="E145" s="161"/>
      <c r="F145" s="161"/>
      <c r="G145" s="170"/>
      <c r="H145" s="170"/>
      <c r="I145" s="170"/>
      <c r="J145" s="170"/>
      <c r="K145" s="170"/>
      <c r="L145" s="170"/>
      <c r="M145" s="170"/>
      <c r="N145" s="170"/>
      <c r="O145" s="170"/>
    </row>
    <row r="146" spans="1:15" x14ac:dyDescent="0.25">
      <c r="B146" s="7"/>
    </row>
    <row r="147" spans="1:15" x14ac:dyDescent="0.25">
      <c r="B147" s="7"/>
    </row>
    <row r="148" spans="1:15" x14ac:dyDescent="0.25">
      <c r="B148" s="7"/>
    </row>
  </sheetData>
  <mergeCells count="9">
    <mergeCell ref="B47:C47"/>
    <mergeCell ref="E47:F47"/>
    <mergeCell ref="E64:F64"/>
    <mergeCell ref="R8:S8"/>
    <mergeCell ref="J6:O6"/>
    <mergeCell ref="B29:C29"/>
    <mergeCell ref="B8:D8"/>
    <mergeCell ref="F8:H8"/>
    <mergeCell ref="L8:M8"/>
  </mergeCells>
  <phoneticPr fontId="0" type="noConversion"/>
  <pageMargins left="0.25" right="0.25" top="1" bottom="1" header="0.5" footer="0.5"/>
  <pageSetup scale="73" orientation="landscape" r:id="rId1"/>
  <headerFooter alignWithMargins="0">
    <oddFooter>&amp;L&amp;D   &amp;T&amp;C&amp;F   &amp;A&amp;R&amp;P of &amp;N</oddFooter>
  </headerFooter>
  <rowBreaks count="2" manualBreakCount="2">
    <brk id="43" max="12" man="1"/>
    <brk id="80" max="12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179"/>
  <sheetViews>
    <sheetView zoomScale="80" zoomScaleNormal="80" workbookViewId="0"/>
  </sheetViews>
  <sheetFormatPr defaultColWidth="8.88671875" defaultRowHeight="13.2" x14ac:dyDescent="0.25"/>
  <cols>
    <col min="1" max="1" width="30.109375" style="4" customWidth="1"/>
    <col min="2" max="2" width="16" style="4" customWidth="1"/>
    <col min="3" max="3" width="14.44140625" style="4" bestFit="1" customWidth="1"/>
    <col min="4" max="4" width="20" style="4" bestFit="1" customWidth="1"/>
    <col min="5" max="5" width="23.44140625" style="4" bestFit="1" customWidth="1"/>
    <col min="6" max="6" width="12.6640625" style="4" customWidth="1"/>
    <col min="7" max="7" width="14" style="4" customWidth="1"/>
    <col min="8" max="8" width="14.109375" style="4" customWidth="1"/>
    <col min="9" max="9" width="15.6640625" style="4" customWidth="1"/>
    <col min="10" max="16" width="12.6640625" style="4" customWidth="1"/>
    <col min="17" max="17" width="11.6640625" style="4" customWidth="1"/>
    <col min="18" max="18" width="13.33203125" style="4" customWidth="1"/>
    <col min="19" max="19" width="12.88671875" style="4" customWidth="1"/>
    <col min="20" max="21" width="10.6640625" style="4" customWidth="1"/>
    <col min="22" max="22" width="11.88671875" style="4" customWidth="1"/>
    <col min="23" max="23" width="13.6640625" style="4" customWidth="1"/>
    <col min="24" max="24" width="13.33203125" style="4" customWidth="1"/>
    <col min="25" max="25" width="11.6640625" style="4" customWidth="1"/>
    <col min="26" max="26" width="12.6640625" style="4" customWidth="1"/>
    <col min="27" max="27" width="13.33203125" style="4" customWidth="1"/>
    <col min="28" max="28" width="12.88671875" style="4" customWidth="1"/>
    <col min="29" max="30" width="8.88671875" style="4"/>
    <col min="31" max="31" width="13" style="4" bestFit="1" customWidth="1"/>
    <col min="32" max="16384" width="8.88671875" style="4"/>
  </cols>
  <sheetData>
    <row r="1" spans="1:29" ht="14.4" x14ac:dyDescent="0.3">
      <c r="A1" s="160" t="str">
        <f>'[1]Rate Case Constants'!$C$9</f>
        <v>Kentucky American Water Company</v>
      </c>
      <c r="B1" s="160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1"/>
      <c r="U1" s="161"/>
    </row>
    <row r="2" spans="1:29" ht="14.4" x14ac:dyDescent="0.3">
      <c r="A2" s="160" t="str">
        <f>'[1]Rate Case Constants'!$C$11</f>
        <v>Case No. 2018-00358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9" ht="14.4" x14ac:dyDescent="0.3">
      <c r="A3" s="160" t="str">
        <f>'[1]Rate Case Constants'!$C$15</f>
        <v>Base Year for the 12 Months Ended February 28, 2019</v>
      </c>
      <c r="B3" s="160"/>
      <c r="C3" s="161"/>
      <c r="D3" s="161"/>
      <c r="E3" s="161"/>
      <c r="F3" s="161"/>
      <c r="G3" s="161"/>
      <c r="H3" s="161"/>
      <c r="I3" s="163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9" ht="15" thickBot="1" x14ac:dyDescent="0.3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29" ht="15" thickTop="1" x14ac:dyDescent="0.3">
      <c r="A5" s="164" t="str">
        <f>A1</f>
        <v>Kentucky American Water Company</v>
      </c>
      <c r="B5" s="165"/>
      <c r="C5" s="166"/>
      <c r="D5" s="166"/>
      <c r="E5" s="166"/>
      <c r="F5" s="166"/>
      <c r="G5" s="166"/>
      <c r="H5" s="165"/>
      <c r="I5" s="167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6"/>
      <c r="W5" s="6"/>
      <c r="X5" s="6"/>
      <c r="Y5" s="6"/>
      <c r="Z5" s="6"/>
      <c r="AA5" s="6"/>
      <c r="AB5" s="6"/>
      <c r="AC5" s="6"/>
    </row>
    <row r="6" spans="1:29" ht="14.4" x14ac:dyDescent="0.3">
      <c r="A6" s="168"/>
      <c r="B6" s="330" t="s">
        <v>119</v>
      </c>
      <c r="C6" s="330"/>
      <c r="D6" s="330"/>
      <c r="E6" s="330"/>
      <c r="F6" s="330"/>
      <c r="G6" s="330"/>
      <c r="H6" s="330"/>
      <c r="I6" s="330"/>
      <c r="J6" s="330"/>
      <c r="K6" s="161"/>
      <c r="L6" s="331" t="s">
        <v>122</v>
      </c>
      <c r="M6" s="331"/>
      <c r="N6" s="331"/>
      <c r="O6" s="331"/>
      <c r="P6" s="331"/>
      <c r="Q6" s="331"/>
      <c r="R6" s="331"/>
      <c r="S6" s="331"/>
      <c r="T6" s="331"/>
      <c r="U6" s="161"/>
    </row>
    <row r="7" spans="1:29" ht="14.4" x14ac:dyDescent="0.3">
      <c r="A7" s="169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</row>
    <row r="8" spans="1:29" ht="14.4" x14ac:dyDescent="0.3">
      <c r="A8" s="170"/>
      <c r="B8" s="170"/>
      <c r="C8" s="171" t="s">
        <v>3</v>
      </c>
      <c r="D8" s="171" t="s">
        <v>4</v>
      </c>
      <c r="E8" s="171" t="s">
        <v>5</v>
      </c>
      <c r="F8" s="171" t="s">
        <v>6</v>
      </c>
      <c r="G8" s="171" t="s">
        <v>7</v>
      </c>
      <c r="H8" s="172" t="s">
        <v>153</v>
      </c>
      <c r="I8" s="172" t="s">
        <v>133</v>
      </c>
      <c r="J8" s="161"/>
      <c r="K8" s="170"/>
      <c r="L8" s="170"/>
      <c r="M8" s="171" t="s">
        <v>3</v>
      </c>
      <c r="N8" s="171" t="s">
        <v>4</v>
      </c>
      <c r="O8" s="171" t="s">
        <v>5</v>
      </c>
      <c r="P8" s="171" t="s">
        <v>6</v>
      </c>
      <c r="Q8" s="171" t="s">
        <v>7</v>
      </c>
      <c r="R8" s="172" t="s">
        <v>153</v>
      </c>
      <c r="S8" s="172" t="s">
        <v>133</v>
      </c>
      <c r="T8" s="172"/>
      <c r="U8" s="161"/>
    </row>
    <row r="9" spans="1:29" ht="14.4" x14ac:dyDescent="0.3">
      <c r="A9" s="161" t="s">
        <v>9</v>
      </c>
      <c r="B9" s="161"/>
      <c r="C9" s="173" t="s">
        <v>10</v>
      </c>
      <c r="D9" s="173" t="s">
        <v>10</v>
      </c>
      <c r="E9" s="173" t="s">
        <v>10</v>
      </c>
      <c r="F9" s="173" t="s">
        <v>10</v>
      </c>
      <c r="G9" s="173" t="s">
        <v>10</v>
      </c>
      <c r="H9" s="173" t="s">
        <v>10</v>
      </c>
      <c r="I9" s="173" t="s">
        <v>10</v>
      </c>
      <c r="J9" s="173" t="s">
        <v>11</v>
      </c>
      <c r="K9" s="161" t="s">
        <v>9</v>
      </c>
      <c r="L9" s="161"/>
      <c r="M9" s="173" t="s">
        <v>10</v>
      </c>
      <c r="N9" s="173" t="s">
        <v>10</v>
      </c>
      <c r="O9" s="173" t="s">
        <v>10</v>
      </c>
      <c r="P9" s="173" t="s">
        <v>10</v>
      </c>
      <c r="Q9" s="173" t="s">
        <v>10</v>
      </c>
      <c r="R9" s="173" t="s">
        <v>10</v>
      </c>
      <c r="S9" s="173" t="s">
        <v>10</v>
      </c>
      <c r="T9" s="173" t="s">
        <v>11</v>
      </c>
      <c r="U9" s="161"/>
    </row>
    <row r="10" spans="1:29" ht="14.4" x14ac:dyDescent="0.3">
      <c r="A10" s="161" t="s">
        <v>12</v>
      </c>
      <c r="B10" s="170" t="s">
        <v>74</v>
      </c>
      <c r="C10" s="174">
        <f>'[2]Link Out'!C28+'[2]Link Out'!C285</f>
        <v>1411383.3461539403</v>
      </c>
      <c r="D10" s="174">
        <f>'[2]Link Out'!C63+'[2]Link Out'!C320</f>
        <v>55408.445003629968</v>
      </c>
      <c r="E10" s="174">
        <f>'[2]Link Out'!$C$98</f>
        <v>77</v>
      </c>
      <c r="F10" s="174">
        <f>'[2]Link Out'!$C$133</f>
        <v>1581.8793094637117</v>
      </c>
      <c r="G10" s="174">
        <f>'[2]Link Out'!$C$168</f>
        <v>0</v>
      </c>
      <c r="H10" s="174">
        <f>'[2]Link Out'!C250</f>
        <v>28.104181951577402</v>
      </c>
      <c r="I10" s="174">
        <f>'[2]Link Out'!$C$204</f>
        <v>14850.901341356399</v>
      </c>
      <c r="J10" s="175" t="s">
        <v>138</v>
      </c>
      <c r="K10" s="161" t="s">
        <v>12</v>
      </c>
      <c r="L10" s="170" t="s">
        <v>74</v>
      </c>
      <c r="M10" s="174">
        <f>'[2]Link Out'!I28+'[2]Link Out'!I285+'[2]Link Out'!I353+'[2]Link Out'!I455</f>
        <v>1431589</v>
      </c>
      <c r="N10" s="174">
        <f>'[2]Link Out'!I63+'[2]Link Out'!I320+'[2]Link Out'!I388+'[2]Link Out'!I490</f>
        <v>55239</v>
      </c>
      <c r="O10" s="174">
        <f>'[2]Link Out'!$I$98</f>
        <v>72</v>
      </c>
      <c r="P10" s="174">
        <f>'[2]Link Out'!I133+'[2]Link Out'!I524</f>
        <v>1500</v>
      </c>
      <c r="Q10" s="174">
        <f>'[2]Link Out'!I168+'[2]Link Out'!I422</f>
        <v>0</v>
      </c>
      <c r="R10" s="174">
        <f>'[2]Link Out'!$I$250</f>
        <v>48</v>
      </c>
      <c r="S10" s="174">
        <f>'[2]Link Out'!$I$204</f>
        <v>14880</v>
      </c>
      <c r="T10" s="175" t="s">
        <v>138</v>
      </c>
      <c r="U10" s="161"/>
    </row>
    <row r="11" spans="1:29" ht="14.4" x14ac:dyDescent="0.3">
      <c r="A11" s="161"/>
      <c r="B11" s="170" t="s">
        <v>75</v>
      </c>
      <c r="C11" s="174">
        <f>'[2]Link Out'!C29+'[2]Link Out'!C286</f>
        <v>4.4002134471718248</v>
      </c>
      <c r="D11" s="174">
        <f>'[2]Link Out'!C64+'[2]Link Out'!C321</f>
        <v>0</v>
      </c>
      <c r="E11" s="174">
        <f>'[2]Link Out'!$C$99</f>
        <v>0</v>
      </c>
      <c r="F11" s="174">
        <f>'[2]Link Out'!$C$134</f>
        <v>0</v>
      </c>
      <c r="G11" s="174">
        <f>'[2]Link Out'!$C$169</f>
        <v>0</v>
      </c>
      <c r="H11" s="174">
        <f>'[2]Link Out'!C251</f>
        <v>0</v>
      </c>
      <c r="I11" s="174">
        <f>'[2]Link Out'!$C$205</f>
        <v>879</v>
      </c>
      <c r="J11" s="175" t="s">
        <v>13</v>
      </c>
      <c r="K11" s="161"/>
      <c r="L11" s="170" t="s">
        <v>75</v>
      </c>
      <c r="M11" s="174">
        <f>'[2]Link Out'!I29+'[2]Link Out'!I286+'[2]Link Out'!I354+'[2]Link Out'!I456</f>
        <v>0</v>
      </c>
      <c r="N11" s="174">
        <f>'[2]Link Out'!I64+'[2]Link Out'!I321+'[2]Link Out'!I389+'[2]Link Out'!I491</f>
        <v>0</v>
      </c>
      <c r="O11" s="174">
        <f>'[2]Link Out'!$I$99</f>
        <v>0</v>
      </c>
      <c r="P11" s="174">
        <f>'[2]Link Out'!I134+'[2]Link Out'!I525</f>
        <v>0</v>
      </c>
      <c r="Q11" s="174">
        <f>'[2]Link Out'!I169+'[2]Link Out'!I423</f>
        <v>0</v>
      </c>
      <c r="R11" s="174">
        <f>'[2]Link Out'!$I$251</f>
        <v>0</v>
      </c>
      <c r="S11" s="174">
        <f>'[2]Link Out'!$I$205</f>
        <v>900</v>
      </c>
      <c r="T11" s="175" t="s">
        <v>13</v>
      </c>
      <c r="U11" s="161"/>
    </row>
    <row r="12" spans="1:29" ht="14.4" x14ac:dyDescent="0.3">
      <c r="A12" s="161"/>
      <c r="B12" s="170" t="s">
        <v>76</v>
      </c>
      <c r="C12" s="174">
        <f>'[2]Link Out'!C30+'[2]Link Out'!C287</f>
        <v>23799.503682356706</v>
      </c>
      <c r="D12" s="174">
        <f>'[2]Link Out'!C65+'[2]Link Out'!C322</f>
        <v>29048.959495157029</v>
      </c>
      <c r="E12" s="174">
        <f>'[2]Link Out'!$C$100</f>
        <v>48</v>
      </c>
      <c r="F12" s="174">
        <f>'[2]Link Out'!$C$135</f>
        <v>2128.4141473437039</v>
      </c>
      <c r="G12" s="174">
        <f>'[2]Link Out'!$C$170</f>
        <v>0</v>
      </c>
      <c r="H12" s="174">
        <f>'[2]Link Out'!C252</f>
        <v>262.11535074845904</v>
      </c>
      <c r="I12" s="174">
        <f>'[2]Link Out'!$C$206</f>
        <v>5508.0854189336242</v>
      </c>
      <c r="J12" s="175" t="s">
        <v>16</v>
      </c>
      <c r="K12" s="161"/>
      <c r="L12" s="170" t="s">
        <v>76</v>
      </c>
      <c r="M12" s="174">
        <f>'[2]Link Out'!I30+'[2]Link Out'!I287+'[2]Link Out'!I355+'[2]Link Out'!I457</f>
        <v>24807</v>
      </c>
      <c r="N12" s="174">
        <f>'[2]Link Out'!I65+'[2]Link Out'!I322+'[2]Link Out'!I390+'[2]Link Out'!I492</f>
        <v>29094</v>
      </c>
      <c r="O12" s="174">
        <f>'[2]Link Out'!$I$100</f>
        <v>48</v>
      </c>
      <c r="P12" s="174">
        <f>'[2]Link Out'!I135+'[2]Link Out'!I526</f>
        <v>2184</v>
      </c>
      <c r="Q12" s="174">
        <f>'[2]Link Out'!I170+'[2]Link Out'!I424</f>
        <v>0</v>
      </c>
      <c r="R12" s="174">
        <f>'[2]Link Out'!$I$252</f>
        <v>288</v>
      </c>
      <c r="S12" s="174">
        <f>'[2]Link Out'!$I$206</f>
        <v>5748</v>
      </c>
      <c r="T12" s="175" t="s">
        <v>16</v>
      </c>
      <c r="U12" s="161"/>
    </row>
    <row r="13" spans="1:29" ht="14.4" x14ac:dyDescent="0.3">
      <c r="A13" s="161"/>
      <c r="B13" s="170" t="s">
        <v>15</v>
      </c>
      <c r="C13" s="174">
        <f>'[2]Link Out'!C31+'[2]Link Out'!C288</f>
        <v>156.07125700560448</v>
      </c>
      <c r="D13" s="174">
        <f>'[2]Link Out'!C66+'[2]Link Out'!C323</f>
        <v>2127.6661287956576</v>
      </c>
      <c r="E13" s="174">
        <f>'[2]Link Out'!$C$101</f>
        <v>24</v>
      </c>
      <c r="F13" s="174">
        <f>'[2]Link Out'!$C$136</f>
        <v>355.03828663635034</v>
      </c>
      <c r="G13" s="174">
        <f>'[2]Link Out'!$C$171</f>
        <v>54</v>
      </c>
      <c r="H13" s="174">
        <f>'[2]Link Out'!C253</f>
        <v>0</v>
      </c>
      <c r="I13" s="174">
        <f>'[2]Link Out'!$C$207</f>
        <v>11472.50701499758</v>
      </c>
      <c r="J13" s="175" t="s">
        <v>60</v>
      </c>
      <c r="K13" s="161"/>
      <c r="L13" s="170" t="s">
        <v>15</v>
      </c>
      <c r="M13" s="174">
        <f>'[2]Link Out'!I31+'[2]Link Out'!I288+'[2]Link Out'!I356+'[2]Link Out'!I458</f>
        <v>156</v>
      </c>
      <c r="N13" s="174">
        <f>'[2]Link Out'!I66+'[2]Link Out'!I323+'[2]Link Out'!I391+'[2]Link Out'!I493</f>
        <v>2112</v>
      </c>
      <c r="O13" s="174">
        <f>'[2]Link Out'!$I$101</f>
        <v>24</v>
      </c>
      <c r="P13" s="174">
        <f>'[2]Link Out'!I136+'[2]Link Out'!I527</f>
        <v>384</v>
      </c>
      <c r="Q13" s="174">
        <f>'[2]Link Out'!I171+'[2]Link Out'!I425</f>
        <v>60</v>
      </c>
      <c r="R13" s="174">
        <f>'[2]Link Out'!$I$253</f>
        <v>0</v>
      </c>
      <c r="S13" s="174">
        <f>'[2]Link Out'!$I$207</f>
        <v>11616</v>
      </c>
      <c r="T13" s="175" t="s">
        <v>60</v>
      </c>
      <c r="U13" s="161"/>
    </row>
    <row r="14" spans="1:29" ht="14.4" x14ac:dyDescent="0.3">
      <c r="A14" s="161"/>
      <c r="B14" s="170" t="s">
        <v>13</v>
      </c>
      <c r="C14" s="174">
        <f>'[2]Link Out'!C32+'[2]Link Out'!C289</f>
        <v>1414.7951361088872</v>
      </c>
      <c r="D14" s="174">
        <f>'[2]Link Out'!C67</f>
        <v>23919.648922953478</v>
      </c>
      <c r="E14" s="174">
        <f>'[2]Link Out'!$C$102</f>
        <v>263.82190022010275</v>
      </c>
      <c r="F14" s="174">
        <f>'[2]Link Out'!$C$137</f>
        <v>4705.4821839863671</v>
      </c>
      <c r="G14" s="174">
        <f>'[2]Link Out'!$C$172</f>
        <v>57.63563829787234</v>
      </c>
      <c r="H14" s="174">
        <f>'[2]Link Out'!C254</f>
        <v>0</v>
      </c>
      <c r="I14" s="174">
        <f>'[2]Link Out'!$C$208</f>
        <v>3803.8438563069803</v>
      </c>
      <c r="J14" s="175" t="s">
        <v>61</v>
      </c>
      <c r="K14" s="161"/>
      <c r="L14" s="170" t="s">
        <v>13</v>
      </c>
      <c r="M14" s="174">
        <f>'[2]Link Out'!I32+'[2]Link Out'!I289+'[2]Link Out'!I357+'[2]Link Out'!I459</f>
        <v>1404</v>
      </c>
      <c r="N14" s="174">
        <f>'[2]Link Out'!I67+'[2]Link Out'!I324+'[2]Link Out'!I392+'[2]Link Out'!I494</f>
        <v>24100</v>
      </c>
      <c r="O14" s="174">
        <f>'[2]Link Out'!$I$102</f>
        <v>264</v>
      </c>
      <c r="P14" s="174">
        <f>'[2]Link Out'!I137+'[2]Link Out'!I528</f>
        <v>4860</v>
      </c>
      <c r="Q14" s="174">
        <f>'[2]Link Out'!I172+'[2]Link Out'!I426</f>
        <v>48</v>
      </c>
      <c r="R14" s="174">
        <f>'[2]Link Out'!$I$254</f>
        <v>0</v>
      </c>
      <c r="S14" s="174">
        <f>'[2]Link Out'!$I$208</f>
        <v>3840</v>
      </c>
      <c r="T14" s="175" t="s">
        <v>61</v>
      </c>
      <c r="U14" s="161"/>
    </row>
    <row r="15" spans="1:29" ht="14.4" x14ac:dyDescent="0.3">
      <c r="A15" s="161"/>
      <c r="B15" s="170" t="s">
        <v>14</v>
      </c>
      <c r="C15" s="174">
        <f>'[2]Link Out'!C33+'[2]Link Out'!C290</f>
        <v>0</v>
      </c>
      <c r="D15" s="174">
        <f>'[2]Link Out'!C68+'[2]Link Out'!C325</f>
        <v>12</v>
      </c>
      <c r="E15" s="174">
        <f>'[2]Link Out'!$C$103</f>
        <v>0</v>
      </c>
      <c r="F15" s="174">
        <f>'[2]Link Out'!$C$138</f>
        <v>12</v>
      </c>
      <c r="G15" s="174">
        <f>'[2]Link Out'!$C$173</f>
        <v>0</v>
      </c>
      <c r="H15" s="174">
        <f>'[2]Link Out'!C255</f>
        <v>177.32082946153469</v>
      </c>
      <c r="I15" s="174">
        <f>'[2]Link Out'!$C$209</f>
        <v>152</v>
      </c>
      <c r="J15" s="175" t="s">
        <v>62</v>
      </c>
      <c r="K15" s="161"/>
      <c r="L15" s="170" t="s">
        <v>14</v>
      </c>
      <c r="M15" s="174">
        <f>'[2]Link Out'!I33+'[2]Link Out'!I290+'[2]Link Out'!I358+'[2]Link Out'!I460</f>
        <v>0</v>
      </c>
      <c r="N15" s="174">
        <f>'[2]Link Out'!I68+'[2]Link Out'!I325+'[2]Link Out'!I393+'[2]Link Out'!I495</f>
        <v>12</v>
      </c>
      <c r="O15" s="174">
        <f>'[2]Link Out'!$I$103</f>
        <v>0</v>
      </c>
      <c r="P15" s="174">
        <f>'[2]Link Out'!I138+'[2]Link Out'!I529</f>
        <v>12</v>
      </c>
      <c r="Q15" s="174">
        <f>'[2]Link Out'!I173+'[2]Link Out'!I427</f>
        <v>0</v>
      </c>
      <c r="R15" s="174">
        <f>'[2]Link Out'!$I$255</f>
        <v>192</v>
      </c>
      <c r="S15" s="174">
        <f>'[2]Link Out'!$I$209</f>
        <v>156</v>
      </c>
      <c r="T15" s="175" t="s">
        <v>62</v>
      </c>
      <c r="U15" s="161"/>
    </row>
    <row r="16" spans="1:29" ht="14.4" x14ac:dyDescent="0.3">
      <c r="A16" s="161"/>
      <c r="B16" s="170" t="s">
        <v>16</v>
      </c>
      <c r="C16" s="174">
        <f>'[2]Link Out'!C34+'[2]Link Out'!C291</f>
        <v>0</v>
      </c>
      <c r="D16" s="174">
        <f>'[2]Link Out'!C69+'[2]Link Out'!C324</f>
        <v>366.02512761638246</v>
      </c>
      <c r="E16" s="174">
        <f>'[2]Link Out'!$C$104</f>
        <v>120</v>
      </c>
      <c r="F16" s="174">
        <f>'[2]Link Out'!$C$139</f>
        <v>525.82190333656126</v>
      </c>
      <c r="G16" s="174">
        <f>'[2]Link Out'!$C$174</f>
        <v>54.032866742964465</v>
      </c>
      <c r="H16" s="174">
        <f>'[2]Link Out'!C256</f>
        <v>0</v>
      </c>
      <c r="I16" s="174">
        <f>'[2]Link Out'!$C$210</f>
        <v>72</v>
      </c>
      <c r="J16" s="175" t="s">
        <v>63</v>
      </c>
      <c r="K16" s="161"/>
      <c r="L16" s="170" t="s">
        <v>16</v>
      </c>
      <c r="M16" s="174">
        <f>'[2]Link Out'!I34+'[2]Link Out'!I291+'[2]Link Out'!I359+'[2]Link Out'!I461</f>
        <v>0</v>
      </c>
      <c r="N16" s="174">
        <f>'[2]Link Out'!I69+'[2]Link Out'!I326+'[2]Link Out'!I394+'[2]Link Out'!I496</f>
        <v>360</v>
      </c>
      <c r="O16" s="174">
        <f>'[2]Link Out'!$I$104</f>
        <v>120</v>
      </c>
      <c r="P16" s="174">
        <f>'[2]Link Out'!I139+'[2]Link Out'!I530</f>
        <v>540</v>
      </c>
      <c r="Q16" s="174">
        <f>'[2]Link Out'!I174+'[2]Link Out'!I428</f>
        <v>72</v>
      </c>
      <c r="R16" s="174">
        <f>'[2]Link Out'!$I$256</f>
        <v>0</v>
      </c>
      <c r="S16" s="174">
        <f>'[2]Link Out'!$I$210</f>
        <v>72</v>
      </c>
      <c r="T16" s="175" t="s">
        <v>63</v>
      </c>
      <c r="U16" s="161"/>
    </row>
    <row r="17" spans="1:22" ht="14.4" x14ac:dyDescent="0.3">
      <c r="A17" s="161"/>
      <c r="B17" s="170" t="s">
        <v>60</v>
      </c>
      <c r="C17" s="174">
        <f>'[2]Link Out'!C35+'[2]Link Out'!C292</f>
        <v>36</v>
      </c>
      <c r="D17" s="174">
        <f>'[2]Link Out'!C70+'[2]Link Out'!C327</f>
        <v>171.38083639031549</v>
      </c>
      <c r="E17" s="174">
        <f>'[2]Link Out'!$C$105</f>
        <v>108</v>
      </c>
      <c r="F17" s="174">
        <f>'[2]Link Out'!$C$140</f>
        <v>146</v>
      </c>
      <c r="G17" s="174">
        <f>'[2]Link Out'!$C$175</f>
        <v>49.178576669112253</v>
      </c>
      <c r="H17" s="174">
        <f>'[2]Link Out'!C257</f>
        <v>0</v>
      </c>
      <c r="I17" s="174">
        <f>'[2]Link Out'!$C$211</f>
        <v>0</v>
      </c>
      <c r="J17" s="175" t="s">
        <v>134</v>
      </c>
      <c r="K17" s="161"/>
      <c r="L17" s="170" t="s">
        <v>60</v>
      </c>
      <c r="M17" s="174">
        <f>'[2]Link Out'!I35+'[2]Link Out'!I292+'[2]Link Out'!I360+'[2]Link Out'!I462</f>
        <v>36</v>
      </c>
      <c r="N17" s="174">
        <f>'[2]Link Out'!I70+'[2]Link Out'!I327+'[2]Link Out'!I395+'[2]Link Out'!I497</f>
        <v>168</v>
      </c>
      <c r="O17" s="174">
        <f>'[2]Link Out'!$I$105</f>
        <v>108</v>
      </c>
      <c r="P17" s="174">
        <f>'[2]Link Out'!I140+'[2]Link Out'!I531</f>
        <v>168</v>
      </c>
      <c r="Q17" s="174">
        <f>'[2]Link Out'!I175+'[2]Link Out'!I429</f>
        <v>48</v>
      </c>
      <c r="R17" s="174">
        <f>'[2]Link Out'!$I$257</f>
        <v>0</v>
      </c>
      <c r="S17" s="174">
        <f>'[2]Link Out'!$I$211</f>
        <v>0</v>
      </c>
      <c r="T17" s="175" t="s">
        <v>134</v>
      </c>
      <c r="U17" s="161"/>
    </row>
    <row r="18" spans="1:22" ht="14.4" x14ac:dyDescent="0.3">
      <c r="A18" s="161"/>
      <c r="B18" s="170" t="s">
        <v>61</v>
      </c>
      <c r="C18" s="174">
        <f>'[2]Link Out'!C36+'[2]Link Out'!C293</f>
        <v>12</v>
      </c>
      <c r="D18" s="174">
        <f>'[2]Link Out'!C71+'[2]Link Out'!C328</f>
        <v>131.7232850330154</v>
      </c>
      <c r="E18" s="174">
        <f>'[2]Link Out'!$C$106</f>
        <v>0</v>
      </c>
      <c r="F18" s="174">
        <f>'[2]Link Out'!$C$141</f>
        <v>24</v>
      </c>
      <c r="G18" s="174">
        <f>'[2]Link Out'!$C$176</f>
        <v>0</v>
      </c>
      <c r="H18" s="174">
        <f>'[2]Link Out'!C258</f>
        <v>0</v>
      </c>
      <c r="I18" s="174">
        <f>'[2]Link Out'!$C$212</f>
        <v>12</v>
      </c>
      <c r="J18" s="175" t="s">
        <v>135</v>
      </c>
      <c r="K18" s="161"/>
      <c r="L18" s="170" t="s">
        <v>61</v>
      </c>
      <c r="M18" s="174">
        <f>'[2]Link Out'!I36+'[2]Link Out'!I293+'[2]Link Out'!I361+'[2]Link Out'!I463</f>
        <v>12</v>
      </c>
      <c r="N18" s="174">
        <f>'[2]Link Out'!I71+'[2]Link Out'!I328+'[2]Link Out'!I396+'[2]Link Out'!I498</f>
        <v>132</v>
      </c>
      <c r="O18" s="174">
        <f>'[2]Link Out'!$I$106</f>
        <v>0</v>
      </c>
      <c r="P18" s="174">
        <f>'[2]Link Out'!I141+'[2]Link Out'!I532</f>
        <v>24</v>
      </c>
      <c r="Q18" s="174">
        <f>'[2]Link Out'!I176+'[2]Link Out'!I430</f>
        <v>0</v>
      </c>
      <c r="R18" s="174">
        <f>'[2]Link Out'!$I$258</f>
        <v>0</v>
      </c>
      <c r="S18" s="174">
        <f>'[2]Link Out'!$I$212</f>
        <v>12</v>
      </c>
      <c r="T18" s="175" t="s">
        <v>135</v>
      </c>
      <c r="U18" s="161"/>
    </row>
    <row r="19" spans="1:22" ht="14.4" x14ac:dyDescent="0.3">
      <c r="A19" s="161"/>
      <c r="B19" s="170"/>
      <c r="C19" s="174"/>
      <c r="D19" s="174"/>
      <c r="E19" s="174"/>
      <c r="F19" s="174"/>
      <c r="G19" s="174"/>
      <c r="H19" s="174"/>
      <c r="I19" s="174">
        <f>'[2]Link Out'!$C$233</f>
        <v>90026</v>
      </c>
      <c r="J19" s="158" t="s">
        <v>139</v>
      </c>
      <c r="K19" s="161"/>
      <c r="L19" s="170"/>
      <c r="M19" s="174"/>
      <c r="N19" s="174"/>
      <c r="O19" s="174"/>
      <c r="P19" s="174"/>
      <c r="Q19" s="174"/>
      <c r="R19" s="174"/>
      <c r="S19" s="174">
        <f>'[2]Link Out'!$I$233+'[2]Link Out'!$I$550</f>
        <v>90504</v>
      </c>
      <c r="T19" s="158" t="s">
        <v>139</v>
      </c>
      <c r="U19" s="161"/>
      <c r="V19" s="320"/>
    </row>
    <row r="20" spans="1:22" ht="14.4" x14ac:dyDescent="0.3">
      <c r="A20" s="161"/>
      <c r="B20" s="170"/>
      <c r="C20" s="176"/>
      <c r="D20" s="176"/>
      <c r="E20" s="176"/>
      <c r="F20" s="176"/>
      <c r="G20" s="176"/>
      <c r="H20" s="160"/>
      <c r="I20" s="177"/>
      <c r="J20" s="158"/>
      <c r="K20" s="161"/>
      <c r="L20" s="170"/>
      <c r="M20" s="176"/>
      <c r="N20" s="176"/>
      <c r="O20" s="176"/>
      <c r="P20" s="176"/>
      <c r="Q20" s="176"/>
      <c r="R20" s="160"/>
      <c r="S20" s="176"/>
      <c r="T20" s="158"/>
      <c r="U20" s="161"/>
    </row>
    <row r="21" spans="1:22" ht="14.4" x14ac:dyDescent="0.3">
      <c r="A21" s="161" t="s">
        <v>17</v>
      </c>
      <c r="B21" s="161"/>
      <c r="C21" s="178">
        <f t="shared" ref="C21:I21" si="0">SUM(C10:C20)</f>
        <v>1436806.1164428589</v>
      </c>
      <c r="D21" s="178">
        <f t="shared" si="0"/>
        <v>111185.84879957585</v>
      </c>
      <c r="E21" s="178">
        <f t="shared" si="0"/>
        <v>640.82190022010275</v>
      </c>
      <c r="F21" s="178">
        <f t="shared" si="0"/>
        <v>9478.6358307666924</v>
      </c>
      <c r="G21" s="178">
        <f t="shared" si="0"/>
        <v>214.84708170994907</v>
      </c>
      <c r="H21" s="178">
        <f t="shared" si="0"/>
        <v>467.54036216157112</v>
      </c>
      <c r="I21" s="178">
        <f t="shared" si="0"/>
        <v>126776.33763159459</v>
      </c>
      <c r="J21" s="161"/>
      <c r="K21" s="161" t="s">
        <v>17</v>
      </c>
      <c r="L21" s="161"/>
      <c r="M21" s="179">
        <f t="shared" ref="M21:S21" si="1">SUM(M10:M20)</f>
        <v>1458004</v>
      </c>
      <c r="N21" s="179">
        <f t="shared" si="1"/>
        <v>111217</v>
      </c>
      <c r="O21" s="179">
        <f t="shared" si="1"/>
        <v>636</v>
      </c>
      <c r="P21" s="179">
        <f t="shared" si="1"/>
        <v>9672</v>
      </c>
      <c r="Q21" s="179">
        <f t="shared" si="1"/>
        <v>228</v>
      </c>
      <c r="R21" s="179">
        <f t="shared" si="1"/>
        <v>528</v>
      </c>
      <c r="S21" s="179">
        <f t="shared" si="1"/>
        <v>127728</v>
      </c>
      <c r="T21" s="161"/>
      <c r="U21" s="161"/>
    </row>
    <row r="22" spans="1:22" ht="14.4" x14ac:dyDescent="0.3">
      <c r="A22" s="161" t="s">
        <v>18</v>
      </c>
      <c r="B22" s="161"/>
      <c r="C22" s="176"/>
      <c r="D22" s="176"/>
      <c r="E22" s="176"/>
      <c r="F22" s="176"/>
      <c r="G22" s="176"/>
      <c r="H22" s="160"/>
      <c r="I22" s="180"/>
      <c r="J22" s="161"/>
      <c r="K22" s="161" t="s">
        <v>18</v>
      </c>
      <c r="L22" s="161"/>
      <c r="M22" s="176"/>
      <c r="N22" s="176"/>
      <c r="O22" s="176"/>
      <c r="P22" s="176"/>
      <c r="Q22" s="176"/>
      <c r="R22" s="160"/>
      <c r="S22" s="180"/>
      <c r="T22" s="161"/>
      <c r="U22" s="161"/>
    </row>
    <row r="23" spans="1:22" ht="14.4" x14ac:dyDescent="0.3">
      <c r="A23" s="161" t="s">
        <v>12</v>
      </c>
      <c r="B23" s="181" t="s">
        <v>19</v>
      </c>
      <c r="C23" s="174">
        <f>'[2]Link Out'!C42+'[2]Link Out'!C299</f>
        <v>5592374.5224405704</v>
      </c>
      <c r="D23" s="174">
        <f>'[2]Link Out'!C77+'[2]Link Out'!C334</f>
        <v>3746812.0323469797</v>
      </c>
      <c r="E23" s="174">
        <f>'[2]Link Out'!$C$112</f>
        <v>651882.09211704892</v>
      </c>
      <c r="F23" s="174">
        <f>'[2]Link Out'!$C$147</f>
        <v>1120134.9367899653</v>
      </c>
      <c r="G23" s="174">
        <f>'[2]Link Out'!$C$182</f>
        <v>437974.80628075969</v>
      </c>
      <c r="H23" s="174">
        <f>'[2]Link Out'!$C$264</f>
        <v>8171.195228010567</v>
      </c>
      <c r="I23" s="174">
        <f>+[2]Summary!$C$218</f>
        <v>3137.8147203140338</v>
      </c>
      <c r="J23" s="301">
        <f>+SUM(C23:I23)</f>
        <v>11560487.399923649</v>
      </c>
      <c r="K23" s="161" t="s">
        <v>12</v>
      </c>
      <c r="L23" s="181" t="s">
        <v>19</v>
      </c>
      <c r="M23" s="174">
        <f>'[2]Link Out'!I42+'[2]Link Out'!I299+'[2]Link Out'!I367+'[2]Link Out'!I469</f>
        <v>5614526.6873605531</v>
      </c>
      <c r="N23" s="174">
        <f>'[2]Link Out'!I77+'[2]Link Out'!I334+'[2]Link Out'!I402+'[2]Link Out'!I504</f>
        <v>3797075.5663238</v>
      </c>
      <c r="O23" s="174">
        <f>'[2]Link Out'!$I$112</f>
        <v>617725.2612666277</v>
      </c>
      <c r="P23" s="174">
        <f>'[2]Link Out'!I147+'[2]Link Out'!I538</f>
        <v>1165871.6583333332</v>
      </c>
      <c r="Q23" s="174">
        <f>'[2]Link Out'!I182+'[2]Link Out'!I436</f>
        <v>416336</v>
      </c>
      <c r="R23" s="174">
        <f>'[2]Link Out'!$I$264</f>
        <v>3153.34584</v>
      </c>
      <c r="S23" s="180"/>
      <c r="T23" s="160"/>
      <c r="U23" s="161"/>
    </row>
    <row r="24" spans="1:22" ht="14.4" x14ac:dyDescent="0.3">
      <c r="A24" s="161"/>
      <c r="B24" s="181" t="s">
        <v>20</v>
      </c>
      <c r="C24" s="174">
        <f>'[2]Link Out'!C43+'[2]Link Out'!C300</f>
        <v>8772.7198612315715</v>
      </c>
      <c r="D24" s="174">
        <f>'[2]Link Out'!C78+'[2]Link Out'!C335</f>
        <v>243.98612315698173</v>
      </c>
      <c r="E24" s="174">
        <f>'[2]Link Out'!$C$113</f>
        <v>0</v>
      </c>
      <c r="F24" s="174">
        <f>'[2]Link Out'!$C$148</f>
        <v>0</v>
      </c>
      <c r="G24" s="174"/>
      <c r="H24" s="174">
        <f>'[2]Link Out'!$C$265</f>
        <v>0</v>
      </c>
      <c r="I24" s="174"/>
      <c r="J24" s="301">
        <f t="shared" ref="J24:J29" si="2">+SUM(C24:I24)</f>
        <v>9016.7059843885527</v>
      </c>
      <c r="K24" s="161"/>
      <c r="L24" s="181" t="s">
        <v>20</v>
      </c>
      <c r="M24" s="174">
        <f>'[2]Link Out'!I43+'[2]Link Out'!I300+'[2]Link Out'!I368+'[2]Link Out'!I470</f>
        <v>17128.212510239955</v>
      </c>
      <c r="N24" s="174">
        <f>'[2]Link Out'!I78+'[2]Link Out'!I335+'[2]Link Out'!I403+'[2]Link Out'!I505</f>
        <v>639.98612315698176</v>
      </c>
      <c r="O24" s="174">
        <f>'[2]Link Out'!$I$113</f>
        <v>0</v>
      </c>
      <c r="P24" s="174">
        <f>'[2]Link Out'!I148+'[2]Link Out'!I539</f>
        <v>0</v>
      </c>
      <c r="Q24" s="174">
        <f>'[2]Link Out'!I183+'[2]Link Out'!I437</f>
        <v>0</v>
      </c>
      <c r="R24" s="174">
        <f>'[2]Link Out'!$I$265</f>
        <v>0</v>
      </c>
      <c r="S24" s="180"/>
      <c r="T24" s="160"/>
      <c r="U24" s="161"/>
    </row>
    <row r="25" spans="1:22" ht="14.4" x14ac:dyDescent="0.3">
      <c r="A25" s="161"/>
      <c r="B25" s="181" t="s">
        <v>21</v>
      </c>
      <c r="C25" s="174">
        <f>'[2]Link Out'!C44</f>
        <v>0</v>
      </c>
      <c r="D25" s="174">
        <f>'[2]Link Out'!C79</f>
        <v>0</v>
      </c>
      <c r="E25" s="174">
        <f>'[2]Link Out'!$C$114</f>
        <v>0</v>
      </c>
      <c r="F25" s="174">
        <f>'[2]Link Out'!$C$149</f>
        <v>0</v>
      </c>
      <c r="G25" s="174">
        <f>'[2]Link Out'!$C$184</f>
        <v>0</v>
      </c>
      <c r="H25" s="174">
        <f>'[2]Link Out'!$C$266</f>
        <v>0</v>
      </c>
      <c r="I25" s="174"/>
      <c r="J25" s="301">
        <f t="shared" si="2"/>
        <v>0</v>
      </c>
      <c r="K25" s="161"/>
      <c r="L25" s="181" t="s">
        <v>21</v>
      </c>
      <c r="M25" s="174">
        <f>'[2]Link Out'!I44+'[2]Link Out'!I301+'[2]Link Out'!I369+'[2]Link Out'!I471</f>
        <v>0</v>
      </c>
      <c r="N25" s="174">
        <f>'[2]Link Out'!I79+'[2]Link Out'!I336+'[2]Link Out'!I404+'[2]Link Out'!I506</f>
        <v>653.40000000000009</v>
      </c>
      <c r="O25" s="174">
        <f>'[2]Link Out'!$I$114</f>
        <v>0</v>
      </c>
      <c r="P25" s="174">
        <f>'[2]Link Out'!I149+'[2]Link Out'!I540</f>
        <v>0</v>
      </c>
      <c r="Q25" s="174">
        <f>'[2]Link Out'!I184+'[2]Link Out'!I438</f>
        <v>0</v>
      </c>
      <c r="R25" s="174">
        <f>'[2]Link Out'!$I$266</f>
        <v>0</v>
      </c>
      <c r="S25" s="180"/>
      <c r="T25" s="160"/>
      <c r="U25" s="161"/>
    </row>
    <row r="26" spans="1:22" ht="14.4" x14ac:dyDescent="0.3">
      <c r="A26" s="161"/>
      <c r="B26" s="161" t="s">
        <v>22</v>
      </c>
      <c r="C26" s="174">
        <f>'[2]Link Out'!C45</f>
        <v>0</v>
      </c>
      <c r="D26" s="174">
        <f>'[2]Link Out'!C80</f>
        <v>0</v>
      </c>
      <c r="E26" s="174">
        <f>'[2]Link Out'!$C$115</f>
        <v>0</v>
      </c>
      <c r="F26" s="174">
        <f>'[2]Link Out'!$C$150</f>
        <v>0</v>
      </c>
      <c r="G26" s="174">
        <f>'[2]Link Out'!$C$185</f>
        <v>0</v>
      </c>
      <c r="H26" s="174">
        <f>'[2]Link Out'!$C$267</f>
        <v>0</v>
      </c>
      <c r="I26" s="174"/>
      <c r="J26" s="301">
        <f t="shared" si="2"/>
        <v>0</v>
      </c>
      <c r="K26" s="161"/>
      <c r="L26" s="161" t="s">
        <v>22</v>
      </c>
      <c r="M26" s="174">
        <f>'[2]Link Out'!I45+'[2]Link Out'!I302+'[2]Link Out'!I370+'[2]Link Out'!I472</f>
        <v>0</v>
      </c>
      <c r="N26" s="174">
        <f>'[2]Link Out'!I80+'[2]Link Out'!I337+'[2]Link Out'!I405+'[2]Link Out'!I507</f>
        <v>0</v>
      </c>
      <c r="O26" s="174">
        <f>'[2]Link Out'!$I$115</f>
        <v>0</v>
      </c>
      <c r="P26" s="174">
        <f>'[2]Link Out'!I150+'[2]Link Out'!I541</f>
        <v>0</v>
      </c>
      <c r="Q26" s="174">
        <f>'[2]Link Out'!I185+'[2]Link Out'!I439</f>
        <v>0</v>
      </c>
      <c r="R26" s="174">
        <f>'[2]Link Out'!$I$267</f>
        <v>0</v>
      </c>
      <c r="S26" s="180"/>
      <c r="T26" s="160"/>
      <c r="U26" s="161"/>
    </row>
    <row r="27" spans="1:22" ht="14.4" x14ac:dyDescent="0.3">
      <c r="A27" s="161"/>
      <c r="B27" s="181" t="s">
        <v>100</v>
      </c>
      <c r="C27" s="174">
        <f>'[2]Link Out'!C46</f>
        <v>0</v>
      </c>
      <c r="D27" s="174">
        <f>'[2]Link Out'!C81</f>
        <v>0</v>
      </c>
      <c r="E27" s="174">
        <f>'[2]Link Out'!$C$116</f>
        <v>0</v>
      </c>
      <c r="F27" s="174">
        <f>'[2]Link Out'!$C$151</f>
        <v>0</v>
      </c>
      <c r="G27" s="174">
        <f>'[2]Link Out'!$C$186</f>
        <v>0</v>
      </c>
      <c r="H27" s="174">
        <f>'[2]Link Out'!$C$268</f>
        <v>0</v>
      </c>
      <c r="I27" s="174"/>
      <c r="J27" s="301">
        <f t="shared" si="2"/>
        <v>0</v>
      </c>
      <c r="K27" s="161"/>
      <c r="L27" s="181" t="s">
        <v>100</v>
      </c>
      <c r="M27" s="174">
        <f>'[2]Link Out'!I46+'[2]Link Out'!I303+'[2]Link Out'!I371+'[2]Link Out'!I473</f>
        <v>0</v>
      </c>
      <c r="N27" s="174">
        <f>'[2]Link Out'!I81+'[2]Link Out'!I338+'[2]Link Out'!I406+'[2]Link Out'!I508</f>
        <v>0</v>
      </c>
      <c r="O27" s="174">
        <f>'[2]Link Out'!$I$116</f>
        <v>0</v>
      </c>
      <c r="P27" s="174">
        <f>'[2]Link Out'!I151+'[2]Link Out'!I542</f>
        <v>0</v>
      </c>
      <c r="Q27" s="174">
        <f>'[2]Link Out'!I186+'[2]Link Out'!I440</f>
        <v>0</v>
      </c>
      <c r="R27" s="174">
        <f>'[2]Link Out'!$I$268</f>
        <v>0</v>
      </c>
      <c r="S27" s="180"/>
      <c r="T27" s="160"/>
      <c r="U27" s="161"/>
    </row>
    <row r="28" spans="1:22" ht="14.4" x14ac:dyDescent="0.3">
      <c r="A28" s="161"/>
      <c r="B28" s="161" t="s">
        <v>202</v>
      </c>
      <c r="C28" s="174">
        <f>'[2]Link Out'!C47</f>
        <v>0</v>
      </c>
      <c r="D28" s="174">
        <f>'[2]Link Out'!C82</f>
        <v>0</v>
      </c>
      <c r="E28" s="174">
        <f>'[2]Link Out'!$C$117</f>
        <v>0</v>
      </c>
      <c r="F28" s="174">
        <f>'[2]Link Out'!$C$152</f>
        <v>0</v>
      </c>
      <c r="G28" s="174">
        <f>+'[2]Link Out'!C192</f>
        <v>10298.8313149767</v>
      </c>
      <c r="H28" s="174">
        <f>'[2]Link Out'!$C$269</f>
        <v>0</v>
      </c>
      <c r="I28" s="174"/>
      <c r="J28" s="301">
        <f t="shared" si="2"/>
        <v>10298.8313149767</v>
      </c>
      <c r="K28" s="161"/>
      <c r="L28" s="161" t="s">
        <v>202</v>
      </c>
      <c r="M28" s="174">
        <f>'[2]Link Out'!I47+'[2]Link Out'!I304+'[2]Link Out'!I372+'[2]Link Out'!I474</f>
        <v>0</v>
      </c>
      <c r="N28" s="174">
        <f>'[2]Link Out'!I82+'[2]Link Out'!I339+'[2]Link Out'!I407+'[2]Link Out'!I509</f>
        <v>0</v>
      </c>
      <c r="O28" s="174">
        <f>'[2]Link Out'!$I$117</f>
        <v>0</v>
      </c>
      <c r="P28" s="174">
        <f>'[2]Link Out'!I152+'[2]Link Out'!I543</f>
        <v>0</v>
      </c>
      <c r="Q28" s="174">
        <f>+'[2]Link Out'!I192</f>
        <v>10491.362000000001</v>
      </c>
      <c r="R28" s="174">
        <f>'[2]Link Out'!$I$269</f>
        <v>0</v>
      </c>
      <c r="S28" s="180"/>
      <c r="T28" s="160"/>
      <c r="U28" s="161"/>
    </row>
    <row r="29" spans="1:22" ht="14.4" x14ac:dyDescent="0.3">
      <c r="A29" s="161"/>
      <c r="B29" s="161" t="s">
        <v>1</v>
      </c>
      <c r="C29" s="179">
        <f>SUM(C23:C28)</f>
        <v>5601147.2423018022</v>
      </c>
      <c r="D29" s="179">
        <f t="shared" ref="D29" si="3">SUM(D23:D28)</f>
        <v>3747056.0184701369</v>
      </c>
      <c r="E29" s="179">
        <f t="shared" ref="E29" si="4">SUM(E23:E28)</f>
        <v>651882.09211704892</v>
      </c>
      <c r="F29" s="179">
        <f t="shared" ref="F29" si="5">SUM(F23:F28)</f>
        <v>1120134.9367899653</v>
      </c>
      <c r="G29" s="179">
        <f>SUM(G23:G28)</f>
        <v>448273.63759573636</v>
      </c>
      <c r="H29" s="179">
        <f t="shared" ref="H29:I29" si="6">SUM(H23:H28)</f>
        <v>8171.195228010567</v>
      </c>
      <c r="I29" s="179">
        <f t="shared" si="6"/>
        <v>3137.8147203140338</v>
      </c>
      <c r="J29" s="179">
        <f t="shared" si="2"/>
        <v>11579802.937223013</v>
      </c>
      <c r="K29" s="161"/>
      <c r="L29" s="161" t="s">
        <v>1</v>
      </c>
      <c r="M29" s="178">
        <f>SUM(M23:M28)</f>
        <v>5631654.8998707933</v>
      </c>
      <c r="N29" s="178">
        <f t="shared" ref="N29" si="7">SUM(N23:N28)</f>
        <v>3798368.9524469571</v>
      </c>
      <c r="O29" s="178">
        <f t="shared" ref="O29" si="8">SUM(O23:O28)</f>
        <v>617725.2612666277</v>
      </c>
      <c r="P29" s="178">
        <f t="shared" ref="P29" si="9">SUM(P23:P28)</f>
        <v>1165871.6583333332</v>
      </c>
      <c r="Q29" s="178">
        <f t="shared" ref="Q29:R29" si="10">SUM(Q23:Q28)</f>
        <v>426827.36200000002</v>
      </c>
      <c r="R29" s="178">
        <f t="shared" si="10"/>
        <v>3153.34584</v>
      </c>
      <c r="S29" s="178">
        <f>SUM(M29:R29)</f>
        <v>11643601.479757711</v>
      </c>
      <c r="T29" s="160"/>
      <c r="U29" s="161"/>
    </row>
    <row r="30" spans="1:22" ht="14.4" x14ac:dyDescent="0.3">
      <c r="A30" s="161"/>
      <c r="B30" s="161"/>
      <c r="C30" s="182"/>
      <c r="D30" s="161"/>
      <c r="E30" s="161"/>
      <c r="F30" s="161"/>
      <c r="G30" s="205"/>
      <c r="H30" s="306"/>
      <c r="I30" s="161"/>
      <c r="J30" s="161"/>
      <c r="K30" s="161"/>
      <c r="L30" s="161"/>
      <c r="M30" s="160"/>
      <c r="N30" s="160"/>
      <c r="O30" s="160"/>
      <c r="P30" s="160"/>
      <c r="Q30" s="160"/>
      <c r="R30" s="160"/>
      <c r="S30" s="160"/>
      <c r="T30" s="160"/>
      <c r="U30" s="161"/>
    </row>
    <row r="31" spans="1:22" ht="14.4" x14ac:dyDescent="0.3">
      <c r="A31" s="182"/>
      <c r="B31" s="182"/>
      <c r="C31" s="183" t="s">
        <v>3</v>
      </c>
      <c r="D31" s="184" t="s">
        <v>4</v>
      </c>
      <c r="E31" s="184" t="s">
        <v>5</v>
      </c>
      <c r="F31" s="184" t="s">
        <v>6</v>
      </c>
      <c r="G31" s="184" t="s">
        <v>7</v>
      </c>
      <c r="H31" s="184" t="s">
        <v>153</v>
      </c>
      <c r="I31" s="185" t="s">
        <v>23</v>
      </c>
      <c r="J31" s="184" t="s">
        <v>1</v>
      </c>
      <c r="K31" s="161"/>
      <c r="L31" s="161"/>
      <c r="M31" s="186" t="s">
        <v>3</v>
      </c>
      <c r="N31" s="171" t="s">
        <v>4</v>
      </c>
      <c r="O31" s="171" t="s">
        <v>5</v>
      </c>
      <c r="P31" s="171" t="s">
        <v>6</v>
      </c>
      <c r="Q31" s="171" t="s">
        <v>7</v>
      </c>
      <c r="R31" s="171" t="s">
        <v>153</v>
      </c>
      <c r="S31" s="187" t="s">
        <v>23</v>
      </c>
      <c r="T31" s="171" t="s">
        <v>1</v>
      </c>
      <c r="U31" s="161"/>
    </row>
    <row r="32" spans="1:22" ht="14.4" x14ac:dyDescent="0.3">
      <c r="A32" s="161" t="s">
        <v>109</v>
      </c>
      <c r="B32" s="161"/>
      <c r="C32" s="115">
        <f>'[2]Link Out'!C48+'[2]Link Out'!C305</f>
        <v>26347.721311008823</v>
      </c>
      <c r="D32" s="115">
        <f>'[2]Link Out'!C83+'[2]Link Out'!C340</f>
        <v>1440.6729733480763</v>
      </c>
      <c r="E32" s="115">
        <f>'[2]Link Out'!$C$118</f>
        <v>0</v>
      </c>
      <c r="F32" s="115">
        <f>'[2]Link Out'!$C$153</f>
        <v>-232.11353723378852</v>
      </c>
      <c r="G32" s="115">
        <f>'[2]Link Out'!$C$188</f>
        <v>0</v>
      </c>
      <c r="H32" s="115">
        <f>'[2]Link Out'!$C$270</f>
        <v>-2283.9556480105657</v>
      </c>
      <c r="I32" s="188">
        <f>+'[2]Link Out'!$C$223</f>
        <v>-39.981720314033907</v>
      </c>
      <c r="J32" s="115">
        <f>SUM(C32:I32)</f>
        <v>25232.343378798512</v>
      </c>
      <c r="K32" s="160"/>
      <c r="L32" s="160"/>
      <c r="M32" s="115">
        <f>'[2]Link Out'!I48+'[2]Link Out'!I305</f>
        <v>0</v>
      </c>
      <c r="N32" s="115">
        <f>'[2]Link Out'!I83+'[2]Link Out'!I340</f>
        <v>0</v>
      </c>
      <c r="O32" s="115">
        <f>'[2]Link Out'!$I$118</f>
        <v>0</v>
      </c>
      <c r="P32" s="94">
        <f>'[2]Link Out'!$I$153</f>
        <v>0</v>
      </c>
      <c r="Q32" s="115">
        <f>'[2]Link Out'!$I$188</f>
        <v>0</v>
      </c>
      <c r="R32" s="115">
        <f>'[2]Link Out'!$I$270</f>
        <v>0</v>
      </c>
      <c r="S32" s="115"/>
      <c r="T32" s="115">
        <f>SUM(M32:S32)</f>
        <v>0</v>
      </c>
      <c r="U32" s="161"/>
    </row>
    <row r="33" spans="1:29" ht="14.4" x14ac:dyDescent="0.3">
      <c r="A33" s="161"/>
      <c r="B33" s="161"/>
      <c r="C33" s="189"/>
      <c r="D33" s="189"/>
      <c r="E33" s="189"/>
      <c r="F33" s="189"/>
      <c r="G33" s="189"/>
      <c r="H33" s="160"/>
      <c r="I33" s="189"/>
      <c r="J33" s="115"/>
      <c r="K33" s="160"/>
      <c r="L33" s="160"/>
      <c r="M33" s="180"/>
      <c r="N33" s="180"/>
      <c r="O33" s="180"/>
      <c r="P33" s="180"/>
      <c r="Q33" s="180"/>
      <c r="R33" s="180"/>
      <c r="S33" s="160"/>
      <c r="T33" s="115"/>
      <c r="U33" s="161"/>
    </row>
    <row r="34" spans="1:29" ht="15" thickBot="1" x14ac:dyDescent="0.35">
      <c r="A34" s="161" t="s">
        <v>110</v>
      </c>
      <c r="B34" s="161"/>
      <c r="C34" s="115">
        <f>'[2]Link Out'!$G$48+'[2]Link Out'!$G$305</f>
        <v>3659.1856821875485</v>
      </c>
      <c r="D34" s="115">
        <f>'[2]Link Out'!$G$83+'[2]Link Out'!$G$340</f>
        <v>-48418.300319119357</v>
      </c>
      <c r="E34" s="115">
        <f>'[2]Link Out'!$G$118</f>
        <v>41.542676825309172</v>
      </c>
      <c r="F34" s="115">
        <f>'[2]Link Out'!$G$153</f>
        <v>-21853.390700165764</v>
      </c>
      <c r="G34" s="115">
        <f>'[2]Link Out'!$G$188</f>
        <v>5654.0612980101414</v>
      </c>
      <c r="H34" s="115">
        <f>'[2]Link Out'!$G$270</f>
        <v>10.414583952451721</v>
      </c>
      <c r="I34" s="174">
        <f>+'[2]Link Out'!G223+'[2]Link Out'!G238</f>
        <v>-16491.003562943923</v>
      </c>
      <c r="J34" s="115">
        <f>SUM(C34:I34)</f>
        <v>-77397.490341253579</v>
      </c>
      <c r="K34" s="160"/>
      <c r="L34" s="160"/>
      <c r="M34" s="174">
        <f>'[2]Link Out'!$M$48</f>
        <v>0</v>
      </c>
      <c r="N34" s="174">
        <f>'[2]Link Out'!$M$83</f>
        <v>0</v>
      </c>
      <c r="O34" s="174">
        <f>'[2]Link Out'!$M$118</f>
        <v>0</v>
      </c>
      <c r="P34" s="174">
        <f>'[2]Link Out'!$M$153</f>
        <v>0</v>
      </c>
      <c r="Q34" s="174">
        <f>'[2]Link Out'!$M$188</f>
        <v>0</v>
      </c>
      <c r="R34" s="174">
        <f>'[2]Link Out'!$M$258</f>
        <v>0</v>
      </c>
      <c r="S34" s="174">
        <f>'[2]Link Out'!$M$238</f>
        <v>0</v>
      </c>
      <c r="T34" s="174">
        <f>SUM(M34:S34)</f>
        <v>0</v>
      </c>
      <c r="U34" s="161"/>
    </row>
    <row r="35" spans="1:29" ht="15" thickTop="1" x14ac:dyDescent="0.3">
      <c r="A35" s="190" t="s">
        <v>112</v>
      </c>
      <c r="B35" s="191"/>
      <c r="C35" s="192" t="str">
        <f>IF(C21='[2]Link Out'!$C$38+'[2]Link Out'!$C$295," ", "Check")</f>
        <v xml:space="preserve"> </v>
      </c>
      <c r="D35" s="192" t="str">
        <f>IF(D21='[2]Link Out'!$C$73+'[2]Link Out'!$C$330," ", "Check")</f>
        <v xml:space="preserve"> </v>
      </c>
      <c r="E35" s="192" t="str">
        <f>IF(E21='[2]Link Out'!$C$108," ", "Check")</f>
        <v xml:space="preserve"> </v>
      </c>
      <c r="F35" s="192" t="str">
        <f>IF(F21='[2]Link Out'!$C$143," ", "Check")</f>
        <v xml:space="preserve"> </v>
      </c>
      <c r="G35" s="192" t="str">
        <f>IF(G21='[2]Link Out'!$C$178," ", "Check")</f>
        <v xml:space="preserve"> </v>
      </c>
      <c r="H35" s="192"/>
      <c r="I35" s="192" t="str">
        <f>IF(I21=SUM('[2]Link Out'!$C$214+'[2]Link Out'!$C$233)," ", "Check")</f>
        <v xml:space="preserve"> </v>
      </c>
      <c r="J35" s="192"/>
      <c r="K35" s="193"/>
      <c r="L35" s="193"/>
      <c r="M35" s="192" t="str">
        <f>IF(M21='[2]Link Out'!I38+'[2]Link Out'!I295+'[2]Link Out'!I363+'[2]Link Out'!I465," ", "Check")</f>
        <v xml:space="preserve"> </v>
      </c>
      <c r="N35" s="192" t="str">
        <f>IF(N21='[2]Link Out'!I73+'[2]Link Out'!I330+'[2]Link Out'!I398+'[2]Link Out'!I500," ", "Check")</f>
        <v xml:space="preserve"> </v>
      </c>
      <c r="O35" s="192" t="str">
        <f>IF(O21='[2]Link Out'!$I$108," ", "Check")</f>
        <v xml:space="preserve"> </v>
      </c>
      <c r="P35" s="192" t="str">
        <f>IF(P21='[2]Link Out'!I143+'[2]Link Out'!I534," ", "Check")</f>
        <v xml:space="preserve"> </v>
      </c>
      <c r="Q35" s="192" t="str">
        <f>IF(Q21='[2]Link Out'!I178+'[2]Link Out'!I432," ", "Check")</f>
        <v xml:space="preserve"> </v>
      </c>
      <c r="R35" s="192"/>
      <c r="S35" s="192" t="str">
        <f>IF(S21='[2]Link Out'!I214+'[2]Link Out'!I233+'[2]Link Out'!$I$550," ", "Check")</f>
        <v xml:space="preserve"> </v>
      </c>
      <c r="T35" s="193"/>
      <c r="U35" s="193"/>
      <c r="V35" s="32"/>
      <c r="W35" s="32"/>
      <c r="X35" s="32"/>
      <c r="Y35" s="32"/>
      <c r="Z35" s="32"/>
      <c r="AA35" s="32"/>
      <c r="AB35" s="32"/>
      <c r="AC35" s="33"/>
    </row>
    <row r="36" spans="1:29" ht="14.4" x14ac:dyDescent="0.3">
      <c r="A36" s="194"/>
      <c r="B36" s="195"/>
      <c r="C36" s="196" t="str">
        <f>IF(C29+C32='[2]Link Out'!$C$49+'[2]Link Out'!$C$306," ", "Check")</f>
        <v xml:space="preserve"> </v>
      </c>
      <c r="D36" s="196"/>
      <c r="E36" s="196" t="str">
        <f>IF(E29+E32='[2]Link Out'!$C$119," ", "Check")</f>
        <v xml:space="preserve"> </v>
      </c>
      <c r="F36" s="196" t="str">
        <f>IF(F29+F32='[2]Link Out'!$C$154," ", "Check")</f>
        <v xml:space="preserve"> </v>
      </c>
      <c r="G36" s="196" t="str">
        <f>IF(G29+G32='[2]Link Out'!$C$182+'[2]Link Out'!$C$188+'[2]Link Out'!$C$192," ", "Check")</f>
        <v xml:space="preserve"> </v>
      </c>
      <c r="H36" s="195"/>
      <c r="I36" s="195"/>
      <c r="J36" s="195"/>
      <c r="K36" s="195"/>
      <c r="L36" s="195"/>
      <c r="M36" s="196" t="str">
        <f>IF(M29+M32='[2]Link Out'!I49+'[2]Link Out'!I306+'[2]Link Out'!I374+'[2]Link Out'!I476," ", "Check")</f>
        <v xml:space="preserve"> </v>
      </c>
      <c r="N36" s="196" t="str">
        <f>IF(N29+N32='[2]Link Out'!I84+'[2]Link Out'!I341+'[2]Link Out'!I511+'[2]Link Out'!I409," ", "Check")</f>
        <v xml:space="preserve"> </v>
      </c>
      <c r="O36" s="196" t="str">
        <f>IF(O29+O32='[2]Link Out'!$I$119," ", "Check")</f>
        <v xml:space="preserve"> </v>
      </c>
      <c r="P36" s="196" t="str">
        <f>IF(P29+P32='[2]Link Out'!I154+'[2]Link Out'!I545," ", "Check")</f>
        <v xml:space="preserve"> </v>
      </c>
      <c r="Q36" s="196" t="str">
        <f>IF(Q29+Q32='[2]Link Out'!I443+'[2]Link Out'!I189+'[2]Link Out'!I192," ", "Check")</f>
        <v xml:space="preserve"> </v>
      </c>
      <c r="R36" s="195"/>
      <c r="S36" s="195"/>
      <c r="T36" s="195"/>
      <c r="U36" s="195"/>
      <c r="V36" s="13"/>
      <c r="W36" s="13"/>
      <c r="X36" s="13"/>
      <c r="Y36" s="13"/>
      <c r="Z36" s="13"/>
      <c r="AA36" s="13"/>
      <c r="AB36" s="13"/>
      <c r="AC36" s="34"/>
    </row>
    <row r="37" spans="1:29" ht="14.4" x14ac:dyDescent="0.3">
      <c r="A37" s="197"/>
      <c r="B37" s="195"/>
      <c r="C37" s="196" t="str">
        <f>IF(C21=SUM('Sch M'!D52:D61)," ","Check")</f>
        <v xml:space="preserve"> </v>
      </c>
      <c r="D37" s="196" t="str">
        <f>IF(D21=SUM('Sch M'!D91:D100)," ","Check")</f>
        <v xml:space="preserve"> </v>
      </c>
      <c r="E37" s="196" t="str">
        <f>IF(E21=SUM('Sch M'!D130:D139)," ","Check")</f>
        <v xml:space="preserve"> </v>
      </c>
      <c r="F37" s="196" t="str">
        <f>IF(F21=SUM('Sch M'!D169:D178)," ","Check")</f>
        <v xml:space="preserve"> </v>
      </c>
      <c r="G37" s="196" t="str">
        <f>IF(G21=SUM('Sch M'!D208:D217)," ","Check")</f>
        <v xml:space="preserve"> </v>
      </c>
      <c r="H37" s="198"/>
      <c r="I37" s="196"/>
      <c r="J37" s="199"/>
      <c r="K37" s="195"/>
      <c r="L37" s="195"/>
      <c r="M37" s="196" t="str">
        <f>IF(M21=SUM('Sch M'!N52:N61)," ","Check")</f>
        <v xml:space="preserve"> </v>
      </c>
      <c r="N37" s="196" t="str">
        <f>IF(N21=SUM('Sch M'!N91:N100)," ","Check")</f>
        <v xml:space="preserve"> </v>
      </c>
      <c r="O37" s="196" t="str">
        <f>IF(O21=SUM('Sch M'!N130:N139)," ","Check")</f>
        <v xml:space="preserve"> </v>
      </c>
      <c r="P37" s="196" t="str">
        <f>IF(P21=SUM('Sch M'!N169:N178)," ","Check")</f>
        <v xml:space="preserve"> </v>
      </c>
      <c r="Q37" s="196" t="str">
        <f>IF(Q21=SUM('Sch M'!N208:N217)," ","Check")</f>
        <v xml:space="preserve"> </v>
      </c>
      <c r="R37" s="198"/>
      <c r="S37" s="196"/>
      <c r="T37" s="195"/>
      <c r="U37" s="195"/>
      <c r="V37" s="13"/>
      <c r="W37" s="30" t="str">
        <f>IF(M21=SUM('Sch M'!$N$52:$N$60)," ","Check")</f>
        <v xml:space="preserve"> </v>
      </c>
      <c r="X37" s="30" t="str">
        <f>IF(N21=SUM('Sch M'!$N$91:$N$99)," ","Check")</f>
        <v xml:space="preserve"> </v>
      </c>
      <c r="Y37" s="30" t="str">
        <f>IF(O21=SUM('Sch M'!$N$130:$N$138)," ","Check")</f>
        <v xml:space="preserve"> </v>
      </c>
      <c r="Z37" s="30" t="str">
        <f>IF(P21=SUM('Sch M'!$N$169:$N$177)," ","Check")</f>
        <v xml:space="preserve"> </v>
      </c>
      <c r="AA37" s="30" t="str">
        <f>IF(Q21=SUM('Sch M'!$N$208:$N$216)," ","Check")</f>
        <v xml:space="preserve"> </v>
      </c>
      <c r="AB37" s="31"/>
      <c r="AC37" s="35" t="str">
        <f>IF(S21=SUM('Sch M'!$O$247:$O$256)," ","Check")</f>
        <v>Check</v>
      </c>
    </row>
    <row r="38" spans="1:29" ht="15" thickBot="1" x14ac:dyDescent="0.35">
      <c r="A38" s="200"/>
      <c r="B38" s="201"/>
      <c r="C38" s="202" t="str">
        <f>IF(C29+C32='Sch M'!E74," ","Check")</f>
        <v xml:space="preserve"> </v>
      </c>
      <c r="D38" s="202" t="str">
        <f>IF(D29+D32='Sch M'!E113," ","Check")</f>
        <v xml:space="preserve"> </v>
      </c>
      <c r="E38" s="202" t="str">
        <f>IF(E29+E32='Sch M'!E152," ","Check")</f>
        <v xml:space="preserve"> </v>
      </c>
      <c r="F38" s="202" t="str">
        <f>IF(F29+F32='Sch M'!E191," ","Check")</f>
        <v xml:space="preserve"> </v>
      </c>
      <c r="G38" s="202" t="str">
        <f>IF(G29+G32='Sch M'!E231," ","Check")</f>
        <v xml:space="preserve"> </v>
      </c>
      <c r="H38" s="202"/>
      <c r="I38" s="202"/>
      <c r="J38" s="202"/>
      <c r="K38" s="203"/>
      <c r="L38" s="203"/>
      <c r="M38" s="202" t="str">
        <f>IF(M29+M32='Sch M'!O74," ","Check")</f>
        <v xml:space="preserve"> </v>
      </c>
      <c r="N38" s="202" t="str">
        <f>IF(N29+N32='Sch M'!O113," ","Check")</f>
        <v xml:space="preserve"> </v>
      </c>
      <c r="O38" s="202" t="str">
        <f>IF(O29+O32=SUM('Sch M'!O152)," ","Check")</f>
        <v xml:space="preserve"> </v>
      </c>
      <c r="P38" s="202" t="str">
        <f>IF(P29+P32='Sch M'!O191," ","Check")</f>
        <v xml:space="preserve"> </v>
      </c>
      <c r="Q38" s="202" t="str">
        <f>IF(Q29+Q32='Sch M'!O231," ","Check")</f>
        <v xml:space="preserve"> </v>
      </c>
      <c r="R38" s="202"/>
      <c r="S38" s="202"/>
      <c r="T38" s="203"/>
      <c r="U38" s="203"/>
      <c r="V38" s="28"/>
      <c r="W38" s="27"/>
      <c r="X38" s="27"/>
      <c r="Y38" s="27" t="str">
        <f>IF(O29+E32='Sch M'!$O$152," ","Check")</f>
        <v xml:space="preserve"> </v>
      </c>
      <c r="Z38" s="27" t="str">
        <f>IF(P29+F32='Sch M'!$O$191," ","Check")</f>
        <v>Check</v>
      </c>
      <c r="AA38" s="27" t="str">
        <f>IF(Q23+G32+Q24='Sch M'!$O$231," ","Check")</f>
        <v>Check</v>
      </c>
      <c r="AB38" s="28"/>
      <c r="AC38" s="29"/>
    </row>
    <row r="39" spans="1:29" ht="15" thickTop="1" x14ac:dyDescent="0.3">
      <c r="A39" s="204" t="s">
        <v>71</v>
      </c>
      <c r="B39" s="161"/>
      <c r="C39" s="161"/>
      <c r="D39" s="321"/>
      <c r="E39" s="205"/>
      <c r="F39" s="205">
        <f>+E39-D39</f>
        <v>0</v>
      </c>
      <c r="G39" s="161"/>
      <c r="H39" s="204" t="s">
        <v>72</v>
      </c>
      <c r="I39" s="161"/>
      <c r="J39" s="161"/>
      <c r="K39" s="161"/>
      <c r="L39" s="161"/>
      <c r="M39" s="205"/>
      <c r="N39" s="161"/>
      <c r="O39" s="161"/>
      <c r="P39" s="161"/>
      <c r="Q39" s="161"/>
      <c r="R39" s="161"/>
      <c r="S39" s="161"/>
      <c r="T39" s="161"/>
      <c r="U39" s="161"/>
    </row>
    <row r="40" spans="1:29" ht="14.4" x14ac:dyDescent="0.3">
      <c r="A40" s="161" t="s">
        <v>48</v>
      </c>
      <c r="B40" s="161"/>
      <c r="C40" s="161" t="s">
        <v>88</v>
      </c>
      <c r="D40" s="161" t="s">
        <v>89</v>
      </c>
      <c r="E40" s="161" t="s">
        <v>90</v>
      </c>
      <c r="F40" s="205" t="s">
        <v>6</v>
      </c>
      <c r="G40" s="161" t="s">
        <v>94</v>
      </c>
      <c r="H40" s="161" t="s">
        <v>48</v>
      </c>
      <c r="I40" s="161"/>
      <c r="J40" s="161" t="s">
        <v>88</v>
      </c>
      <c r="K40" s="161" t="s">
        <v>89</v>
      </c>
      <c r="L40" s="161" t="s">
        <v>90</v>
      </c>
      <c r="M40" s="205" t="s">
        <v>6</v>
      </c>
      <c r="N40" s="161" t="s">
        <v>94</v>
      </c>
      <c r="O40" s="161"/>
      <c r="P40" s="161"/>
      <c r="Q40" s="161"/>
      <c r="R40" s="161"/>
      <c r="S40" s="161"/>
      <c r="T40" s="161"/>
      <c r="U40" s="161"/>
    </row>
    <row r="41" spans="1:29" ht="14.4" x14ac:dyDescent="0.3">
      <c r="A41" s="161" t="s">
        <v>12</v>
      </c>
      <c r="B41" s="170" t="s">
        <v>74</v>
      </c>
      <c r="C41" s="206">
        <f>'[2]Link Out'!$E$28</f>
        <v>12.49</v>
      </c>
      <c r="D41" s="206">
        <f>'[2]Link Out'!$E$63</f>
        <v>13.63</v>
      </c>
      <c r="E41" s="206">
        <f>'[2]Link Out'!$E$98</f>
        <v>13.63</v>
      </c>
      <c r="F41" s="207">
        <f>'[2]Link Out'!$E$133</f>
        <v>13.63</v>
      </c>
      <c r="G41" s="206">
        <f>'[2]Link Out'!$E$168</f>
        <v>13.63</v>
      </c>
      <c r="H41" s="161" t="s">
        <v>12</v>
      </c>
      <c r="I41" s="170" t="s">
        <v>74</v>
      </c>
      <c r="J41" s="208">
        <f>'[3]Link In'!K14</f>
        <v>15</v>
      </c>
      <c r="K41" s="208">
        <f>'[3]Link In'!L14</f>
        <v>15</v>
      </c>
      <c r="L41" s="208">
        <f>'[3]Link In'!M14</f>
        <v>15</v>
      </c>
      <c r="M41" s="208">
        <f>'[3]Link In'!N14</f>
        <v>15</v>
      </c>
      <c r="N41" s="208">
        <f>'[3]Link In'!O14</f>
        <v>15</v>
      </c>
      <c r="O41" s="160"/>
      <c r="P41" s="160"/>
      <c r="Q41" s="160"/>
      <c r="R41" s="160"/>
      <c r="S41" s="160"/>
      <c r="T41" s="160"/>
      <c r="U41" s="160"/>
    </row>
    <row r="42" spans="1:29" ht="14.4" x14ac:dyDescent="0.3">
      <c r="A42" s="161"/>
      <c r="B42" s="170" t="s">
        <v>75</v>
      </c>
      <c r="C42" s="206">
        <f>'[2]Link Out'!$E$29</f>
        <v>18.739999999999998</v>
      </c>
      <c r="D42" s="206">
        <f>'[2]Link Out'!$E$64</f>
        <v>20.46</v>
      </c>
      <c r="E42" s="206">
        <f>'[2]Link Out'!$E$99</f>
        <v>20.46</v>
      </c>
      <c r="F42" s="207">
        <f>'[2]Link Out'!$E$134</f>
        <v>20.46</v>
      </c>
      <c r="G42" s="206">
        <f>'[2]Link Out'!$E$169</f>
        <v>20.46</v>
      </c>
      <c r="H42" s="161"/>
      <c r="I42" s="170" t="s">
        <v>75</v>
      </c>
      <c r="J42" s="208">
        <f>'[3]Link In'!K15</f>
        <v>22.4</v>
      </c>
      <c r="K42" s="208">
        <f>'[3]Link In'!L15</f>
        <v>22.4</v>
      </c>
      <c r="L42" s="208">
        <f>'[3]Link In'!M15</f>
        <v>22.4</v>
      </c>
      <c r="M42" s="208">
        <f>'[3]Link In'!N15</f>
        <v>22.4</v>
      </c>
      <c r="N42" s="208">
        <f>'[3]Link In'!O15</f>
        <v>22.4</v>
      </c>
      <c r="O42" s="160"/>
      <c r="P42" s="160"/>
      <c r="Q42" s="160"/>
      <c r="R42" s="160"/>
      <c r="S42" s="160"/>
      <c r="T42" s="160"/>
      <c r="U42" s="160"/>
    </row>
    <row r="43" spans="1:29" ht="14.4" x14ac:dyDescent="0.3">
      <c r="A43" s="161"/>
      <c r="B43" s="170" t="s">
        <v>76</v>
      </c>
      <c r="C43" s="206">
        <f>'[2]Link Out'!$E$30</f>
        <v>31.23</v>
      </c>
      <c r="D43" s="206">
        <f>'[2]Link Out'!$E$65</f>
        <v>34.07</v>
      </c>
      <c r="E43" s="206">
        <f>'[2]Link Out'!$E$100</f>
        <v>34.07</v>
      </c>
      <c r="F43" s="207">
        <f>'[2]Link Out'!$E$135</f>
        <v>34.07</v>
      </c>
      <c r="G43" s="206">
        <f>'[2]Link Out'!$E$170</f>
        <v>34.07</v>
      </c>
      <c r="H43" s="161"/>
      <c r="I43" s="170" t="s">
        <v>76</v>
      </c>
      <c r="J43" s="208">
        <f>'[3]Link In'!K16</f>
        <v>37.299999999999997</v>
      </c>
      <c r="K43" s="208">
        <f>'[3]Link In'!L16</f>
        <v>37.299999999999997</v>
      </c>
      <c r="L43" s="208">
        <f>'[3]Link In'!M16</f>
        <v>37.299999999999997</v>
      </c>
      <c r="M43" s="208">
        <f>'[3]Link In'!N16</f>
        <v>37.299999999999997</v>
      </c>
      <c r="N43" s="208">
        <f>'[3]Link In'!O16</f>
        <v>37.299999999999997</v>
      </c>
      <c r="O43" s="160"/>
      <c r="P43" s="160"/>
      <c r="Q43" s="160"/>
      <c r="R43" s="160"/>
      <c r="S43" s="160"/>
      <c r="T43" s="160"/>
      <c r="U43" s="160"/>
    </row>
    <row r="44" spans="1:29" ht="14.4" x14ac:dyDescent="0.3">
      <c r="A44" s="161"/>
      <c r="B44" s="170" t="s">
        <v>15</v>
      </c>
      <c r="C44" s="206">
        <f>'[2]Link Out'!$E$31</f>
        <v>62.45</v>
      </c>
      <c r="D44" s="206">
        <f>'[2]Link Out'!$E$66</f>
        <v>68.17</v>
      </c>
      <c r="E44" s="206">
        <f>'[2]Link Out'!$E$101</f>
        <v>68.17</v>
      </c>
      <c r="F44" s="207">
        <f>'[2]Link Out'!$E$136</f>
        <v>68.17</v>
      </c>
      <c r="G44" s="206">
        <f>'[2]Link Out'!$E$171</f>
        <v>68.17</v>
      </c>
      <c r="H44" s="161"/>
      <c r="I44" s="170" t="s">
        <v>15</v>
      </c>
      <c r="J44" s="208">
        <f>'[3]Link In'!K17</f>
        <v>74.7</v>
      </c>
      <c r="K44" s="208">
        <f>'[3]Link In'!L17</f>
        <v>74.7</v>
      </c>
      <c r="L44" s="208">
        <f>'[3]Link In'!M17</f>
        <v>74.7</v>
      </c>
      <c r="M44" s="208">
        <f>'[3]Link In'!N17</f>
        <v>74.7</v>
      </c>
      <c r="N44" s="208">
        <f>'[3]Link In'!O17</f>
        <v>74.7</v>
      </c>
      <c r="O44" s="160"/>
      <c r="P44" s="160"/>
      <c r="Q44" s="160"/>
      <c r="R44" s="160"/>
      <c r="S44" s="160"/>
      <c r="T44" s="160"/>
      <c r="U44" s="160"/>
    </row>
    <row r="45" spans="1:29" ht="14.4" x14ac:dyDescent="0.3">
      <c r="A45" s="161"/>
      <c r="B45" s="170" t="s">
        <v>13</v>
      </c>
      <c r="C45" s="206">
        <f>'[2]Link Out'!$E$32</f>
        <v>99.92</v>
      </c>
      <c r="D45" s="206">
        <f>'[2]Link Out'!$E$67</f>
        <v>109.04</v>
      </c>
      <c r="E45" s="206">
        <f>'[2]Link Out'!$E$102</f>
        <v>109.04</v>
      </c>
      <c r="F45" s="207">
        <f>'[2]Link Out'!$E$137</f>
        <v>109.04</v>
      </c>
      <c r="G45" s="206">
        <f>'[2]Link Out'!$E$172</f>
        <v>109.04</v>
      </c>
      <c r="H45" s="161"/>
      <c r="I45" s="170" t="s">
        <v>13</v>
      </c>
      <c r="J45" s="208">
        <f>'[3]Link In'!K18</f>
        <v>119.5</v>
      </c>
      <c r="K45" s="208">
        <f>'[3]Link In'!L18</f>
        <v>119.5</v>
      </c>
      <c r="L45" s="208">
        <f>'[3]Link In'!M18</f>
        <v>119.5</v>
      </c>
      <c r="M45" s="208">
        <f>'[3]Link In'!N18</f>
        <v>119.5</v>
      </c>
      <c r="N45" s="208">
        <f>'[3]Link In'!O18</f>
        <v>119.5</v>
      </c>
      <c r="O45" s="160"/>
      <c r="P45" s="160"/>
      <c r="Q45" s="160"/>
      <c r="R45" s="160"/>
      <c r="S45" s="160"/>
      <c r="T45" s="160"/>
      <c r="U45" s="160"/>
    </row>
    <row r="46" spans="1:29" ht="14.4" x14ac:dyDescent="0.3">
      <c r="A46" s="161"/>
      <c r="B46" s="170" t="s">
        <v>14</v>
      </c>
      <c r="C46" s="206">
        <f>'[2]Link Out'!$E$33</f>
        <v>187.35</v>
      </c>
      <c r="D46" s="206">
        <f>'[2]Link Out'!$E$68</f>
        <v>204.47</v>
      </c>
      <c r="E46" s="206">
        <f>'[2]Link Out'!$E$103</f>
        <v>204.47</v>
      </c>
      <c r="F46" s="207">
        <f>'[2]Link Out'!$E$138</f>
        <v>204.47</v>
      </c>
      <c r="G46" s="206">
        <f>'[2]Link Out'!$E$173</f>
        <v>204.47</v>
      </c>
      <c r="H46" s="161"/>
      <c r="I46" s="170" t="s">
        <v>14</v>
      </c>
      <c r="J46" s="208">
        <f>'[3]Link In'!K19</f>
        <v>224</v>
      </c>
      <c r="K46" s="208">
        <f>'[3]Link In'!L19</f>
        <v>224</v>
      </c>
      <c r="L46" s="208">
        <f>'[3]Link In'!M19</f>
        <v>224</v>
      </c>
      <c r="M46" s="208">
        <f>'[3]Link In'!N19</f>
        <v>224</v>
      </c>
      <c r="N46" s="208">
        <f>'[3]Link In'!O19</f>
        <v>224</v>
      </c>
      <c r="O46" s="160"/>
      <c r="P46" s="160"/>
      <c r="Q46" s="160"/>
      <c r="R46" s="160"/>
      <c r="S46" s="160"/>
      <c r="T46" s="160"/>
      <c r="U46" s="160"/>
    </row>
    <row r="47" spans="1:29" ht="14.4" x14ac:dyDescent="0.3">
      <c r="A47" s="161"/>
      <c r="B47" s="170" t="s">
        <v>16</v>
      </c>
      <c r="C47" s="206">
        <f>'[2]Link Out'!$E$34</f>
        <v>312.25</v>
      </c>
      <c r="D47" s="206">
        <f>'[2]Link Out'!$E$69</f>
        <v>340.77</v>
      </c>
      <c r="E47" s="206">
        <f>'[2]Link Out'!$E$104</f>
        <v>340.77</v>
      </c>
      <c r="F47" s="207">
        <f>'[2]Link Out'!$E$139</f>
        <v>340.77</v>
      </c>
      <c r="G47" s="206">
        <f>'[2]Link Out'!$E$174</f>
        <v>340.77</v>
      </c>
      <c r="H47" s="161"/>
      <c r="I47" s="170" t="s">
        <v>16</v>
      </c>
      <c r="J47" s="208">
        <f>'[3]Link In'!K20</f>
        <v>373.4</v>
      </c>
      <c r="K47" s="208">
        <f>'[3]Link In'!L20</f>
        <v>373.4</v>
      </c>
      <c r="L47" s="208">
        <f>'[3]Link In'!M20</f>
        <v>373.4</v>
      </c>
      <c r="M47" s="208">
        <f>'[3]Link In'!N20</f>
        <v>373.4</v>
      </c>
      <c r="N47" s="208">
        <f>'[3]Link In'!O20</f>
        <v>373.4</v>
      </c>
      <c r="O47" s="160"/>
      <c r="P47" s="160"/>
      <c r="Q47" s="160"/>
      <c r="R47" s="160"/>
      <c r="S47" s="160"/>
      <c r="T47" s="160"/>
      <c r="U47" s="160"/>
    </row>
    <row r="48" spans="1:29" ht="14.4" x14ac:dyDescent="0.3">
      <c r="A48" s="161"/>
      <c r="B48" s="170" t="s">
        <v>60</v>
      </c>
      <c r="C48" s="206">
        <f>'[2]Link Out'!$E$35</f>
        <v>624.5</v>
      </c>
      <c r="D48" s="206">
        <f>'[2]Link Out'!$E$70</f>
        <v>681.5</v>
      </c>
      <c r="E48" s="206">
        <f>'[2]Link Out'!$E$105</f>
        <v>681.5</v>
      </c>
      <c r="F48" s="207">
        <f>'[2]Link Out'!$E$140</f>
        <v>681.5</v>
      </c>
      <c r="G48" s="206">
        <f>'[2]Link Out'!$E$175</f>
        <v>681.5</v>
      </c>
      <c r="H48" s="161"/>
      <c r="I48" s="170" t="s">
        <v>60</v>
      </c>
      <c r="J48" s="208">
        <f>'[3]Link In'!K21</f>
        <v>746.7</v>
      </c>
      <c r="K48" s="208">
        <f>'[3]Link In'!L21</f>
        <v>746.7</v>
      </c>
      <c r="L48" s="208">
        <f>'[3]Link In'!M21</f>
        <v>746.7</v>
      </c>
      <c r="M48" s="208">
        <f>'[3]Link In'!N21</f>
        <v>746.7</v>
      </c>
      <c r="N48" s="208">
        <f>'[3]Link In'!O21</f>
        <v>746.7</v>
      </c>
      <c r="O48" s="160"/>
      <c r="P48" s="160"/>
      <c r="Q48" s="160"/>
      <c r="R48" s="160"/>
      <c r="S48" s="160"/>
      <c r="T48" s="160"/>
      <c r="U48" s="160"/>
    </row>
    <row r="49" spans="1:21" ht="14.4" x14ac:dyDescent="0.3">
      <c r="A49" s="161"/>
      <c r="B49" s="170" t="s">
        <v>61</v>
      </c>
      <c r="C49" s="206">
        <f>'[2]Link Out'!$E$36</f>
        <v>999.2</v>
      </c>
      <c r="D49" s="206">
        <f>'[2]Link Out'!$E$71</f>
        <v>1090.4000000000001</v>
      </c>
      <c r="E49" s="206">
        <f>'[2]Link Out'!$E$106</f>
        <v>1090.4000000000001</v>
      </c>
      <c r="F49" s="207">
        <f>'[2]Link Out'!$E$141</f>
        <v>1090.4000000000001</v>
      </c>
      <c r="G49" s="206">
        <f>'[2]Link Out'!$E$176</f>
        <v>1090.4000000000001</v>
      </c>
      <c r="H49" s="161"/>
      <c r="I49" s="170" t="s">
        <v>61</v>
      </c>
      <c r="J49" s="208">
        <f>'[3]Link In'!K22</f>
        <v>1194.7</v>
      </c>
      <c r="K49" s="208">
        <f>'[3]Link In'!L22</f>
        <v>1194.7</v>
      </c>
      <c r="L49" s="208">
        <f>'[3]Link In'!M22</f>
        <v>1194.7</v>
      </c>
      <c r="M49" s="208">
        <f>'[3]Link In'!N22</f>
        <v>1194.7</v>
      </c>
      <c r="N49" s="208">
        <f>'[3]Link In'!O22</f>
        <v>1194.7</v>
      </c>
      <c r="O49" s="160"/>
      <c r="P49" s="160"/>
      <c r="Q49" s="160"/>
      <c r="R49" s="160"/>
      <c r="S49" s="160"/>
      <c r="T49" s="160"/>
      <c r="U49" s="160"/>
    </row>
    <row r="50" spans="1:21" ht="14.4" x14ac:dyDescent="0.3">
      <c r="A50" s="161"/>
      <c r="B50" s="170" t="s">
        <v>62</v>
      </c>
      <c r="C50" s="208"/>
      <c r="D50" s="208"/>
      <c r="E50" s="208"/>
      <c r="F50" s="209"/>
      <c r="G50" s="208"/>
      <c r="H50" s="161"/>
      <c r="I50" s="170" t="s">
        <v>62</v>
      </c>
      <c r="J50" s="208"/>
      <c r="K50" s="208"/>
      <c r="L50" s="208"/>
      <c r="M50" s="208"/>
      <c r="N50" s="208"/>
      <c r="O50" s="160"/>
      <c r="P50" s="160"/>
      <c r="Q50" s="160"/>
      <c r="R50" s="160"/>
      <c r="S50" s="160"/>
      <c r="T50" s="160"/>
      <c r="U50" s="160"/>
    </row>
    <row r="51" spans="1:21" ht="14.4" x14ac:dyDescent="0.3">
      <c r="A51" s="161"/>
      <c r="B51" s="170" t="s">
        <v>63</v>
      </c>
      <c r="C51" s="208"/>
      <c r="D51" s="208"/>
      <c r="E51" s="208"/>
      <c r="F51" s="209"/>
      <c r="G51" s="208"/>
      <c r="H51" s="161"/>
      <c r="I51" s="170" t="s">
        <v>63</v>
      </c>
      <c r="J51" s="208"/>
      <c r="K51" s="208"/>
      <c r="L51" s="208"/>
      <c r="M51" s="208"/>
      <c r="N51" s="208"/>
      <c r="O51" s="160"/>
      <c r="P51" s="160"/>
      <c r="Q51" s="160"/>
      <c r="R51" s="160"/>
      <c r="S51" s="160"/>
      <c r="T51" s="160"/>
      <c r="U51" s="160"/>
    </row>
    <row r="52" spans="1:21" ht="14.4" x14ac:dyDescent="0.3">
      <c r="A52" s="161"/>
      <c r="B52" s="170"/>
      <c r="C52" s="208"/>
      <c r="D52" s="208"/>
      <c r="E52" s="208"/>
      <c r="F52" s="209"/>
      <c r="G52" s="208"/>
      <c r="H52" s="161"/>
      <c r="I52" s="170"/>
      <c r="J52" s="208"/>
      <c r="K52" s="208"/>
      <c r="L52" s="208"/>
      <c r="M52" s="208"/>
      <c r="N52" s="208"/>
      <c r="O52" s="160"/>
      <c r="P52" s="160"/>
      <c r="Q52" s="160"/>
      <c r="R52" s="160"/>
      <c r="S52" s="160"/>
      <c r="T52" s="160"/>
      <c r="U52" s="160"/>
    </row>
    <row r="53" spans="1:21" ht="14.4" x14ac:dyDescent="0.3">
      <c r="A53" s="161" t="s">
        <v>198</v>
      </c>
      <c r="B53" s="170" t="s">
        <v>74</v>
      </c>
      <c r="C53" s="208">
        <f>+'[2]Link Out'!E285</f>
        <v>28.28</v>
      </c>
      <c r="D53" s="208">
        <f>++'[2]Link Out'!E320</f>
        <v>28.28</v>
      </c>
      <c r="E53" s="208"/>
      <c r="F53" s="209"/>
      <c r="G53" s="208"/>
      <c r="H53" s="161"/>
      <c r="I53" s="170" t="s">
        <v>74</v>
      </c>
      <c r="J53" s="208"/>
      <c r="K53" s="208"/>
      <c r="L53" s="208"/>
      <c r="M53" s="208"/>
      <c r="N53" s="208"/>
      <c r="O53" s="160"/>
      <c r="P53" s="160"/>
      <c r="Q53" s="160"/>
      <c r="R53" s="160"/>
      <c r="S53" s="160"/>
      <c r="T53" s="160"/>
      <c r="U53" s="160"/>
    </row>
    <row r="54" spans="1:21" ht="14.4" x14ac:dyDescent="0.3">
      <c r="A54" s="161"/>
      <c r="B54" s="170"/>
      <c r="C54" s="208"/>
      <c r="D54" s="208"/>
      <c r="E54" s="208"/>
      <c r="F54" s="209"/>
      <c r="G54" s="208"/>
      <c r="H54" s="161"/>
      <c r="I54" s="170"/>
      <c r="J54" s="208"/>
      <c r="K54" s="208"/>
      <c r="L54" s="208"/>
      <c r="M54" s="208"/>
      <c r="N54" s="208"/>
      <c r="O54" s="160"/>
      <c r="P54" s="160"/>
      <c r="Q54" s="160"/>
      <c r="R54" s="160"/>
      <c r="S54" s="160"/>
      <c r="T54" s="160"/>
      <c r="U54" s="160"/>
    </row>
    <row r="55" spans="1:21" ht="14.4" x14ac:dyDescent="0.3">
      <c r="A55" s="161"/>
      <c r="B55" s="170"/>
      <c r="C55" s="208"/>
      <c r="D55" s="208"/>
      <c r="E55" s="208"/>
      <c r="F55" s="209"/>
      <c r="G55" s="208"/>
      <c r="H55" s="161"/>
      <c r="I55" s="170"/>
      <c r="J55" s="208"/>
      <c r="K55" s="208"/>
      <c r="L55" s="208"/>
      <c r="M55" s="208"/>
      <c r="N55" s="208"/>
      <c r="O55" s="160"/>
      <c r="P55" s="160"/>
      <c r="Q55" s="160"/>
      <c r="R55" s="160"/>
      <c r="S55" s="160"/>
      <c r="T55" s="160"/>
      <c r="U55" s="160"/>
    </row>
    <row r="56" spans="1:21" ht="14.4" x14ac:dyDescent="0.3">
      <c r="A56" s="161"/>
      <c r="B56" s="161"/>
      <c r="C56" s="160"/>
      <c r="D56" s="180"/>
      <c r="E56" s="180"/>
      <c r="F56" s="160"/>
      <c r="G56" s="160"/>
      <c r="H56" s="161"/>
      <c r="I56" s="161"/>
      <c r="J56" s="160"/>
      <c r="K56" s="180"/>
      <c r="L56" s="180"/>
      <c r="M56" s="160"/>
      <c r="N56" s="160"/>
      <c r="O56" s="160"/>
      <c r="P56" s="160"/>
      <c r="Q56" s="160"/>
      <c r="R56" s="160"/>
      <c r="S56" s="160"/>
      <c r="T56" s="160"/>
      <c r="U56" s="160"/>
    </row>
    <row r="57" spans="1:21" ht="14.4" x14ac:dyDescent="0.3">
      <c r="A57" s="161" t="s">
        <v>49</v>
      </c>
      <c r="B57" s="204" t="s">
        <v>123</v>
      </c>
      <c r="C57" s="160"/>
      <c r="D57" s="160"/>
      <c r="E57" s="160"/>
      <c r="F57" s="160"/>
      <c r="G57" s="160"/>
      <c r="H57" s="161" t="s">
        <v>49</v>
      </c>
      <c r="I57" s="204" t="str">
        <f>B57</f>
        <v>T-Gals</v>
      </c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</row>
    <row r="58" spans="1:21" ht="14.4" x14ac:dyDescent="0.3">
      <c r="A58" s="181"/>
      <c r="B58" s="161" t="s">
        <v>12</v>
      </c>
      <c r="C58" s="160" t="s">
        <v>88</v>
      </c>
      <c r="D58" s="160" t="s">
        <v>89</v>
      </c>
      <c r="E58" s="160" t="s">
        <v>90</v>
      </c>
      <c r="F58" s="180" t="s">
        <v>6</v>
      </c>
      <c r="G58" s="160" t="s">
        <v>94</v>
      </c>
      <c r="H58" s="181"/>
      <c r="I58" s="161" t="s">
        <v>12</v>
      </c>
      <c r="J58" s="161" t="s">
        <v>88</v>
      </c>
      <c r="K58" s="161" t="s">
        <v>89</v>
      </c>
      <c r="L58" s="161" t="s">
        <v>90</v>
      </c>
      <c r="M58" s="205" t="s">
        <v>6</v>
      </c>
      <c r="N58" s="161" t="s">
        <v>94</v>
      </c>
      <c r="O58" s="172"/>
      <c r="P58" s="160"/>
      <c r="Q58" s="160"/>
      <c r="R58" s="160"/>
      <c r="S58" s="160"/>
      <c r="T58" s="160"/>
      <c r="U58" s="160"/>
    </row>
    <row r="59" spans="1:21" ht="14.4" x14ac:dyDescent="0.3">
      <c r="A59" s="210" t="s">
        <v>124</v>
      </c>
      <c r="B59" s="211" t="s">
        <v>124</v>
      </c>
      <c r="C59" s="212">
        <f>+'[2]Link Out'!$K$42</f>
        <v>5.0589999999999993</v>
      </c>
      <c r="D59" s="212">
        <f>+'[2]Link Out'!$K$77</f>
        <v>4.4119999999999999</v>
      </c>
      <c r="E59" s="212">
        <f>+'[2]Link Out'!$K$112</f>
        <v>3.8340000000000001</v>
      </c>
      <c r="F59" s="212">
        <f>+'[2]Link Out'!$K$147</f>
        <v>4.0529999999999999</v>
      </c>
      <c r="G59" s="212">
        <f>+'[2]Link Out'!$K$182</f>
        <v>3.8370000000000002</v>
      </c>
      <c r="H59" s="210" t="s">
        <v>102</v>
      </c>
      <c r="I59" s="211" t="str">
        <f>B59</f>
        <v>All</v>
      </c>
      <c r="J59" s="212">
        <f>'[3]Link In'!K28</f>
        <v>6.3639999999999999</v>
      </c>
      <c r="K59" s="212">
        <f>'[3]Link In'!L28</f>
        <v>5.7119999999999997</v>
      </c>
      <c r="L59" s="212">
        <f>'[3]Link In'!M28</f>
        <v>4.75</v>
      </c>
      <c r="M59" s="212">
        <f>'[3]Link In'!N28</f>
        <v>5.1909999999999998</v>
      </c>
      <c r="N59" s="212">
        <f>'[3]Link In'!O28</f>
        <v>4.76</v>
      </c>
      <c r="O59" s="212"/>
      <c r="P59" s="160"/>
      <c r="Q59" s="160"/>
      <c r="R59" s="160"/>
      <c r="S59" s="160"/>
      <c r="T59" s="160"/>
      <c r="U59" s="160"/>
    </row>
    <row r="60" spans="1:21" ht="14.4" x14ac:dyDescent="0.3">
      <c r="A60" s="210" t="s">
        <v>103</v>
      </c>
      <c r="B60" s="211"/>
      <c r="C60" s="212">
        <v>0</v>
      </c>
      <c r="D60" s="212">
        <v>0</v>
      </c>
      <c r="E60" s="212">
        <v>0</v>
      </c>
      <c r="F60" s="212">
        <v>0</v>
      </c>
      <c r="G60" s="212">
        <v>0</v>
      </c>
      <c r="H60" s="210" t="s">
        <v>103</v>
      </c>
      <c r="I60" s="211">
        <f t="shared" ref="I60:I64" si="11">B60</f>
        <v>0</v>
      </c>
      <c r="J60" s="212">
        <f>+J59</f>
        <v>6.3639999999999999</v>
      </c>
      <c r="K60" s="212">
        <f t="shared" ref="K60:N60" si="12">+K59</f>
        <v>5.7119999999999997</v>
      </c>
      <c r="L60" s="212">
        <f t="shared" si="12"/>
        <v>4.75</v>
      </c>
      <c r="M60" s="212">
        <f t="shared" si="12"/>
        <v>5.1909999999999998</v>
      </c>
      <c r="N60" s="212">
        <f t="shared" si="12"/>
        <v>4.76</v>
      </c>
      <c r="O60" s="212"/>
      <c r="P60" s="160"/>
      <c r="Q60" s="160"/>
      <c r="R60" s="160"/>
      <c r="S60" s="160"/>
      <c r="T60" s="160"/>
      <c r="U60" s="160"/>
    </row>
    <row r="61" spans="1:21" ht="14.4" x14ac:dyDescent="0.3">
      <c r="A61" s="210" t="s">
        <v>104</v>
      </c>
      <c r="B61" s="211"/>
      <c r="C61" s="212">
        <v>0</v>
      </c>
      <c r="D61" s="212">
        <v>0</v>
      </c>
      <c r="E61" s="212">
        <v>0</v>
      </c>
      <c r="F61" s="212">
        <v>0</v>
      </c>
      <c r="G61" s="212">
        <v>0</v>
      </c>
      <c r="H61" s="210" t="s">
        <v>104</v>
      </c>
      <c r="I61" s="211">
        <f t="shared" si="11"/>
        <v>0</v>
      </c>
      <c r="J61" s="212">
        <f t="shared" ref="J61:J64" si="13">+J60</f>
        <v>6.3639999999999999</v>
      </c>
      <c r="K61" s="212">
        <f t="shared" ref="K61:K64" si="14">+K60</f>
        <v>5.7119999999999997</v>
      </c>
      <c r="L61" s="212">
        <f t="shared" ref="L61:L64" si="15">+L60</f>
        <v>4.75</v>
      </c>
      <c r="M61" s="212">
        <f t="shared" ref="M61:M64" si="16">+M60</f>
        <v>5.1909999999999998</v>
      </c>
      <c r="N61" s="212">
        <f t="shared" ref="N61:N64" si="17">+N60</f>
        <v>4.76</v>
      </c>
      <c r="O61" s="212"/>
      <c r="P61" s="160"/>
      <c r="Q61" s="160"/>
      <c r="R61" s="160"/>
      <c r="S61" s="160"/>
      <c r="T61" s="160"/>
      <c r="U61" s="160"/>
    </row>
    <row r="62" spans="1:21" ht="14.4" x14ac:dyDescent="0.3">
      <c r="A62" s="210" t="s">
        <v>105</v>
      </c>
      <c r="B62" s="213"/>
      <c r="C62" s="212">
        <v>0</v>
      </c>
      <c r="D62" s="212">
        <v>0</v>
      </c>
      <c r="E62" s="212">
        <v>0</v>
      </c>
      <c r="F62" s="212">
        <v>0</v>
      </c>
      <c r="G62" s="212">
        <v>0</v>
      </c>
      <c r="H62" s="210" t="s">
        <v>105</v>
      </c>
      <c r="I62" s="211">
        <f t="shared" si="11"/>
        <v>0</v>
      </c>
      <c r="J62" s="212">
        <f t="shared" si="13"/>
        <v>6.3639999999999999</v>
      </c>
      <c r="K62" s="212">
        <f t="shared" si="14"/>
        <v>5.7119999999999997</v>
      </c>
      <c r="L62" s="212">
        <f t="shared" si="15"/>
        <v>4.75</v>
      </c>
      <c r="M62" s="212">
        <f t="shared" si="16"/>
        <v>5.1909999999999998</v>
      </c>
      <c r="N62" s="212">
        <f t="shared" si="17"/>
        <v>4.76</v>
      </c>
      <c r="O62" s="212"/>
      <c r="P62" s="160"/>
      <c r="Q62" s="160"/>
      <c r="R62" s="160"/>
      <c r="S62" s="160"/>
      <c r="T62" s="160"/>
      <c r="U62" s="160"/>
    </row>
    <row r="63" spans="1:21" ht="14.4" x14ac:dyDescent="0.3">
      <c r="A63" s="210" t="s">
        <v>106</v>
      </c>
      <c r="B63" s="213"/>
      <c r="C63" s="212">
        <v>0</v>
      </c>
      <c r="D63" s="212">
        <v>0</v>
      </c>
      <c r="E63" s="212">
        <v>0</v>
      </c>
      <c r="F63" s="212">
        <v>0</v>
      </c>
      <c r="G63" s="212">
        <v>0</v>
      </c>
      <c r="H63" s="210" t="s">
        <v>106</v>
      </c>
      <c r="I63" s="211">
        <f t="shared" si="11"/>
        <v>0</v>
      </c>
      <c r="J63" s="212">
        <f t="shared" si="13"/>
        <v>6.3639999999999999</v>
      </c>
      <c r="K63" s="212">
        <f t="shared" si="14"/>
        <v>5.7119999999999997</v>
      </c>
      <c r="L63" s="212">
        <f t="shared" si="15"/>
        <v>4.75</v>
      </c>
      <c r="M63" s="212">
        <f t="shared" si="16"/>
        <v>5.1909999999999998</v>
      </c>
      <c r="N63" s="212">
        <f t="shared" si="17"/>
        <v>4.76</v>
      </c>
      <c r="O63" s="212"/>
      <c r="P63" s="160"/>
      <c r="Q63" s="160"/>
      <c r="R63" s="160"/>
      <c r="S63" s="160"/>
      <c r="T63" s="160"/>
      <c r="U63" s="160"/>
    </row>
    <row r="64" spans="1:21" ht="14.4" x14ac:dyDescent="0.3">
      <c r="A64" s="210" t="s">
        <v>107</v>
      </c>
      <c r="B64" s="213"/>
      <c r="C64" s="212">
        <v>0</v>
      </c>
      <c r="D64" s="212">
        <v>0</v>
      </c>
      <c r="E64" s="212">
        <v>0</v>
      </c>
      <c r="F64" s="212">
        <v>0</v>
      </c>
      <c r="G64" s="212">
        <v>0</v>
      </c>
      <c r="H64" s="210" t="s">
        <v>107</v>
      </c>
      <c r="I64" s="211">
        <f t="shared" si="11"/>
        <v>0</v>
      </c>
      <c r="J64" s="212">
        <f t="shared" si="13"/>
        <v>6.3639999999999999</v>
      </c>
      <c r="K64" s="212">
        <f t="shared" si="14"/>
        <v>5.7119999999999997</v>
      </c>
      <c r="L64" s="212">
        <f t="shared" si="15"/>
        <v>4.75</v>
      </c>
      <c r="M64" s="212">
        <f t="shared" si="16"/>
        <v>5.1909999999999998</v>
      </c>
      <c r="N64" s="212">
        <f t="shared" si="17"/>
        <v>4.76</v>
      </c>
      <c r="O64" s="212"/>
      <c r="P64" s="160"/>
      <c r="Q64" s="160"/>
      <c r="R64" s="160"/>
      <c r="S64" s="160"/>
      <c r="T64" s="160"/>
      <c r="U64" s="160"/>
    </row>
    <row r="65" spans="1:21" ht="14.4" x14ac:dyDescent="0.3">
      <c r="A65" s="161"/>
      <c r="B65" s="161"/>
      <c r="C65" s="160"/>
      <c r="D65" s="332"/>
      <c r="E65" s="332"/>
      <c r="F65" s="160"/>
      <c r="G65" s="160"/>
      <c r="H65" s="161"/>
      <c r="I65" s="161"/>
      <c r="J65" s="160"/>
      <c r="K65" s="332"/>
      <c r="L65" s="332"/>
      <c r="M65" s="160"/>
      <c r="N65" s="160"/>
      <c r="O65" s="160"/>
      <c r="P65" s="160"/>
      <c r="Q65" s="160"/>
      <c r="R65" s="160"/>
      <c r="S65" s="160"/>
      <c r="T65" s="160"/>
      <c r="U65" s="160"/>
    </row>
    <row r="66" spans="1:21" ht="14.4" x14ac:dyDescent="0.3">
      <c r="A66" s="161" t="s">
        <v>203</v>
      </c>
      <c r="B66" s="161"/>
      <c r="C66" s="160"/>
      <c r="D66" s="300"/>
      <c r="E66" s="300"/>
      <c r="G66" s="212">
        <f>+'[2]Link Out'!$E$192</f>
        <v>2.25</v>
      </c>
      <c r="H66" s="161"/>
      <c r="I66" s="161"/>
      <c r="J66" s="160"/>
      <c r="K66" s="318"/>
      <c r="L66" s="318"/>
      <c r="M66" s="160"/>
      <c r="N66" s="319">
        <f>+G66</f>
        <v>2.25</v>
      </c>
      <c r="O66" s="160"/>
      <c r="P66" s="160"/>
      <c r="Q66" s="160"/>
      <c r="R66" s="160"/>
      <c r="S66" s="160"/>
      <c r="T66" s="160"/>
      <c r="U66" s="160"/>
    </row>
    <row r="67" spans="1:21" ht="14.4" x14ac:dyDescent="0.3">
      <c r="A67" s="161"/>
      <c r="B67" s="161"/>
      <c r="C67" s="160"/>
      <c r="D67" s="300"/>
      <c r="E67" s="300"/>
      <c r="F67" s="160"/>
      <c r="G67" s="160"/>
      <c r="H67" s="161"/>
      <c r="I67" s="161"/>
      <c r="J67" s="160"/>
      <c r="K67" s="300"/>
      <c r="L67" s="300"/>
      <c r="M67" s="160"/>
      <c r="N67" s="160"/>
      <c r="O67" s="160"/>
      <c r="P67" s="160"/>
      <c r="Q67" s="160"/>
      <c r="R67" s="160"/>
      <c r="S67" s="160"/>
      <c r="T67" s="160"/>
      <c r="U67" s="160"/>
    </row>
    <row r="68" spans="1:21" ht="14.4" x14ac:dyDescent="0.3">
      <c r="A68" s="204" t="s">
        <v>198</v>
      </c>
      <c r="B68" s="161"/>
      <c r="C68" s="160"/>
      <c r="D68" s="300"/>
      <c r="E68" s="300"/>
      <c r="F68" s="160"/>
      <c r="G68" s="160"/>
      <c r="H68" s="204" t="s">
        <v>198</v>
      </c>
      <c r="I68" s="161"/>
      <c r="J68" s="160"/>
      <c r="K68" s="300"/>
      <c r="L68" s="300"/>
      <c r="M68" s="160"/>
      <c r="N68" s="160"/>
      <c r="O68" s="160"/>
      <c r="P68" s="160"/>
      <c r="Q68" s="160"/>
      <c r="R68" s="160"/>
      <c r="S68" s="160"/>
      <c r="T68" s="160"/>
      <c r="U68" s="160"/>
    </row>
    <row r="69" spans="1:21" ht="14.4" x14ac:dyDescent="0.3">
      <c r="A69" s="161" t="s">
        <v>199</v>
      </c>
      <c r="B69" s="170">
        <v>2000</v>
      </c>
      <c r="C69" s="212">
        <f>+'[2]Link Out'!E299</f>
        <v>0</v>
      </c>
      <c r="D69" s="212">
        <f>+'[2]Link Out'!E334</f>
        <v>0</v>
      </c>
      <c r="E69" s="212"/>
      <c r="F69" s="212"/>
      <c r="G69" s="212"/>
      <c r="H69" s="161" t="s">
        <v>199</v>
      </c>
      <c r="I69" s="170">
        <v>2000</v>
      </c>
      <c r="J69" s="160"/>
      <c r="K69" s="318"/>
      <c r="L69" s="318"/>
      <c r="M69" s="160"/>
      <c r="N69" s="160"/>
      <c r="O69" s="160"/>
      <c r="P69" s="160"/>
      <c r="Q69" s="160"/>
      <c r="R69" s="160"/>
      <c r="S69" s="160"/>
      <c r="T69" s="160"/>
      <c r="U69" s="160"/>
    </row>
    <row r="70" spans="1:21" ht="14.4" x14ac:dyDescent="0.3">
      <c r="A70" s="161" t="s">
        <v>200</v>
      </c>
      <c r="B70" s="170" t="s">
        <v>201</v>
      </c>
      <c r="C70" s="212">
        <f>+'[2]Link Out'!E300</f>
        <v>11.53</v>
      </c>
      <c r="D70" s="212">
        <f>+'[2]Link Out'!E335</f>
        <v>11.53</v>
      </c>
      <c r="E70" s="212"/>
      <c r="F70" s="212"/>
      <c r="G70" s="212"/>
      <c r="H70" s="161" t="s">
        <v>200</v>
      </c>
      <c r="I70" s="170" t="s">
        <v>201</v>
      </c>
      <c r="J70" s="160"/>
      <c r="K70" s="318"/>
      <c r="L70" s="318"/>
      <c r="M70" s="160"/>
      <c r="N70" s="160"/>
      <c r="O70" s="160"/>
      <c r="P70" s="160"/>
      <c r="Q70" s="160"/>
      <c r="R70" s="160"/>
      <c r="S70" s="160"/>
      <c r="T70" s="160"/>
      <c r="U70" s="160"/>
    </row>
    <row r="71" spans="1:21" ht="14.4" x14ac:dyDescent="0.3">
      <c r="A71" s="161"/>
      <c r="B71" s="161"/>
      <c r="C71" s="160"/>
      <c r="D71" s="300"/>
      <c r="E71" s="300"/>
      <c r="F71" s="160"/>
      <c r="G71" s="160"/>
      <c r="H71" s="161"/>
      <c r="I71" s="161"/>
      <c r="J71" s="160"/>
      <c r="K71" s="300"/>
      <c r="L71" s="300"/>
      <c r="M71" s="160"/>
      <c r="N71" s="160"/>
      <c r="O71" s="160"/>
      <c r="P71" s="160"/>
      <c r="Q71" s="160"/>
      <c r="R71" s="160"/>
      <c r="S71" s="160"/>
      <c r="T71" s="160"/>
      <c r="U71" s="160"/>
    </row>
    <row r="72" spans="1:21" ht="14.4" x14ac:dyDescent="0.3">
      <c r="A72" s="161"/>
      <c r="B72" s="161"/>
      <c r="C72" s="160"/>
      <c r="D72" s="172"/>
      <c r="E72" s="160"/>
      <c r="F72" s="160"/>
      <c r="G72" s="160"/>
      <c r="H72" s="161"/>
      <c r="I72" s="161"/>
      <c r="J72" s="160"/>
      <c r="K72" s="172"/>
      <c r="L72" s="214"/>
      <c r="M72" s="160"/>
      <c r="N72" s="160"/>
      <c r="O72" s="160"/>
      <c r="P72" s="160"/>
      <c r="Q72" s="160"/>
      <c r="R72" s="160"/>
      <c r="S72" s="160"/>
      <c r="T72" s="160"/>
      <c r="U72" s="160"/>
    </row>
    <row r="73" spans="1:21" ht="14.4" x14ac:dyDescent="0.3">
      <c r="A73" s="161"/>
      <c r="B73" s="161" t="s">
        <v>78</v>
      </c>
      <c r="C73" s="160"/>
      <c r="D73" s="214" t="s">
        <v>12</v>
      </c>
      <c r="E73" s="160"/>
      <c r="F73" s="98"/>
      <c r="G73" s="160"/>
      <c r="H73" s="161"/>
      <c r="I73" s="161"/>
      <c r="J73" s="160" t="s">
        <v>78</v>
      </c>
      <c r="K73" s="160"/>
      <c r="L73" s="215" t="s">
        <v>12</v>
      </c>
      <c r="M73" s="160"/>
      <c r="N73" s="160"/>
      <c r="O73" s="160"/>
      <c r="P73" s="98"/>
      <c r="Q73" s="216"/>
      <c r="R73" s="216"/>
      <c r="S73" s="160"/>
      <c r="T73" s="160"/>
      <c r="U73" s="160"/>
    </row>
    <row r="74" spans="1:21" ht="14.4" x14ac:dyDescent="0.3">
      <c r="A74" s="161"/>
      <c r="B74" s="217"/>
      <c r="C74" s="160"/>
      <c r="D74" s="214" t="s">
        <v>46</v>
      </c>
      <c r="E74" s="160"/>
      <c r="F74" s="98"/>
      <c r="G74" s="160"/>
      <c r="H74" s="217"/>
      <c r="I74" s="161"/>
      <c r="J74" s="218"/>
      <c r="K74" s="160"/>
      <c r="L74" s="214" t="s">
        <v>46</v>
      </c>
      <c r="M74" s="219"/>
      <c r="N74" s="160"/>
      <c r="O74" s="160"/>
      <c r="P74" s="98"/>
      <c r="Q74" s="216"/>
      <c r="R74" s="216"/>
      <c r="S74" s="160"/>
      <c r="T74" s="160"/>
      <c r="U74" s="160"/>
    </row>
    <row r="75" spans="1:21" ht="14.4" x14ac:dyDescent="0.3">
      <c r="A75" s="161"/>
      <c r="B75" s="161" t="s">
        <v>23</v>
      </c>
      <c r="C75" s="175" t="s">
        <v>138</v>
      </c>
      <c r="D75" s="207">
        <f>+'[2]Link Out'!K204</f>
        <v>70.900000000000006</v>
      </c>
      <c r="E75" s="160"/>
      <c r="F75" s="98"/>
      <c r="G75" s="160"/>
      <c r="H75" s="161"/>
      <c r="I75" s="161"/>
      <c r="J75" s="160" t="s">
        <v>23</v>
      </c>
      <c r="K75" s="175" t="s">
        <v>138</v>
      </c>
      <c r="L75" s="220">
        <f>'[3]Link In'!$L$46</f>
        <v>80.12</v>
      </c>
      <c r="M75" s="219"/>
      <c r="N75" s="160"/>
      <c r="O75" s="160"/>
      <c r="P75" s="98"/>
      <c r="Q75" s="216"/>
      <c r="R75" s="216"/>
      <c r="S75" s="160"/>
      <c r="T75" s="160"/>
      <c r="U75" s="160"/>
    </row>
    <row r="76" spans="1:21" ht="14.4" x14ac:dyDescent="0.3">
      <c r="A76" s="161"/>
      <c r="B76" s="161"/>
      <c r="C76" s="175" t="s">
        <v>13</v>
      </c>
      <c r="D76" s="207">
        <f>+'[2]Link Out'!K205</f>
        <v>8.11</v>
      </c>
      <c r="E76" s="160"/>
      <c r="F76" s="98"/>
      <c r="G76" s="160"/>
      <c r="H76" s="161"/>
      <c r="I76" s="161"/>
      <c r="J76" s="160"/>
      <c r="K76" s="175" t="s">
        <v>13</v>
      </c>
      <c r="L76" s="220">
        <f>'[3]Link In'!L38</f>
        <v>9.16</v>
      </c>
      <c r="M76" s="219"/>
      <c r="N76" s="160"/>
      <c r="O76" s="160"/>
      <c r="P76" s="98"/>
      <c r="Q76" s="216"/>
      <c r="R76" s="216"/>
      <c r="S76" s="160"/>
      <c r="T76" s="160"/>
      <c r="U76" s="160"/>
    </row>
    <row r="77" spans="1:21" ht="14.4" x14ac:dyDescent="0.3">
      <c r="A77" s="161"/>
      <c r="B77" s="161"/>
      <c r="C77" s="175" t="s">
        <v>16</v>
      </c>
      <c r="D77" s="207">
        <f>+'[2]Link Out'!K206</f>
        <v>32.67</v>
      </c>
      <c r="E77" s="160"/>
      <c r="F77" s="219"/>
      <c r="G77" s="160"/>
      <c r="H77" s="161"/>
      <c r="I77" s="161"/>
      <c r="J77" s="160"/>
      <c r="K77" s="175" t="s">
        <v>16</v>
      </c>
      <c r="L77" s="220">
        <f>'[3]Link In'!L39</f>
        <v>36.92</v>
      </c>
      <c r="M77" s="219"/>
      <c r="N77" s="160"/>
      <c r="O77" s="160"/>
      <c r="P77" s="160"/>
      <c r="Q77" s="160"/>
      <c r="R77" s="160"/>
      <c r="S77" s="160"/>
      <c r="T77" s="160"/>
      <c r="U77" s="160"/>
    </row>
    <row r="78" spans="1:21" ht="14.4" x14ac:dyDescent="0.3">
      <c r="A78" s="161"/>
      <c r="B78" s="161"/>
      <c r="C78" s="175" t="s">
        <v>60</v>
      </c>
      <c r="D78" s="207">
        <f>+'[2]Link Out'!K207</f>
        <v>73.489999999999995</v>
      </c>
      <c r="E78" s="160"/>
      <c r="F78" s="219"/>
      <c r="G78" s="160"/>
      <c r="H78" s="161"/>
      <c r="I78" s="161"/>
      <c r="J78" s="160"/>
      <c r="K78" s="175" t="s">
        <v>60</v>
      </c>
      <c r="L78" s="220">
        <f>'[3]Link In'!L40</f>
        <v>83.04</v>
      </c>
      <c r="M78" s="219"/>
      <c r="N78" s="160"/>
      <c r="O78" s="160"/>
      <c r="P78" s="160"/>
      <c r="Q78" s="160"/>
      <c r="R78" s="160"/>
      <c r="S78" s="160"/>
      <c r="T78" s="160"/>
      <c r="U78" s="160"/>
    </row>
    <row r="79" spans="1:21" ht="14.4" x14ac:dyDescent="0.3">
      <c r="A79" s="161"/>
      <c r="B79" s="161"/>
      <c r="C79" s="175" t="s">
        <v>61</v>
      </c>
      <c r="D79" s="207">
        <f>+'[2]Link Out'!K208</f>
        <v>130.63999999999999</v>
      </c>
      <c r="E79" s="160"/>
      <c r="F79" s="219"/>
      <c r="G79" s="160"/>
      <c r="H79" s="161"/>
      <c r="I79" s="161"/>
      <c r="J79" s="160"/>
      <c r="K79" s="175" t="s">
        <v>61</v>
      </c>
      <c r="L79" s="220">
        <f>'[3]Link In'!L41</f>
        <v>147.62</v>
      </c>
      <c r="M79" s="219"/>
      <c r="N79" s="160"/>
      <c r="O79" s="160"/>
      <c r="P79" s="160"/>
      <c r="Q79" s="160"/>
      <c r="R79" s="160"/>
      <c r="S79" s="160"/>
      <c r="T79" s="160"/>
      <c r="U79" s="160"/>
    </row>
    <row r="80" spans="1:21" ht="14.4" x14ac:dyDescent="0.3">
      <c r="A80" s="161"/>
      <c r="B80" s="161"/>
      <c r="C80" s="175" t="s">
        <v>62</v>
      </c>
      <c r="D80" s="207">
        <f>+'[2]Link Out'!K209</f>
        <v>204.18</v>
      </c>
      <c r="E80" s="160"/>
      <c r="F80" s="219"/>
      <c r="G80" s="160"/>
      <c r="H80" s="161"/>
      <c r="I80" s="161"/>
      <c r="J80" s="160"/>
      <c r="K80" s="175" t="s">
        <v>62</v>
      </c>
      <c r="L80" s="220">
        <f>'[3]Link In'!L42</f>
        <v>230.72</v>
      </c>
      <c r="M80" s="219"/>
      <c r="N80" s="160"/>
      <c r="O80" s="160"/>
      <c r="P80" s="160"/>
      <c r="Q80" s="160"/>
      <c r="R80" s="160"/>
      <c r="S80" s="160"/>
      <c r="T80" s="160"/>
      <c r="U80" s="160"/>
    </row>
    <row r="81" spans="1:29" ht="14.4" x14ac:dyDescent="0.3">
      <c r="A81" s="161"/>
      <c r="B81" s="161"/>
      <c r="C81" s="175" t="s">
        <v>63</v>
      </c>
      <c r="D81" s="207">
        <f>+'[2]Link Out'!K210</f>
        <v>294.43</v>
      </c>
      <c r="E81" s="160"/>
      <c r="F81" s="219"/>
      <c r="G81" s="160"/>
      <c r="H81" s="161"/>
      <c r="I81" s="161"/>
      <c r="J81" s="160"/>
      <c r="K81" s="175" t="s">
        <v>63</v>
      </c>
      <c r="L81" s="220">
        <f>'[3]Link In'!L43</f>
        <v>332.71</v>
      </c>
      <c r="M81" s="219"/>
      <c r="N81" s="160"/>
      <c r="O81" s="160"/>
      <c r="P81" s="160"/>
      <c r="Q81" s="160"/>
      <c r="R81" s="160"/>
      <c r="S81" s="160"/>
      <c r="T81" s="160"/>
      <c r="U81" s="160"/>
    </row>
    <row r="82" spans="1:29" ht="14.4" x14ac:dyDescent="0.3">
      <c r="A82" s="161"/>
      <c r="B82" s="161"/>
      <c r="C82" s="175" t="s">
        <v>134</v>
      </c>
      <c r="D82" s="207">
        <f>+'[2]Link Out'!K211</f>
        <v>423.96</v>
      </c>
      <c r="E82" s="160"/>
      <c r="F82" s="160"/>
      <c r="G82" s="160"/>
      <c r="H82" s="161"/>
      <c r="I82" s="161"/>
      <c r="J82" s="160"/>
      <c r="K82" s="175" t="s">
        <v>134</v>
      </c>
      <c r="L82" s="220">
        <f>'[3]Link In'!L44</f>
        <v>479.07</v>
      </c>
      <c r="M82" s="160"/>
      <c r="N82" s="160"/>
      <c r="O82" s="160"/>
      <c r="P82" s="160"/>
      <c r="Q82" s="160"/>
      <c r="R82" s="160"/>
      <c r="S82" s="160"/>
      <c r="T82" s="160"/>
      <c r="U82" s="160"/>
    </row>
    <row r="83" spans="1:29" ht="14.4" x14ac:dyDescent="0.3">
      <c r="A83" s="161"/>
      <c r="B83" s="161"/>
      <c r="C83" s="175" t="s">
        <v>135</v>
      </c>
      <c r="D83" s="207">
        <f>+'[2]Link Out'!K212</f>
        <v>522.80999999999995</v>
      </c>
      <c r="E83" s="160"/>
      <c r="F83" s="160"/>
      <c r="G83" s="160"/>
      <c r="H83" s="161"/>
      <c r="I83" s="161"/>
      <c r="J83" s="160"/>
      <c r="K83" s="175" t="s">
        <v>135</v>
      </c>
      <c r="L83" s="220">
        <f>'[3]Link In'!L45</f>
        <v>590.78</v>
      </c>
      <c r="M83" s="160"/>
      <c r="N83" s="160"/>
      <c r="O83" s="160"/>
      <c r="P83" s="160"/>
      <c r="Q83" s="160"/>
      <c r="R83" s="160"/>
      <c r="S83" s="160"/>
      <c r="T83" s="160"/>
      <c r="U83" s="160"/>
    </row>
    <row r="84" spans="1:29" ht="14.4" x14ac:dyDescent="0.3">
      <c r="A84" s="161"/>
      <c r="B84" s="161"/>
      <c r="C84" s="106"/>
      <c r="D84" s="220"/>
      <c r="E84" s="160"/>
      <c r="F84" s="160"/>
      <c r="G84" s="160"/>
      <c r="H84" s="161"/>
      <c r="I84" s="161"/>
      <c r="J84" s="160"/>
      <c r="K84" s="160"/>
      <c r="L84" s="220"/>
      <c r="M84" s="160"/>
      <c r="N84" s="160"/>
      <c r="O84" s="160"/>
      <c r="P84" s="160"/>
      <c r="Q84" s="160"/>
      <c r="R84" s="160"/>
      <c r="S84" s="160"/>
      <c r="T84" s="160"/>
      <c r="U84" s="160"/>
    </row>
    <row r="85" spans="1:29" ht="14.4" x14ac:dyDescent="0.3">
      <c r="A85" s="161"/>
      <c r="B85" s="161" t="s">
        <v>85</v>
      </c>
      <c r="C85" s="160"/>
      <c r="D85" s="220"/>
      <c r="E85" s="160"/>
      <c r="F85" s="160"/>
      <c r="G85" s="160"/>
      <c r="H85" s="161"/>
      <c r="I85" s="161"/>
      <c r="J85" s="160" t="s">
        <v>85</v>
      </c>
      <c r="K85" s="160"/>
      <c r="L85" s="220"/>
      <c r="M85" s="160"/>
      <c r="N85" s="160"/>
      <c r="O85" s="160"/>
      <c r="P85" s="160"/>
      <c r="Q85" s="160"/>
      <c r="R85" s="160"/>
      <c r="S85" s="160"/>
      <c r="T85" s="160"/>
      <c r="U85" s="160"/>
    </row>
    <row r="86" spans="1:29" ht="14.4" x14ac:dyDescent="0.3">
      <c r="A86" s="161"/>
      <c r="B86" s="94" t="s">
        <v>87</v>
      </c>
      <c r="C86" s="160"/>
      <c r="D86" s="207">
        <f>+'[2]Link Out'!$K$233</f>
        <v>39.9</v>
      </c>
      <c r="E86" s="160"/>
      <c r="F86" s="160"/>
      <c r="G86" s="160"/>
      <c r="H86" s="161"/>
      <c r="I86" s="161"/>
      <c r="J86" s="94" t="s">
        <v>87</v>
      </c>
      <c r="K86" s="161"/>
      <c r="L86" s="220">
        <f>'[3]Link In'!$L$48</f>
        <v>49.16</v>
      </c>
      <c r="M86" s="161"/>
      <c r="N86" s="161"/>
      <c r="O86" s="161"/>
      <c r="P86" s="161"/>
      <c r="Q86" s="161"/>
      <c r="R86" s="161"/>
      <c r="S86" s="161"/>
      <c r="T86" s="161"/>
      <c r="U86" s="161"/>
    </row>
    <row r="87" spans="1:29" ht="14.4" x14ac:dyDescent="0.3">
      <c r="A87" s="161"/>
      <c r="B87" s="158"/>
      <c r="C87" s="161"/>
      <c r="D87" s="221"/>
      <c r="E87" s="161"/>
      <c r="F87" s="161"/>
      <c r="G87" s="161"/>
      <c r="H87" s="161"/>
      <c r="I87" s="161"/>
      <c r="J87" s="158"/>
      <c r="K87" s="161"/>
      <c r="L87" s="220"/>
      <c r="M87" s="161"/>
      <c r="N87" s="161"/>
      <c r="O87" s="161"/>
      <c r="P87" s="161"/>
      <c r="Q87" s="161"/>
      <c r="R87" s="161"/>
      <c r="S87" s="161"/>
      <c r="T87" s="161"/>
      <c r="U87" s="161"/>
    </row>
    <row r="88" spans="1:29" ht="15" thickBot="1" x14ac:dyDescent="0.35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9" ht="15" thickTop="1" x14ac:dyDescent="0.3">
      <c r="A89" s="164"/>
      <c r="B89" s="165"/>
      <c r="C89" s="166"/>
      <c r="D89" s="166"/>
      <c r="E89" s="166"/>
      <c r="F89" s="166"/>
      <c r="G89" s="166"/>
      <c r="H89" s="165"/>
      <c r="I89" s="167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6"/>
      <c r="W89" s="6"/>
      <c r="X89" s="6"/>
      <c r="Y89" s="6"/>
      <c r="Z89" s="6"/>
      <c r="AA89" s="6"/>
      <c r="AB89" s="6"/>
      <c r="AC89" s="6"/>
    </row>
    <row r="90" spans="1:29" ht="14.4" x14ac:dyDescent="0.3">
      <c r="A90" s="160" t="str">
        <f>'[1]Rate Case Constants'!$C$9</f>
        <v>Kentucky American Water Company</v>
      </c>
      <c r="B90" s="160"/>
      <c r="C90" s="160"/>
      <c r="D90" s="220"/>
      <c r="E90" s="160"/>
      <c r="F90" s="160"/>
      <c r="G90" s="161"/>
      <c r="H90" s="161"/>
      <c r="I90" s="161"/>
      <c r="J90" s="161"/>
      <c r="K90" s="222"/>
      <c r="L90" s="161"/>
      <c r="M90" s="161"/>
      <c r="N90" s="161"/>
      <c r="O90" s="161"/>
      <c r="P90" s="161"/>
      <c r="Q90" s="161"/>
      <c r="R90" s="161"/>
      <c r="S90" s="161"/>
      <c r="T90" s="161"/>
      <c r="U90" s="161"/>
    </row>
    <row r="91" spans="1:29" ht="14.4" x14ac:dyDescent="0.3">
      <c r="A91" s="160" t="str">
        <f>'[1]Rate Case Constants'!$C$11</f>
        <v>Case No. 2018-00358</v>
      </c>
      <c r="B91" s="160"/>
      <c r="C91" s="160"/>
      <c r="D91" s="220"/>
      <c r="E91" s="160"/>
      <c r="F91" s="160"/>
      <c r="G91" s="161"/>
      <c r="H91" s="161"/>
      <c r="I91" s="161"/>
      <c r="J91" s="161"/>
      <c r="K91" s="222"/>
      <c r="L91" s="161"/>
      <c r="M91" s="161"/>
      <c r="N91" s="161"/>
      <c r="O91" s="161"/>
      <c r="P91" s="161"/>
      <c r="Q91" s="161"/>
      <c r="R91" s="161"/>
      <c r="S91" s="161"/>
      <c r="T91" s="161"/>
      <c r="U91" s="161"/>
    </row>
    <row r="92" spans="1:29" ht="14.4" x14ac:dyDescent="0.3">
      <c r="A92" s="160" t="str">
        <f>'[1]Rate Case Constants'!$C$17</f>
        <v>Forecast Year for the 12 Months Ended June 30, 2020</v>
      </c>
      <c r="B92" s="160"/>
      <c r="C92" s="160"/>
      <c r="D92" s="220"/>
      <c r="E92" s="160"/>
      <c r="F92" s="160"/>
      <c r="G92" s="161"/>
      <c r="H92" s="161"/>
      <c r="I92" s="161"/>
      <c r="J92" s="161"/>
      <c r="K92" s="222"/>
      <c r="L92" s="161"/>
      <c r="M92" s="161"/>
      <c r="N92" s="161"/>
      <c r="O92" s="161"/>
      <c r="P92" s="161"/>
      <c r="Q92" s="161"/>
      <c r="R92" s="161"/>
      <c r="S92" s="161"/>
      <c r="T92" s="161"/>
      <c r="U92" s="161"/>
    </row>
    <row r="93" spans="1:29" ht="14.4" x14ac:dyDescent="0.3">
      <c r="A93" s="160" t="str">
        <f>'[1]Rate Case Constants'!$C$15</f>
        <v>Base Year for the 12 Months Ended February 28, 2019</v>
      </c>
      <c r="B93" s="160"/>
      <c r="C93" s="160"/>
      <c r="D93" s="220"/>
      <c r="E93" s="160"/>
      <c r="F93" s="160"/>
      <c r="G93" s="161"/>
      <c r="H93" s="161"/>
      <c r="I93" s="161"/>
      <c r="J93" s="161"/>
      <c r="K93" s="222"/>
      <c r="L93" s="161"/>
      <c r="M93" s="161"/>
      <c r="N93" s="161"/>
      <c r="O93" s="161"/>
      <c r="P93" s="161"/>
      <c r="Q93" s="161"/>
      <c r="R93" s="161"/>
      <c r="S93" s="161"/>
      <c r="T93" s="161"/>
      <c r="U93" s="161"/>
    </row>
    <row r="94" spans="1:29" ht="14.4" x14ac:dyDescent="0.3">
      <c r="A94" s="160" t="str">
        <f>'[1]Link Out Filing Exhibits'!$M$116</f>
        <v>Schedule M-3</v>
      </c>
      <c r="B94" s="160" t="str">
        <f>'[1]Link Out Filing Exhibits'!$M$119</f>
        <v>Schedule N-3</v>
      </c>
      <c r="C94" s="160"/>
      <c r="D94" s="220"/>
      <c r="E94" s="160"/>
      <c r="F94" s="160"/>
      <c r="G94" s="161"/>
      <c r="H94" s="161"/>
      <c r="I94" s="161"/>
      <c r="J94" s="161"/>
      <c r="K94" s="222"/>
      <c r="L94" s="161"/>
      <c r="M94" s="161"/>
      <c r="N94" s="161"/>
      <c r="O94" s="161"/>
      <c r="P94" s="161"/>
      <c r="Q94" s="161"/>
      <c r="R94" s="161"/>
      <c r="S94" s="161"/>
      <c r="T94" s="161"/>
      <c r="U94" s="161"/>
    </row>
    <row r="95" spans="1:29" ht="14.4" x14ac:dyDescent="0.3">
      <c r="A95" s="160" t="s">
        <v>196</v>
      </c>
      <c r="B95" s="160"/>
      <c r="C95" s="160"/>
      <c r="D95" s="220"/>
      <c r="E95" s="160"/>
      <c r="F95" s="160"/>
      <c r="G95" s="161"/>
      <c r="H95" s="161"/>
      <c r="I95" s="161"/>
      <c r="J95" s="161"/>
      <c r="K95" s="222"/>
      <c r="L95" s="161"/>
      <c r="M95" s="161"/>
      <c r="N95" s="161"/>
      <c r="O95" s="161"/>
      <c r="P95" s="161"/>
      <c r="Q95" s="161"/>
      <c r="R95" s="161"/>
      <c r="S95" s="161"/>
      <c r="T95" s="161"/>
      <c r="U95" s="161"/>
    </row>
    <row r="96" spans="1:29" ht="14.4" x14ac:dyDescent="0.3">
      <c r="A96" s="160"/>
      <c r="B96" s="160" t="s">
        <v>79</v>
      </c>
      <c r="C96" s="160" t="s">
        <v>73</v>
      </c>
      <c r="D96" s="160" t="s">
        <v>79</v>
      </c>
      <c r="E96" s="160"/>
      <c r="F96" s="160" t="s">
        <v>73</v>
      </c>
      <c r="G96" s="161"/>
      <c r="H96" s="161"/>
      <c r="I96" s="161"/>
      <c r="J96" s="161"/>
      <c r="K96" s="222"/>
      <c r="L96" s="161"/>
      <c r="M96" s="161"/>
      <c r="N96" s="161"/>
      <c r="O96" s="161"/>
      <c r="P96" s="161"/>
      <c r="Q96" s="161"/>
      <c r="R96" s="161"/>
      <c r="S96" s="161"/>
      <c r="T96" s="161"/>
      <c r="U96" s="161"/>
    </row>
    <row r="97" spans="1:21" ht="14.4" x14ac:dyDescent="0.3">
      <c r="A97" s="223" t="s">
        <v>118</v>
      </c>
      <c r="B97" s="223" t="s">
        <v>119</v>
      </c>
      <c r="C97" s="223" t="s">
        <v>119</v>
      </c>
      <c r="D97" s="224" t="s">
        <v>122</v>
      </c>
      <c r="E97" s="160"/>
      <c r="F97" s="224" t="s">
        <v>122</v>
      </c>
      <c r="G97" s="161"/>
      <c r="H97" s="161"/>
      <c r="I97" s="161"/>
      <c r="J97" s="161"/>
      <c r="K97" s="222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 ht="14.4" x14ac:dyDescent="0.3">
      <c r="A98" s="94" t="s">
        <v>91</v>
      </c>
      <c r="B98" s="297">
        <f>'[4]Link Out'!$C$29</f>
        <v>0</v>
      </c>
      <c r="C98" s="297">
        <f>'[4]Link Out'!$G$29</f>
        <v>0</v>
      </c>
      <c r="D98" s="297">
        <f>'[4]Link Out'!$C$11</f>
        <v>0</v>
      </c>
      <c r="E98" s="160"/>
      <c r="F98" s="297">
        <f>'[4]Link Out'!$G$11</f>
        <v>0</v>
      </c>
      <c r="G98" s="161"/>
      <c r="H98" s="161"/>
      <c r="I98" s="161"/>
      <c r="J98" s="161"/>
      <c r="K98" s="222"/>
      <c r="L98" s="161"/>
      <c r="M98" s="161"/>
      <c r="N98" s="161"/>
      <c r="O98" s="161"/>
      <c r="P98" s="161"/>
      <c r="Q98" s="161"/>
      <c r="R98" s="161"/>
      <c r="S98" s="161"/>
      <c r="T98" s="161"/>
      <c r="U98" s="161"/>
    </row>
    <row r="99" spans="1:21" ht="14.4" x14ac:dyDescent="0.3">
      <c r="A99" s="94" t="s">
        <v>140</v>
      </c>
      <c r="B99" s="297">
        <f>'[4]Link Out'!$C$30</f>
        <v>798426.55937264196</v>
      </c>
      <c r="C99" s="297">
        <f>'[4]Link Out'!$G$30</f>
        <v>798426.55937264196</v>
      </c>
      <c r="D99" s="297">
        <f>'[4]Link Out'!$C$12</f>
        <v>784484</v>
      </c>
      <c r="E99" s="160"/>
      <c r="F99" s="297">
        <f>'[4]Link Out'!$G$12</f>
        <v>784484</v>
      </c>
      <c r="G99" s="161"/>
      <c r="H99" s="161"/>
      <c r="I99" s="161"/>
      <c r="J99" s="161"/>
      <c r="K99" s="222"/>
      <c r="L99" s="161"/>
      <c r="M99" s="161"/>
      <c r="N99" s="161"/>
      <c r="O99" s="161"/>
      <c r="P99" s="161"/>
      <c r="Q99" s="161"/>
      <c r="R99" s="161"/>
      <c r="S99" s="161"/>
      <c r="T99" s="161"/>
      <c r="U99" s="161"/>
    </row>
    <row r="100" spans="1:21" ht="14.4" x14ac:dyDescent="0.3">
      <c r="A100" s="94" t="s">
        <v>141</v>
      </c>
      <c r="B100" s="297">
        <f>'[4]Link Out'!$C$31</f>
        <v>96878.04</v>
      </c>
      <c r="C100" s="297">
        <f>'[4]Link Out'!$G$31</f>
        <v>96878.04</v>
      </c>
      <c r="D100" s="297">
        <f>'[4]Link Out'!$C$13</f>
        <v>96878</v>
      </c>
      <c r="E100" s="160"/>
      <c r="F100" s="297">
        <f>'[4]Link Out'!$G$13</f>
        <v>96878</v>
      </c>
      <c r="G100" s="161"/>
      <c r="H100" s="161"/>
      <c r="I100" s="161"/>
      <c r="J100" s="161"/>
      <c r="K100" s="222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</row>
    <row r="101" spans="1:21" ht="14.4" x14ac:dyDescent="0.3">
      <c r="A101" s="94" t="s">
        <v>142</v>
      </c>
      <c r="B101" s="297">
        <f>'[4]Link Out'!$C$32</f>
        <v>154929.96</v>
      </c>
      <c r="C101" s="297">
        <f>'[4]Link Out'!$G$32</f>
        <v>154929.96</v>
      </c>
      <c r="D101" s="297">
        <f>'[4]Link Out'!$C$14</f>
        <v>154930</v>
      </c>
      <c r="E101" s="160"/>
      <c r="F101" s="297">
        <f>'[4]Link Out'!$G$14</f>
        <v>154930</v>
      </c>
      <c r="G101" s="161"/>
      <c r="H101" s="161"/>
      <c r="I101" s="161"/>
      <c r="J101" s="161"/>
      <c r="K101" s="222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</row>
    <row r="102" spans="1:21" ht="14.4" x14ac:dyDescent="0.3">
      <c r="A102" s="94" t="s">
        <v>143</v>
      </c>
      <c r="B102" s="297">
        <f>'[4]Link Out'!$C$33</f>
        <v>0</v>
      </c>
      <c r="C102" s="297">
        <f>'[4]Link Out'!$G$33</f>
        <v>0</v>
      </c>
      <c r="D102" s="297">
        <f>'[4]Link Out'!$C$15</f>
        <v>0</v>
      </c>
      <c r="E102" s="160"/>
      <c r="F102" s="297">
        <f>'[4]Link Out'!$G$15</f>
        <v>0</v>
      </c>
      <c r="G102" s="161"/>
      <c r="H102" s="161"/>
      <c r="I102" s="161"/>
      <c r="J102" s="161"/>
      <c r="K102" s="222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</row>
    <row r="103" spans="1:21" ht="14.4" x14ac:dyDescent="0.3">
      <c r="A103" s="94" t="s">
        <v>144</v>
      </c>
      <c r="B103" s="297">
        <f>'[4]Link Out'!$C$34</f>
        <v>30804</v>
      </c>
      <c r="C103" s="297">
        <f>'[4]Link Out'!$G$34</f>
        <v>30804</v>
      </c>
      <c r="D103" s="297">
        <f>'[4]Link Out'!$C$16</f>
        <v>30840</v>
      </c>
      <c r="E103" s="160"/>
      <c r="F103" s="297">
        <f>'[4]Link Out'!$G$16</f>
        <v>30840</v>
      </c>
      <c r="G103" s="161"/>
      <c r="H103" s="161"/>
      <c r="I103" s="161"/>
      <c r="J103" s="161"/>
      <c r="K103" s="222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</row>
    <row r="104" spans="1:21" ht="14.4" x14ac:dyDescent="0.3">
      <c r="A104" s="195" t="s">
        <v>145</v>
      </c>
      <c r="B104" s="297">
        <f>'[4]Link Out'!$C$35</f>
        <v>765680.63</v>
      </c>
      <c r="C104" s="297">
        <f>'[4]Link Out'!$G$35</f>
        <v>765680.63</v>
      </c>
      <c r="D104" s="297">
        <f>'[4]Link Out'!$C$17</f>
        <v>765681</v>
      </c>
      <c r="E104" s="160"/>
      <c r="F104" s="297">
        <f>'[4]Link Out'!$G$17</f>
        <v>765681</v>
      </c>
      <c r="G104" s="161"/>
      <c r="H104" s="161"/>
      <c r="I104" s="161"/>
      <c r="J104" s="161"/>
      <c r="K104" s="222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</row>
    <row r="105" spans="1:21" ht="14.4" x14ac:dyDescent="0.3">
      <c r="A105" s="94" t="s">
        <v>146</v>
      </c>
      <c r="B105" s="297">
        <f>'[4]Link Out'!$C$36</f>
        <v>47194.280000000013</v>
      </c>
      <c r="C105" s="297">
        <f>'[4]Link Out'!$G$36</f>
        <v>47194.280000000013</v>
      </c>
      <c r="D105" s="297">
        <f>'[4]Link Out'!$C$18</f>
        <v>51538</v>
      </c>
      <c r="E105" s="160"/>
      <c r="F105" s="297">
        <f>'[4]Link Out'!$G$18</f>
        <v>51538</v>
      </c>
      <c r="G105" s="161"/>
      <c r="H105" s="161"/>
      <c r="I105" s="161"/>
      <c r="J105" s="161"/>
      <c r="K105" s="222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</row>
    <row r="106" spans="1:21" ht="14.4" x14ac:dyDescent="0.3">
      <c r="A106" s="94" t="s">
        <v>147</v>
      </c>
      <c r="B106" s="297">
        <f>'[4]Link Out'!$C$37</f>
        <v>583109.21</v>
      </c>
      <c r="C106" s="297">
        <f>'[4]Link Out'!$G$37</f>
        <v>583109.21</v>
      </c>
      <c r="D106" s="297">
        <f>'[4]Link Out'!$C$19</f>
        <v>598864</v>
      </c>
      <c r="E106" s="160"/>
      <c r="F106" s="297">
        <f>'[4]Link Out'!$G$19</f>
        <v>598864</v>
      </c>
      <c r="G106" s="161"/>
      <c r="H106" s="161"/>
      <c r="I106" s="161"/>
      <c r="J106" s="161"/>
      <c r="K106" s="222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</row>
    <row r="107" spans="1:21" ht="14.4" x14ac:dyDescent="0.3">
      <c r="A107" s="160" t="s">
        <v>148</v>
      </c>
      <c r="B107" s="297">
        <f>'[4]Link Out'!$C$38</f>
        <v>0</v>
      </c>
      <c r="C107" s="297">
        <f>'[4]Link Out'!$G$38</f>
        <v>0</v>
      </c>
      <c r="D107" s="297">
        <f>'[4]Link Out'!$C$20</f>
        <v>0</v>
      </c>
      <c r="E107" s="160"/>
      <c r="F107" s="297">
        <f>'[4]Link Out'!$G$20</f>
        <v>0</v>
      </c>
      <c r="G107" s="161"/>
      <c r="H107" s="161"/>
      <c r="I107" s="161"/>
      <c r="J107" s="161"/>
      <c r="K107" s="222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</row>
    <row r="108" spans="1:21" ht="14.4" x14ac:dyDescent="0.3">
      <c r="A108" s="160" t="s">
        <v>149</v>
      </c>
      <c r="B108" s="297">
        <f>'[4]Link Out'!$C$39</f>
        <v>0</v>
      </c>
      <c r="C108" s="297">
        <f>'[4]Link Out'!$G$39</f>
        <v>0</v>
      </c>
      <c r="D108" s="297">
        <f>'[4]Link Out'!$C$21</f>
        <v>0</v>
      </c>
      <c r="E108" s="160"/>
      <c r="F108" s="297">
        <f>'[4]Link Out'!$G$21</f>
        <v>0</v>
      </c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</row>
    <row r="109" spans="1:21" ht="14.4" x14ac:dyDescent="0.3">
      <c r="A109" s="160" t="s">
        <v>178</v>
      </c>
      <c r="B109" s="160"/>
      <c r="C109" s="160"/>
      <c r="D109" s="174"/>
      <c r="E109" s="160"/>
      <c r="F109" s="174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</row>
    <row r="110" spans="1:21" ht="14.4" x14ac:dyDescent="0.3">
      <c r="A110" s="161"/>
      <c r="B110" s="225"/>
      <c r="C110" s="226"/>
      <c r="D110" s="226"/>
      <c r="E110" s="227"/>
      <c r="F110" s="225"/>
      <c r="G110" s="225"/>
      <c r="H110" s="225"/>
      <c r="I110" s="225"/>
      <c r="J110" s="225"/>
      <c r="K110" s="225"/>
      <c r="L110" s="225"/>
      <c r="M110" s="227"/>
      <c r="N110" s="225"/>
      <c r="O110" s="227"/>
      <c r="P110" s="225"/>
      <c r="Q110" s="161"/>
      <c r="R110" s="161"/>
      <c r="S110" s="161"/>
      <c r="T110" s="161"/>
      <c r="U110" s="161"/>
    </row>
    <row r="111" spans="1:21" ht="14.4" x14ac:dyDescent="0.3">
      <c r="A111" s="227"/>
      <c r="B111" s="225"/>
      <c r="C111" s="225"/>
      <c r="D111" s="225"/>
      <c r="E111" s="226"/>
      <c r="F111" s="225"/>
      <c r="G111" s="225"/>
      <c r="H111" s="225"/>
      <c r="I111" s="225"/>
      <c r="J111" s="225"/>
      <c r="K111" s="225"/>
      <c r="L111" s="225"/>
      <c r="M111" s="227"/>
      <c r="N111" s="225"/>
      <c r="O111" s="227"/>
      <c r="P111" s="225"/>
      <c r="Q111" s="227"/>
      <c r="R111" s="161"/>
      <c r="S111" s="161"/>
      <c r="T111" s="161"/>
      <c r="U111" s="161"/>
    </row>
    <row r="112" spans="1:21" ht="14.4" x14ac:dyDescent="0.3">
      <c r="A112" s="227"/>
      <c r="B112" s="225" t="s">
        <v>205</v>
      </c>
      <c r="C112" s="225" t="s">
        <v>206</v>
      </c>
      <c r="D112" s="303" t="s">
        <v>205</v>
      </c>
      <c r="E112" s="303" t="s">
        <v>206</v>
      </c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161"/>
      <c r="S112" s="161"/>
      <c r="T112" s="161"/>
      <c r="U112" s="161"/>
    </row>
    <row r="113" spans="1:21" ht="14.4" x14ac:dyDescent="0.3">
      <c r="A113" s="307" t="s">
        <v>198</v>
      </c>
      <c r="B113" s="228" t="s">
        <v>3</v>
      </c>
      <c r="C113" s="305" t="s">
        <v>3</v>
      </c>
      <c r="D113" s="305" t="s">
        <v>50</v>
      </c>
      <c r="E113" s="305" t="s">
        <v>50</v>
      </c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161"/>
      <c r="S113" s="161"/>
      <c r="T113" s="161"/>
      <c r="U113" s="161"/>
    </row>
    <row r="114" spans="1:21" ht="14.4" x14ac:dyDescent="0.3">
      <c r="A114" s="195" t="s">
        <v>204</v>
      </c>
      <c r="B114" s="125"/>
      <c r="C114" s="125"/>
      <c r="D114" s="125"/>
      <c r="E114" s="125"/>
      <c r="F114" s="125"/>
      <c r="G114" s="229"/>
      <c r="H114" s="230"/>
      <c r="I114" s="125"/>
      <c r="J114" s="230"/>
      <c r="K114" s="230"/>
      <c r="L114" s="230"/>
      <c r="M114" s="230"/>
      <c r="N114" s="230"/>
      <c r="O114" s="227"/>
      <c r="P114" s="229"/>
      <c r="Q114" s="227"/>
      <c r="R114" s="161"/>
      <c r="S114" s="161"/>
      <c r="T114" s="161"/>
      <c r="U114" s="161"/>
    </row>
    <row r="115" spans="1:21" ht="14.4" x14ac:dyDescent="0.3">
      <c r="A115" s="195" t="s">
        <v>74</v>
      </c>
      <c r="B115" s="308">
        <f>+'[2]Link Out'!$C$285</f>
        <v>7206.3193069306926</v>
      </c>
      <c r="C115" s="308">
        <f>+'[2]Link Out'!$I$285</f>
        <v>7356</v>
      </c>
      <c r="D115" s="125">
        <f>+'[2]Link Out'!$C$320</f>
        <v>230.82036775106081</v>
      </c>
      <c r="E115" s="125">
        <f>+'[2]Link Out'!$I$320</f>
        <v>264</v>
      </c>
      <c r="F115" s="125"/>
      <c r="G115" s="304"/>
      <c r="H115" s="230"/>
      <c r="I115" s="125"/>
      <c r="J115" s="230"/>
      <c r="K115" s="230"/>
      <c r="L115" s="230"/>
      <c r="M115" s="230"/>
      <c r="N115" s="230"/>
      <c r="O115" s="227"/>
      <c r="P115" s="304"/>
      <c r="Q115" s="227"/>
      <c r="R115" s="161"/>
      <c r="S115" s="161"/>
      <c r="T115" s="161"/>
      <c r="U115" s="161"/>
    </row>
    <row r="116" spans="1:21" ht="14.4" x14ac:dyDescent="0.3">
      <c r="A116" s="195" t="s">
        <v>207</v>
      </c>
      <c r="B116" s="309">
        <v>28.28</v>
      </c>
      <c r="C116" s="309">
        <v>28.28</v>
      </c>
      <c r="D116" s="309">
        <v>28.28</v>
      </c>
      <c r="E116" s="309">
        <v>28.28</v>
      </c>
      <c r="F116" s="125"/>
      <c r="G116" s="304"/>
      <c r="H116" s="230"/>
      <c r="I116" s="125"/>
      <c r="J116" s="230"/>
      <c r="K116" s="230"/>
      <c r="L116" s="230"/>
      <c r="M116" s="230"/>
      <c r="N116" s="230"/>
      <c r="O116" s="227"/>
      <c r="P116" s="304"/>
      <c r="Q116" s="227"/>
      <c r="R116" s="161"/>
      <c r="S116" s="161"/>
      <c r="T116" s="161"/>
      <c r="U116" s="161"/>
    </row>
    <row r="117" spans="1:21" ht="14.4" x14ac:dyDescent="0.3">
      <c r="A117" s="195" t="s">
        <v>181</v>
      </c>
      <c r="B117" s="231"/>
      <c r="C117" s="231"/>
      <c r="D117" s="231"/>
      <c r="E117" s="231"/>
      <c r="F117" s="231"/>
      <c r="G117" s="232"/>
      <c r="H117" s="230"/>
      <c r="I117" s="125"/>
      <c r="J117" s="230"/>
      <c r="K117" s="230"/>
      <c r="L117" s="230"/>
      <c r="M117" s="230"/>
      <c r="N117" s="230"/>
      <c r="O117" s="227"/>
      <c r="P117" s="227"/>
      <c r="Q117" s="227"/>
      <c r="R117" s="161"/>
      <c r="S117" s="161"/>
      <c r="T117" s="161"/>
      <c r="U117" s="161"/>
    </row>
    <row r="118" spans="1:21" ht="14.4" x14ac:dyDescent="0.3">
      <c r="A118" s="195" t="s">
        <v>199</v>
      </c>
      <c r="B118" s="231">
        <f>+'[2]Link Out'!C299</f>
        <v>10751.6</v>
      </c>
      <c r="C118" s="231">
        <f>+'[2]Link Out'!I299</f>
        <v>10751.599999999999</v>
      </c>
      <c r="D118" s="231">
        <f>+'[2]Link Out'!C334</f>
        <v>444.40000000000015</v>
      </c>
      <c r="E118" s="231">
        <f>+'[2]Link Out'!I334</f>
        <v>444.4000000000002</v>
      </c>
      <c r="F118" s="231"/>
      <c r="G118" s="232"/>
      <c r="H118" s="230"/>
      <c r="I118" s="231"/>
      <c r="J118" s="233"/>
      <c r="K118" s="233"/>
      <c r="L118" s="233"/>
      <c r="M118" s="230"/>
      <c r="N118" s="230"/>
      <c r="O118" s="227"/>
      <c r="P118" s="227"/>
      <c r="Q118" s="227"/>
      <c r="R118" s="161"/>
      <c r="S118" s="161"/>
      <c r="T118" s="161"/>
      <c r="U118" s="161"/>
    </row>
    <row r="119" spans="1:21" ht="14.4" x14ac:dyDescent="0.3">
      <c r="A119" s="195" t="s">
        <v>200</v>
      </c>
      <c r="B119" s="231">
        <f>+'[2]Link Out'!C300</f>
        <v>8772.7198612315715</v>
      </c>
      <c r="C119" s="231">
        <f>+'[2]Link Out'!I300</f>
        <v>8772.7198612315715</v>
      </c>
      <c r="D119" s="231">
        <f>+'[2]Link Out'!C335</f>
        <v>243.98612315698173</v>
      </c>
      <c r="E119" s="231">
        <f>+'[2]Link Out'!I335</f>
        <v>243.98612315698173</v>
      </c>
      <c r="F119" s="231"/>
      <c r="G119" s="232"/>
      <c r="H119" s="230"/>
      <c r="I119" s="231"/>
      <c r="J119" s="233"/>
      <c r="K119" s="233"/>
      <c r="L119" s="233"/>
      <c r="M119" s="230"/>
      <c r="N119" s="230"/>
      <c r="O119" s="227"/>
      <c r="P119" s="227"/>
      <c r="Q119" s="227"/>
      <c r="R119" s="161"/>
      <c r="S119" s="161"/>
      <c r="T119" s="161"/>
      <c r="U119" s="161"/>
    </row>
    <row r="120" spans="1:21" ht="14.4" x14ac:dyDescent="0.3">
      <c r="A120" s="195" t="s">
        <v>207</v>
      </c>
      <c r="B120" s="231"/>
      <c r="C120" s="231"/>
      <c r="D120" s="231"/>
      <c r="E120" s="231"/>
      <c r="F120" s="231"/>
      <c r="G120" s="232"/>
      <c r="H120" s="230"/>
      <c r="I120" s="231"/>
      <c r="J120" s="233"/>
      <c r="K120" s="233"/>
      <c r="L120" s="233"/>
      <c r="M120" s="230"/>
      <c r="N120" s="230"/>
      <c r="O120" s="227"/>
      <c r="P120" s="227"/>
      <c r="Q120" s="227"/>
      <c r="R120" s="161"/>
      <c r="S120" s="161"/>
      <c r="T120" s="161"/>
      <c r="U120" s="161"/>
    </row>
    <row r="121" spans="1:21" ht="14.4" x14ac:dyDescent="0.3">
      <c r="A121" s="195" t="s">
        <v>199</v>
      </c>
      <c r="B121" s="310">
        <f>+'[2]Link Out'!E299</f>
        <v>0</v>
      </c>
      <c r="C121" s="310">
        <f>+'[2]Link Out'!K299</f>
        <v>0</v>
      </c>
      <c r="D121" s="310">
        <f>+'[2]Link Out'!E334</f>
        <v>0</v>
      </c>
      <c r="E121" s="310">
        <f>+'[2]Link Out'!K334</f>
        <v>0</v>
      </c>
      <c r="F121" s="231"/>
      <c r="G121" s="232"/>
      <c r="H121" s="230"/>
      <c r="I121" s="231"/>
      <c r="J121" s="233"/>
      <c r="K121" s="233"/>
      <c r="L121" s="233"/>
      <c r="M121" s="230"/>
      <c r="N121" s="230"/>
      <c r="O121" s="227"/>
      <c r="P121" s="227"/>
      <c r="Q121" s="227"/>
      <c r="R121" s="161"/>
      <c r="S121" s="161"/>
      <c r="T121" s="161"/>
      <c r="U121" s="161"/>
    </row>
    <row r="122" spans="1:21" ht="14.4" x14ac:dyDescent="0.3">
      <c r="A122" s="195" t="s">
        <v>200</v>
      </c>
      <c r="B122" s="310">
        <f>+'[2]Link Out'!E300</f>
        <v>11.53</v>
      </c>
      <c r="C122" s="310">
        <f>+'[2]Link Out'!K300</f>
        <v>11.53</v>
      </c>
      <c r="D122" s="310">
        <f>+'[2]Link Out'!E335</f>
        <v>11.53</v>
      </c>
      <c r="E122" s="310">
        <f>+'[2]Link Out'!K335</f>
        <v>11.53</v>
      </c>
      <c r="F122" s="231"/>
      <c r="G122" s="232"/>
      <c r="H122" s="230"/>
      <c r="I122" s="231"/>
      <c r="J122" s="233"/>
      <c r="K122" s="233"/>
      <c r="L122" s="233"/>
      <c r="M122" s="230"/>
      <c r="N122" s="230"/>
      <c r="O122" s="227"/>
      <c r="P122" s="227"/>
      <c r="Q122" s="227"/>
      <c r="R122" s="161"/>
      <c r="S122" s="161"/>
      <c r="T122" s="161"/>
      <c r="U122" s="161"/>
    </row>
    <row r="123" spans="1:21" ht="14.4" x14ac:dyDescent="0.3">
      <c r="A123" s="195"/>
      <c r="B123" s="231"/>
      <c r="C123" s="231"/>
      <c r="D123" s="231"/>
      <c r="E123" s="231"/>
      <c r="F123" s="231"/>
      <c r="G123" s="232"/>
      <c r="H123" s="125"/>
      <c r="I123" s="231"/>
      <c r="J123" s="231"/>
      <c r="K123" s="231"/>
      <c r="L123" s="233"/>
      <c r="M123" s="230"/>
      <c r="N123" s="233"/>
      <c r="O123" s="227"/>
      <c r="P123" s="227"/>
      <c r="Q123" s="227"/>
      <c r="R123" s="161"/>
      <c r="S123" s="161"/>
      <c r="T123" s="161"/>
      <c r="U123" s="161"/>
    </row>
    <row r="124" spans="1:21" ht="14.4" x14ac:dyDescent="0.3">
      <c r="A124" s="195"/>
      <c r="B124" s="231"/>
      <c r="C124" s="231"/>
      <c r="D124" s="231"/>
      <c r="E124" s="231"/>
      <c r="F124" s="231"/>
      <c r="G124" s="232"/>
      <c r="H124" s="125"/>
      <c r="I124" s="231"/>
      <c r="J124" s="231"/>
      <c r="K124" s="233"/>
      <c r="L124" s="233"/>
      <c r="M124" s="230"/>
      <c r="N124" s="130"/>
      <c r="O124" s="227"/>
      <c r="P124" s="227"/>
      <c r="Q124" s="227"/>
      <c r="R124" s="161"/>
      <c r="S124" s="161"/>
      <c r="T124" s="161"/>
      <c r="U124" s="161"/>
    </row>
    <row r="125" spans="1:21" ht="14.4" x14ac:dyDescent="0.3">
      <c r="A125" s="195"/>
      <c r="B125" s="233"/>
      <c r="C125" s="233"/>
      <c r="D125" s="233"/>
      <c r="E125" s="233"/>
      <c r="F125" s="233"/>
      <c r="G125" s="234"/>
      <c r="H125" s="235"/>
      <c r="I125" s="231"/>
      <c r="J125" s="233"/>
      <c r="K125" s="233"/>
      <c r="L125" s="233"/>
      <c r="M125" s="227"/>
      <c r="N125" s="233"/>
      <c r="O125" s="227"/>
      <c r="P125" s="227"/>
      <c r="Q125" s="227"/>
      <c r="R125" s="161"/>
      <c r="S125" s="161"/>
      <c r="T125" s="161"/>
      <c r="U125" s="161"/>
    </row>
    <row r="126" spans="1:21" ht="14.4" x14ac:dyDescent="0.3">
      <c r="A126" s="236"/>
      <c r="B126" s="228"/>
      <c r="C126" s="228"/>
      <c r="D126" s="228"/>
      <c r="E126" s="228"/>
      <c r="F126" s="228"/>
      <c r="G126" s="228"/>
      <c r="H126" s="229"/>
      <c r="I126" s="229"/>
      <c r="J126" s="229"/>
      <c r="K126" s="229"/>
      <c r="L126" s="229"/>
      <c r="M126" s="229"/>
      <c r="N126" s="229"/>
      <c r="O126" s="227"/>
      <c r="P126" s="227"/>
      <c r="Q126" s="227"/>
      <c r="R126" s="161"/>
      <c r="S126" s="161"/>
      <c r="T126" s="161"/>
      <c r="U126" s="161"/>
    </row>
    <row r="127" spans="1:21" ht="14.4" x14ac:dyDescent="0.3">
      <c r="A127" s="94"/>
      <c r="B127" s="127"/>
      <c r="C127" s="127"/>
      <c r="D127" s="127"/>
      <c r="E127" s="129"/>
      <c r="F127" s="127"/>
      <c r="G127" s="229"/>
      <c r="H127" s="132"/>
      <c r="I127" s="132"/>
      <c r="J127" s="132"/>
      <c r="K127" s="132"/>
      <c r="L127" s="132"/>
      <c r="M127" s="132"/>
      <c r="N127" s="132"/>
      <c r="O127" s="227"/>
      <c r="P127" s="227"/>
      <c r="Q127" s="227"/>
      <c r="R127" s="161"/>
      <c r="S127" s="161"/>
      <c r="T127" s="161"/>
      <c r="U127" s="161"/>
    </row>
    <row r="128" spans="1:21" ht="14.4" x14ac:dyDescent="0.3">
      <c r="A128" s="94"/>
      <c r="B128" s="127"/>
      <c r="C128" s="127"/>
      <c r="D128" s="127"/>
      <c r="E128" s="127"/>
      <c r="F128" s="127"/>
      <c r="G128" s="229"/>
      <c r="H128" s="132"/>
      <c r="I128" s="132"/>
      <c r="J128" s="132"/>
      <c r="K128" s="132"/>
      <c r="L128" s="132"/>
      <c r="M128" s="132"/>
      <c r="N128" s="132"/>
      <c r="O128" s="227"/>
      <c r="P128" s="227"/>
      <c r="Q128" s="227"/>
      <c r="R128" s="161"/>
      <c r="S128" s="161"/>
      <c r="T128" s="161"/>
      <c r="U128" s="161"/>
    </row>
    <row r="129" spans="1:21" ht="14.4" x14ac:dyDescent="0.3">
      <c r="A129" s="94"/>
      <c r="B129" s="127"/>
      <c r="C129" s="127"/>
      <c r="D129" s="127"/>
      <c r="E129" s="129"/>
      <c r="F129" s="127"/>
      <c r="G129" s="229"/>
      <c r="H129" s="132"/>
      <c r="I129" s="132"/>
      <c r="J129" s="132"/>
      <c r="K129" s="132"/>
      <c r="L129" s="132"/>
      <c r="M129" s="132"/>
      <c r="N129" s="132"/>
      <c r="O129" s="227"/>
      <c r="P129" s="227"/>
      <c r="Q129" s="227"/>
      <c r="R129" s="161"/>
      <c r="S129" s="161"/>
      <c r="T129" s="161"/>
      <c r="U129" s="161"/>
    </row>
    <row r="130" spans="1:21" ht="14.4" x14ac:dyDescent="0.3">
      <c r="A130" s="94"/>
      <c r="B130" s="127"/>
      <c r="C130" s="127"/>
      <c r="D130" s="127"/>
      <c r="E130" s="127"/>
      <c r="F130" s="127"/>
      <c r="G130" s="229"/>
      <c r="H130" s="132"/>
      <c r="I130" s="132"/>
      <c r="J130" s="132"/>
      <c r="K130" s="132"/>
      <c r="L130" s="132"/>
      <c r="M130" s="132"/>
      <c r="N130" s="132"/>
      <c r="O130" s="227"/>
      <c r="P130" s="227"/>
      <c r="Q130" s="227"/>
      <c r="R130" s="161"/>
      <c r="S130" s="161"/>
      <c r="T130" s="161"/>
      <c r="U130" s="161"/>
    </row>
    <row r="131" spans="1:21" ht="14.4" x14ac:dyDescent="0.3">
      <c r="A131" s="94"/>
      <c r="B131" s="127"/>
      <c r="C131" s="127"/>
      <c r="D131" s="127"/>
      <c r="E131" s="127"/>
      <c r="F131" s="127"/>
      <c r="G131" s="229"/>
      <c r="H131" s="132"/>
      <c r="I131" s="132"/>
      <c r="J131" s="132"/>
      <c r="K131" s="132"/>
      <c r="L131" s="132"/>
      <c r="M131" s="132"/>
      <c r="N131" s="132"/>
      <c r="O131" s="227"/>
      <c r="P131" s="227"/>
      <c r="Q131" s="227"/>
      <c r="R131" s="161"/>
      <c r="S131" s="161"/>
      <c r="T131" s="161"/>
      <c r="U131" s="161"/>
    </row>
    <row r="132" spans="1:21" ht="14.4" x14ac:dyDescent="0.3">
      <c r="A132" s="94"/>
      <c r="B132" s="127"/>
      <c r="C132" s="127"/>
      <c r="D132" s="127"/>
      <c r="E132" s="127"/>
      <c r="F132" s="127"/>
      <c r="G132" s="229"/>
      <c r="H132" s="132"/>
      <c r="I132" s="132"/>
      <c r="J132" s="132"/>
      <c r="K132" s="132"/>
      <c r="L132" s="132"/>
      <c r="M132" s="132"/>
      <c r="N132" s="132"/>
      <c r="O132" s="227"/>
      <c r="P132" s="227"/>
      <c r="Q132" s="227"/>
      <c r="R132" s="161"/>
      <c r="S132" s="161"/>
      <c r="T132" s="161"/>
      <c r="U132" s="161"/>
    </row>
    <row r="133" spans="1:21" ht="14.4" x14ac:dyDescent="0.3">
      <c r="A133" s="94"/>
      <c r="B133" s="130"/>
      <c r="C133" s="227"/>
      <c r="D133" s="227"/>
      <c r="E133" s="227"/>
      <c r="F133" s="227"/>
      <c r="G133" s="229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161"/>
      <c r="S133" s="161"/>
      <c r="T133" s="161"/>
      <c r="U133" s="161"/>
    </row>
    <row r="134" spans="1:21" ht="15" thickBot="1" x14ac:dyDescent="0.35">
      <c r="A134" s="237"/>
      <c r="B134" s="237"/>
      <c r="C134" s="237"/>
      <c r="D134" s="237"/>
      <c r="E134" s="237"/>
      <c r="F134" s="237"/>
      <c r="G134" s="238">
        <f>SUM(G127:G133)</f>
        <v>0</v>
      </c>
      <c r="H134" s="237"/>
      <c r="I134" s="237"/>
      <c r="J134" s="237"/>
      <c r="K134" s="237"/>
      <c r="L134" s="237"/>
      <c r="M134" s="227"/>
      <c r="N134" s="227"/>
      <c r="O134" s="161"/>
      <c r="P134" s="161"/>
      <c r="Q134" s="161"/>
      <c r="R134" s="161"/>
      <c r="S134" s="161"/>
      <c r="T134" s="161"/>
      <c r="U134" s="161"/>
    </row>
    <row r="135" spans="1:21" ht="14.4" x14ac:dyDescent="0.3">
      <c r="A135" s="161" t="s">
        <v>87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227"/>
      <c r="N135" s="227"/>
      <c r="O135" s="161"/>
      <c r="P135" s="161"/>
      <c r="Q135" s="161"/>
      <c r="R135" s="161"/>
      <c r="S135" s="161"/>
      <c r="T135" s="161"/>
      <c r="U135" s="161"/>
    </row>
    <row r="136" spans="1:21" ht="14.4" x14ac:dyDescent="0.3">
      <c r="A136" s="239"/>
      <c r="B136" s="239" t="s">
        <v>111</v>
      </c>
      <c r="C136" s="239"/>
      <c r="D136" s="239"/>
      <c r="E136" s="239"/>
      <c r="F136" s="239"/>
      <c r="G136" s="195"/>
      <c r="H136" s="160"/>
      <c r="I136" s="239" t="s">
        <v>111</v>
      </c>
      <c r="J136" s="239"/>
      <c r="K136" s="239"/>
      <c r="L136" s="239"/>
      <c r="M136" s="239"/>
      <c r="N136" s="227"/>
      <c r="O136" s="161"/>
      <c r="P136" s="161"/>
      <c r="Q136" s="161"/>
      <c r="R136" s="161"/>
      <c r="S136" s="161"/>
      <c r="T136" s="161"/>
      <c r="U136" s="161"/>
    </row>
    <row r="137" spans="1:21" ht="14.4" x14ac:dyDescent="0.3">
      <c r="A137" s="240" t="s">
        <v>119</v>
      </c>
      <c r="B137" s="241">
        <v>0</v>
      </c>
      <c r="C137" s="160"/>
      <c r="D137" s="160"/>
      <c r="E137" s="160"/>
      <c r="F137" s="160"/>
      <c r="G137" s="195"/>
      <c r="H137" s="160" t="s">
        <v>122</v>
      </c>
      <c r="I137" s="242">
        <f>B137</f>
        <v>0</v>
      </c>
      <c r="J137" s="243"/>
      <c r="K137" s="243"/>
      <c r="L137" s="243"/>
      <c r="M137" s="243"/>
      <c r="N137" s="161"/>
      <c r="O137" s="161"/>
      <c r="P137" s="161"/>
      <c r="Q137" s="161"/>
      <c r="R137" s="161"/>
      <c r="S137" s="161"/>
      <c r="T137" s="161"/>
      <c r="U137" s="161"/>
    </row>
    <row r="138" spans="1:21" ht="15" thickBot="1" x14ac:dyDescent="0.35">
      <c r="A138" s="237"/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27"/>
      <c r="N138" s="227"/>
      <c r="O138" s="161"/>
      <c r="P138" s="161"/>
      <c r="Q138" s="161"/>
      <c r="R138" s="161"/>
      <c r="S138" s="161"/>
      <c r="T138" s="161"/>
      <c r="U138" s="161"/>
    </row>
    <row r="139" spans="1:21" ht="14.4" x14ac:dyDescent="0.3">
      <c r="A139" s="161"/>
      <c r="B139" s="161"/>
      <c r="C139" s="161" t="s">
        <v>183</v>
      </c>
      <c r="D139" s="161" t="s">
        <v>183</v>
      </c>
      <c r="E139" s="161"/>
      <c r="F139" s="161"/>
      <c r="G139" s="161"/>
      <c r="H139" s="161"/>
      <c r="I139" s="161"/>
      <c r="J139" s="161"/>
      <c r="K139" s="161"/>
      <c r="L139" s="161"/>
      <c r="M139" s="227"/>
      <c r="N139" s="227"/>
      <c r="O139" s="161"/>
      <c r="P139" s="161"/>
      <c r="Q139" s="161"/>
      <c r="R139" s="161"/>
      <c r="S139" s="161"/>
      <c r="T139" s="161"/>
      <c r="U139" s="161"/>
    </row>
    <row r="140" spans="1:21" ht="14.4" x14ac:dyDescent="0.3">
      <c r="A140" s="161"/>
      <c r="B140" s="244"/>
      <c r="C140" s="245" t="s">
        <v>79</v>
      </c>
      <c r="D140" s="245" t="s">
        <v>73</v>
      </c>
      <c r="E140" s="245"/>
      <c r="F140" s="245"/>
      <c r="G140" s="246" t="s">
        <v>117</v>
      </c>
      <c r="H140" s="246"/>
      <c r="I140" s="246"/>
      <c r="J140" s="246"/>
      <c r="K140" s="246"/>
      <c r="L140" s="246"/>
      <c r="M140" s="225"/>
      <c r="N140" s="225"/>
      <c r="O140" s="246"/>
      <c r="P140" s="246"/>
      <c r="Q140" s="161"/>
      <c r="R140" s="161"/>
      <c r="S140" s="161"/>
      <c r="T140" s="161"/>
      <c r="U140" s="161"/>
    </row>
    <row r="141" spans="1:21" ht="14.4" x14ac:dyDescent="0.3">
      <c r="A141" s="161" t="s">
        <v>92</v>
      </c>
      <c r="B141" s="247"/>
      <c r="C141" s="129">
        <f>[5]Exhibit!$F$44</f>
        <v>87964826</v>
      </c>
      <c r="D141" s="129">
        <f>[5]Exhibit!$H$44</f>
        <v>107829562</v>
      </c>
      <c r="E141" s="129"/>
      <c r="F141" s="129"/>
      <c r="G141" s="248"/>
      <c r="H141" s="249"/>
      <c r="I141" s="248"/>
      <c r="J141" s="248"/>
      <c r="K141" s="248"/>
      <c r="L141" s="248"/>
      <c r="M141" s="130"/>
      <c r="N141" s="130"/>
      <c r="O141" s="248"/>
      <c r="P141" s="248"/>
      <c r="Q141" s="161"/>
      <c r="R141" s="161"/>
      <c r="S141" s="161"/>
      <c r="T141" s="161"/>
      <c r="U141" s="161"/>
    </row>
    <row r="142" spans="1:21" ht="14.4" x14ac:dyDescent="0.3">
      <c r="A142" s="161" t="s">
        <v>93</v>
      </c>
      <c r="B142" s="247"/>
      <c r="C142" s="127">
        <f>'Sch M'!Q38</f>
        <v>87964824</v>
      </c>
      <c r="D142" s="127">
        <f>'Sch M'!V38</f>
        <v>107829563</v>
      </c>
      <c r="E142" s="129"/>
      <c r="F142" s="129"/>
      <c r="G142" s="248"/>
      <c r="H142" s="249"/>
      <c r="I142" s="248"/>
      <c r="J142" s="248"/>
      <c r="K142" s="248"/>
      <c r="L142" s="93"/>
      <c r="M142" s="79"/>
      <c r="N142" s="130"/>
      <c r="O142" s="248"/>
      <c r="P142" s="248"/>
      <c r="Q142" s="161"/>
      <c r="R142" s="161"/>
      <c r="S142" s="161"/>
      <c r="T142" s="161"/>
      <c r="U142" s="161"/>
    </row>
    <row r="143" spans="1:21" ht="14.4" x14ac:dyDescent="0.3">
      <c r="A143" s="161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130"/>
      <c r="N143" s="130"/>
      <c r="O143" s="248"/>
      <c r="P143" s="248"/>
      <c r="Q143" s="161"/>
      <c r="R143" s="161"/>
      <c r="S143" s="161"/>
      <c r="T143" s="161"/>
      <c r="U143" s="161"/>
    </row>
    <row r="144" spans="1:21" ht="14.4" x14ac:dyDescent="0.3">
      <c r="A144" s="161" t="s">
        <v>95</v>
      </c>
      <c r="B144" s="250"/>
      <c r="C144" s="315">
        <f>C141-C142</f>
        <v>2</v>
      </c>
      <c r="D144" s="251">
        <f>D141-D142</f>
        <v>-1</v>
      </c>
      <c r="E144" s="250"/>
      <c r="F144" s="250"/>
      <c r="G144" s="250"/>
      <c r="H144" s="250"/>
      <c r="I144" s="250"/>
      <c r="J144" s="250"/>
      <c r="K144" s="250"/>
      <c r="L144" s="250"/>
      <c r="M144" s="252"/>
      <c r="N144" s="252"/>
      <c r="O144" s="250"/>
      <c r="P144" s="250"/>
      <c r="Q144" s="161"/>
      <c r="R144" s="161"/>
      <c r="S144" s="161"/>
      <c r="T144" s="161"/>
      <c r="U144" s="161"/>
    </row>
    <row r="145" spans="1:21" ht="14.4" x14ac:dyDescent="0.3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227"/>
      <c r="N145" s="227"/>
      <c r="O145" s="161"/>
      <c r="P145" s="161"/>
      <c r="Q145" s="161"/>
      <c r="R145" s="161"/>
      <c r="S145" s="161"/>
      <c r="T145" s="161"/>
      <c r="U145" s="161"/>
    </row>
    <row r="146" spans="1:21" ht="14.4" x14ac:dyDescent="0.3">
      <c r="A146" s="161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28"/>
      <c r="N146" s="228"/>
      <c r="O146" s="161"/>
      <c r="P146" s="161"/>
      <c r="Q146" s="161"/>
      <c r="R146" s="161"/>
      <c r="S146" s="161"/>
      <c r="T146" s="161"/>
      <c r="U146" s="161"/>
    </row>
    <row r="147" spans="1:21" ht="14.4" x14ac:dyDescent="0.3">
      <c r="A147" s="161"/>
      <c r="B147" s="254"/>
      <c r="C147" s="254"/>
      <c r="D147" s="254"/>
      <c r="E147" s="254"/>
      <c r="F147" s="254"/>
      <c r="G147" s="255"/>
      <c r="H147" s="255"/>
      <c r="I147" s="255"/>
      <c r="J147" s="255"/>
      <c r="K147" s="255"/>
      <c r="L147" s="255"/>
      <c r="M147" s="256"/>
      <c r="N147" s="256"/>
      <c r="O147" s="161"/>
      <c r="P147" s="161"/>
      <c r="Q147" s="161"/>
      <c r="R147" s="161"/>
      <c r="S147" s="161"/>
      <c r="T147" s="161"/>
      <c r="U147" s="161"/>
    </row>
    <row r="148" spans="1:21" ht="14.4" x14ac:dyDescent="0.3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227"/>
      <c r="N148" s="227"/>
      <c r="O148" s="161"/>
      <c r="P148" s="161"/>
      <c r="Q148" s="161"/>
      <c r="R148" s="161"/>
      <c r="S148" s="161"/>
      <c r="T148" s="161"/>
      <c r="U148" s="161"/>
    </row>
    <row r="149" spans="1:21" ht="14.4" x14ac:dyDescent="0.3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227"/>
      <c r="N149" s="227"/>
      <c r="O149" s="161"/>
      <c r="P149" s="161"/>
      <c r="Q149" s="161"/>
      <c r="R149" s="161"/>
      <c r="S149" s="161"/>
      <c r="T149" s="161"/>
      <c r="U149" s="161"/>
    </row>
    <row r="150" spans="1:21" ht="14.4" x14ac:dyDescent="0.3">
      <c r="A150" s="160"/>
      <c r="B150" s="174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227"/>
      <c r="N150" s="227"/>
      <c r="O150" s="161"/>
      <c r="P150" s="161"/>
      <c r="Q150" s="161"/>
      <c r="R150" s="161"/>
      <c r="S150" s="161"/>
      <c r="T150" s="161"/>
      <c r="U150" s="161"/>
    </row>
    <row r="151" spans="1:21" ht="14.4" x14ac:dyDescent="0.3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227"/>
      <c r="N151" s="227"/>
      <c r="O151" s="161"/>
      <c r="P151" s="161"/>
      <c r="Q151" s="161"/>
      <c r="R151" s="161"/>
      <c r="S151" s="161"/>
      <c r="T151" s="161"/>
      <c r="U151" s="161"/>
    </row>
    <row r="152" spans="1:21" ht="15" thickBot="1" x14ac:dyDescent="0.35">
      <c r="A152" s="237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27"/>
      <c r="N152" s="227"/>
      <c r="O152" s="161"/>
      <c r="P152" s="161"/>
      <c r="Q152" s="161"/>
      <c r="R152" s="161"/>
      <c r="S152" s="161"/>
      <c r="T152" s="161"/>
      <c r="U152" s="161"/>
    </row>
    <row r="153" spans="1:21" ht="14.4" x14ac:dyDescent="0.3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227"/>
      <c r="N153" s="227"/>
      <c r="O153" s="161"/>
      <c r="P153" s="161"/>
      <c r="Q153" s="161"/>
      <c r="R153" s="161"/>
      <c r="S153" s="161"/>
      <c r="T153" s="161"/>
      <c r="U153" s="161"/>
    </row>
    <row r="154" spans="1:21" ht="14.4" x14ac:dyDescent="0.3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1:21" ht="14.4" x14ac:dyDescent="0.3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</row>
    <row r="156" spans="1:21" ht="14.4" x14ac:dyDescent="0.3">
      <c r="A156" s="161"/>
      <c r="B156" s="257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</row>
    <row r="157" spans="1:21" ht="14.4" x14ac:dyDescent="0.3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</row>
    <row r="158" spans="1:21" ht="14.4" x14ac:dyDescent="0.3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</row>
    <row r="159" spans="1:21" ht="14.4" x14ac:dyDescent="0.3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</row>
    <row r="160" spans="1:21" ht="14.4" x14ac:dyDescent="0.3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</row>
    <row r="161" spans="1:21" ht="14.4" x14ac:dyDescent="0.3">
      <c r="A161" s="227"/>
      <c r="B161" s="227" t="s">
        <v>171</v>
      </c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</row>
    <row r="162" spans="1:21" ht="14.4" x14ac:dyDescent="0.3">
      <c r="A162" s="79" t="s">
        <v>3</v>
      </c>
      <c r="B162" s="104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</row>
    <row r="163" spans="1:21" ht="14.4" x14ac:dyDescent="0.3">
      <c r="A163" s="79" t="s">
        <v>50</v>
      </c>
      <c r="B163" s="104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</row>
    <row r="164" spans="1:21" ht="14.4" x14ac:dyDescent="0.3">
      <c r="A164" s="79" t="s">
        <v>5</v>
      </c>
      <c r="B164" s="258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</row>
    <row r="165" spans="1:21" ht="14.4" x14ac:dyDescent="0.3">
      <c r="A165" s="79" t="s">
        <v>68</v>
      </c>
      <c r="B165" s="258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</row>
    <row r="166" spans="1:21" ht="14.4" x14ac:dyDescent="0.3">
      <c r="A166" s="79" t="s">
        <v>69</v>
      </c>
      <c r="B166" s="258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</row>
    <row r="167" spans="1:21" ht="14.4" x14ac:dyDescent="0.3">
      <c r="A167" s="79" t="s">
        <v>133</v>
      </c>
      <c r="B167" s="258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</row>
    <row r="168" spans="1:21" ht="14.4" x14ac:dyDescent="0.3">
      <c r="A168" s="79" t="s">
        <v>161</v>
      </c>
      <c r="B168" s="258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</row>
    <row r="169" spans="1:21" ht="14.4" x14ac:dyDescent="0.3">
      <c r="A169" s="79" t="s">
        <v>1</v>
      </c>
      <c r="B169" s="258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</row>
    <row r="170" spans="1:21" ht="14.4" x14ac:dyDescent="0.3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</row>
    <row r="171" spans="1:21" ht="14.4" x14ac:dyDescent="0.3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</row>
    <row r="172" spans="1:21" ht="14.4" x14ac:dyDescent="0.3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</row>
    <row r="173" spans="1:21" ht="14.4" x14ac:dyDescent="0.3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</row>
    <row r="174" spans="1:21" ht="14.4" x14ac:dyDescent="0.3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</row>
    <row r="175" spans="1:21" ht="14.4" x14ac:dyDescent="0.3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</row>
    <row r="176" spans="1:21" ht="14.4" x14ac:dyDescent="0.3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</row>
    <row r="177" spans="1:21" ht="14.4" x14ac:dyDescent="0.3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</row>
    <row r="178" spans="1:21" ht="14.4" x14ac:dyDescent="0.3">
      <c r="A178" s="161" t="str">
        <f>'[1]Rate Case Constants'!$C$39</f>
        <v>Witness Responsible:   Melissa Schwarzell</v>
      </c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</row>
    <row r="179" spans="1:21" ht="14.4" x14ac:dyDescent="0.3">
      <c r="A179" s="161" t="s">
        <v>196</v>
      </c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</row>
  </sheetData>
  <mergeCells count="4">
    <mergeCell ref="B6:J6"/>
    <mergeCell ref="L6:T6"/>
    <mergeCell ref="D65:E65"/>
    <mergeCell ref="K65:L65"/>
  </mergeCells>
  <phoneticPr fontId="0" type="noConversion"/>
  <pageMargins left="0.5" right="0.5" top="1" bottom="1" header="0.5" footer="0.5"/>
  <pageSetup scale="76" orientation="landscape" r:id="rId1"/>
  <headerFooter alignWithMargins="0">
    <oddFooter>&amp;L&amp;D  &amp;T&amp;C&amp;F  &amp;A&amp;R&amp;P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19"/>
  <sheetViews>
    <sheetView tabSelected="1" zoomScale="80" zoomScaleNormal="80" zoomScaleSheetLayoutView="70" workbookViewId="0">
      <selection activeCell="G25" sqref="G25"/>
    </sheetView>
  </sheetViews>
  <sheetFormatPr defaultColWidth="14.6640625" defaultRowHeight="13.8" x14ac:dyDescent="0.3"/>
  <cols>
    <col min="1" max="1" width="5.6640625" style="18" customWidth="1"/>
    <col min="2" max="2" width="15.109375" style="18" customWidth="1"/>
    <col min="3" max="3" width="1.6640625" style="18" customWidth="1"/>
    <col min="4" max="4" width="10.88671875" style="18" customWidth="1"/>
    <col min="5" max="6" width="11.6640625" style="18" customWidth="1"/>
    <col min="7" max="7" width="19.5546875" style="18" bestFit="1" customWidth="1"/>
    <col min="8" max="8" width="1.6640625" style="18" customWidth="1"/>
    <col min="9" max="9" width="13.6640625" style="18" customWidth="1"/>
    <col min="10" max="11" width="11.6640625" style="18" customWidth="1"/>
    <col min="12" max="12" width="13.6640625" style="18" bestFit="1" customWidth="1"/>
    <col min="13" max="13" width="1.6640625" style="18" customWidth="1"/>
    <col min="14" max="14" width="10.5546875" style="18" bestFit="1" customWidth="1"/>
    <col min="15" max="16" width="11.6640625" style="18" customWidth="1"/>
    <col min="17" max="17" width="12.6640625" style="18" bestFit="1" customWidth="1"/>
    <col min="18" max="18" width="1.6640625" style="18" customWidth="1"/>
    <col min="19" max="19" width="11.5546875" style="18" customWidth="1"/>
    <col min="20" max="21" width="11.6640625" style="18" customWidth="1"/>
    <col min="22" max="22" width="13.6640625" style="18" bestFit="1" customWidth="1"/>
    <col min="23" max="23" width="1.6640625" style="25" customWidth="1"/>
    <col min="24" max="24" width="12.6640625" style="25" bestFit="1" customWidth="1"/>
    <col min="25" max="25" width="1.6640625" style="25" customWidth="1"/>
    <col min="26" max="26" width="11.6640625" style="25" customWidth="1"/>
    <col min="27" max="16384" width="14.6640625" style="18"/>
  </cols>
  <sheetData>
    <row r="1" spans="1:27" ht="14.4" x14ac:dyDescent="0.3">
      <c r="A1" s="333" t="str">
        <f>'Link in'!A90</f>
        <v>Kentucky American Water Company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19"/>
    </row>
    <row r="2" spans="1:27" ht="14.4" x14ac:dyDescent="0.3">
      <c r="A2" s="334" t="s">
        <v>212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19"/>
    </row>
    <row r="3" spans="1:27" ht="14.4" x14ac:dyDescent="0.3">
      <c r="A3" s="333" t="str">
        <f>'Link in'!A91</f>
        <v>Case No. 2018-00358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19"/>
    </row>
    <row r="4" spans="1:27" ht="14.4" x14ac:dyDescent="0.3">
      <c r="A4" s="333" t="str">
        <f>'Link in'!A93&amp;" and "&amp;'Link in'!A92</f>
        <v>Base Year for the 12 Months Ended February 28, 2019 and Forecast Year for the 12 Months Ended June 30, 2020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19"/>
    </row>
    <row r="5" spans="1:27" ht="14.4" x14ac:dyDescent="0.3">
      <c r="A5" s="98" t="str">
        <f>'Link in'!A178</f>
        <v>Witness Responsible:   Melissa Schwarzell</v>
      </c>
      <c r="B5" s="94"/>
      <c r="C5" s="94"/>
      <c r="D5" s="94"/>
      <c r="E5" s="94"/>
      <c r="F5" s="94"/>
      <c r="G5" s="94"/>
      <c r="H5" s="94"/>
      <c r="I5" s="335" t="s">
        <v>213</v>
      </c>
      <c r="J5" s="335"/>
      <c r="K5" s="335"/>
      <c r="L5" s="335"/>
      <c r="M5" s="335"/>
      <c r="N5" s="335"/>
      <c r="O5" s="335"/>
      <c r="P5" s="335"/>
      <c r="Q5" s="335"/>
      <c r="R5" s="94"/>
      <c r="S5" s="94"/>
      <c r="T5" s="94"/>
      <c r="U5" s="94"/>
      <c r="V5" s="94"/>
      <c r="W5" s="94"/>
      <c r="X5" s="94"/>
      <c r="Y5" s="94"/>
      <c r="Z5" s="99" t="s">
        <v>189</v>
      </c>
      <c r="AA5" s="19"/>
    </row>
    <row r="6" spans="1:27" ht="14.4" x14ac:dyDescent="0.3">
      <c r="A6" s="100" t="str">
        <f>'Link in'!A179</f>
        <v/>
      </c>
      <c r="B6" s="101"/>
      <c r="C6" s="101"/>
      <c r="D6" s="101"/>
      <c r="E6" s="101"/>
      <c r="F6" s="101"/>
      <c r="G6" s="101"/>
      <c r="H6" s="101"/>
      <c r="I6" s="335"/>
      <c r="J6" s="335"/>
      <c r="K6" s="335"/>
      <c r="L6" s="335"/>
      <c r="M6" s="335"/>
      <c r="N6" s="335"/>
      <c r="O6" s="335"/>
      <c r="P6" s="335"/>
      <c r="Q6" s="335"/>
      <c r="R6" s="101"/>
      <c r="S6" s="101"/>
      <c r="T6" s="101"/>
      <c r="U6" s="101"/>
      <c r="V6" s="101"/>
      <c r="W6" s="101"/>
      <c r="X6" s="102"/>
      <c r="Y6" s="102"/>
      <c r="Z6" s="103" t="str">
        <f ca="1">RIGHT(CELL("filename",$A$1),LEN(CELL("filename",$A$1))-SEARCH("\Revenues",CELL("filename",$A$1),1))</f>
        <v>Revenues\[KAWC 2018 Rate Case - Revenue.xlsx]Sch M</v>
      </c>
      <c r="AA6" s="19"/>
    </row>
    <row r="7" spans="1:27" ht="14.4" x14ac:dyDescent="0.3">
      <c r="A7" s="79"/>
      <c r="B7" s="79"/>
      <c r="C7" s="104"/>
      <c r="D7" s="79"/>
      <c r="E7" s="328" t="s">
        <v>174</v>
      </c>
      <c r="F7" s="328"/>
      <c r="G7" s="328"/>
      <c r="H7" s="104"/>
      <c r="I7" s="104"/>
      <c r="J7" s="328" t="s">
        <v>173</v>
      </c>
      <c r="K7" s="328"/>
      <c r="L7" s="328"/>
      <c r="M7" s="104"/>
      <c r="N7" s="79"/>
      <c r="O7" s="328" t="s">
        <v>120</v>
      </c>
      <c r="P7" s="328"/>
      <c r="Q7" s="328"/>
      <c r="R7" s="104"/>
      <c r="S7" s="79"/>
      <c r="T7" s="328" t="s">
        <v>121</v>
      </c>
      <c r="U7" s="328"/>
      <c r="V7" s="328"/>
      <c r="W7" s="94"/>
      <c r="X7" s="105"/>
      <c r="Y7" s="94"/>
      <c r="Z7" s="94"/>
      <c r="AA7" s="19"/>
    </row>
    <row r="8" spans="1:27" ht="14.4" x14ac:dyDescent="0.3">
      <c r="A8" s="79"/>
      <c r="B8" s="79"/>
      <c r="C8" s="104"/>
      <c r="D8" s="79"/>
      <c r="E8" s="104"/>
      <c r="F8" s="104"/>
      <c r="G8" s="104"/>
      <c r="H8" s="104"/>
      <c r="I8" s="104"/>
      <c r="J8" s="104"/>
      <c r="K8" s="104"/>
      <c r="L8" s="104"/>
      <c r="M8" s="104"/>
      <c r="N8" s="79"/>
      <c r="O8" s="104"/>
      <c r="P8" s="104"/>
      <c r="Q8" s="104"/>
      <c r="R8" s="104"/>
      <c r="S8" s="79"/>
      <c r="T8" s="104"/>
      <c r="U8" s="104"/>
      <c r="V8" s="104"/>
      <c r="W8" s="94"/>
      <c r="X8" s="106"/>
      <c r="Y8" s="94"/>
      <c r="Z8" s="94"/>
      <c r="AA8" s="19"/>
    </row>
    <row r="9" spans="1:27" ht="14.4" x14ac:dyDescent="0.3">
      <c r="A9" s="79"/>
      <c r="B9" s="104" t="s">
        <v>24</v>
      </c>
      <c r="C9" s="104"/>
      <c r="D9" s="79"/>
      <c r="E9" s="104" t="s">
        <v>39</v>
      </c>
      <c r="F9" s="104"/>
      <c r="G9" s="104" t="s">
        <v>1</v>
      </c>
      <c r="H9" s="104"/>
      <c r="I9" s="104"/>
      <c r="J9" s="104" t="s">
        <v>39</v>
      </c>
      <c r="K9" s="104"/>
      <c r="L9" s="104" t="s">
        <v>1</v>
      </c>
      <c r="M9" s="104"/>
      <c r="N9" s="104"/>
      <c r="O9" s="104" t="s">
        <v>39</v>
      </c>
      <c r="P9" s="104"/>
      <c r="Q9" s="104" t="s">
        <v>1</v>
      </c>
      <c r="R9" s="104"/>
      <c r="S9" s="104"/>
      <c r="T9" s="104" t="s">
        <v>39</v>
      </c>
      <c r="U9" s="104"/>
      <c r="V9" s="104" t="s">
        <v>1</v>
      </c>
      <c r="W9" s="106"/>
      <c r="X9" s="106" t="s">
        <v>51</v>
      </c>
      <c r="Y9" s="94"/>
      <c r="Z9" s="106" t="s">
        <v>53</v>
      </c>
      <c r="AA9" s="19"/>
    </row>
    <row r="10" spans="1:27" ht="14.4" x14ac:dyDescent="0.3">
      <c r="A10" s="104" t="s">
        <v>0</v>
      </c>
      <c r="B10" s="107" t="s">
        <v>2</v>
      </c>
      <c r="C10" s="104"/>
      <c r="D10" s="79"/>
      <c r="E10" s="107" t="s">
        <v>136</v>
      </c>
      <c r="F10" s="107"/>
      <c r="G10" s="107" t="s">
        <v>47</v>
      </c>
      <c r="H10" s="104"/>
      <c r="I10" s="104"/>
      <c r="J10" s="107" t="s">
        <v>136</v>
      </c>
      <c r="K10" s="107"/>
      <c r="L10" s="107" t="s">
        <v>47</v>
      </c>
      <c r="M10" s="104"/>
      <c r="N10" s="104"/>
      <c r="O10" s="107" t="str">
        <f>E10</f>
        <v>('000 Gal)</v>
      </c>
      <c r="P10" s="107"/>
      <c r="Q10" s="107" t="s">
        <v>47</v>
      </c>
      <c r="R10" s="104"/>
      <c r="S10" s="104"/>
      <c r="T10" s="107" t="str">
        <f>O10</f>
        <v>('000 Gal)</v>
      </c>
      <c r="U10" s="107"/>
      <c r="V10" s="107" t="s">
        <v>47</v>
      </c>
      <c r="W10" s="106"/>
      <c r="X10" s="108" t="s">
        <v>52</v>
      </c>
      <c r="Y10" s="101"/>
      <c r="Z10" s="108" t="s">
        <v>52</v>
      </c>
      <c r="AA10" s="19"/>
    </row>
    <row r="11" spans="1:27" ht="14.4" x14ac:dyDescent="0.3">
      <c r="A11" s="104">
        <v>1</v>
      </c>
      <c r="B11" s="109" t="s">
        <v>67</v>
      </c>
      <c r="C11" s="104"/>
      <c r="D11" s="79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6"/>
      <c r="X11" s="106"/>
      <c r="Y11" s="94"/>
      <c r="Z11" s="106"/>
      <c r="AA11" s="19"/>
    </row>
    <row r="12" spans="1:27" ht="14.4" x14ac:dyDescent="0.3">
      <c r="A12" s="104">
        <v>2</v>
      </c>
      <c r="B12" s="11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94"/>
      <c r="X12" s="94"/>
      <c r="Y12" s="94"/>
      <c r="Z12" s="94"/>
      <c r="AA12" s="19"/>
    </row>
    <row r="13" spans="1:27" ht="14.4" x14ac:dyDescent="0.3">
      <c r="A13" s="104">
        <v>3</v>
      </c>
      <c r="B13" s="79" t="s">
        <v>3</v>
      </c>
      <c r="C13" s="97"/>
      <c r="D13" s="91"/>
      <c r="E13" s="91">
        <f>+E74</f>
        <v>5627494.9636128107</v>
      </c>
      <c r="F13" s="91"/>
      <c r="G13" s="111">
        <f>ROUND(+G74,0)</f>
        <v>49739989</v>
      </c>
      <c r="H13" s="97"/>
      <c r="I13" s="97"/>
      <c r="J13" s="95">
        <f>+J74</f>
        <v>5627494.9636128107</v>
      </c>
      <c r="K13" s="95"/>
      <c r="L13" s="111">
        <f>+L74</f>
        <v>57929874.185682185</v>
      </c>
      <c r="M13" s="97"/>
      <c r="N13" s="97"/>
      <c r="O13" s="91">
        <f>+O74</f>
        <v>5631654.8998707933</v>
      </c>
      <c r="P13" s="91"/>
      <c r="Q13" s="111">
        <f>+ROUND(Q74,0)</f>
        <v>47551194</v>
      </c>
      <c r="R13" s="97"/>
      <c r="S13" s="91"/>
      <c r="T13" s="91">
        <f>+T74</f>
        <v>5631654.8998707933</v>
      </c>
      <c r="U13" s="91"/>
      <c r="V13" s="97">
        <f>+V74</f>
        <v>58459636</v>
      </c>
      <c r="W13" s="111"/>
      <c r="X13" s="97">
        <f>+V13-Q13</f>
        <v>10908442</v>
      </c>
      <c r="Y13" s="96"/>
      <c r="Z13" s="112">
        <f t="shared" ref="Z13:Z19" si="0">IF(Q13=0,0,ROUND((X13/Q13),4))</f>
        <v>0.22939999999999999</v>
      </c>
      <c r="AA13" s="19"/>
    </row>
    <row r="14" spans="1:27" ht="14.4" x14ac:dyDescent="0.3">
      <c r="A14" s="104">
        <v>4</v>
      </c>
      <c r="B14" s="79" t="s">
        <v>50</v>
      </c>
      <c r="C14" s="91"/>
      <c r="D14" s="91"/>
      <c r="E14" s="91">
        <f>+E113</f>
        <v>3748496.6914434852</v>
      </c>
      <c r="F14" s="91"/>
      <c r="G14" s="95">
        <f>ROUND(+G113,0)</f>
        <v>22686067</v>
      </c>
      <c r="H14" s="91"/>
      <c r="I14" s="91"/>
      <c r="J14" s="95">
        <f>+J113</f>
        <v>3748496.6914434852</v>
      </c>
      <c r="K14" s="95"/>
      <c r="L14" s="95">
        <f>+L113</f>
        <v>26711455.69968088</v>
      </c>
      <c r="M14" s="91"/>
      <c r="N14" s="91"/>
      <c r="O14" s="91">
        <f>+O113</f>
        <v>3798368.9524469571</v>
      </c>
      <c r="P14" s="91"/>
      <c r="Q14" s="95">
        <f>+ROUND(Q113,0)</f>
        <v>21663948</v>
      </c>
      <c r="R14" s="91"/>
      <c r="S14" s="91"/>
      <c r="T14" s="91">
        <f>+T113</f>
        <v>3798368.9524469571</v>
      </c>
      <c r="U14" s="91"/>
      <c r="V14" s="91">
        <f>+V113</f>
        <v>27068049</v>
      </c>
      <c r="W14" s="95"/>
      <c r="X14" s="91">
        <f t="shared" ref="X14:X19" si="1">+V14-Q14</f>
        <v>5404101</v>
      </c>
      <c r="Y14" s="96"/>
      <c r="Z14" s="112">
        <f t="shared" si="0"/>
        <v>0.2495</v>
      </c>
      <c r="AA14" s="19"/>
    </row>
    <row r="15" spans="1:27" ht="14.4" x14ac:dyDescent="0.3">
      <c r="A15" s="104">
        <v>5</v>
      </c>
      <c r="B15" s="79" t="s">
        <v>5</v>
      </c>
      <c r="C15" s="91"/>
      <c r="D15" s="91"/>
      <c r="E15" s="91">
        <f>+E152</f>
        <v>651882.09211704892</v>
      </c>
      <c r="F15" s="91"/>
      <c r="G15" s="95">
        <f>ROUND(+G152,0)</f>
        <v>2813214</v>
      </c>
      <c r="H15" s="91"/>
      <c r="I15" s="91"/>
      <c r="J15" s="95">
        <f>+J152</f>
        <v>651882.09211704892</v>
      </c>
      <c r="K15" s="95"/>
      <c r="L15" s="95">
        <f>+L152</f>
        <v>3258198.5426768251</v>
      </c>
      <c r="M15" s="91"/>
      <c r="N15" s="91"/>
      <c r="O15" s="91">
        <f>+O152</f>
        <v>617725.2612666277</v>
      </c>
      <c r="P15" s="91"/>
      <c r="Q15" s="95">
        <f>+ROUND(Q152,0)</f>
        <v>2515892</v>
      </c>
      <c r="R15" s="91"/>
      <c r="S15" s="91"/>
      <c r="T15" s="91">
        <f>+T152</f>
        <v>617725.2612666277</v>
      </c>
      <c r="U15" s="91"/>
      <c r="V15" s="91">
        <f>+V152</f>
        <v>3095858</v>
      </c>
      <c r="W15" s="95"/>
      <c r="X15" s="91">
        <f t="shared" si="1"/>
        <v>579966</v>
      </c>
      <c r="Y15" s="96"/>
      <c r="Z15" s="112">
        <f t="shared" si="0"/>
        <v>0.23050000000000001</v>
      </c>
      <c r="AA15" s="19"/>
    </row>
    <row r="16" spans="1:27" ht="14.4" x14ac:dyDescent="0.3">
      <c r="A16" s="104">
        <v>6</v>
      </c>
      <c r="B16" s="79" t="s">
        <v>68</v>
      </c>
      <c r="C16" s="91"/>
      <c r="D16" s="91"/>
      <c r="E16" s="91">
        <f>+E191</f>
        <v>1119902.8232527315</v>
      </c>
      <c r="F16" s="91"/>
      <c r="G16" s="95">
        <f>ROUND(+G191,0)</f>
        <v>5785622</v>
      </c>
      <c r="H16" s="91"/>
      <c r="I16" s="91"/>
      <c r="J16" s="95">
        <f>+J191</f>
        <v>1119902.8232527315</v>
      </c>
      <c r="K16" s="95"/>
      <c r="L16" s="95">
        <f>+L191</f>
        <v>6821431.6092998339</v>
      </c>
      <c r="M16" s="91"/>
      <c r="N16" s="91"/>
      <c r="O16" s="91">
        <f>+O191</f>
        <v>1165871.6583333332</v>
      </c>
      <c r="P16" s="91"/>
      <c r="Q16" s="95">
        <f>+ROUND(Q191,0)</f>
        <v>5703375</v>
      </c>
      <c r="R16" s="91"/>
      <c r="S16" s="91"/>
      <c r="T16" s="91">
        <f>+T191</f>
        <v>1165871.6583333332</v>
      </c>
      <c r="U16" s="91"/>
      <c r="V16" s="91">
        <f>+V191</f>
        <v>7123901</v>
      </c>
      <c r="W16" s="95"/>
      <c r="X16" s="91">
        <f t="shared" si="1"/>
        <v>1420526</v>
      </c>
      <c r="Y16" s="96"/>
      <c r="Z16" s="112">
        <f t="shared" si="0"/>
        <v>0.24909999999999999</v>
      </c>
      <c r="AA16" s="19"/>
    </row>
    <row r="17" spans="1:27" ht="14.4" x14ac:dyDescent="0.3">
      <c r="A17" s="104">
        <v>7</v>
      </c>
      <c r="B17" s="79" t="s">
        <v>176</v>
      </c>
      <c r="C17" s="91"/>
      <c r="D17" s="91"/>
      <c r="E17" s="91">
        <f>+E231</f>
        <v>448273.63759573636</v>
      </c>
      <c r="F17" s="91"/>
      <c r="G17" s="95">
        <f>ROUND(+G231,0)</f>
        <v>1897800</v>
      </c>
      <c r="H17" s="91"/>
      <c r="I17" s="91"/>
      <c r="J17" s="95">
        <f>+J231</f>
        <v>448273.63759573636</v>
      </c>
      <c r="K17" s="95"/>
      <c r="L17" s="95">
        <f>+L231</f>
        <v>2181405.0612980099</v>
      </c>
      <c r="M17" s="91"/>
      <c r="N17" s="91"/>
      <c r="O17" s="91">
        <f>+O231</f>
        <v>426827.36200000002</v>
      </c>
      <c r="P17" s="91"/>
      <c r="Q17" s="95">
        <f>+ROUND(Q231,0)</f>
        <v>1711088</v>
      </c>
      <c r="R17" s="91"/>
      <c r="S17" s="91"/>
      <c r="T17" s="91">
        <f>+T231</f>
        <v>426827.36200000002</v>
      </c>
      <c r="U17" s="91"/>
      <c r="V17" s="91">
        <f>+V231</f>
        <v>2078310</v>
      </c>
      <c r="W17" s="95"/>
      <c r="X17" s="91">
        <f t="shared" si="1"/>
        <v>367222</v>
      </c>
      <c r="Y17" s="96"/>
      <c r="Z17" s="112">
        <f t="shared" si="0"/>
        <v>0.21460000000000001</v>
      </c>
      <c r="AA17" s="19"/>
    </row>
    <row r="18" spans="1:27" ht="14.4" x14ac:dyDescent="0.3">
      <c r="A18" s="104">
        <v>8</v>
      </c>
      <c r="B18" s="79" t="s">
        <v>57</v>
      </c>
      <c r="C18" s="91"/>
      <c r="D18" s="92"/>
      <c r="E18" s="91">
        <f>+ROUND(E270,0)</f>
        <v>3098</v>
      </c>
      <c r="F18" s="113"/>
      <c r="G18" s="95">
        <f>ROUND(G259+G262,0)</f>
        <v>2817944</v>
      </c>
      <c r="H18" s="91"/>
      <c r="I18" s="91"/>
      <c r="J18" s="95">
        <f>+J262</f>
        <v>3137.8147203140338</v>
      </c>
      <c r="K18" s="114"/>
      <c r="L18" s="95">
        <f>L259</f>
        <v>2981578</v>
      </c>
      <c r="M18" s="91"/>
      <c r="N18" s="91"/>
      <c r="O18" s="91">
        <v>0</v>
      </c>
      <c r="P18" s="113"/>
      <c r="Q18" s="95">
        <f>ROUND(Q259,0)</f>
        <v>2664721</v>
      </c>
      <c r="R18" s="91"/>
      <c r="S18" s="91"/>
      <c r="T18" s="91">
        <v>0</v>
      </c>
      <c r="U18" s="113"/>
      <c r="V18" s="91">
        <f>V259</f>
        <v>3011136</v>
      </c>
      <c r="W18" s="95"/>
      <c r="X18" s="91">
        <f t="shared" si="1"/>
        <v>346415</v>
      </c>
      <c r="Y18" s="96"/>
      <c r="Z18" s="112">
        <f t="shared" si="0"/>
        <v>0.13</v>
      </c>
      <c r="AA18" s="19"/>
    </row>
    <row r="19" spans="1:27" ht="14.4" x14ac:dyDescent="0.3">
      <c r="A19" s="106">
        <v>9</v>
      </c>
      <c r="B19" s="93" t="s">
        <v>172</v>
      </c>
      <c r="C19" s="93"/>
      <c r="D19" s="93"/>
      <c r="E19" s="93">
        <v>0</v>
      </c>
      <c r="F19" s="93"/>
      <c r="G19" s="115">
        <f>ROUND(G268,0)+ROUND(G270,0)</f>
        <v>3790713</v>
      </c>
      <c r="H19" s="93"/>
      <c r="I19" s="93"/>
      <c r="J19" s="95">
        <f t="shared" ref="J19" si="2">+J233</f>
        <v>0</v>
      </c>
      <c r="K19" s="115"/>
      <c r="L19" s="115">
        <f>ROUND(L268,0)+ROUND(L270,0)</f>
        <v>4409187</v>
      </c>
      <c r="M19" s="93"/>
      <c r="N19" s="93"/>
      <c r="O19" s="93">
        <v>0</v>
      </c>
      <c r="P19" s="93"/>
      <c r="Q19" s="115">
        <f>ROUND(Q268+Q270,0)</f>
        <v>3611110</v>
      </c>
      <c r="R19" s="93"/>
      <c r="S19" s="93"/>
      <c r="T19" s="93">
        <v>0</v>
      </c>
      <c r="U19" s="93"/>
      <c r="V19" s="115">
        <f>ROUND(V268+V270,0)</f>
        <v>4449177</v>
      </c>
      <c r="W19" s="94"/>
      <c r="X19" s="91">
        <f t="shared" si="1"/>
        <v>838067</v>
      </c>
      <c r="Y19" s="94"/>
      <c r="Z19" s="112">
        <f t="shared" si="0"/>
        <v>0.2321</v>
      </c>
      <c r="AA19" s="19"/>
    </row>
    <row r="20" spans="1:27" ht="14.4" x14ac:dyDescent="0.3">
      <c r="A20" s="104">
        <v>10</v>
      </c>
      <c r="B20" s="94" t="s">
        <v>161</v>
      </c>
      <c r="C20" s="95"/>
      <c r="D20" s="96"/>
      <c r="E20" s="95">
        <f>E313</f>
        <v>5887.2395800000013</v>
      </c>
      <c r="F20" s="114"/>
      <c r="G20" s="95">
        <f>ROUND(G313,0)</f>
        <v>80861</v>
      </c>
      <c r="H20" s="95"/>
      <c r="I20" s="95"/>
      <c r="J20" s="95">
        <f>J313</f>
        <v>5887.2395800000013</v>
      </c>
      <c r="K20" s="114"/>
      <c r="L20" s="95">
        <f>L313</f>
        <v>73102.414583952457</v>
      </c>
      <c r="M20" s="95"/>
      <c r="N20" s="95"/>
      <c r="O20" s="95">
        <f>O313</f>
        <v>3153.34584</v>
      </c>
      <c r="P20" s="114"/>
      <c r="Q20" s="95">
        <f>ROUND(Q313,0)</f>
        <v>60281</v>
      </c>
      <c r="R20" s="95"/>
      <c r="S20" s="95"/>
      <c r="T20" s="95">
        <f>T313</f>
        <v>3153.34584</v>
      </c>
      <c r="U20" s="114"/>
      <c r="V20" s="95">
        <f>V313</f>
        <v>60281</v>
      </c>
      <c r="W20" s="95"/>
      <c r="X20" s="95">
        <f>+V20-Q20</f>
        <v>0</v>
      </c>
      <c r="Y20" s="96"/>
      <c r="Z20" s="112">
        <f>IF(Q20=0,0,ROUND((X20/Q20),4))</f>
        <v>0</v>
      </c>
      <c r="AA20" s="19"/>
    </row>
    <row r="21" spans="1:27" ht="14.4" x14ac:dyDescent="0.3">
      <c r="A21" s="104">
        <v>11</v>
      </c>
      <c r="B21" s="93" t="s">
        <v>91</v>
      </c>
      <c r="C21" s="93"/>
      <c r="D21" s="93"/>
      <c r="E21" s="93">
        <v>0</v>
      </c>
      <c r="F21" s="93"/>
      <c r="G21" s="115">
        <f>+SUM('[6]Test &amp; Base Customer Count&amp;Usg'!$B$50:$M$50)-167</f>
        <v>-1363747.399999999</v>
      </c>
      <c r="H21" s="93"/>
      <c r="I21" s="93"/>
      <c r="J21" s="115">
        <v>0</v>
      </c>
      <c r="K21" s="115"/>
      <c r="L21" s="115">
        <f>G21</f>
        <v>-1363747.399999999</v>
      </c>
      <c r="M21" s="93"/>
      <c r="N21" s="93"/>
      <c r="O21" s="93">
        <v>0</v>
      </c>
      <c r="P21" s="93"/>
      <c r="Q21" s="115">
        <v>0</v>
      </c>
      <c r="R21" s="93"/>
      <c r="S21" s="93"/>
      <c r="T21" s="93">
        <v>0</v>
      </c>
      <c r="U21" s="93"/>
      <c r="V21" s="93">
        <f>'Link in'!F98</f>
        <v>0</v>
      </c>
      <c r="W21" s="94"/>
      <c r="X21" s="91">
        <f>+V21-Q21</f>
        <v>0</v>
      </c>
      <c r="Y21" s="94"/>
      <c r="Z21" s="112">
        <f>IF(Q21=0,0,ROUND((X21/Q21),4))</f>
        <v>0</v>
      </c>
      <c r="AA21" s="19"/>
    </row>
    <row r="22" spans="1:27" ht="14.4" x14ac:dyDescent="0.3">
      <c r="A22" s="104">
        <v>12</v>
      </c>
      <c r="B22" s="79" t="s">
        <v>1</v>
      </c>
      <c r="C22" s="97"/>
      <c r="D22" s="91"/>
      <c r="E22" s="296">
        <f>SUM(E13:E21)</f>
        <v>11605035.447601812</v>
      </c>
      <c r="F22" s="91"/>
      <c r="G22" s="117">
        <f>SUM(G13:G21)</f>
        <v>88248462.599999994</v>
      </c>
      <c r="H22" s="97"/>
      <c r="I22" s="97"/>
      <c r="J22" s="296">
        <f>SUM(J13:J21)</f>
        <v>11605075.262322126</v>
      </c>
      <c r="K22" s="95"/>
      <c r="L22" s="117">
        <f>SUM(L13:L21)</f>
        <v>103002485.11322169</v>
      </c>
      <c r="M22" s="97"/>
      <c r="N22" s="97"/>
      <c r="O22" s="296">
        <f>SUM(O13:O21)</f>
        <v>11643601.479757711</v>
      </c>
      <c r="P22" s="91"/>
      <c r="Q22" s="117">
        <f>SUM(Q13:Q21)</f>
        <v>85481609</v>
      </c>
      <c r="R22" s="97"/>
      <c r="S22" s="91"/>
      <c r="T22" s="296">
        <f>SUM(T13:T21)</f>
        <v>11643601.479757711</v>
      </c>
      <c r="U22" s="113"/>
      <c r="V22" s="117">
        <f>SUM(V13:V21)</f>
        <v>105346348</v>
      </c>
      <c r="W22" s="95"/>
      <c r="X22" s="117">
        <f>+V22-Q22</f>
        <v>19864739</v>
      </c>
      <c r="Y22" s="96"/>
      <c r="Z22" s="120">
        <f>IF(Q22=0,0,ROUND((X22/Q22),4))</f>
        <v>0.2324</v>
      </c>
      <c r="AA22" s="19"/>
    </row>
    <row r="23" spans="1:27" ht="14.4" x14ac:dyDescent="0.3">
      <c r="A23" s="104">
        <v>13</v>
      </c>
      <c r="B23" s="93"/>
      <c r="C23" s="93"/>
      <c r="D23" s="93"/>
      <c r="E23" s="93"/>
      <c r="F23" s="93"/>
      <c r="G23" s="115"/>
      <c r="H23" s="93"/>
      <c r="I23" s="93"/>
      <c r="J23" s="115"/>
      <c r="K23" s="115"/>
      <c r="L23" s="115"/>
      <c r="M23" s="93"/>
      <c r="N23" s="93"/>
      <c r="O23" s="93"/>
      <c r="P23" s="93"/>
      <c r="Q23" s="115"/>
      <c r="R23" s="93"/>
      <c r="S23" s="93"/>
      <c r="T23" s="93"/>
      <c r="U23" s="93"/>
      <c r="V23" s="93"/>
      <c r="W23" s="94"/>
      <c r="X23" s="94"/>
      <c r="Y23" s="94"/>
      <c r="Z23" s="94"/>
      <c r="AA23" s="19"/>
    </row>
    <row r="24" spans="1:27" ht="14.4" x14ac:dyDescent="0.3">
      <c r="A24" s="104">
        <v>14</v>
      </c>
      <c r="B24" s="109" t="s">
        <v>70</v>
      </c>
      <c r="C24" s="92"/>
      <c r="D24" s="92"/>
      <c r="E24" s="92"/>
      <c r="F24" s="92"/>
      <c r="G24" s="96"/>
      <c r="H24" s="92"/>
      <c r="I24" s="92"/>
      <c r="J24" s="96"/>
      <c r="K24" s="96"/>
      <c r="L24" s="96"/>
      <c r="M24" s="92"/>
      <c r="N24" s="92"/>
      <c r="O24" s="92"/>
      <c r="P24" s="92"/>
      <c r="Q24" s="96"/>
      <c r="R24" s="96"/>
      <c r="S24" s="96"/>
      <c r="T24" s="95"/>
      <c r="U24" s="114"/>
      <c r="V24" s="92"/>
      <c r="W24" s="96"/>
      <c r="X24" s="95"/>
      <c r="Y24" s="96"/>
      <c r="Z24" s="112"/>
      <c r="AA24" s="19"/>
    </row>
    <row r="25" spans="1:27" ht="14.4" x14ac:dyDescent="0.3">
      <c r="A25" s="104">
        <v>15</v>
      </c>
      <c r="B25" s="121" t="s">
        <v>91</v>
      </c>
      <c r="C25" s="95"/>
      <c r="D25" s="96"/>
      <c r="E25" s="95"/>
      <c r="F25" s="122"/>
      <c r="G25" s="312">
        <f>+'Link in'!B98</f>
        <v>0</v>
      </c>
      <c r="H25" s="97"/>
      <c r="I25" s="95"/>
      <c r="J25" s="95"/>
      <c r="K25" s="122"/>
      <c r="L25" s="111">
        <v>0</v>
      </c>
      <c r="M25" s="95"/>
      <c r="N25" s="95"/>
      <c r="O25" s="95"/>
      <c r="P25" s="122"/>
      <c r="Q25" s="111">
        <v>0</v>
      </c>
      <c r="R25" s="95"/>
      <c r="S25" s="95"/>
      <c r="T25" s="95"/>
      <c r="U25" s="122"/>
      <c r="V25" s="111">
        <v>0</v>
      </c>
      <c r="W25" s="95"/>
      <c r="X25" s="95">
        <f>+V25-Q25</f>
        <v>0</v>
      </c>
      <c r="Y25" s="94"/>
      <c r="Z25" s="112">
        <f t="shared" ref="Z25" si="3">IF(Q25=0,0,ROUND((X25/Q25),4))</f>
        <v>0</v>
      </c>
      <c r="AA25" s="19"/>
    </row>
    <row r="26" spans="1:27" ht="14.4" x14ac:dyDescent="0.3">
      <c r="A26" s="104">
        <v>16</v>
      </c>
      <c r="B26" s="121" t="s">
        <v>163</v>
      </c>
      <c r="C26" s="111"/>
      <c r="D26" s="94"/>
      <c r="E26" s="95"/>
      <c r="F26" s="122"/>
      <c r="G26" s="95">
        <f>'Link in'!B99</f>
        <v>798426.55937264196</v>
      </c>
      <c r="H26" s="91"/>
      <c r="I26" s="111"/>
      <c r="J26" s="95"/>
      <c r="K26" s="122"/>
      <c r="L26" s="95">
        <f>'Link in'!C99</f>
        <v>798426.55937264196</v>
      </c>
      <c r="M26" s="111"/>
      <c r="N26" s="111"/>
      <c r="O26" s="95"/>
      <c r="P26" s="122"/>
      <c r="Q26" s="95">
        <f>'Link in'!D99</f>
        <v>784484</v>
      </c>
      <c r="R26" s="111"/>
      <c r="S26" s="95"/>
      <c r="T26" s="95"/>
      <c r="U26" s="122"/>
      <c r="V26" s="95">
        <f>'Link in'!F99</f>
        <v>784484</v>
      </c>
      <c r="W26" s="95"/>
      <c r="X26" s="95">
        <f>+V26-Q26</f>
        <v>0</v>
      </c>
      <c r="Y26" s="94"/>
      <c r="Z26" s="112">
        <f t="shared" ref="Z26:Z35" si="4">IF(Q26=0,0,ROUND((X26/Q26),4))</f>
        <v>0</v>
      </c>
      <c r="AA26" s="19"/>
    </row>
    <row r="27" spans="1:27" ht="14.4" x14ac:dyDescent="0.3">
      <c r="A27" s="104">
        <v>17</v>
      </c>
      <c r="B27" s="121" t="s">
        <v>157</v>
      </c>
      <c r="C27" s="95"/>
      <c r="D27" s="94"/>
      <c r="E27" s="95"/>
      <c r="F27" s="122"/>
      <c r="G27" s="95">
        <f>'Link in'!B100</f>
        <v>96878.04</v>
      </c>
      <c r="H27" s="91"/>
      <c r="I27" s="95"/>
      <c r="J27" s="95"/>
      <c r="K27" s="122"/>
      <c r="L27" s="95">
        <f>'Link in'!C100</f>
        <v>96878.04</v>
      </c>
      <c r="M27" s="95"/>
      <c r="N27" s="95"/>
      <c r="O27" s="95"/>
      <c r="P27" s="122"/>
      <c r="Q27" s="95">
        <f>'Link in'!D100</f>
        <v>96878</v>
      </c>
      <c r="R27" s="95"/>
      <c r="S27" s="95"/>
      <c r="T27" s="95"/>
      <c r="U27" s="122"/>
      <c r="V27" s="95">
        <f>'Link in'!F100</f>
        <v>96878</v>
      </c>
      <c r="W27" s="95"/>
      <c r="X27" s="95">
        <f t="shared" ref="X27:X35" si="5">+V27-Q27</f>
        <v>0</v>
      </c>
      <c r="Y27" s="94"/>
      <c r="Z27" s="112">
        <f t="shared" si="4"/>
        <v>0</v>
      </c>
      <c r="AA27" s="19"/>
    </row>
    <row r="28" spans="1:27" ht="14.4" x14ac:dyDescent="0.3">
      <c r="A28" s="104">
        <v>18</v>
      </c>
      <c r="B28" s="121" t="s">
        <v>158</v>
      </c>
      <c r="C28" s="95"/>
      <c r="D28" s="94"/>
      <c r="E28" s="95"/>
      <c r="F28" s="122"/>
      <c r="G28" s="95">
        <f>'Link in'!B101</f>
        <v>154929.96</v>
      </c>
      <c r="H28" s="91"/>
      <c r="I28" s="95"/>
      <c r="J28" s="95"/>
      <c r="K28" s="122"/>
      <c r="L28" s="95">
        <f>'Link in'!C101</f>
        <v>154929.96</v>
      </c>
      <c r="M28" s="95"/>
      <c r="N28" s="95"/>
      <c r="O28" s="95"/>
      <c r="P28" s="122"/>
      <c r="Q28" s="95">
        <f>'Link in'!D101</f>
        <v>154930</v>
      </c>
      <c r="R28" s="95"/>
      <c r="S28" s="95"/>
      <c r="T28" s="95"/>
      <c r="U28" s="122"/>
      <c r="V28" s="95">
        <f>'Link in'!F101</f>
        <v>154930</v>
      </c>
      <c r="W28" s="95"/>
      <c r="X28" s="95">
        <f t="shared" si="5"/>
        <v>0</v>
      </c>
      <c r="Y28" s="94"/>
      <c r="Z28" s="112">
        <f t="shared" si="4"/>
        <v>0</v>
      </c>
      <c r="AA28" s="19"/>
    </row>
    <row r="29" spans="1:27" ht="14.4" x14ac:dyDescent="0.3">
      <c r="A29" s="104">
        <v>19</v>
      </c>
      <c r="B29" s="121" t="s">
        <v>159</v>
      </c>
      <c r="C29" s="95"/>
      <c r="D29" s="106"/>
      <c r="E29" s="95"/>
      <c r="F29" s="106"/>
      <c r="G29" s="95">
        <f>'Link in'!B102</f>
        <v>0</v>
      </c>
      <c r="H29" s="91"/>
      <c r="I29" s="95"/>
      <c r="J29" s="95"/>
      <c r="K29" s="106"/>
      <c r="L29" s="95">
        <f>'Link in'!C102</f>
        <v>0</v>
      </c>
      <c r="M29" s="95"/>
      <c r="N29" s="95"/>
      <c r="O29" s="95"/>
      <c r="P29" s="106"/>
      <c r="Q29" s="95">
        <f>'Link in'!D102</f>
        <v>0</v>
      </c>
      <c r="R29" s="95"/>
      <c r="S29" s="106"/>
      <c r="T29" s="123"/>
      <c r="U29" s="123"/>
      <c r="V29" s="95">
        <f>'Link in'!F102</f>
        <v>0</v>
      </c>
      <c r="W29" s="123"/>
      <c r="X29" s="95">
        <f t="shared" si="5"/>
        <v>0</v>
      </c>
      <c r="Y29" s="94"/>
      <c r="Z29" s="112">
        <f t="shared" si="4"/>
        <v>0</v>
      </c>
      <c r="AA29" s="19"/>
    </row>
    <row r="30" spans="1:27" ht="14.4" x14ac:dyDescent="0.3">
      <c r="A30" s="104">
        <v>20</v>
      </c>
      <c r="B30" s="121" t="s">
        <v>164</v>
      </c>
      <c r="C30" s="95"/>
      <c r="D30" s="124"/>
      <c r="E30" s="94"/>
      <c r="F30" s="124"/>
      <c r="G30" s="95">
        <f>'Link in'!B103</f>
        <v>30804</v>
      </c>
      <c r="H30" s="91"/>
      <c r="I30" s="95"/>
      <c r="J30" s="94"/>
      <c r="K30" s="124"/>
      <c r="L30" s="95">
        <f>'Link in'!C103</f>
        <v>30804</v>
      </c>
      <c r="M30" s="95"/>
      <c r="N30" s="95"/>
      <c r="O30" s="94"/>
      <c r="P30" s="124"/>
      <c r="Q30" s="95">
        <f>'Link in'!D103</f>
        <v>30840</v>
      </c>
      <c r="R30" s="95"/>
      <c r="S30" s="124"/>
      <c r="T30" s="124"/>
      <c r="U30" s="124"/>
      <c r="V30" s="95">
        <f>'Link in'!F103</f>
        <v>30840</v>
      </c>
      <c r="W30" s="124"/>
      <c r="X30" s="95">
        <f t="shared" si="5"/>
        <v>0</v>
      </c>
      <c r="Y30" s="94"/>
      <c r="Z30" s="112">
        <f t="shared" si="4"/>
        <v>0</v>
      </c>
      <c r="AA30" s="19"/>
    </row>
    <row r="31" spans="1:27" ht="14.4" x14ac:dyDescent="0.3">
      <c r="A31" s="104">
        <v>21</v>
      </c>
      <c r="B31" s="121" t="s">
        <v>169</v>
      </c>
      <c r="C31" s="125"/>
      <c r="D31" s="126"/>
      <c r="E31" s="94"/>
      <c r="F31" s="126"/>
      <c r="G31" s="95">
        <f>'Link in'!B104</f>
        <v>765680.63</v>
      </c>
      <c r="H31" s="91"/>
      <c r="I31" s="125"/>
      <c r="J31" s="94"/>
      <c r="K31" s="126"/>
      <c r="L31" s="95">
        <f>'Link in'!C104</f>
        <v>765680.63</v>
      </c>
      <c r="M31" s="125"/>
      <c r="N31" s="125"/>
      <c r="O31" s="94"/>
      <c r="P31" s="126"/>
      <c r="Q31" s="95">
        <f>'Link in'!D104</f>
        <v>765681</v>
      </c>
      <c r="R31" s="125"/>
      <c r="S31" s="126"/>
      <c r="T31" s="94"/>
      <c r="U31" s="126"/>
      <c r="V31" s="95">
        <f>'Link in'!F104</f>
        <v>765681</v>
      </c>
      <c r="W31" s="126"/>
      <c r="X31" s="95">
        <f t="shared" si="5"/>
        <v>0</v>
      </c>
      <c r="Y31" s="94"/>
      <c r="Z31" s="112">
        <f t="shared" si="4"/>
        <v>0</v>
      </c>
      <c r="AA31" s="19"/>
    </row>
    <row r="32" spans="1:27" ht="14.4" x14ac:dyDescent="0.3">
      <c r="A32" s="104">
        <v>22</v>
      </c>
      <c r="B32" s="121" t="s">
        <v>160</v>
      </c>
      <c r="C32" s="95"/>
      <c r="D32" s="127"/>
      <c r="E32" s="94"/>
      <c r="F32" s="94"/>
      <c r="G32" s="95">
        <f>'Link in'!B105</f>
        <v>47194.280000000013</v>
      </c>
      <c r="H32" s="91"/>
      <c r="I32" s="95"/>
      <c r="J32" s="94"/>
      <c r="K32" s="94"/>
      <c r="L32" s="95">
        <f>'Link in'!C105</f>
        <v>47194.280000000013</v>
      </c>
      <c r="M32" s="95"/>
      <c r="N32" s="95"/>
      <c r="O32" s="94"/>
      <c r="P32" s="94"/>
      <c r="Q32" s="95">
        <f>'Link in'!D105</f>
        <v>51538</v>
      </c>
      <c r="R32" s="95"/>
      <c r="S32" s="127"/>
      <c r="T32" s="94"/>
      <c r="U32" s="128"/>
      <c r="V32" s="95">
        <f>'Link in'!F105</f>
        <v>51538</v>
      </c>
      <c r="W32" s="127"/>
      <c r="X32" s="95">
        <f t="shared" si="5"/>
        <v>0</v>
      </c>
      <c r="Y32" s="94"/>
      <c r="Z32" s="112">
        <f t="shared" si="4"/>
        <v>0</v>
      </c>
      <c r="AA32" s="19"/>
    </row>
    <row r="33" spans="1:27" ht="14.4" x14ac:dyDescent="0.3">
      <c r="A33" s="104">
        <v>23</v>
      </c>
      <c r="B33" s="121" t="s">
        <v>165</v>
      </c>
      <c r="C33" s="129"/>
      <c r="D33" s="94"/>
      <c r="E33" s="94"/>
      <c r="F33" s="94"/>
      <c r="G33" s="95">
        <f>'Link in'!B106</f>
        <v>583109.21</v>
      </c>
      <c r="H33" s="91"/>
      <c r="I33" s="130"/>
      <c r="J33" s="94"/>
      <c r="K33" s="94"/>
      <c r="L33" s="95">
        <f>'Link in'!C106</f>
        <v>583109.21</v>
      </c>
      <c r="M33" s="130"/>
      <c r="N33" s="130"/>
      <c r="O33" s="79"/>
      <c r="P33" s="79"/>
      <c r="Q33" s="95">
        <f>'Link in'!D106</f>
        <v>598864</v>
      </c>
      <c r="R33" s="130"/>
      <c r="S33" s="79"/>
      <c r="T33" s="79"/>
      <c r="U33" s="79"/>
      <c r="V33" s="95">
        <f>'Link in'!F106</f>
        <v>598864</v>
      </c>
      <c r="W33" s="94"/>
      <c r="X33" s="95">
        <f t="shared" si="5"/>
        <v>0</v>
      </c>
      <c r="Y33" s="94"/>
      <c r="Z33" s="112">
        <f t="shared" si="4"/>
        <v>0</v>
      </c>
      <c r="AA33" s="19"/>
    </row>
    <row r="34" spans="1:27" ht="14.4" x14ac:dyDescent="0.3">
      <c r="A34" s="104">
        <v>24</v>
      </c>
      <c r="B34" s="121" t="s">
        <v>166</v>
      </c>
      <c r="C34" s="95"/>
      <c r="D34" s="94"/>
      <c r="E34" s="94"/>
      <c r="F34" s="128"/>
      <c r="G34" s="95">
        <f>'Link in'!B107</f>
        <v>0</v>
      </c>
      <c r="H34" s="91"/>
      <c r="I34" s="91"/>
      <c r="J34" s="94"/>
      <c r="K34" s="128"/>
      <c r="L34" s="95">
        <f>'Link in'!C107</f>
        <v>0</v>
      </c>
      <c r="M34" s="91"/>
      <c r="N34" s="91"/>
      <c r="O34" s="79"/>
      <c r="P34" s="131"/>
      <c r="Q34" s="95">
        <f>'Link in'!D107</f>
        <v>0</v>
      </c>
      <c r="R34" s="91"/>
      <c r="S34" s="79"/>
      <c r="T34" s="79"/>
      <c r="U34" s="131"/>
      <c r="V34" s="95">
        <f>'Link in'!F107</f>
        <v>0</v>
      </c>
      <c r="W34" s="94"/>
      <c r="X34" s="95">
        <f t="shared" si="5"/>
        <v>0</v>
      </c>
      <c r="Y34" s="94"/>
      <c r="Z34" s="112">
        <f t="shared" si="4"/>
        <v>0</v>
      </c>
      <c r="AA34" s="19"/>
    </row>
    <row r="35" spans="1:27" ht="14.4" x14ac:dyDescent="0.3">
      <c r="A35" s="104">
        <v>25</v>
      </c>
      <c r="B35" s="121" t="s">
        <v>167</v>
      </c>
      <c r="C35" s="95"/>
      <c r="D35" s="127"/>
      <c r="E35" s="94"/>
      <c r="F35" s="128"/>
      <c r="G35" s="95">
        <f>'Link in'!B108</f>
        <v>0</v>
      </c>
      <c r="H35" s="91"/>
      <c r="I35" s="91"/>
      <c r="J35" s="94"/>
      <c r="K35" s="128"/>
      <c r="L35" s="95">
        <f>'Link in'!C108</f>
        <v>0</v>
      </c>
      <c r="M35" s="91"/>
      <c r="N35" s="91"/>
      <c r="O35" s="79"/>
      <c r="P35" s="131"/>
      <c r="Q35" s="95">
        <f>'Link in'!D108</f>
        <v>0</v>
      </c>
      <c r="R35" s="91"/>
      <c r="S35" s="132"/>
      <c r="T35" s="79"/>
      <c r="U35" s="131"/>
      <c r="V35" s="95">
        <f>'Link in'!F108</f>
        <v>0</v>
      </c>
      <c r="W35" s="127"/>
      <c r="X35" s="95">
        <f t="shared" si="5"/>
        <v>0</v>
      </c>
      <c r="Y35" s="94"/>
      <c r="Z35" s="112">
        <f t="shared" si="4"/>
        <v>0</v>
      </c>
      <c r="AA35" s="19"/>
    </row>
    <row r="36" spans="1:27" ht="14.4" x14ac:dyDescent="0.3">
      <c r="A36" s="104">
        <v>26</v>
      </c>
      <c r="B36" s="79" t="s">
        <v>155</v>
      </c>
      <c r="C36" s="91"/>
      <c r="D36" s="79"/>
      <c r="E36" s="79"/>
      <c r="F36" s="131"/>
      <c r="G36" s="313">
        <f>SUM(G25:G35)</f>
        <v>2477022.6793726422</v>
      </c>
      <c r="H36" s="97"/>
      <c r="I36" s="91"/>
      <c r="J36" s="94"/>
      <c r="K36" s="128"/>
      <c r="L36" s="117">
        <f>SUM(L25:L35)</f>
        <v>2477022.6793726422</v>
      </c>
      <c r="M36" s="91"/>
      <c r="N36" s="91"/>
      <c r="O36" s="79"/>
      <c r="P36" s="131"/>
      <c r="Q36" s="119">
        <f>SUM(Q25:Q35)</f>
        <v>2483215</v>
      </c>
      <c r="R36" s="91"/>
      <c r="S36" s="79"/>
      <c r="T36" s="79"/>
      <c r="U36" s="131"/>
      <c r="V36" s="119">
        <f>SUM(V25:V35)</f>
        <v>2483215</v>
      </c>
      <c r="W36" s="94"/>
      <c r="X36" s="119">
        <f>V36-Q36</f>
        <v>0</v>
      </c>
      <c r="Y36" s="94"/>
      <c r="Z36" s="120">
        <f>IF(Q36=0,0,ROUND((X36/Q36),4))</f>
        <v>0</v>
      </c>
      <c r="AA36" s="19"/>
    </row>
    <row r="37" spans="1:27" ht="14.4" x14ac:dyDescent="0.3">
      <c r="A37" s="104">
        <v>27</v>
      </c>
      <c r="B37" s="79"/>
      <c r="C37" s="91"/>
      <c r="D37" s="104"/>
      <c r="E37" s="79"/>
      <c r="F37" s="131"/>
      <c r="G37" s="91"/>
      <c r="H37" s="91"/>
      <c r="I37" s="91"/>
      <c r="J37" s="94"/>
      <c r="K37" s="128"/>
      <c r="L37" s="95"/>
      <c r="M37" s="91"/>
      <c r="N37" s="91"/>
      <c r="O37" s="79"/>
      <c r="P37" s="131"/>
      <c r="Q37" s="91"/>
      <c r="R37" s="91"/>
      <c r="S37" s="104"/>
      <c r="T37" s="79"/>
      <c r="U37" s="131"/>
      <c r="V37" s="91"/>
      <c r="W37" s="94"/>
      <c r="X37" s="95"/>
      <c r="Y37" s="94"/>
      <c r="Z37" s="112"/>
      <c r="AA37" s="19"/>
    </row>
    <row r="38" spans="1:27" ht="15" thickBot="1" x14ac:dyDescent="0.35">
      <c r="A38" s="104">
        <v>28</v>
      </c>
      <c r="B38" s="79" t="s">
        <v>156</v>
      </c>
      <c r="C38" s="133"/>
      <c r="D38" s="133"/>
      <c r="E38" s="79"/>
      <c r="F38" s="133"/>
      <c r="G38" s="314">
        <f>G36+G22</f>
        <v>90725485.279372633</v>
      </c>
      <c r="H38" s="134"/>
      <c r="I38" s="133"/>
      <c r="J38" s="94"/>
      <c r="K38" s="124"/>
      <c r="L38" s="295">
        <f>L36+L22</f>
        <v>105479507.79259433</v>
      </c>
      <c r="M38" s="133"/>
      <c r="N38" s="133"/>
      <c r="O38" s="79"/>
      <c r="P38" s="133"/>
      <c r="Q38" s="295">
        <f>Q36+Q22</f>
        <v>87964824</v>
      </c>
      <c r="R38" s="133"/>
      <c r="S38" s="133"/>
      <c r="T38" s="110"/>
      <c r="U38" s="110"/>
      <c r="V38" s="295">
        <f>V36+V22</f>
        <v>107829563</v>
      </c>
      <c r="W38" s="135"/>
      <c r="X38" s="295">
        <f>V38-Q38</f>
        <v>19864739</v>
      </c>
      <c r="Y38" s="106"/>
      <c r="Z38" s="136">
        <f>IF(Q38=0,0,ROUND((X38/Q38),4))</f>
        <v>0.2258</v>
      </c>
      <c r="AA38" s="19"/>
    </row>
    <row r="39" spans="1:27" ht="15" thickTop="1" x14ac:dyDescent="0.3">
      <c r="A39" s="104"/>
      <c r="B39" s="79"/>
      <c r="C39" s="137"/>
      <c r="D39" s="132"/>
      <c r="E39" s="79"/>
      <c r="F39" s="138"/>
      <c r="G39" s="137"/>
      <c r="H39" s="137"/>
      <c r="I39" s="137"/>
      <c r="J39" s="137"/>
      <c r="K39" s="137"/>
      <c r="L39" s="137"/>
      <c r="M39" s="137"/>
      <c r="N39" s="137"/>
      <c r="O39" s="79"/>
      <c r="P39" s="138"/>
      <c r="Q39" s="137"/>
      <c r="R39" s="137"/>
      <c r="S39" s="137"/>
      <c r="T39" s="132"/>
      <c r="U39" s="138"/>
      <c r="V39" s="132"/>
      <c r="W39" s="127"/>
      <c r="X39" s="95"/>
      <c r="Y39" s="127"/>
      <c r="Z39" s="112"/>
      <c r="AA39" s="19"/>
    </row>
    <row r="40" spans="1:27" ht="14.4" x14ac:dyDescent="0.3">
      <c r="A40" s="333" t="str">
        <f>A1</f>
        <v>Kentucky American Water Company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19"/>
    </row>
    <row r="41" spans="1:27" ht="14.4" x14ac:dyDescent="0.3">
      <c r="A41" s="333" t="s">
        <v>77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19"/>
    </row>
    <row r="42" spans="1:27" ht="14.4" x14ac:dyDescent="0.3">
      <c r="A42" s="333" t="str">
        <f>A3</f>
        <v>Case No. 2018-00358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19"/>
    </row>
    <row r="43" spans="1:27" ht="14.4" x14ac:dyDescent="0.3">
      <c r="A43" s="333" t="str">
        <f>A4</f>
        <v>Base Year for the 12 Months Ended February 28, 2019 and Forecast Year for the 12 Months Ended June 30, 2020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19"/>
    </row>
    <row r="44" spans="1:27" ht="14.4" x14ac:dyDescent="0.3">
      <c r="A44" s="109" t="str">
        <f>A5</f>
        <v>Witness Responsible:   Melissa Schwarzell</v>
      </c>
      <c r="B44" s="79"/>
      <c r="C44" s="79"/>
      <c r="D44" s="79"/>
      <c r="E44" s="79"/>
      <c r="F44" s="79"/>
      <c r="G44" s="79"/>
      <c r="H44" s="79"/>
      <c r="I44" s="335" t="str">
        <f>"ALL CUSTOMERS ("&amp;LEFT(B50,SEARCH(":",B50,1)-1)&amp;")"</f>
        <v>ALL CUSTOMERS (Residential)</v>
      </c>
      <c r="J44" s="335"/>
      <c r="K44" s="335"/>
      <c r="L44" s="335"/>
      <c r="M44" s="335"/>
      <c r="N44" s="335"/>
      <c r="O44" s="335"/>
      <c r="P44" s="335"/>
      <c r="Q44" s="335"/>
      <c r="R44" s="79"/>
      <c r="S44" s="79"/>
      <c r="T44" s="79"/>
      <c r="U44" s="79"/>
      <c r="V44" s="79"/>
      <c r="W44" s="94"/>
      <c r="X44" s="94"/>
      <c r="Y44" s="94"/>
      <c r="Z44" s="99" t="s">
        <v>190</v>
      </c>
      <c r="AA44" s="19"/>
    </row>
    <row r="45" spans="1:27" ht="14.4" x14ac:dyDescent="0.3">
      <c r="A45" s="139" t="str">
        <f>A6</f>
        <v/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01"/>
      <c r="X45" s="101"/>
      <c r="Y45" s="101"/>
      <c r="Z45" s="141" t="str">
        <f ca="1">Z6</f>
        <v>Revenues\[KAWC 2018 Rate Case - Revenue.xlsx]Sch M</v>
      </c>
      <c r="AA45" s="19"/>
    </row>
    <row r="46" spans="1:27" ht="14.4" x14ac:dyDescent="0.3">
      <c r="A46" s="79"/>
      <c r="B46" s="79"/>
      <c r="C46" s="104"/>
      <c r="D46" s="328" t="s">
        <v>174</v>
      </c>
      <c r="E46" s="328" t="s">
        <v>97</v>
      </c>
      <c r="F46" s="328"/>
      <c r="G46" s="328"/>
      <c r="H46" s="104"/>
      <c r="I46" s="336" t="s">
        <v>173</v>
      </c>
      <c r="J46" s="336" t="s">
        <v>97</v>
      </c>
      <c r="K46" s="336"/>
      <c r="L46" s="336"/>
      <c r="M46" s="104"/>
      <c r="N46" s="328" t="s">
        <v>120</v>
      </c>
      <c r="O46" s="328" t="s">
        <v>98</v>
      </c>
      <c r="P46" s="328"/>
      <c r="Q46" s="328"/>
      <c r="R46" s="104"/>
      <c r="S46" s="328" t="s">
        <v>121</v>
      </c>
      <c r="T46" s="328" t="s">
        <v>99</v>
      </c>
      <c r="U46" s="328"/>
      <c r="V46" s="328"/>
      <c r="W46" s="105"/>
      <c r="X46" s="105"/>
      <c r="Y46" s="94"/>
      <c r="Z46" s="94"/>
      <c r="AA46" s="19"/>
    </row>
    <row r="47" spans="1:27" ht="14.4" x14ac:dyDescent="0.3">
      <c r="A47" s="79"/>
      <c r="B47" s="79"/>
      <c r="C47" s="104"/>
      <c r="D47" s="104" t="s">
        <v>27</v>
      </c>
      <c r="E47" s="104"/>
      <c r="F47" s="104"/>
      <c r="G47" s="104"/>
      <c r="H47" s="104"/>
      <c r="I47" s="106" t="s">
        <v>27</v>
      </c>
      <c r="J47" s="106"/>
      <c r="K47" s="106"/>
      <c r="L47" s="106"/>
      <c r="M47" s="104"/>
      <c r="N47" s="104" t="s">
        <v>27</v>
      </c>
      <c r="O47" s="104"/>
      <c r="P47" s="104"/>
      <c r="Q47" s="104"/>
      <c r="R47" s="104"/>
      <c r="S47" s="104" t="s">
        <v>27</v>
      </c>
      <c r="T47" s="104"/>
      <c r="U47" s="104"/>
      <c r="V47" s="104"/>
      <c r="W47" s="106"/>
      <c r="X47" s="106"/>
      <c r="Y47" s="94"/>
      <c r="Z47" s="94"/>
      <c r="AA47" s="19"/>
    </row>
    <row r="48" spans="1:27" ht="14.4" x14ac:dyDescent="0.3">
      <c r="A48" s="79"/>
      <c r="B48" s="104" t="s">
        <v>24</v>
      </c>
      <c r="C48" s="104"/>
      <c r="D48" s="104" t="s">
        <v>28</v>
      </c>
      <c r="E48" s="104" t="s">
        <v>39</v>
      </c>
      <c r="F48" s="104" t="s">
        <v>45</v>
      </c>
      <c r="G48" s="104" t="s">
        <v>1</v>
      </c>
      <c r="H48" s="104"/>
      <c r="I48" s="106" t="s">
        <v>28</v>
      </c>
      <c r="J48" s="106" t="s">
        <v>39</v>
      </c>
      <c r="K48" s="106" t="s">
        <v>175</v>
      </c>
      <c r="L48" s="106" t="s">
        <v>1</v>
      </c>
      <c r="M48" s="104"/>
      <c r="N48" s="104" t="s">
        <v>28</v>
      </c>
      <c r="O48" s="104" t="s">
        <v>39</v>
      </c>
      <c r="P48" s="104" t="s">
        <v>45</v>
      </c>
      <c r="Q48" s="104" t="s">
        <v>1</v>
      </c>
      <c r="R48" s="104"/>
      <c r="S48" s="104" t="s">
        <v>28</v>
      </c>
      <c r="T48" s="104" t="s">
        <v>39</v>
      </c>
      <c r="U48" s="104" t="s">
        <v>73</v>
      </c>
      <c r="V48" s="104" t="s">
        <v>1</v>
      </c>
      <c r="W48" s="106"/>
      <c r="X48" s="106" t="s">
        <v>51</v>
      </c>
      <c r="Y48" s="94"/>
      <c r="Z48" s="106" t="s">
        <v>53</v>
      </c>
      <c r="AA48" s="19"/>
    </row>
    <row r="49" spans="1:27" ht="14.4" x14ac:dyDescent="0.3">
      <c r="A49" s="107" t="s">
        <v>0</v>
      </c>
      <c r="B49" s="107" t="s">
        <v>2</v>
      </c>
      <c r="C49" s="104"/>
      <c r="D49" s="107" t="s">
        <v>29</v>
      </c>
      <c r="E49" s="107" t="str">
        <f>E10</f>
        <v>('000 Gal)</v>
      </c>
      <c r="F49" s="107" t="s">
        <v>46</v>
      </c>
      <c r="G49" s="107" t="s">
        <v>47</v>
      </c>
      <c r="H49" s="104"/>
      <c r="I49" s="108" t="s">
        <v>29</v>
      </c>
      <c r="J49" s="108" t="str">
        <f>J10</f>
        <v>('000 Gal)</v>
      </c>
      <c r="K49" s="108" t="s">
        <v>46</v>
      </c>
      <c r="L49" s="108" t="s">
        <v>47</v>
      </c>
      <c r="M49" s="104"/>
      <c r="N49" s="107" t="s">
        <v>29</v>
      </c>
      <c r="O49" s="107" t="str">
        <f>E49</f>
        <v>('000 Gal)</v>
      </c>
      <c r="P49" s="107" t="s">
        <v>46</v>
      </c>
      <c r="Q49" s="107" t="s">
        <v>47</v>
      </c>
      <c r="R49" s="104"/>
      <c r="S49" s="107" t="s">
        <v>29</v>
      </c>
      <c r="T49" s="107" t="str">
        <f>O49</f>
        <v>('000 Gal)</v>
      </c>
      <c r="U49" s="107" t="s">
        <v>46</v>
      </c>
      <c r="V49" s="107" t="s">
        <v>47</v>
      </c>
      <c r="W49" s="106"/>
      <c r="X49" s="108" t="s">
        <v>52</v>
      </c>
      <c r="Y49" s="94"/>
      <c r="Z49" s="108" t="s">
        <v>52</v>
      </c>
      <c r="AA49" s="19"/>
    </row>
    <row r="50" spans="1:27" ht="14.4" x14ac:dyDescent="0.3">
      <c r="A50" s="104">
        <v>1</v>
      </c>
      <c r="B50" s="109" t="s">
        <v>25</v>
      </c>
      <c r="C50" s="104"/>
      <c r="D50" s="79"/>
      <c r="E50" s="104"/>
      <c r="F50" s="104"/>
      <c r="G50" s="104"/>
      <c r="H50" s="104"/>
      <c r="I50" s="106"/>
      <c r="J50" s="106"/>
      <c r="K50" s="106"/>
      <c r="L50" s="106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6"/>
      <c r="X50" s="106"/>
      <c r="Y50" s="94"/>
      <c r="Z50" s="106"/>
      <c r="AA50" s="19"/>
    </row>
    <row r="51" spans="1:27" ht="14.4" x14ac:dyDescent="0.3">
      <c r="A51" s="104">
        <v>2</v>
      </c>
      <c r="B51" s="110" t="s">
        <v>26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94"/>
      <c r="X51" s="94"/>
      <c r="Y51" s="94"/>
      <c r="Z51" s="94"/>
      <c r="AA51" s="19"/>
    </row>
    <row r="52" spans="1:27" ht="14.4" x14ac:dyDescent="0.3">
      <c r="A52" s="104">
        <v>3</v>
      </c>
      <c r="B52" s="79" t="s">
        <v>30</v>
      </c>
      <c r="C52" s="97"/>
      <c r="D52" s="95">
        <f>'Link in'!C10</f>
        <v>1411383.3461539403</v>
      </c>
      <c r="E52" s="96"/>
      <c r="F52" s="142">
        <f>+G52/D52</f>
        <v>12.570621616265603</v>
      </c>
      <c r="G52" s="97">
        <f>ROUND(((D52-'Link in'!B115)*12.49),0)+ROUND((('Link in'!B115)*'Link in'!B116),0)</f>
        <v>17741966</v>
      </c>
      <c r="H52" s="97"/>
      <c r="I52" s="95">
        <f>D52</f>
        <v>1411383.3461539403</v>
      </c>
      <c r="J52" s="96"/>
      <c r="K52" s="142">
        <f>U52</f>
        <v>15</v>
      </c>
      <c r="L52" s="111">
        <f>ROUND((I52*K52),0)</f>
        <v>21170750</v>
      </c>
      <c r="M52" s="97"/>
      <c r="N52" s="95">
        <f>'Link in'!M10</f>
        <v>1431589</v>
      </c>
      <c r="O52" s="92"/>
      <c r="P52" s="143">
        <f>+IFERROR(Q52/N52,0)</f>
        <v>12.633185921378272</v>
      </c>
      <c r="Q52" s="97">
        <f>+[2]Summary!M29+[2]Summary!M286+[2]Summary!M354+[2]Summary!M492</f>
        <v>18085530</v>
      </c>
      <c r="R52" s="97"/>
      <c r="S52" s="91">
        <f>N52</f>
        <v>1431589</v>
      </c>
      <c r="T52" s="96"/>
      <c r="U52" s="142">
        <f>'Link in'!J41</f>
        <v>15</v>
      </c>
      <c r="V52" s="97">
        <f>ROUND((S52*U52),0)</f>
        <v>21473835</v>
      </c>
      <c r="W52" s="111"/>
      <c r="X52" s="97">
        <f>+V52-Q52</f>
        <v>3388305</v>
      </c>
      <c r="Y52" s="96"/>
      <c r="Z52" s="112">
        <f t="shared" ref="Z52:Z61" si="6">IF(Q52=0,0,ROUND((X52/Q52),4))</f>
        <v>0.18729999999999999</v>
      </c>
      <c r="AA52" s="19"/>
    </row>
    <row r="53" spans="1:27" ht="14.4" x14ac:dyDescent="0.3">
      <c r="A53" s="104">
        <v>4</v>
      </c>
      <c r="B53" s="79" t="s">
        <v>31</v>
      </c>
      <c r="C53" s="91"/>
      <c r="D53" s="95">
        <f>'Link in'!C11</f>
        <v>4.4002134471718248</v>
      </c>
      <c r="E53" s="96"/>
      <c r="F53" s="114">
        <f>+'Link in'!C42</f>
        <v>18.739999999999998</v>
      </c>
      <c r="G53" s="91">
        <f t="shared" ref="G53:G60" si="7">ROUND((D53*F53),0)</f>
        <v>82</v>
      </c>
      <c r="H53" s="91"/>
      <c r="I53" s="95">
        <f t="shared" ref="I53:I60" si="8">D53</f>
        <v>4.4002134471718248</v>
      </c>
      <c r="J53" s="96"/>
      <c r="K53" s="114">
        <f t="shared" ref="K53:K60" si="9">U53</f>
        <v>22.4</v>
      </c>
      <c r="L53" s="95">
        <f t="shared" ref="L53:L60" si="10">ROUND((I53*K53),0)</f>
        <v>99</v>
      </c>
      <c r="M53" s="91"/>
      <c r="N53" s="95">
        <f>'Link in'!M11</f>
        <v>0</v>
      </c>
      <c r="O53" s="92"/>
      <c r="P53" s="113">
        <f>+IFERROR(Q53/N53,0)</f>
        <v>0</v>
      </c>
      <c r="Q53" s="91">
        <f>+[2]Summary!M30+[2]Summary!M287+[2]Summary!M355+[2]Summary!M493</f>
        <v>0</v>
      </c>
      <c r="R53" s="91"/>
      <c r="S53" s="91">
        <f t="shared" ref="S53:S60" si="11">N53</f>
        <v>0</v>
      </c>
      <c r="T53" s="96"/>
      <c r="U53" s="114">
        <f>'Link in'!J42</f>
        <v>22.4</v>
      </c>
      <c r="V53" s="91">
        <f t="shared" ref="V53:V60" si="12">ROUND((S53*U53),0)</f>
        <v>0</v>
      </c>
      <c r="W53" s="95"/>
      <c r="X53" s="91">
        <f t="shared" ref="X53:X61" si="13">+V53-Q53</f>
        <v>0</v>
      </c>
      <c r="Y53" s="96"/>
      <c r="Z53" s="112">
        <f t="shared" si="6"/>
        <v>0</v>
      </c>
      <c r="AA53" s="19"/>
    </row>
    <row r="54" spans="1:27" ht="14.4" x14ac:dyDescent="0.3">
      <c r="A54" s="104">
        <v>5</v>
      </c>
      <c r="B54" s="79" t="s">
        <v>32</v>
      </c>
      <c r="C54" s="91"/>
      <c r="D54" s="95">
        <f>'Link in'!C12</f>
        <v>23799.503682356706</v>
      </c>
      <c r="E54" s="96"/>
      <c r="F54" s="114">
        <f>+'Link in'!C43</f>
        <v>31.23</v>
      </c>
      <c r="G54" s="91">
        <f t="shared" si="7"/>
        <v>743259</v>
      </c>
      <c r="H54" s="91"/>
      <c r="I54" s="95">
        <f t="shared" si="8"/>
        <v>23799.503682356706</v>
      </c>
      <c r="J54" s="96"/>
      <c r="K54" s="114">
        <f t="shared" si="9"/>
        <v>37.299999999999997</v>
      </c>
      <c r="L54" s="95">
        <f t="shared" si="10"/>
        <v>887721</v>
      </c>
      <c r="M54" s="91"/>
      <c r="N54" s="95">
        <f>'Link in'!M12</f>
        <v>24807</v>
      </c>
      <c r="O54" s="92"/>
      <c r="P54" s="113">
        <f t="shared" ref="P54:P60" si="14">+IFERROR(Q54/N54,0)</f>
        <v>31.230015721368968</v>
      </c>
      <c r="Q54" s="91">
        <f>+[2]Summary!M31+[2]Summary!M288+[2]Summary!M356+[2]Summary!M494</f>
        <v>774723</v>
      </c>
      <c r="R54" s="91"/>
      <c r="S54" s="91">
        <f t="shared" si="11"/>
        <v>24807</v>
      </c>
      <c r="T54" s="96"/>
      <c r="U54" s="114">
        <f>'Link in'!J43</f>
        <v>37.299999999999997</v>
      </c>
      <c r="V54" s="91">
        <f t="shared" si="12"/>
        <v>925301</v>
      </c>
      <c r="W54" s="95"/>
      <c r="X54" s="91">
        <f t="shared" si="13"/>
        <v>150578</v>
      </c>
      <c r="Y54" s="96"/>
      <c r="Z54" s="112">
        <f t="shared" si="6"/>
        <v>0.19439999999999999</v>
      </c>
      <c r="AA54" s="19"/>
    </row>
    <row r="55" spans="1:27" ht="14.4" x14ac:dyDescent="0.3">
      <c r="A55" s="104">
        <v>6</v>
      </c>
      <c r="B55" s="79" t="s">
        <v>33</v>
      </c>
      <c r="C55" s="91"/>
      <c r="D55" s="95">
        <f>'Link in'!C13</f>
        <v>156.07125700560448</v>
      </c>
      <c r="E55" s="96"/>
      <c r="F55" s="114">
        <f>+'Link in'!C44</f>
        <v>62.45</v>
      </c>
      <c r="G55" s="91">
        <f t="shared" si="7"/>
        <v>9747</v>
      </c>
      <c r="H55" s="91"/>
      <c r="I55" s="95">
        <f t="shared" si="8"/>
        <v>156.07125700560448</v>
      </c>
      <c r="J55" s="96"/>
      <c r="K55" s="114">
        <f t="shared" si="9"/>
        <v>74.7</v>
      </c>
      <c r="L55" s="95">
        <f t="shared" si="10"/>
        <v>11659</v>
      </c>
      <c r="M55" s="91"/>
      <c r="N55" s="95">
        <f>'Link in'!M13</f>
        <v>156</v>
      </c>
      <c r="O55" s="92"/>
      <c r="P55" s="113">
        <f t="shared" si="14"/>
        <v>62.448717948717949</v>
      </c>
      <c r="Q55" s="91">
        <f>+[2]Summary!M32+[2]Summary!M289+[2]Summary!M357+[2]Summary!M495</f>
        <v>9742</v>
      </c>
      <c r="R55" s="91"/>
      <c r="S55" s="91">
        <f t="shared" si="11"/>
        <v>156</v>
      </c>
      <c r="T55" s="96"/>
      <c r="U55" s="114">
        <f>'Link in'!J44</f>
        <v>74.7</v>
      </c>
      <c r="V55" s="91">
        <f t="shared" si="12"/>
        <v>11653</v>
      </c>
      <c r="W55" s="95"/>
      <c r="X55" s="91">
        <f t="shared" si="13"/>
        <v>1911</v>
      </c>
      <c r="Y55" s="96"/>
      <c r="Z55" s="112">
        <f t="shared" si="6"/>
        <v>0.19620000000000001</v>
      </c>
      <c r="AA55" s="19"/>
    </row>
    <row r="56" spans="1:27" ht="14.4" x14ac:dyDescent="0.3">
      <c r="A56" s="104">
        <v>7</v>
      </c>
      <c r="B56" s="79" t="s">
        <v>34</v>
      </c>
      <c r="C56" s="91"/>
      <c r="D56" s="95">
        <f>'Link in'!C14</f>
        <v>1414.7951361088872</v>
      </c>
      <c r="E56" s="96"/>
      <c r="F56" s="114">
        <f>+'Link in'!C45</f>
        <v>99.92</v>
      </c>
      <c r="G56" s="91">
        <f t="shared" si="7"/>
        <v>141366</v>
      </c>
      <c r="H56" s="91"/>
      <c r="I56" s="95">
        <f t="shared" si="8"/>
        <v>1414.7951361088872</v>
      </c>
      <c r="J56" s="96"/>
      <c r="K56" s="114">
        <f t="shared" si="9"/>
        <v>119.5</v>
      </c>
      <c r="L56" s="95">
        <f t="shared" si="10"/>
        <v>169068</v>
      </c>
      <c r="M56" s="91"/>
      <c r="N56" s="95">
        <f>'Link in'!M14</f>
        <v>1404</v>
      </c>
      <c r="O56" s="92"/>
      <c r="P56" s="113">
        <f t="shared" si="14"/>
        <v>99.920227920227916</v>
      </c>
      <c r="Q56" s="91">
        <f>+[2]Summary!M33+[2]Summary!M290+[2]Summary!M358+[2]Summary!M496</f>
        <v>140288</v>
      </c>
      <c r="R56" s="91"/>
      <c r="S56" s="91">
        <f t="shared" si="11"/>
        <v>1404</v>
      </c>
      <c r="T56" s="96"/>
      <c r="U56" s="114">
        <f>'Link in'!J45</f>
        <v>119.5</v>
      </c>
      <c r="V56" s="91">
        <f t="shared" si="12"/>
        <v>167778</v>
      </c>
      <c r="W56" s="95"/>
      <c r="X56" s="91">
        <f t="shared" si="13"/>
        <v>27490</v>
      </c>
      <c r="Y56" s="96"/>
      <c r="Z56" s="112">
        <f t="shared" si="6"/>
        <v>0.19600000000000001</v>
      </c>
      <c r="AA56" s="19"/>
    </row>
    <row r="57" spans="1:27" ht="14.4" x14ac:dyDescent="0.3">
      <c r="A57" s="104">
        <v>8</v>
      </c>
      <c r="B57" s="79" t="s">
        <v>35</v>
      </c>
      <c r="C57" s="91"/>
      <c r="D57" s="95">
        <f>'Link in'!C15</f>
        <v>0</v>
      </c>
      <c r="E57" s="96"/>
      <c r="F57" s="114">
        <f>+'Link in'!C46</f>
        <v>187.35</v>
      </c>
      <c r="G57" s="91">
        <f t="shared" si="7"/>
        <v>0</v>
      </c>
      <c r="H57" s="91"/>
      <c r="I57" s="95">
        <f t="shared" si="8"/>
        <v>0</v>
      </c>
      <c r="J57" s="96"/>
      <c r="K57" s="114">
        <f t="shared" si="9"/>
        <v>224</v>
      </c>
      <c r="L57" s="95">
        <f t="shared" si="10"/>
        <v>0</v>
      </c>
      <c r="M57" s="91"/>
      <c r="N57" s="95">
        <f>'Link in'!M15</f>
        <v>0</v>
      </c>
      <c r="O57" s="92"/>
      <c r="P57" s="113">
        <f t="shared" si="14"/>
        <v>0</v>
      </c>
      <c r="Q57" s="91">
        <f>+[2]Summary!M34+[2]Summary!M291+[2]Summary!M359+[2]Summary!M497</f>
        <v>0</v>
      </c>
      <c r="R57" s="91"/>
      <c r="S57" s="91">
        <f t="shared" si="11"/>
        <v>0</v>
      </c>
      <c r="T57" s="96"/>
      <c r="U57" s="114">
        <f>'Link in'!J46</f>
        <v>224</v>
      </c>
      <c r="V57" s="91">
        <f t="shared" si="12"/>
        <v>0</v>
      </c>
      <c r="W57" s="95"/>
      <c r="X57" s="91">
        <f t="shared" si="13"/>
        <v>0</v>
      </c>
      <c r="Y57" s="96"/>
      <c r="Z57" s="112">
        <f t="shared" si="6"/>
        <v>0</v>
      </c>
      <c r="AA57" s="19"/>
    </row>
    <row r="58" spans="1:27" ht="14.4" x14ac:dyDescent="0.3">
      <c r="A58" s="104">
        <v>9</v>
      </c>
      <c r="B58" s="79" t="s">
        <v>36</v>
      </c>
      <c r="C58" s="91"/>
      <c r="D58" s="95">
        <f>'Link in'!C16</f>
        <v>0</v>
      </c>
      <c r="E58" s="96"/>
      <c r="F58" s="114">
        <f>+'Link in'!C47</f>
        <v>312.25</v>
      </c>
      <c r="G58" s="91">
        <f t="shared" si="7"/>
        <v>0</v>
      </c>
      <c r="H58" s="91"/>
      <c r="I58" s="95">
        <f t="shared" si="8"/>
        <v>0</v>
      </c>
      <c r="J58" s="96"/>
      <c r="K58" s="114">
        <f t="shared" si="9"/>
        <v>373.4</v>
      </c>
      <c r="L58" s="95">
        <f t="shared" si="10"/>
        <v>0</v>
      </c>
      <c r="M58" s="91"/>
      <c r="N58" s="95">
        <f>'Link in'!M16</f>
        <v>0</v>
      </c>
      <c r="O58" s="92"/>
      <c r="P58" s="113">
        <f t="shared" si="14"/>
        <v>0</v>
      </c>
      <c r="Q58" s="91">
        <f>+[2]Summary!M35+[2]Summary!M292+[2]Summary!M360+[2]Summary!M498</f>
        <v>0</v>
      </c>
      <c r="R58" s="91"/>
      <c r="S58" s="91">
        <f t="shared" si="11"/>
        <v>0</v>
      </c>
      <c r="T58" s="96"/>
      <c r="U58" s="114">
        <f>'Link in'!J47</f>
        <v>373.4</v>
      </c>
      <c r="V58" s="91">
        <f t="shared" si="12"/>
        <v>0</v>
      </c>
      <c r="W58" s="95"/>
      <c r="X58" s="91">
        <f t="shared" si="13"/>
        <v>0</v>
      </c>
      <c r="Y58" s="96"/>
      <c r="Z58" s="112">
        <f t="shared" si="6"/>
        <v>0</v>
      </c>
      <c r="AA58" s="19"/>
    </row>
    <row r="59" spans="1:27" ht="14.4" x14ac:dyDescent="0.3">
      <c r="A59" s="104">
        <v>10</v>
      </c>
      <c r="B59" s="79" t="s">
        <v>37</v>
      </c>
      <c r="C59" s="91"/>
      <c r="D59" s="95">
        <f>'Link in'!C17</f>
        <v>36</v>
      </c>
      <c r="E59" s="96"/>
      <c r="F59" s="114">
        <f>+'Link in'!C48</f>
        <v>624.5</v>
      </c>
      <c r="G59" s="91">
        <f t="shared" si="7"/>
        <v>22482</v>
      </c>
      <c r="H59" s="91"/>
      <c r="I59" s="95">
        <f t="shared" si="8"/>
        <v>36</v>
      </c>
      <c r="J59" s="96"/>
      <c r="K59" s="114">
        <f t="shared" si="9"/>
        <v>746.7</v>
      </c>
      <c r="L59" s="95">
        <f t="shared" si="10"/>
        <v>26881</v>
      </c>
      <c r="M59" s="91"/>
      <c r="N59" s="95">
        <f>'Link in'!M17</f>
        <v>36</v>
      </c>
      <c r="O59" s="92"/>
      <c r="P59" s="113">
        <f t="shared" si="14"/>
        <v>624.5</v>
      </c>
      <c r="Q59" s="91">
        <f>+[2]Summary!M36+[2]Summary!M293+[2]Summary!M361+[2]Summary!M499</f>
        <v>22482</v>
      </c>
      <c r="R59" s="91"/>
      <c r="S59" s="91">
        <f t="shared" si="11"/>
        <v>36</v>
      </c>
      <c r="T59" s="96"/>
      <c r="U59" s="114">
        <f>'Link in'!J48</f>
        <v>746.7</v>
      </c>
      <c r="V59" s="91">
        <f t="shared" si="12"/>
        <v>26881</v>
      </c>
      <c r="W59" s="95"/>
      <c r="X59" s="91">
        <f t="shared" si="13"/>
        <v>4399</v>
      </c>
      <c r="Y59" s="96"/>
      <c r="Z59" s="112">
        <f t="shared" si="6"/>
        <v>0.19570000000000001</v>
      </c>
      <c r="AA59" s="19"/>
    </row>
    <row r="60" spans="1:27" ht="14.4" x14ac:dyDescent="0.3">
      <c r="A60" s="104">
        <v>11</v>
      </c>
      <c r="B60" s="79" t="s">
        <v>38</v>
      </c>
      <c r="C60" s="91"/>
      <c r="D60" s="95">
        <f>'Link in'!C18</f>
        <v>12</v>
      </c>
      <c r="E60" s="96"/>
      <c r="F60" s="114">
        <f>+'Link in'!C49</f>
        <v>999.2</v>
      </c>
      <c r="G60" s="91">
        <f t="shared" si="7"/>
        <v>11990</v>
      </c>
      <c r="H60" s="91"/>
      <c r="I60" s="95">
        <f t="shared" si="8"/>
        <v>12</v>
      </c>
      <c r="J60" s="96"/>
      <c r="K60" s="114">
        <f t="shared" si="9"/>
        <v>1194.7</v>
      </c>
      <c r="L60" s="95">
        <f t="shared" si="10"/>
        <v>14336</v>
      </c>
      <c r="M60" s="91"/>
      <c r="N60" s="95">
        <f>'Link in'!M18</f>
        <v>12</v>
      </c>
      <c r="O60" s="92"/>
      <c r="P60" s="113">
        <f t="shared" si="14"/>
        <v>999.16666666666663</v>
      </c>
      <c r="Q60" s="91">
        <f>+[2]Summary!M37+[2]Summary!M294+[2]Summary!M362+[2]Summary!M500</f>
        <v>11990</v>
      </c>
      <c r="R60" s="91"/>
      <c r="S60" s="91">
        <f t="shared" si="11"/>
        <v>12</v>
      </c>
      <c r="T60" s="96"/>
      <c r="U60" s="114">
        <f>'Link in'!J49</f>
        <v>1194.7</v>
      </c>
      <c r="V60" s="91">
        <f t="shared" si="12"/>
        <v>14336</v>
      </c>
      <c r="W60" s="95"/>
      <c r="X60" s="91">
        <f t="shared" si="13"/>
        <v>2346</v>
      </c>
      <c r="Y60" s="96"/>
      <c r="Z60" s="112">
        <f t="shared" si="6"/>
        <v>0.19570000000000001</v>
      </c>
      <c r="AA60" s="19"/>
    </row>
    <row r="61" spans="1:27" ht="14.4" x14ac:dyDescent="0.3">
      <c r="A61" s="104">
        <v>12</v>
      </c>
      <c r="B61" s="79" t="s">
        <v>113</v>
      </c>
      <c r="C61" s="91"/>
      <c r="D61" s="95"/>
      <c r="E61" s="96"/>
      <c r="F61" s="114"/>
      <c r="G61" s="91"/>
      <c r="H61" s="91"/>
      <c r="I61" s="95"/>
      <c r="J61" s="96"/>
      <c r="K61" s="114"/>
      <c r="L61" s="95"/>
      <c r="M61" s="91"/>
      <c r="N61" s="91"/>
      <c r="O61" s="92"/>
      <c r="P61" s="113"/>
      <c r="Q61" s="113"/>
      <c r="R61" s="91"/>
      <c r="S61" s="91"/>
      <c r="T61" s="96"/>
      <c r="U61" s="114"/>
      <c r="V61" s="91"/>
      <c r="W61" s="95"/>
      <c r="X61" s="91">
        <f t="shared" si="13"/>
        <v>0</v>
      </c>
      <c r="Y61" s="96"/>
      <c r="Z61" s="112">
        <f t="shared" si="6"/>
        <v>0</v>
      </c>
      <c r="AA61" s="19"/>
    </row>
    <row r="62" spans="1:27" ht="14.4" x14ac:dyDescent="0.3">
      <c r="A62" s="104">
        <v>13</v>
      </c>
      <c r="B62" s="79"/>
      <c r="C62" s="91"/>
      <c r="D62" s="95"/>
      <c r="E62" s="96"/>
      <c r="F62" s="114"/>
      <c r="G62" s="91"/>
      <c r="H62" s="91"/>
      <c r="I62" s="95"/>
      <c r="J62" s="96"/>
      <c r="K62" s="114"/>
      <c r="L62" s="95"/>
      <c r="M62" s="91"/>
      <c r="N62" s="91"/>
      <c r="O62" s="92"/>
      <c r="P62" s="113"/>
      <c r="Q62" s="113"/>
      <c r="R62" s="91"/>
      <c r="S62" s="91"/>
      <c r="T62" s="96"/>
      <c r="U62" s="114"/>
      <c r="V62" s="91"/>
      <c r="W62" s="95"/>
      <c r="X62" s="111"/>
      <c r="Y62" s="96"/>
      <c r="Z62" s="112"/>
      <c r="AA62" s="19"/>
    </row>
    <row r="63" spans="1:27" ht="14.4" x14ac:dyDescent="0.3">
      <c r="A63" s="104">
        <v>14</v>
      </c>
      <c r="B63" s="79"/>
      <c r="C63" s="92"/>
      <c r="D63" s="96"/>
      <c r="E63" s="96"/>
      <c r="F63" s="96"/>
      <c r="G63" s="92"/>
      <c r="H63" s="92"/>
      <c r="I63" s="96"/>
      <c r="J63" s="96"/>
      <c r="K63" s="96"/>
      <c r="L63" s="96"/>
      <c r="M63" s="92"/>
      <c r="N63" s="92"/>
      <c r="O63" s="92"/>
      <c r="P63" s="92"/>
      <c r="Q63" s="92"/>
      <c r="R63" s="92"/>
      <c r="S63" s="92"/>
      <c r="T63" s="96"/>
      <c r="U63" s="96"/>
      <c r="V63" s="92"/>
      <c r="W63" s="96"/>
      <c r="X63" s="95"/>
      <c r="Y63" s="96"/>
      <c r="Z63" s="112"/>
      <c r="AA63" s="19"/>
    </row>
    <row r="64" spans="1:27" ht="14.4" x14ac:dyDescent="0.3">
      <c r="A64" s="104">
        <v>15</v>
      </c>
      <c r="B64" s="79"/>
      <c r="C64" s="79"/>
      <c r="D64" s="94"/>
      <c r="E64" s="94"/>
      <c r="F64" s="96"/>
      <c r="G64" s="79"/>
      <c r="H64" s="79"/>
      <c r="I64" s="94"/>
      <c r="J64" s="94"/>
      <c r="K64" s="96"/>
      <c r="L64" s="94"/>
      <c r="M64" s="79"/>
      <c r="N64" s="79"/>
      <c r="O64" s="79"/>
      <c r="P64" s="79"/>
      <c r="Q64" s="79"/>
      <c r="R64" s="79"/>
      <c r="S64" s="79"/>
      <c r="T64" s="94"/>
      <c r="U64" s="94"/>
      <c r="V64" s="79"/>
      <c r="W64" s="94"/>
      <c r="X64" s="94"/>
      <c r="Y64" s="94"/>
      <c r="Z64" s="94"/>
      <c r="AA64" s="19"/>
    </row>
    <row r="65" spans="1:27" ht="14.4" x14ac:dyDescent="0.3">
      <c r="A65" s="104">
        <v>16</v>
      </c>
      <c r="B65" s="110" t="s">
        <v>40</v>
      </c>
      <c r="C65" s="92"/>
      <c r="D65" s="96"/>
      <c r="E65" s="96"/>
      <c r="F65" s="96"/>
      <c r="G65" s="92"/>
      <c r="H65" s="92"/>
      <c r="I65" s="96"/>
      <c r="J65" s="96"/>
      <c r="K65" s="96"/>
      <c r="L65" s="96"/>
      <c r="M65" s="92"/>
      <c r="N65" s="92"/>
      <c r="O65" s="92"/>
      <c r="P65" s="92"/>
      <c r="Q65" s="92"/>
      <c r="R65" s="92"/>
      <c r="S65" s="92"/>
      <c r="T65" s="96"/>
      <c r="U65" s="96"/>
      <c r="V65" s="92"/>
      <c r="W65" s="96"/>
      <c r="X65" s="95"/>
      <c r="Y65" s="96"/>
      <c r="Z65" s="112"/>
      <c r="AA65" s="19"/>
    </row>
    <row r="66" spans="1:27" ht="14.4" x14ac:dyDescent="0.3">
      <c r="A66" s="104">
        <v>17</v>
      </c>
      <c r="B66" s="79" t="s">
        <v>41</v>
      </c>
      <c r="C66" s="97"/>
      <c r="D66" s="96"/>
      <c r="E66" s="95">
        <f>'Link in'!C23</f>
        <v>5592374.5224405704</v>
      </c>
      <c r="F66" s="144">
        <f>+G66/E66</f>
        <v>5.5368768446657723</v>
      </c>
      <c r="G66" s="97">
        <f>ROUND(((E66-'Link in'!B118)*'[2]Link Out'!$E$42),0)+ROUND((('Link in'!B118)*'Link in'!B121),0)</f>
        <v>30964289</v>
      </c>
      <c r="H66" s="97"/>
      <c r="I66" s="96"/>
      <c r="J66" s="95">
        <f>E66</f>
        <v>5592374.5224405704</v>
      </c>
      <c r="K66" s="144">
        <f>U66</f>
        <v>6.3639999999999999</v>
      </c>
      <c r="L66" s="111">
        <f>ROUND((J66*K66),0)</f>
        <v>35589871</v>
      </c>
      <c r="M66" s="97"/>
      <c r="N66" s="92"/>
      <c r="O66" s="95">
        <f>'Link in'!M23</f>
        <v>5614526.6873605531</v>
      </c>
      <c r="P66" s="145">
        <f>+IFERROR(Q66/O66,0)</f>
        <v>5.0408999580803888</v>
      </c>
      <c r="Q66" s="97">
        <f>+[2]Summary!M43+[2]Summary!M300+[2]Summary!M368+[2]Summary!M506</f>
        <v>28302267.342957035</v>
      </c>
      <c r="R66" s="97"/>
      <c r="S66" s="92"/>
      <c r="T66" s="95">
        <f>O66</f>
        <v>5614526.6873605531</v>
      </c>
      <c r="U66" s="144">
        <f>'Link in'!J59</f>
        <v>6.3639999999999999</v>
      </c>
      <c r="V66" s="97">
        <f>ROUND((T66*U66),0)</f>
        <v>35730848</v>
      </c>
      <c r="W66" s="95"/>
      <c r="X66" s="97">
        <f t="shared" ref="X66:X72" si="15">+V66-Q66</f>
        <v>7428580.6570429653</v>
      </c>
      <c r="Y66" s="96"/>
      <c r="Z66" s="112">
        <f t="shared" ref="Z66:Z74" si="16">IF(Q66=0,0,ROUND((X66/Q66),4))</f>
        <v>0.26250000000000001</v>
      </c>
      <c r="AA66" s="19"/>
    </row>
    <row r="67" spans="1:27" ht="14.4" x14ac:dyDescent="0.3">
      <c r="A67" s="104">
        <v>18</v>
      </c>
      <c r="B67" s="79" t="s">
        <v>42</v>
      </c>
      <c r="C67" s="91"/>
      <c r="D67" s="94"/>
      <c r="E67" s="95">
        <f>'Link in'!C24</f>
        <v>8772.7198612315715</v>
      </c>
      <c r="F67" s="144">
        <f>+'Link in'!C70</f>
        <v>11.53</v>
      </c>
      <c r="G67" s="91">
        <f>ROUND((E67*F67),0)</f>
        <v>101149</v>
      </c>
      <c r="H67" s="91"/>
      <c r="I67" s="94"/>
      <c r="J67" s="95">
        <f t="shared" ref="J67:J72" si="17">E67</f>
        <v>8772.7198612315715</v>
      </c>
      <c r="K67" s="122">
        <f>+K66</f>
        <v>6.3639999999999999</v>
      </c>
      <c r="L67" s="95">
        <f>ROUND((J67*K67),0)</f>
        <v>55830</v>
      </c>
      <c r="M67" s="91"/>
      <c r="N67" s="79"/>
      <c r="O67" s="95">
        <f>'Link in'!M24</f>
        <v>17128.212510239955</v>
      </c>
      <c r="P67" s="146">
        <f>+IFERROR(Q67/O67,0)</f>
        <v>11.92021641942716</v>
      </c>
      <c r="Q67" s="91">
        <f>+[2]Summary!M44+[2]Summary!M301+[2]Summary!M369+[2]Summary!M507</f>
        <v>204172</v>
      </c>
      <c r="R67" s="91"/>
      <c r="S67" s="79"/>
      <c r="T67" s="95">
        <f t="shared" ref="T67:T71" si="18">O67</f>
        <v>17128.212510239955</v>
      </c>
      <c r="U67" s="122">
        <f>'Link in'!J60</f>
        <v>6.3639999999999999</v>
      </c>
      <c r="V67" s="91">
        <f>ROUND((T67*U67),0)</f>
        <v>109004</v>
      </c>
      <c r="W67" s="95"/>
      <c r="X67" s="91">
        <f t="shared" si="15"/>
        <v>-95168</v>
      </c>
      <c r="Y67" s="94"/>
      <c r="Z67" s="112">
        <f t="shared" si="16"/>
        <v>-0.46610000000000001</v>
      </c>
      <c r="AA67" s="19"/>
    </row>
    <row r="68" spans="1:27" ht="14.4" x14ac:dyDescent="0.3">
      <c r="A68" s="104">
        <v>19</v>
      </c>
      <c r="B68" s="79" t="s">
        <v>43</v>
      </c>
      <c r="C68" s="91"/>
      <c r="D68" s="94"/>
      <c r="E68" s="95">
        <f>'Link in'!C25</f>
        <v>0</v>
      </c>
      <c r="F68" s="122">
        <f>+'Link in'!C61</f>
        <v>0</v>
      </c>
      <c r="G68" s="91">
        <f>ROUND((E68*F68),0)</f>
        <v>0</v>
      </c>
      <c r="H68" s="91"/>
      <c r="I68" s="94"/>
      <c r="J68" s="95">
        <f t="shared" si="17"/>
        <v>0</v>
      </c>
      <c r="K68" s="122">
        <f t="shared" ref="K68:K71" si="19">U68</f>
        <v>6.3639999999999999</v>
      </c>
      <c r="L68" s="95">
        <f>ROUND((J68*K68),0)</f>
        <v>0</v>
      </c>
      <c r="M68" s="91"/>
      <c r="N68" s="79"/>
      <c r="O68" s="95">
        <f>'Link in'!M25</f>
        <v>0</v>
      </c>
      <c r="P68" s="146">
        <f t="shared" ref="P68:P71" si="20">+IFERROR(Q68/O68,0)</f>
        <v>0</v>
      </c>
      <c r="Q68" s="91">
        <f>+[2]Summary!M45+[2]Summary!M302+[2]Summary!M370+[2]Summary!M508</f>
        <v>0</v>
      </c>
      <c r="R68" s="91"/>
      <c r="S68" s="79"/>
      <c r="T68" s="95">
        <f t="shared" si="18"/>
        <v>0</v>
      </c>
      <c r="U68" s="122">
        <f>'Link in'!J61</f>
        <v>6.3639999999999999</v>
      </c>
      <c r="V68" s="91">
        <f>ROUND((T68*U68),0)</f>
        <v>0</v>
      </c>
      <c r="W68" s="95"/>
      <c r="X68" s="91">
        <f>+V68-Q68</f>
        <v>0</v>
      </c>
      <c r="Y68" s="94"/>
      <c r="Z68" s="112">
        <f t="shared" si="16"/>
        <v>0</v>
      </c>
      <c r="AA68" s="19"/>
    </row>
    <row r="69" spans="1:27" ht="14.4" x14ac:dyDescent="0.3">
      <c r="A69" s="104">
        <v>20</v>
      </c>
      <c r="B69" s="79" t="s">
        <v>44</v>
      </c>
      <c r="C69" s="91"/>
      <c r="D69" s="94"/>
      <c r="E69" s="95">
        <f>'Link in'!C26</f>
        <v>0</v>
      </c>
      <c r="F69" s="122">
        <f>+'Link in'!C62</f>
        <v>0</v>
      </c>
      <c r="G69" s="91">
        <f>ROUND((E69*F69),0)</f>
        <v>0</v>
      </c>
      <c r="H69" s="91"/>
      <c r="I69" s="94"/>
      <c r="J69" s="95">
        <f t="shared" si="17"/>
        <v>0</v>
      </c>
      <c r="K69" s="122">
        <f t="shared" si="19"/>
        <v>6.3639999999999999</v>
      </c>
      <c r="L69" s="95">
        <f>ROUND((J69*K69),0)</f>
        <v>0</v>
      </c>
      <c r="M69" s="91"/>
      <c r="N69" s="79"/>
      <c r="O69" s="95">
        <f>'Link in'!M26</f>
        <v>0</v>
      </c>
      <c r="P69" s="146">
        <f t="shared" si="20"/>
        <v>0</v>
      </c>
      <c r="Q69" s="91">
        <f>+[2]Summary!M46+[2]Summary!M303+[2]Summary!M371+[2]Summary!M509</f>
        <v>0</v>
      </c>
      <c r="R69" s="91"/>
      <c r="S69" s="79"/>
      <c r="T69" s="95">
        <f t="shared" si="18"/>
        <v>0</v>
      </c>
      <c r="U69" s="122">
        <f>'Link in'!J62</f>
        <v>6.3639999999999999</v>
      </c>
      <c r="V69" s="91">
        <f>ROUND((T69*U69),0)</f>
        <v>0</v>
      </c>
      <c r="W69" s="95"/>
      <c r="X69" s="91">
        <f t="shared" si="15"/>
        <v>0</v>
      </c>
      <c r="Y69" s="94"/>
      <c r="Z69" s="112">
        <f t="shared" si="16"/>
        <v>0</v>
      </c>
      <c r="AA69" s="19"/>
    </row>
    <row r="70" spans="1:27" ht="14.4" x14ac:dyDescent="0.3">
      <c r="A70" s="104">
        <v>21</v>
      </c>
      <c r="B70" s="79" t="s">
        <v>96</v>
      </c>
      <c r="C70" s="79"/>
      <c r="D70" s="94"/>
      <c r="E70" s="95">
        <f>'Link in'!C27</f>
        <v>0</v>
      </c>
      <c r="F70" s="122">
        <f>+'Link in'!C63</f>
        <v>0</v>
      </c>
      <c r="G70" s="91">
        <f t="shared" ref="G70:G71" si="21">ROUND((E70*F70),0)</f>
        <v>0</v>
      </c>
      <c r="H70" s="91"/>
      <c r="I70" s="94"/>
      <c r="J70" s="95">
        <f t="shared" si="17"/>
        <v>0</v>
      </c>
      <c r="K70" s="122">
        <f t="shared" si="19"/>
        <v>6.3639999999999999</v>
      </c>
      <c r="L70" s="95">
        <f t="shared" ref="L70:L71" si="22">ROUND((J70*K70),0)</f>
        <v>0</v>
      </c>
      <c r="M70" s="79"/>
      <c r="N70" s="79"/>
      <c r="O70" s="95">
        <f>'Link in'!M27</f>
        <v>0</v>
      </c>
      <c r="P70" s="146">
        <f t="shared" si="20"/>
        <v>0</v>
      </c>
      <c r="Q70" s="91">
        <f>+[2]Summary!M47+[2]Summary!M304+[2]Summary!M372+[2]Summary!M510</f>
        <v>0</v>
      </c>
      <c r="R70" s="79"/>
      <c r="S70" s="79"/>
      <c r="T70" s="95">
        <f t="shared" si="18"/>
        <v>0</v>
      </c>
      <c r="U70" s="122">
        <f>'Link in'!J63</f>
        <v>6.3639999999999999</v>
      </c>
      <c r="V70" s="91">
        <f t="shared" ref="V70:V71" si="23">ROUND((T70*U70),0)</f>
        <v>0</v>
      </c>
      <c r="W70" s="94"/>
      <c r="X70" s="91">
        <f t="shared" si="15"/>
        <v>0</v>
      </c>
      <c r="Y70" s="94"/>
      <c r="Z70" s="112">
        <f t="shared" si="16"/>
        <v>0</v>
      </c>
      <c r="AA70" s="19"/>
    </row>
    <row r="71" spans="1:27" ht="14.4" x14ac:dyDescent="0.3">
      <c r="A71" s="104">
        <v>22</v>
      </c>
      <c r="B71" s="79" t="s">
        <v>101</v>
      </c>
      <c r="C71" s="79"/>
      <c r="D71" s="94"/>
      <c r="E71" s="95">
        <f>'Link in'!C28</f>
        <v>0</v>
      </c>
      <c r="F71" s="122">
        <f>+'Link in'!C64</f>
        <v>0</v>
      </c>
      <c r="G71" s="91">
        <f t="shared" si="21"/>
        <v>0</v>
      </c>
      <c r="H71" s="91"/>
      <c r="I71" s="94"/>
      <c r="J71" s="95">
        <f t="shared" si="17"/>
        <v>0</v>
      </c>
      <c r="K71" s="122">
        <f t="shared" si="19"/>
        <v>6.3639999999999999</v>
      </c>
      <c r="L71" s="95">
        <f t="shared" si="22"/>
        <v>0</v>
      </c>
      <c r="M71" s="79"/>
      <c r="N71" s="79"/>
      <c r="O71" s="95">
        <f>'Link in'!M28</f>
        <v>0</v>
      </c>
      <c r="P71" s="146">
        <f t="shared" si="20"/>
        <v>0</v>
      </c>
      <c r="Q71" s="91">
        <f>+[2]Summary!M48+[2]Summary!M305+[2]Summary!M373+[2]Summary!M511</f>
        <v>0</v>
      </c>
      <c r="R71" s="79"/>
      <c r="S71" s="79"/>
      <c r="T71" s="95">
        <f t="shared" si="18"/>
        <v>0</v>
      </c>
      <c r="U71" s="122">
        <f>'Link in'!J64</f>
        <v>6.3639999999999999</v>
      </c>
      <c r="V71" s="91">
        <f t="shared" si="23"/>
        <v>0</v>
      </c>
      <c r="W71" s="94"/>
      <c r="X71" s="91">
        <f t="shared" si="15"/>
        <v>0</v>
      </c>
      <c r="Y71" s="94"/>
      <c r="Z71" s="112">
        <f t="shared" si="16"/>
        <v>0</v>
      </c>
      <c r="AA71" s="89"/>
    </row>
    <row r="72" spans="1:27" ht="14.4" x14ac:dyDescent="0.3">
      <c r="A72" s="104">
        <v>23</v>
      </c>
      <c r="B72" s="94" t="s">
        <v>108</v>
      </c>
      <c r="C72" s="123"/>
      <c r="D72" s="94"/>
      <c r="E72" s="94">
        <f>'Link in'!C32</f>
        <v>26347.721311008823</v>
      </c>
      <c r="F72" s="122"/>
      <c r="G72" s="123">
        <f>'Link in'!C34</f>
        <v>3659.1856821875485</v>
      </c>
      <c r="H72" s="123"/>
      <c r="I72" s="94"/>
      <c r="J72" s="95">
        <f t="shared" si="17"/>
        <v>26347.721311008823</v>
      </c>
      <c r="K72" s="144"/>
      <c r="L72" s="123">
        <f>G72</f>
        <v>3659.1856821875485</v>
      </c>
      <c r="M72" s="123"/>
      <c r="N72" s="94"/>
      <c r="O72" s="94"/>
      <c r="P72" s="106"/>
      <c r="Q72" s="91">
        <f>+[2]Summary!M49+[2]Summary!M306+[2]Summary!M374+[2]Summary!M512</f>
        <v>0</v>
      </c>
      <c r="R72" s="123"/>
      <c r="S72" s="94"/>
      <c r="T72" s="94">
        <f>O72</f>
        <v>0</v>
      </c>
      <c r="U72" s="106"/>
      <c r="V72" s="123">
        <f>Q72</f>
        <v>0</v>
      </c>
      <c r="W72" s="123"/>
      <c r="X72" s="123">
        <f t="shared" si="15"/>
        <v>0</v>
      </c>
      <c r="Y72" s="94"/>
      <c r="Z72" s="112">
        <f t="shared" si="16"/>
        <v>0</v>
      </c>
      <c r="AA72" s="19"/>
    </row>
    <row r="73" spans="1:27" ht="14.4" x14ac:dyDescent="0.3">
      <c r="A73" s="104">
        <v>24</v>
      </c>
      <c r="B73" s="79"/>
      <c r="C73" s="133"/>
      <c r="D73" s="79"/>
      <c r="E73" s="79"/>
      <c r="F73" s="133"/>
      <c r="G73" s="133"/>
      <c r="H73" s="133"/>
      <c r="I73" s="94"/>
      <c r="J73" s="94"/>
      <c r="K73" s="124"/>
      <c r="L73" s="124"/>
      <c r="M73" s="133"/>
      <c r="N73" s="79"/>
      <c r="O73" s="79"/>
      <c r="P73" s="133"/>
      <c r="Q73" s="133"/>
      <c r="R73" s="133"/>
      <c r="S73" s="79"/>
      <c r="T73" s="79"/>
      <c r="U73" s="133"/>
      <c r="V73" s="133"/>
      <c r="W73" s="124"/>
      <c r="X73" s="95"/>
      <c r="Y73" s="94"/>
      <c r="Z73" s="112"/>
      <c r="AA73" s="19"/>
    </row>
    <row r="74" spans="1:27" ht="15" thickBot="1" x14ac:dyDescent="0.35">
      <c r="A74" s="104">
        <v>25</v>
      </c>
      <c r="B74" s="79" t="s">
        <v>1</v>
      </c>
      <c r="C74" s="137"/>
      <c r="D74" s="147"/>
      <c r="E74" s="148">
        <f>SUM(E66:E73)</f>
        <v>5627494.9636128107</v>
      </c>
      <c r="F74" s="137"/>
      <c r="G74" s="149">
        <f>SUM(G52:G73)</f>
        <v>49739989.185682185</v>
      </c>
      <c r="H74" s="137"/>
      <c r="I74" s="150"/>
      <c r="J74" s="151">
        <f>SUM(J66:J73)</f>
        <v>5627494.9636128107</v>
      </c>
      <c r="K74" s="126"/>
      <c r="L74" s="152">
        <f>SUM(L52:L73)</f>
        <v>57929874.185682185</v>
      </c>
      <c r="M74" s="137"/>
      <c r="N74" s="147"/>
      <c r="O74" s="148">
        <f>SUM(O66:O73)</f>
        <v>5631654.8998707933</v>
      </c>
      <c r="P74" s="137"/>
      <c r="Q74" s="149">
        <f>SUM(Q52:Q73)</f>
        <v>47551194.342957035</v>
      </c>
      <c r="R74" s="137"/>
      <c r="S74" s="147"/>
      <c r="T74" s="148">
        <f>SUM(T66:T73)</f>
        <v>5631654.8998707933</v>
      </c>
      <c r="U74" s="137"/>
      <c r="V74" s="149">
        <f>SUM(V52:V73)</f>
        <v>58459636</v>
      </c>
      <c r="W74" s="126"/>
      <c r="X74" s="152">
        <f>SUM(X52:X73)</f>
        <v>10908441.657042965</v>
      </c>
      <c r="Y74" s="94"/>
      <c r="Z74" s="136">
        <f t="shared" si="16"/>
        <v>0.22939999999999999</v>
      </c>
      <c r="AA74" s="19"/>
    </row>
    <row r="75" spans="1:27" ht="15" thickTop="1" x14ac:dyDescent="0.3">
      <c r="A75" s="104"/>
      <c r="B75" s="79"/>
      <c r="C75" s="91"/>
      <c r="D75" s="79"/>
      <c r="E75" s="79"/>
      <c r="F75" s="131"/>
      <c r="G75" s="91"/>
      <c r="H75" s="91"/>
      <c r="I75" s="91"/>
      <c r="J75" s="91"/>
      <c r="K75" s="91"/>
      <c r="L75" s="91"/>
      <c r="M75" s="91"/>
      <c r="N75" s="91"/>
      <c r="O75" s="79"/>
      <c r="P75" s="131"/>
      <c r="Q75" s="91"/>
      <c r="R75" s="91"/>
      <c r="S75" s="79"/>
      <c r="T75" s="79"/>
      <c r="U75" s="131"/>
      <c r="V75" s="91"/>
      <c r="W75" s="94"/>
      <c r="X75" s="95"/>
      <c r="Y75" s="94"/>
      <c r="Z75" s="112"/>
      <c r="AA75" s="19"/>
    </row>
    <row r="76" spans="1:27" ht="14.4" x14ac:dyDescent="0.3">
      <c r="A76" s="104"/>
      <c r="B76" s="79"/>
      <c r="C76" s="91"/>
      <c r="D76" s="104"/>
      <c r="E76" s="79"/>
      <c r="F76" s="131"/>
      <c r="G76" s="91"/>
      <c r="H76" s="91"/>
      <c r="I76" s="91"/>
      <c r="J76" s="91"/>
      <c r="K76" s="91"/>
      <c r="L76" s="91"/>
      <c r="M76" s="91"/>
      <c r="N76" s="91"/>
      <c r="O76" s="79"/>
      <c r="P76" s="131"/>
      <c r="Q76" s="91"/>
      <c r="R76" s="91"/>
      <c r="S76" s="104"/>
      <c r="T76" s="79"/>
      <c r="U76" s="131"/>
      <c r="V76" s="91"/>
      <c r="W76" s="94"/>
      <c r="X76" s="95"/>
      <c r="Y76" s="94"/>
      <c r="Z76" s="112"/>
      <c r="AA76" s="19"/>
    </row>
    <row r="77" spans="1:27" ht="14.4" x14ac:dyDescent="0.3">
      <c r="A77" s="104"/>
      <c r="B77" s="79"/>
      <c r="C77" s="79"/>
      <c r="D77" s="79"/>
      <c r="E77" s="79"/>
      <c r="F77" s="153"/>
      <c r="G77" s="79"/>
      <c r="H77" s="79"/>
      <c r="I77" s="79"/>
      <c r="J77" s="79"/>
      <c r="K77" s="79"/>
      <c r="L77" s="79"/>
      <c r="M77" s="79"/>
      <c r="N77" s="79"/>
      <c r="O77" s="79"/>
      <c r="P77" s="153"/>
      <c r="Q77" s="79"/>
      <c r="R77" s="79"/>
      <c r="S77" s="79"/>
      <c r="T77" s="79"/>
      <c r="U77" s="153"/>
      <c r="V77" s="79"/>
      <c r="W77" s="94"/>
      <c r="X77" s="95"/>
      <c r="Y77" s="94"/>
      <c r="Z77" s="112"/>
      <c r="AA77" s="19"/>
    </row>
    <row r="78" spans="1:27" ht="14.4" x14ac:dyDescent="0.3">
      <c r="A78" s="104"/>
      <c r="B78" s="79"/>
      <c r="C78" s="79"/>
      <c r="D78" s="79"/>
      <c r="E78" s="79"/>
      <c r="F78" s="153"/>
      <c r="G78" s="79"/>
      <c r="H78" s="79"/>
      <c r="I78" s="79"/>
      <c r="J78" s="79"/>
      <c r="K78" s="79"/>
      <c r="L78" s="79"/>
      <c r="M78" s="79"/>
      <c r="N78" s="79"/>
      <c r="O78" s="79"/>
      <c r="P78" s="153"/>
      <c r="Q78" s="79"/>
      <c r="R78" s="79"/>
      <c r="S78" s="79"/>
      <c r="T78" s="79"/>
      <c r="U78" s="153"/>
      <c r="V78" s="79"/>
      <c r="W78" s="94"/>
      <c r="X78" s="95"/>
      <c r="Y78" s="94"/>
      <c r="Z78" s="112"/>
      <c r="AA78" s="19"/>
    </row>
    <row r="79" spans="1:27" ht="14.4" x14ac:dyDescent="0.3">
      <c r="A79" s="333" t="str">
        <f>A40</f>
        <v>Kentucky American Water Company</v>
      </c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</row>
    <row r="80" spans="1:27" ht="14.4" x14ac:dyDescent="0.3">
      <c r="A80" s="333" t="s">
        <v>77</v>
      </c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</row>
    <row r="81" spans="1:26" ht="14.4" x14ac:dyDescent="0.3">
      <c r="A81" s="333" t="str">
        <f>A42</f>
        <v>Case No. 2018-00358</v>
      </c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</row>
    <row r="82" spans="1:26" ht="14.4" x14ac:dyDescent="0.3">
      <c r="A82" s="333" t="str">
        <f>A43</f>
        <v>Base Year for the 12 Months Ended February 28, 2019 and Forecast Year for the 12 Months Ended June 30, 2020</v>
      </c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</row>
    <row r="83" spans="1:26" ht="14.4" x14ac:dyDescent="0.3">
      <c r="A83" s="109" t="str">
        <f>A44</f>
        <v>Witness Responsible:   Melissa Schwarzell</v>
      </c>
      <c r="B83" s="79"/>
      <c r="C83" s="79"/>
      <c r="D83" s="79"/>
      <c r="E83" s="79"/>
      <c r="F83" s="79"/>
      <c r="G83" s="79"/>
      <c r="H83" s="79"/>
      <c r="I83" s="335" t="str">
        <f>"ALL CUSTOMERS ("&amp;LEFT(B89,SEARCH(":",B89,1)-1)&amp;")"</f>
        <v>ALL CUSTOMERS (Commercial)</v>
      </c>
      <c r="J83" s="335"/>
      <c r="K83" s="335"/>
      <c r="L83" s="335"/>
      <c r="M83" s="335"/>
      <c r="N83" s="335"/>
      <c r="O83" s="335"/>
      <c r="P83" s="335"/>
      <c r="Q83" s="335"/>
      <c r="R83" s="79"/>
      <c r="S83" s="79"/>
      <c r="T83" s="79"/>
      <c r="U83" s="79"/>
      <c r="V83" s="79"/>
      <c r="W83" s="94"/>
      <c r="X83" s="94"/>
      <c r="Y83" s="94"/>
      <c r="Z83" s="99" t="str">
        <f>Z44</f>
        <v>Exhibit 37, Schedule M-3</v>
      </c>
    </row>
    <row r="84" spans="1:26" ht="14.4" x14ac:dyDescent="0.3">
      <c r="A84" s="139" t="str">
        <f>A45</f>
        <v/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01"/>
      <c r="X84" s="101"/>
      <c r="Y84" s="101"/>
      <c r="Z84" s="141" t="str">
        <f ca="1">Z45</f>
        <v>Revenues\[KAWC 2018 Rate Case - Revenue.xlsx]Sch M</v>
      </c>
    </row>
    <row r="85" spans="1:26" ht="14.4" x14ac:dyDescent="0.3">
      <c r="A85" s="79"/>
      <c r="B85" s="79"/>
      <c r="C85" s="104"/>
      <c r="D85" s="328" t="s">
        <v>174</v>
      </c>
      <c r="E85" s="328" t="s">
        <v>97</v>
      </c>
      <c r="F85" s="328"/>
      <c r="G85" s="328"/>
      <c r="H85" s="104"/>
      <c r="I85" s="336" t="s">
        <v>173</v>
      </c>
      <c r="J85" s="336" t="s">
        <v>97</v>
      </c>
      <c r="K85" s="336"/>
      <c r="L85" s="336"/>
      <c r="M85" s="104"/>
      <c r="N85" s="328" t="s">
        <v>120</v>
      </c>
      <c r="O85" s="328" t="s">
        <v>98</v>
      </c>
      <c r="P85" s="328"/>
      <c r="Q85" s="328"/>
      <c r="R85" s="104"/>
      <c r="S85" s="328" t="s">
        <v>121</v>
      </c>
      <c r="T85" s="328" t="s">
        <v>99</v>
      </c>
      <c r="U85" s="328"/>
      <c r="V85" s="328"/>
      <c r="W85" s="105"/>
      <c r="X85" s="105"/>
      <c r="Y85" s="94"/>
      <c r="Z85" s="94"/>
    </row>
    <row r="86" spans="1:26" ht="14.4" x14ac:dyDescent="0.3">
      <c r="A86" s="79"/>
      <c r="B86" s="79"/>
      <c r="C86" s="104"/>
      <c r="D86" s="104" t="s">
        <v>27</v>
      </c>
      <c r="E86" s="104"/>
      <c r="F86" s="104"/>
      <c r="G86" s="104"/>
      <c r="H86" s="104"/>
      <c r="I86" s="106" t="s">
        <v>27</v>
      </c>
      <c r="J86" s="106"/>
      <c r="K86" s="106"/>
      <c r="L86" s="106"/>
      <c r="M86" s="104"/>
      <c r="N86" s="104" t="s">
        <v>27</v>
      </c>
      <c r="O86" s="104"/>
      <c r="P86" s="104"/>
      <c r="Q86" s="104"/>
      <c r="R86" s="104"/>
      <c r="S86" s="104" t="s">
        <v>27</v>
      </c>
      <c r="T86" s="104"/>
      <c r="U86" s="104"/>
      <c r="V86" s="104"/>
      <c r="W86" s="106"/>
      <c r="X86" s="106"/>
      <c r="Y86" s="94"/>
      <c r="Z86" s="94"/>
    </row>
    <row r="87" spans="1:26" ht="14.4" x14ac:dyDescent="0.3">
      <c r="A87" s="79"/>
      <c r="B87" s="104" t="s">
        <v>24</v>
      </c>
      <c r="C87" s="104"/>
      <c r="D87" s="104" t="s">
        <v>28</v>
      </c>
      <c r="E87" s="104" t="s">
        <v>39</v>
      </c>
      <c r="F87" s="104" t="s">
        <v>45</v>
      </c>
      <c r="G87" s="104" t="s">
        <v>1</v>
      </c>
      <c r="H87" s="104"/>
      <c r="I87" s="106" t="s">
        <v>28</v>
      </c>
      <c r="J87" s="106" t="s">
        <v>39</v>
      </c>
      <c r="K87" s="106" t="s">
        <v>175</v>
      </c>
      <c r="L87" s="106" t="s">
        <v>1</v>
      </c>
      <c r="M87" s="104"/>
      <c r="N87" s="104" t="s">
        <v>28</v>
      </c>
      <c r="O87" s="104" t="s">
        <v>39</v>
      </c>
      <c r="P87" s="104" t="s">
        <v>45</v>
      </c>
      <c r="Q87" s="104" t="s">
        <v>1</v>
      </c>
      <c r="R87" s="104"/>
      <c r="S87" s="104" t="s">
        <v>28</v>
      </c>
      <c r="T87" s="104" t="s">
        <v>39</v>
      </c>
      <c r="U87" s="104" t="s">
        <v>73</v>
      </c>
      <c r="V87" s="104" t="s">
        <v>1</v>
      </c>
      <c r="W87" s="106"/>
      <c r="X87" s="106" t="s">
        <v>51</v>
      </c>
      <c r="Y87" s="94"/>
      <c r="Z87" s="106" t="s">
        <v>53</v>
      </c>
    </row>
    <row r="88" spans="1:26" ht="14.4" x14ac:dyDescent="0.3">
      <c r="A88" s="107" t="s">
        <v>0</v>
      </c>
      <c r="B88" s="107" t="s">
        <v>2</v>
      </c>
      <c r="C88" s="104"/>
      <c r="D88" s="107" t="s">
        <v>29</v>
      </c>
      <c r="E88" s="107" t="str">
        <f>E49</f>
        <v>('000 Gal)</v>
      </c>
      <c r="F88" s="107" t="s">
        <v>46</v>
      </c>
      <c r="G88" s="107" t="s">
        <v>47</v>
      </c>
      <c r="H88" s="104"/>
      <c r="I88" s="108" t="s">
        <v>29</v>
      </c>
      <c r="J88" s="108" t="str">
        <f>J49</f>
        <v>('000 Gal)</v>
      </c>
      <c r="K88" s="108" t="s">
        <v>46</v>
      </c>
      <c r="L88" s="108" t="s">
        <v>47</v>
      </c>
      <c r="M88" s="104"/>
      <c r="N88" s="107" t="s">
        <v>29</v>
      </c>
      <c r="O88" s="107" t="str">
        <f>E88</f>
        <v>('000 Gal)</v>
      </c>
      <c r="P88" s="107" t="s">
        <v>46</v>
      </c>
      <c r="Q88" s="107" t="s">
        <v>47</v>
      </c>
      <c r="R88" s="104"/>
      <c r="S88" s="107" t="s">
        <v>29</v>
      </c>
      <c r="T88" s="107" t="str">
        <f>O88</f>
        <v>('000 Gal)</v>
      </c>
      <c r="U88" s="107" t="s">
        <v>46</v>
      </c>
      <c r="V88" s="107" t="s">
        <v>47</v>
      </c>
      <c r="W88" s="106"/>
      <c r="X88" s="108" t="s">
        <v>52</v>
      </c>
      <c r="Y88" s="94"/>
      <c r="Z88" s="108" t="s">
        <v>52</v>
      </c>
    </row>
    <row r="89" spans="1:26" ht="14.4" x14ac:dyDescent="0.3">
      <c r="A89" s="104">
        <v>1</v>
      </c>
      <c r="B89" s="109" t="s">
        <v>54</v>
      </c>
      <c r="C89" s="104"/>
      <c r="D89" s="79"/>
      <c r="E89" s="104"/>
      <c r="F89" s="104"/>
      <c r="G89" s="104"/>
      <c r="H89" s="104"/>
      <c r="I89" s="106"/>
      <c r="J89" s="106"/>
      <c r="K89" s="106"/>
      <c r="L89" s="106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6"/>
      <c r="X89" s="106"/>
      <c r="Y89" s="94"/>
      <c r="Z89" s="106"/>
    </row>
    <row r="90" spans="1:26" ht="14.4" x14ac:dyDescent="0.3">
      <c r="A90" s="104">
        <v>2</v>
      </c>
      <c r="B90" s="110" t="s">
        <v>26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94"/>
      <c r="X90" s="94"/>
      <c r="Y90" s="94"/>
      <c r="Z90" s="94"/>
    </row>
    <row r="91" spans="1:26" ht="14.4" x14ac:dyDescent="0.3">
      <c r="A91" s="104">
        <v>3</v>
      </c>
      <c r="B91" s="79" t="s">
        <v>30</v>
      </c>
      <c r="C91" s="97"/>
      <c r="D91" s="95">
        <f>'Link in'!D10</f>
        <v>55408.445003629968</v>
      </c>
      <c r="E91" s="96"/>
      <c r="F91" s="142">
        <f>+G91/D91</f>
        <v>13.691035724794334</v>
      </c>
      <c r="G91" s="111">
        <f>ROUND(((D91-'Link in'!D115)*'[2]Link Out'!$E$63),0)+ROUND((('Link in'!D115)*'Link in'!D116),0)</f>
        <v>758599</v>
      </c>
      <c r="H91" s="97"/>
      <c r="I91" s="95">
        <f>D91</f>
        <v>55408.445003629968</v>
      </c>
      <c r="J91" s="96"/>
      <c r="K91" s="142">
        <f>U91</f>
        <v>15</v>
      </c>
      <c r="L91" s="111">
        <f>ROUND((I91*K91),0)</f>
        <v>831127</v>
      </c>
      <c r="M91" s="97"/>
      <c r="N91" s="95">
        <f>'Link in'!N10</f>
        <v>55239</v>
      </c>
      <c r="O91" s="96"/>
      <c r="P91" s="143">
        <f>+IFERROR(Q91/N91,0)</f>
        <v>13.700012672206231</v>
      </c>
      <c r="Q91" s="97">
        <f>+[2]Summary!M64+[2]Summary!M321+[2]Summary!M389+[2]Summary!M527</f>
        <v>756775</v>
      </c>
      <c r="R91" s="97"/>
      <c r="S91" s="91">
        <f>N91</f>
        <v>55239</v>
      </c>
      <c r="T91" s="92"/>
      <c r="U91" s="142">
        <f>'Link in'!K41</f>
        <v>15</v>
      </c>
      <c r="V91" s="97">
        <f>ROUND((S91*U91),0)</f>
        <v>828585</v>
      </c>
      <c r="W91" s="111"/>
      <c r="X91" s="97">
        <f>+V91-Q91</f>
        <v>71810</v>
      </c>
      <c r="Y91" s="96"/>
      <c r="Z91" s="112">
        <f t="shared" ref="Z91:Z100" si="24">IF(Q91=0,0,ROUND((X91/Q91),4))</f>
        <v>9.4899999999999998E-2</v>
      </c>
    </row>
    <row r="92" spans="1:26" ht="14.4" x14ac:dyDescent="0.3">
      <c r="A92" s="104">
        <v>4</v>
      </c>
      <c r="B92" s="79" t="s">
        <v>31</v>
      </c>
      <c r="C92" s="91"/>
      <c r="D92" s="95">
        <f>'Link in'!D11</f>
        <v>0</v>
      </c>
      <c r="E92" s="96"/>
      <c r="F92" s="114">
        <f>'Link in'!D42</f>
        <v>20.46</v>
      </c>
      <c r="G92" s="95">
        <f t="shared" ref="G92:G99" si="25">ROUND((D92*F92),0)</f>
        <v>0</v>
      </c>
      <c r="H92" s="91"/>
      <c r="I92" s="95">
        <f t="shared" ref="I92:I99" si="26">D92</f>
        <v>0</v>
      </c>
      <c r="J92" s="96"/>
      <c r="K92" s="114">
        <f t="shared" ref="K92:K99" si="27">U92</f>
        <v>22.4</v>
      </c>
      <c r="L92" s="95">
        <f t="shared" ref="L92:L99" si="28">ROUND((I92*K92),0)</f>
        <v>0</v>
      </c>
      <c r="M92" s="91"/>
      <c r="N92" s="95">
        <f>'Link in'!N11</f>
        <v>0</v>
      </c>
      <c r="O92" s="96"/>
      <c r="P92" s="113">
        <f>+IFERROR(Q92/N92,0)</f>
        <v>0</v>
      </c>
      <c r="Q92" s="91">
        <f>+[2]Summary!M65+[2]Summary!M322+[2]Summary!M390+[2]Summary!M528</f>
        <v>0</v>
      </c>
      <c r="R92" s="91"/>
      <c r="S92" s="91">
        <f t="shared" ref="S92:S99" si="29">N92</f>
        <v>0</v>
      </c>
      <c r="T92" s="92"/>
      <c r="U92" s="114">
        <f>'Link in'!K42</f>
        <v>22.4</v>
      </c>
      <c r="V92" s="91">
        <f t="shared" ref="V92:V99" si="30">ROUND((S92*U92),0)</f>
        <v>0</v>
      </c>
      <c r="W92" s="95"/>
      <c r="X92" s="91">
        <f t="shared" ref="X92:X100" si="31">+V92-Q92</f>
        <v>0</v>
      </c>
      <c r="Y92" s="96"/>
      <c r="Z92" s="112">
        <f t="shared" si="24"/>
        <v>0</v>
      </c>
    </row>
    <row r="93" spans="1:26" ht="14.4" x14ac:dyDescent="0.3">
      <c r="A93" s="104">
        <v>5</v>
      </c>
      <c r="B93" s="79" t="s">
        <v>32</v>
      </c>
      <c r="C93" s="91"/>
      <c r="D93" s="95">
        <f>'Link in'!D12</f>
        <v>29048.959495157029</v>
      </c>
      <c r="E93" s="96"/>
      <c r="F93" s="114">
        <f>'Link in'!D43</f>
        <v>34.07</v>
      </c>
      <c r="G93" s="95">
        <f t="shared" si="25"/>
        <v>989698</v>
      </c>
      <c r="H93" s="91"/>
      <c r="I93" s="95">
        <f t="shared" si="26"/>
        <v>29048.959495157029</v>
      </c>
      <c r="J93" s="96"/>
      <c r="K93" s="114">
        <f t="shared" si="27"/>
        <v>37.299999999999997</v>
      </c>
      <c r="L93" s="95">
        <f t="shared" si="28"/>
        <v>1083526</v>
      </c>
      <c r="M93" s="91"/>
      <c r="N93" s="95">
        <f>'Link in'!N12</f>
        <v>29094</v>
      </c>
      <c r="O93" s="96"/>
      <c r="P93" s="113">
        <f t="shared" ref="P93:P99" si="32">+IFERROR(Q93/N93,0)</f>
        <v>34.070014435966179</v>
      </c>
      <c r="Q93" s="91">
        <f>+[2]Summary!M66+[2]Summary!M323+[2]Summary!M391+[2]Summary!M529</f>
        <v>991233</v>
      </c>
      <c r="R93" s="91"/>
      <c r="S93" s="91">
        <f t="shared" si="29"/>
        <v>29094</v>
      </c>
      <c r="T93" s="92"/>
      <c r="U93" s="114">
        <f>'Link in'!K43</f>
        <v>37.299999999999997</v>
      </c>
      <c r="V93" s="91">
        <f t="shared" si="30"/>
        <v>1085206</v>
      </c>
      <c r="W93" s="95"/>
      <c r="X93" s="91">
        <f t="shared" si="31"/>
        <v>93973</v>
      </c>
      <c r="Y93" s="96"/>
      <c r="Z93" s="112">
        <f t="shared" si="24"/>
        <v>9.4799999999999995E-2</v>
      </c>
    </row>
    <row r="94" spans="1:26" ht="14.4" x14ac:dyDescent="0.3">
      <c r="A94" s="104">
        <v>6</v>
      </c>
      <c r="B94" s="79" t="s">
        <v>33</v>
      </c>
      <c r="C94" s="91"/>
      <c r="D94" s="95">
        <f>'Link in'!D13</f>
        <v>2127.6661287956576</v>
      </c>
      <c r="E94" s="96"/>
      <c r="F94" s="114">
        <f>'Link in'!D44</f>
        <v>68.17</v>
      </c>
      <c r="G94" s="95">
        <f t="shared" si="25"/>
        <v>145043</v>
      </c>
      <c r="H94" s="91"/>
      <c r="I94" s="95">
        <f t="shared" si="26"/>
        <v>2127.6661287956576</v>
      </c>
      <c r="J94" s="96"/>
      <c r="K94" s="114">
        <f t="shared" si="27"/>
        <v>74.7</v>
      </c>
      <c r="L94" s="95">
        <f t="shared" si="28"/>
        <v>158937</v>
      </c>
      <c r="M94" s="91"/>
      <c r="N94" s="95">
        <f>'Link in'!N13</f>
        <v>2112</v>
      </c>
      <c r="O94" s="96"/>
      <c r="P94" s="113">
        <f t="shared" si="32"/>
        <v>68.169981060606062</v>
      </c>
      <c r="Q94" s="91">
        <f>+[2]Summary!M67+[2]Summary!M324+[2]Summary!M392+[2]Summary!M530</f>
        <v>143975</v>
      </c>
      <c r="R94" s="91"/>
      <c r="S94" s="91">
        <f t="shared" si="29"/>
        <v>2112</v>
      </c>
      <c r="T94" s="92"/>
      <c r="U94" s="114">
        <f>'Link in'!K44</f>
        <v>74.7</v>
      </c>
      <c r="V94" s="91">
        <f t="shared" si="30"/>
        <v>157766</v>
      </c>
      <c r="W94" s="95"/>
      <c r="X94" s="91">
        <f t="shared" si="31"/>
        <v>13791</v>
      </c>
      <c r="Y94" s="96"/>
      <c r="Z94" s="112">
        <f t="shared" si="24"/>
        <v>9.5799999999999996E-2</v>
      </c>
    </row>
    <row r="95" spans="1:26" ht="14.4" x14ac:dyDescent="0.3">
      <c r="A95" s="104">
        <v>7</v>
      </c>
      <c r="B95" s="79" t="s">
        <v>34</v>
      </c>
      <c r="C95" s="91"/>
      <c r="D95" s="95">
        <f>'Link in'!D14</f>
        <v>23919.648922953478</v>
      </c>
      <c r="E95" s="96"/>
      <c r="F95" s="114">
        <f>'Link in'!D45</f>
        <v>109.04</v>
      </c>
      <c r="G95" s="95">
        <f t="shared" si="25"/>
        <v>2608199</v>
      </c>
      <c r="H95" s="91"/>
      <c r="I95" s="95">
        <f t="shared" si="26"/>
        <v>23919.648922953478</v>
      </c>
      <c r="J95" s="96"/>
      <c r="K95" s="114">
        <f t="shared" si="27"/>
        <v>119.5</v>
      </c>
      <c r="L95" s="95">
        <f t="shared" si="28"/>
        <v>2858398</v>
      </c>
      <c r="M95" s="91"/>
      <c r="N95" s="95">
        <f>'Link in'!N14</f>
        <v>24100</v>
      </c>
      <c r="O95" s="96"/>
      <c r="P95" s="113">
        <f t="shared" si="32"/>
        <v>108.60045643153526</v>
      </c>
      <c r="Q95" s="91">
        <f>+[2]Summary!M68+[2]Summary!M325+[2]Summary!M393+[2]Summary!M531</f>
        <v>2617271</v>
      </c>
      <c r="R95" s="91"/>
      <c r="S95" s="91">
        <f t="shared" si="29"/>
        <v>24100</v>
      </c>
      <c r="T95" s="92"/>
      <c r="U95" s="114">
        <f>'Link in'!K45</f>
        <v>119.5</v>
      </c>
      <c r="V95" s="91">
        <f t="shared" si="30"/>
        <v>2879950</v>
      </c>
      <c r="W95" s="95"/>
      <c r="X95" s="91">
        <f t="shared" si="31"/>
        <v>262679</v>
      </c>
      <c r="Y95" s="96"/>
      <c r="Z95" s="112">
        <f t="shared" si="24"/>
        <v>0.1004</v>
      </c>
    </row>
    <row r="96" spans="1:26" ht="14.4" x14ac:dyDescent="0.3">
      <c r="A96" s="104">
        <v>8</v>
      </c>
      <c r="B96" s="79" t="s">
        <v>35</v>
      </c>
      <c r="C96" s="91"/>
      <c r="D96" s="95">
        <f>'Link in'!D15</f>
        <v>12</v>
      </c>
      <c r="E96" s="96"/>
      <c r="F96" s="114">
        <f>'Link in'!D46</f>
        <v>204.47</v>
      </c>
      <c r="G96" s="95">
        <f t="shared" si="25"/>
        <v>2454</v>
      </c>
      <c r="H96" s="91"/>
      <c r="I96" s="95">
        <f t="shared" si="26"/>
        <v>12</v>
      </c>
      <c r="J96" s="96"/>
      <c r="K96" s="114">
        <f t="shared" si="27"/>
        <v>224</v>
      </c>
      <c r="L96" s="95">
        <f t="shared" si="28"/>
        <v>2688</v>
      </c>
      <c r="M96" s="91"/>
      <c r="N96" s="95">
        <f>'Link in'!N15</f>
        <v>12</v>
      </c>
      <c r="O96" s="96"/>
      <c r="P96" s="113">
        <f t="shared" si="32"/>
        <v>204.5</v>
      </c>
      <c r="Q96" s="91">
        <f>+[2]Summary!M69+[2]Summary!M326+[2]Summary!M394+[2]Summary!M532</f>
        <v>2454</v>
      </c>
      <c r="R96" s="91"/>
      <c r="S96" s="91">
        <f t="shared" si="29"/>
        <v>12</v>
      </c>
      <c r="T96" s="92"/>
      <c r="U96" s="114">
        <f>'Link in'!K46</f>
        <v>224</v>
      </c>
      <c r="V96" s="91">
        <f t="shared" si="30"/>
        <v>2688</v>
      </c>
      <c r="W96" s="95"/>
      <c r="X96" s="91">
        <f t="shared" si="31"/>
        <v>234</v>
      </c>
      <c r="Y96" s="96"/>
      <c r="Z96" s="112">
        <f t="shared" si="24"/>
        <v>9.5399999999999999E-2</v>
      </c>
    </row>
    <row r="97" spans="1:27" ht="14.4" x14ac:dyDescent="0.3">
      <c r="A97" s="104">
        <v>9</v>
      </c>
      <c r="B97" s="79" t="s">
        <v>36</v>
      </c>
      <c r="C97" s="91"/>
      <c r="D97" s="95">
        <f>'Link in'!D16</f>
        <v>366.02512761638246</v>
      </c>
      <c r="E97" s="96"/>
      <c r="F97" s="114">
        <f>'Link in'!D47</f>
        <v>340.77</v>
      </c>
      <c r="G97" s="95">
        <f>+ROUND(((D97-'[2]Link Out'!$C$324)*'[2]Link Out'!$E$69),0)+ROUND((('[2]Link Out'!$C$324)*'[2]Link Out'!$E$324),0)</f>
        <v>124010</v>
      </c>
      <c r="H97" s="91"/>
      <c r="I97" s="95">
        <f t="shared" si="26"/>
        <v>366.02512761638246</v>
      </c>
      <c r="J97" s="96"/>
      <c r="K97" s="114">
        <f t="shared" si="27"/>
        <v>373.4</v>
      </c>
      <c r="L97" s="95">
        <f t="shared" si="28"/>
        <v>136674</v>
      </c>
      <c r="M97" s="91"/>
      <c r="N97" s="95">
        <f>'Link in'!N16</f>
        <v>360</v>
      </c>
      <c r="O97" s="96"/>
      <c r="P97" s="113">
        <f t="shared" si="32"/>
        <v>340.76944444444445</v>
      </c>
      <c r="Q97" s="91">
        <f>+[2]Summary!M70+[2]Summary!M327+[2]Summary!M395+[2]Summary!M533</f>
        <v>122677</v>
      </c>
      <c r="R97" s="91"/>
      <c r="S97" s="91">
        <f t="shared" si="29"/>
        <v>360</v>
      </c>
      <c r="T97" s="92"/>
      <c r="U97" s="114">
        <f>'Link in'!K47</f>
        <v>373.4</v>
      </c>
      <c r="V97" s="91">
        <f t="shared" si="30"/>
        <v>134424</v>
      </c>
      <c r="W97" s="95"/>
      <c r="X97" s="91">
        <f t="shared" si="31"/>
        <v>11747</v>
      </c>
      <c r="Y97" s="96"/>
      <c r="Z97" s="112">
        <f t="shared" si="24"/>
        <v>9.5799999999999996E-2</v>
      </c>
    </row>
    <row r="98" spans="1:27" ht="14.4" x14ac:dyDescent="0.3">
      <c r="A98" s="104">
        <v>10</v>
      </c>
      <c r="B98" s="79" t="s">
        <v>37</v>
      </c>
      <c r="C98" s="91"/>
      <c r="D98" s="95">
        <f>'Link in'!D17</f>
        <v>171.38083639031549</v>
      </c>
      <c r="E98" s="96"/>
      <c r="F98" s="114">
        <f>'Link in'!D48</f>
        <v>681.5</v>
      </c>
      <c r="G98" s="95">
        <f t="shared" si="25"/>
        <v>116796</v>
      </c>
      <c r="H98" s="91"/>
      <c r="I98" s="95">
        <f t="shared" si="26"/>
        <v>171.38083639031549</v>
      </c>
      <c r="J98" s="96"/>
      <c r="K98" s="114">
        <f t="shared" si="27"/>
        <v>746.7</v>
      </c>
      <c r="L98" s="95">
        <f t="shared" si="28"/>
        <v>127970</v>
      </c>
      <c r="M98" s="91"/>
      <c r="N98" s="95">
        <f>'Link in'!N17</f>
        <v>168</v>
      </c>
      <c r="O98" s="96"/>
      <c r="P98" s="113">
        <f t="shared" si="32"/>
        <v>681.5</v>
      </c>
      <c r="Q98" s="91">
        <f>+[2]Summary!M71+[2]Summary!M328+[2]Summary!M396+[2]Summary!M534</f>
        <v>114492</v>
      </c>
      <c r="R98" s="91"/>
      <c r="S98" s="91">
        <f t="shared" si="29"/>
        <v>168</v>
      </c>
      <c r="T98" s="92"/>
      <c r="U98" s="114">
        <f>'Link in'!K48</f>
        <v>746.7</v>
      </c>
      <c r="V98" s="91">
        <f t="shared" si="30"/>
        <v>125446</v>
      </c>
      <c r="W98" s="95"/>
      <c r="X98" s="91">
        <f t="shared" si="31"/>
        <v>10954</v>
      </c>
      <c r="Y98" s="96"/>
      <c r="Z98" s="112">
        <f t="shared" si="24"/>
        <v>9.5699999999999993E-2</v>
      </c>
    </row>
    <row r="99" spans="1:27" ht="14.4" x14ac:dyDescent="0.3">
      <c r="A99" s="104">
        <v>11</v>
      </c>
      <c r="B99" s="79" t="s">
        <v>38</v>
      </c>
      <c r="C99" s="91"/>
      <c r="D99" s="95">
        <f>'Link in'!D18</f>
        <v>131.7232850330154</v>
      </c>
      <c r="E99" s="96"/>
      <c r="F99" s="114">
        <f>'Link in'!D49</f>
        <v>1090.4000000000001</v>
      </c>
      <c r="G99" s="95">
        <f t="shared" si="25"/>
        <v>143631</v>
      </c>
      <c r="H99" s="91"/>
      <c r="I99" s="95">
        <f t="shared" si="26"/>
        <v>131.7232850330154</v>
      </c>
      <c r="J99" s="96"/>
      <c r="K99" s="114">
        <f t="shared" si="27"/>
        <v>1194.7</v>
      </c>
      <c r="L99" s="95">
        <f t="shared" si="28"/>
        <v>157370</v>
      </c>
      <c r="M99" s="91"/>
      <c r="N99" s="95">
        <f>'Link in'!N18</f>
        <v>132</v>
      </c>
      <c r="O99" s="96"/>
      <c r="P99" s="113">
        <f t="shared" si="32"/>
        <v>1090.4015151515152</v>
      </c>
      <c r="Q99" s="91">
        <f>+[2]Summary!M72+[2]Summary!M329+[2]Summary!M397+[2]Summary!M535</f>
        <v>143933</v>
      </c>
      <c r="R99" s="91"/>
      <c r="S99" s="91">
        <f t="shared" si="29"/>
        <v>132</v>
      </c>
      <c r="T99" s="92"/>
      <c r="U99" s="114">
        <f>'Link in'!K49</f>
        <v>1194.7</v>
      </c>
      <c r="V99" s="91">
        <f t="shared" si="30"/>
        <v>157700</v>
      </c>
      <c r="W99" s="95"/>
      <c r="X99" s="91">
        <f t="shared" si="31"/>
        <v>13767</v>
      </c>
      <c r="Y99" s="96"/>
      <c r="Z99" s="112">
        <f t="shared" si="24"/>
        <v>9.5600000000000004E-2</v>
      </c>
    </row>
    <row r="100" spans="1:27" ht="14.4" x14ac:dyDescent="0.3">
      <c r="A100" s="104">
        <v>12</v>
      </c>
      <c r="B100" s="79" t="s">
        <v>113</v>
      </c>
      <c r="C100" s="91"/>
      <c r="D100" s="95"/>
      <c r="E100" s="96"/>
      <c r="F100" s="114"/>
      <c r="G100" s="95"/>
      <c r="H100" s="91"/>
      <c r="I100" s="95"/>
      <c r="J100" s="96"/>
      <c r="K100" s="114"/>
      <c r="L100" s="95"/>
      <c r="M100" s="91"/>
      <c r="N100" s="95"/>
      <c r="O100" s="96"/>
      <c r="P100" s="113"/>
      <c r="Q100" s="113"/>
      <c r="R100" s="91"/>
      <c r="S100" s="91"/>
      <c r="T100" s="92"/>
      <c r="U100" s="114"/>
      <c r="V100" s="91"/>
      <c r="W100" s="95"/>
      <c r="X100" s="91">
        <f t="shared" si="31"/>
        <v>0</v>
      </c>
      <c r="Y100" s="96"/>
      <c r="Z100" s="112">
        <f t="shared" si="24"/>
        <v>0</v>
      </c>
    </row>
    <row r="101" spans="1:27" ht="14.4" x14ac:dyDescent="0.3">
      <c r="A101" s="104">
        <v>13</v>
      </c>
      <c r="B101" s="79"/>
      <c r="C101" s="91"/>
      <c r="D101" s="95"/>
      <c r="E101" s="96"/>
      <c r="F101" s="114"/>
      <c r="G101" s="95"/>
      <c r="H101" s="91"/>
      <c r="I101" s="95"/>
      <c r="J101" s="96"/>
      <c r="K101" s="114"/>
      <c r="L101" s="95"/>
      <c r="M101" s="91"/>
      <c r="N101" s="95"/>
      <c r="O101" s="96"/>
      <c r="P101" s="113"/>
      <c r="Q101" s="113"/>
      <c r="R101" s="91"/>
      <c r="S101" s="91"/>
      <c r="T101" s="92"/>
      <c r="U101" s="114"/>
      <c r="V101" s="91"/>
      <c r="W101" s="95"/>
      <c r="X101" s="111"/>
      <c r="Y101" s="96"/>
      <c r="Z101" s="112"/>
    </row>
    <row r="102" spans="1:27" ht="14.4" x14ac:dyDescent="0.3">
      <c r="A102" s="104">
        <v>14</v>
      </c>
      <c r="B102" s="79"/>
      <c r="C102" s="92"/>
      <c r="D102" s="96"/>
      <c r="E102" s="96"/>
      <c r="F102" s="96"/>
      <c r="G102" s="96"/>
      <c r="H102" s="92"/>
      <c r="I102" s="96"/>
      <c r="J102" s="96"/>
      <c r="K102" s="96"/>
      <c r="L102" s="96"/>
      <c r="M102" s="92"/>
      <c r="N102" s="96"/>
      <c r="O102" s="96"/>
      <c r="P102" s="92"/>
      <c r="Q102" s="92"/>
      <c r="R102" s="92"/>
      <c r="S102" s="92"/>
      <c r="T102" s="92"/>
      <c r="U102" s="96"/>
      <c r="V102" s="92"/>
      <c r="W102" s="96"/>
      <c r="X102" s="95"/>
      <c r="Y102" s="96"/>
      <c r="Z102" s="112"/>
    </row>
    <row r="103" spans="1:27" ht="14.4" x14ac:dyDescent="0.3">
      <c r="A103" s="104">
        <v>15</v>
      </c>
      <c r="B103" s="79"/>
      <c r="C103" s="79"/>
      <c r="D103" s="94"/>
      <c r="E103" s="94"/>
      <c r="F103" s="96"/>
      <c r="G103" s="94"/>
      <c r="H103" s="79"/>
      <c r="I103" s="94"/>
      <c r="J103" s="94"/>
      <c r="K103" s="96"/>
      <c r="L103" s="94"/>
      <c r="M103" s="79"/>
      <c r="N103" s="94"/>
      <c r="O103" s="94"/>
      <c r="P103" s="79"/>
      <c r="Q103" s="79"/>
      <c r="R103" s="79"/>
      <c r="S103" s="79"/>
      <c r="T103" s="79"/>
      <c r="U103" s="94"/>
      <c r="V103" s="79"/>
      <c r="W103" s="94"/>
      <c r="X103" s="94"/>
      <c r="Y103" s="94"/>
      <c r="Z103" s="94"/>
    </row>
    <row r="104" spans="1:27" ht="14.4" x14ac:dyDescent="0.3">
      <c r="A104" s="104">
        <v>16</v>
      </c>
      <c r="B104" s="110" t="s">
        <v>40</v>
      </c>
      <c r="C104" s="92"/>
      <c r="D104" s="96"/>
      <c r="E104" s="96"/>
      <c r="F104" s="96"/>
      <c r="G104" s="96"/>
      <c r="H104" s="92"/>
      <c r="I104" s="96"/>
      <c r="J104" s="96"/>
      <c r="K104" s="96"/>
      <c r="L104" s="96"/>
      <c r="M104" s="92"/>
      <c r="N104" s="96"/>
      <c r="O104" s="96"/>
      <c r="P104" s="92"/>
      <c r="Q104" s="92"/>
      <c r="R104" s="92"/>
      <c r="S104" s="92"/>
      <c r="T104" s="92"/>
      <c r="U104" s="96"/>
      <c r="V104" s="92"/>
      <c r="W104" s="96"/>
      <c r="X104" s="95"/>
      <c r="Y104" s="96"/>
      <c r="Z104" s="112"/>
    </row>
    <row r="105" spans="1:27" ht="14.4" x14ac:dyDescent="0.3">
      <c r="A105" s="104">
        <v>17</v>
      </c>
      <c r="B105" s="79" t="s">
        <v>41</v>
      </c>
      <c r="C105" s="97"/>
      <c r="D105" s="96"/>
      <c r="E105" s="95">
        <f>'Link in'!D23</f>
        <v>3746812.0323469797</v>
      </c>
      <c r="F105" s="144">
        <f>+G105/E105</f>
        <v>4.762246369968846</v>
      </c>
      <c r="G105" s="111">
        <f>ROUND(((E105-'Link in'!D118)*'[2]Link Out'!$E$77),0)+ROUND((('Link in'!D118)*'Link in'!D121),0)</f>
        <v>17843242</v>
      </c>
      <c r="H105" s="97"/>
      <c r="I105" s="96"/>
      <c r="J105" s="95">
        <f>E105</f>
        <v>3746812.0323469797</v>
      </c>
      <c r="K105" s="144">
        <f>U105</f>
        <v>5.7119999999999997</v>
      </c>
      <c r="L105" s="111">
        <f>ROUND((J105*K105),0)</f>
        <v>21401790</v>
      </c>
      <c r="M105" s="97"/>
      <c r="N105" s="96"/>
      <c r="O105" s="95">
        <f>'Link in'!N23</f>
        <v>3797075.5663238</v>
      </c>
      <c r="P105" s="145">
        <f>+IFERROR(Q105/O105,0)</f>
        <v>4.411176893225849</v>
      </c>
      <c r="Q105" s="97">
        <f>+[2]Summary!M78+[2]Summary!M335+[2]Summary!M403+[2]Summary!M541</f>
        <v>16749572</v>
      </c>
      <c r="R105" s="97"/>
      <c r="S105" s="92"/>
      <c r="T105" s="91">
        <f>O105</f>
        <v>3797075.5663238</v>
      </c>
      <c r="U105" s="144">
        <f>'Link in'!K59</f>
        <v>5.7119999999999997</v>
      </c>
      <c r="V105" s="97">
        <f>ROUND((T105*U105),0)</f>
        <v>21688896</v>
      </c>
      <c r="W105" s="95"/>
      <c r="X105" s="97">
        <f t="shared" ref="X105:X111" si="33">+V105-Q105</f>
        <v>4939324</v>
      </c>
      <c r="Y105" s="96"/>
      <c r="Z105" s="112">
        <f t="shared" ref="Z105:Z113" si="34">IF(Q105=0,0,ROUND((X105/Q105),4))</f>
        <v>0.2949</v>
      </c>
    </row>
    <row r="106" spans="1:27" ht="14.4" x14ac:dyDescent="0.3">
      <c r="A106" s="104">
        <v>18</v>
      </c>
      <c r="B106" s="79" t="s">
        <v>42</v>
      </c>
      <c r="C106" s="91"/>
      <c r="D106" s="94"/>
      <c r="E106" s="95">
        <f>'Link in'!D24</f>
        <v>243.98612315698173</v>
      </c>
      <c r="F106" s="122">
        <f>'Link in'!D70</f>
        <v>11.53</v>
      </c>
      <c r="G106" s="95">
        <f>ROUND((E106*F106),0)</f>
        <v>2813</v>
      </c>
      <c r="H106" s="91"/>
      <c r="I106" s="94"/>
      <c r="J106" s="95">
        <f t="shared" ref="J106:J111" si="35">E106</f>
        <v>243.98612315698173</v>
      </c>
      <c r="K106" s="122">
        <f>+K105</f>
        <v>5.7119999999999997</v>
      </c>
      <c r="L106" s="95">
        <f>ROUND((J106*K106),0)</f>
        <v>1394</v>
      </c>
      <c r="M106" s="91"/>
      <c r="N106" s="94"/>
      <c r="O106" s="95">
        <f>'Link in'!N24</f>
        <v>639.98612315698176</v>
      </c>
      <c r="P106" s="146">
        <f>+IFERROR(Q106/O106,0)</f>
        <v>15.453460070686702</v>
      </c>
      <c r="Q106" s="91">
        <f>+[2]Summary!M79+[2]Summary!M336+[2]Summary!M404+[2]Summary!M542</f>
        <v>9890</v>
      </c>
      <c r="R106" s="91"/>
      <c r="S106" s="79"/>
      <c r="T106" s="91">
        <f t="shared" ref="T106:T110" si="36">O106</f>
        <v>639.98612315698176</v>
      </c>
      <c r="U106" s="122">
        <f>'Link in'!K60</f>
        <v>5.7119999999999997</v>
      </c>
      <c r="V106" s="91">
        <f>ROUND((T106*U106),0)</f>
        <v>3656</v>
      </c>
      <c r="W106" s="95"/>
      <c r="X106" s="91">
        <f t="shared" si="33"/>
        <v>-6234</v>
      </c>
      <c r="Y106" s="94"/>
      <c r="Z106" s="112">
        <f t="shared" si="34"/>
        <v>-0.63029999999999997</v>
      </c>
    </row>
    <row r="107" spans="1:27" ht="14.4" x14ac:dyDescent="0.3">
      <c r="A107" s="104">
        <v>19</v>
      </c>
      <c r="B107" s="79" t="s">
        <v>43</v>
      </c>
      <c r="C107" s="91"/>
      <c r="D107" s="94"/>
      <c r="E107" s="95">
        <f>'Link in'!D25</f>
        <v>0</v>
      </c>
      <c r="F107" s="122">
        <f>'Link in'!D61</f>
        <v>0</v>
      </c>
      <c r="G107" s="95">
        <f>ROUND((E107*F107),0)</f>
        <v>0</v>
      </c>
      <c r="H107" s="91"/>
      <c r="I107" s="94"/>
      <c r="J107" s="95">
        <f t="shared" si="35"/>
        <v>0</v>
      </c>
      <c r="K107" s="122">
        <f t="shared" ref="K107:K110" si="37">U107</f>
        <v>5.7119999999999997</v>
      </c>
      <c r="L107" s="95">
        <f>ROUND((J107*K107),0)</f>
        <v>0</v>
      </c>
      <c r="M107" s="91"/>
      <c r="N107" s="94"/>
      <c r="O107" s="95">
        <f>'Link in'!N25</f>
        <v>653.40000000000009</v>
      </c>
      <c r="P107" s="146">
        <f t="shared" ref="P107:P110" si="38">+IFERROR(Q107/O107,0)</f>
        <v>17.869605142332414</v>
      </c>
      <c r="Q107" s="91">
        <f>+[2]Summary!M80+[2]Summary!M337+[2]Summary!M405+[2]Summary!M543</f>
        <v>11676</v>
      </c>
      <c r="R107" s="91"/>
      <c r="S107" s="79"/>
      <c r="T107" s="91">
        <f t="shared" si="36"/>
        <v>653.40000000000009</v>
      </c>
      <c r="U107" s="122">
        <f>'Link in'!K61</f>
        <v>5.7119999999999997</v>
      </c>
      <c r="V107" s="91">
        <f>ROUND((T107*U107),0)</f>
        <v>3732</v>
      </c>
      <c r="W107" s="95"/>
      <c r="X107" s="91">
        <f t="shared" si="33"/>
        <v>-7944</v>
      </c>
      <c r="Y107" s="94"/>
      <c r="Z107" s="112">
        <f t="shared" si="34"/>
        <v>-0.6804</v>
      </c>
    </row>
    <row r="108" spans="1:27" ht="14.4" x14ac:dyDescent="0.3">
      <c r="A108" s="104">
        <v>20</v>
      </c>
      <c r="B108" s="79" t="s">
        <v>44</v>
      </c>
      <c r="C108" s="91"/>
      <c r="D108" s="94"/>
      <c r="E108" s="95">
        <f>'Link in'!D26</f>
        <v>0</v>
      </c>
      <c r="F108" s="122">
        <f>'Link in'!D62</f>
        <v>0</v>
      </c>
      <c r="G108" s="95">
        <f>ROUND((E108*F108),0)</f>
        <v>0</v>
      </c>
      <c r="H108" s="91"/>
      <c r="I108" s="94"/>
      <c r="J108" s="95">
        <f t="shared" si="35"/>
        <v>0</v>
      </c>
      <c r="K108" s="122">
        <f t="shared" si="37"/>
        <v>5.7119999999999997</v>
      </c>
      <c r="L108" s="95">
        <f>ROUND((J108*K108),0)</f>
        <v>0</v>
      </c>
      <c r="M108" s="91"/>
      <c r="N108" s="94"/>
      <c r="O108" s="95">
        <f>'Link in'!N26</f>
        <v>0</v>
      </c>
      <c r="P108" s="146">
        <f t="shared" si="38"/>
        <v>0</v>
      </c>
      <c r="Q108" s="91">
        <f>+[2]Summary!M81+[2]Summary!M338+[2]Summary!M406+[2]Summary!M544</f>
        <v>0</v>
      </c>
      <c r="R108" s="91"/>
      <c r="S108" s="79"/>
      <c r="T108" s="91">
        <f t="shared" si="36"/>
        <v>0</v>
      </c>
      <c r="U108" s="122">
        <f>'Link in'!K62</f>
        <v>5.7119999999999997</v>
      </c>
      <c r="V108" s="91">
        <f>ROUND((T108*U108),0)</f>
        <v>0</v>
      </c>
      <c r="W108" s="95"/>
      <c r="X108" s="91">
        <f t="shared" si="33"/>
        <v>0</v>
      </c>
      <c r="Y108" s="94"/>
      <c r="Z108" s="112">
        <f t="shared" si="34"/>
        <v>0</v>
      </c>
    </row>
    <row r="109" spans="1:27" ht="14.4" x14ac:dyDescent="0.3">
      <c r="A109" s="104">
        <v>21</v>
      </c>
      <c r="B109" s="79" t="s">
        <v>96</v>
      </c>
      <c r="C109" s="79"/>
      <c r="D109" s="94"/>
      <c r="E109" s="95">
        <f>'Link in'!D27</f>
        <v>0</v>
      </c>
      <c r="F109" s="122">
        <f>'Link in'!D63</f>
        <v>0</v>
      </c>
      <c r="G109" s="95">
        <f t="shared" ref="G109:G110" si="39">ROUND((E109*F109),0)</f>
        <v>0</v>
      </c>
      <c r="H109" s="91"/>
      <c r="I109" s="94"/>
      <c r="J109" s="95">
        <f t="shared" si="35"/>
        <v>0</v>
      </c>
      <c r="K109" s="122">
        <f t="shared" si="37"/>
        <v>5.7119999999999997</v>
      </c>
      <c r="L109" s="95">
        <f t="shared" ref="L109:L110" si="40">ROUND((J109*K109),0)</f>
        <v>0</v>
      </c>
      <c r="M109" s="79"/>
      <c r="N109" s="94"/>
      <c r="O109" s="95">
        <f>'Link in'!N27</f>
        <v>0</v>
      </c>
      <c r="P109" s="146">
        <f t="shared" si="38"/>
        <v>0</v>
      </c>
      <c r="Q109" s="91">
        <f>+[2]Summary!M82+[2]Summary!M339+[2]Summary!M407+[2]Summary!M545</f>
        <v>0</v>
      </c>
      <c r="R109" s="79"/>
      <c r="S109" s="79"/>
      <c r="T109" s="91">
        <f t="shared" si="36"/>
        <v>0</v>
      </c>
      <c r="U109" s="122">
        <f>'Link in'!K63</f>
        <v>5.7119999999999997</v>
      </c>
      <c r="V109" s="91">
        <f t="shared" ref="V109:V110" si="41">ROUND((T109*U109),0)</f>
        <v>0</v>
      </c>
      <c r="W109" s="94"/>
      <c r="X109" s="91">
        <f t="shared" si="33"/>
        <v>0</v>
      </c>
      <c r="Y109" s="94"/>
      <c r="Z109" s="112">
        <f t="shared" si="34"/>
        <v>0</v>
      </c>
    </row>
    <row r="110" spans="1:27" ht="14.4" x14ac:dyDescent="0.3">
      <c r="A110" s="104">
        <v>22</v>
      </c>
      <c r="B110" s="79" t="s">
        <v>101</v>
      </c>
      <c r="C110" s="79"/>
      <c r="D110" s="94"/>
      <c r="E110" s="95">
        <f>'Link in'!D28</f>
        <v>0</v>
      </c>
      <c r="F110" s="122">
        <f>'Link in'!D64</f>
        <v>0</v>
      </c>
      <c r="G110" s="95">
        <f t="shared" si="39"/>
        <v>0</v>
      </c>
      <c r="H110" s="91"/>
      <c r="I110" s="94"/>
      <c r="J110" s="95">
        <f t="shared" si="35"/>
        <v>0</v>
      </c>
      <c r="K110" s="122">
        <f t="shared" si="37"/>
        <v>5.7119999999999997</v>
      </c>
      <c r="L110" s="95">
        <f t="shared" si="40"/>
        <v>0</v>
      </c>
      <c r="M110" s="79"/>
      <c r="N110" s="94"/>
      <c r="O110" s="95">
        <f>'Link in'!N28</f>
        <v>0</v>
      </c>
      <c r="P110" s="146">
        <f t="shared" si="38"/>
        <v>0</v>
      </c>
      <c r="Q110" s="91">
        <f>+[2]Summary!M83+[2]Summary!M340+[2]Summary!M408+[2]Summary!M546</f>
        <v>0</v>
      </c>
      <c r="R110" s="79"/>
      <c r="S110" s="79"/>
      <c r="T110" s="91">
        <f t="shared" si="36"/>
        <v>0</v>
      </c>
      <c r="U110" s="122">
        <f>'Link in'!K64</f>
        <v>5.7119999999999997</v>
      </c>
      <c r="V110" s="91">
        <f t="shared" si="41"/>
        <v>0</v>
      </c>
      <c r="W110" s="94"/>
      <c r="X110" s="91">
        <f t="shared" si="33"/>
        <v>0</v>
      </c>
      <c r="Y110" s="94"/>
      <c r="Z110" s="112">
        <f t="shared" si="34"/>
        <v>0</v>
      </c>
    </row>
    <row r="111" spans="1:27" ht="14.4" x14ac:dyDescent="0.3">
      <c r="A111" s="104">
        <v>23</v>
      </c>
      <c r="B111" s="94" t="s">
        <v>108</v>
      </c>
      <c r="C111" s="123"/>
      <c r="D111" s="94"/>
      <c r="E111" s="94">
        <f>+'Link in'!D32</f>
        <v>1440.6729733480763</v>
      </c>
      <c r="F111" s="122"/>
      <c r="G111" s="123">
        <f>'Link in'!D34</f>
        <v>-48418.300319119357</v>
      </c>
      <c r="H111" s="123"/>
      <c r="I111" s="94"/>
      <c r="J111" s="95">
        <f t="shared" si="35"/>
        <v>1440.6729733480763</v>
      </c>
      <c r="K111" s="144"/>
      <c r="L111" s="123">
        <f>G111</f>
        <v>-48418.300319119357</v>
      </c>
      <c r="M111" s="123"/>
      <c r="N111" s="94"/>
      <c r="O111" s="94"/>
      <c r="P111" s="106"/>
      <c r="Q111" s="91">
        <f>+'Link in'!N34</f>
        <v>0</v>
      </c>
      <c r="R111" s="123"/>
      <c r="S111" s="94"/>
      <c r="T111" s="94">
        <f>O111</f>
        <v>0</v>
      </c>
      <c r="U111" s="106"/>
      <c r="V111" s="123">
        <f>Q111</f>
        <v>0</v>
      </c>
      <c r="W111" s="123"/>
      <c r="X111" s="123">
        <f t="shared" si="33"/>
        <v>0</v>
      </c>
      <c r="Y111" s="94"/>
      <c r="Z111" s="112">
        <f t="shared" si="34"/>
        <v>0</v>
      </c>
      <c r="AA111" s="24"/>
    </row>
    <row r="112" spans="1:27" ht="14.4" x14ac:dyDescent="0.3">
      <c r="A112" s="104">
        <v>24</v>
      </c>
      <c r="B112" s="79"/>
      <c r="C112" s="133"/>
      <c r="D112" s="94"/>
      <c r="E112" s="94"/>
      <c r="F112" s="124"/>
      <c r="G112" s="124"/>
      <c r="H112" s="133"/>
      <c r="I112" s="94"/>
      <c r="J112" s="94"/>
      <c r="K112" s="124"/>
      <c r="L112" s="124"/>
      <c r="M112" s="133"/>
      <c r="N112" s="79"/>
      <c r="O112" s="79"/>
      <c r="P112" s="133"/>
      <c r="Q112" s="133"/>
      <c r="R112" s="133"/>
      <c r="S112" s="79"/>
      <c r="T112" s="79"/>
      <c r="U112" s="133"/>
      <c r="V112" s="133"/>
      <c r="W112" s="124"/>
      <c r="X112" s="95"/>
      <c r="Y112" s="94"/>
      <c r="Z112" s="112"/>
    </row>
    <row r="113" spans="1:26" ht="15" thickBot="1" x14ac:dyDescent="0.35">
      <c r="A113" s="104">
        <v>25</v>
      </c>
      <c r="B113" s="79" t="s">
        <v>1</v>
      </c>
      <c r="C113" s="137"/>
      <c r="D113" s="150"/>
      <c r="E113" s="151">
        <f>SUM(E105:E112)</f>
        <v>3748496.6914434852</v>
      </c>
      <c r="F113" s="126"/>
      <c r="G113" s="152">
        <f>SUM(G91:G112)</f>
        <v>22686066.69968088</v>
      </c>
      <c r="H113" s="137"/>
      <c r="I113" s="150"/>
      <c r="J113" s="151">
        <f>SUM(J105:J112)</f>
        <v>3748496.6914434852</v>
      </c>
      <c r="K113" s="126"/>
      <c r="L113" s="152">
        <f>SUM(L91:L112)</f>
        <v>26711455.69968088</v>
      </c>
      <c r="M113" s="137"/>
      <c r="N113" s="147"/>
      <c r="O113" s="148">
        <f>SUM(O105:O112)</f>
        <v>3798368.9524469571</v>
      </c>
      <c r="P113" s="137"/>
      <c r="Q113" s="149">
        <f>SUM(Q91:Q112)</f>
        <v>21663948</v>
      </c>
      <c r="R113" s="137"/>
      <c r="S113" s="147"/>
      <c r="T113" s="148">
        <f>SUM(T105:T112)</f>
        <v>3798368.9524469571</v>
      </c>
      <c r="U113" s="137"/>
      <c r="V113" s="149">
        <f>SUM(V91:V112)</f>
        <v>27068049</v>
      </c>
      <c r="W113" s="126"/>
      <c r="X113" s="152">
        <f>SUM(X91:X112)</f>
        <v>5404101</v>
      </c>
      <c r="Y113" s="94"/>
      <c r="Z113" s="136">
        <f t="shared" si="34"/>
        <v>0.2495</v>
      </c>
    </row>
    <row r="114" spans="1:26" ht="15" thickTop="1" x14ac:dyDescent="0.3">
      <c r="A114" s="104"/>
      <c r="B114" s="79"/>
      <c r="C114" s="91"/>
      <c r="D114" s="94"/>
      <c r="E114" s="94"/>
      <c r="F114" s="128"/>
      <c r="G114" s="95"/>
      <c r="H114" s="91"/>
      <c r="I114" s="91"/>
      <c r="J114" s="91"/>
      <c r="K114" s="91"/>
      <c r="L114" s="91"/>
      <c r="M114" s="91"/>
      <c r="N114" s="91"/>
      <c r="O114" s="79"/>
      <c r="P114" s="131"/>
      <c r="Q114" s="91"/>
      <c r="R114" s="91"/>
      <c r="S114" s="79"/>
      <c r="T114" s="79"/>
      <c r="U114" s="131"/>
      <c r="V114" s="91"/>
      <c r="W114" s="94"/>
      <c r="X114" s="95"/>
      <c r="Y114" s="94"/>
      <c r="Z114" s="112"/>
    </row>
    <row r="115" spans="1:26" ht="14.4" x14ac:dyDescent="0.3">
      <c r="A115" s="104"/>
      <c r="B115" s="79"/>
      <c r="C115" s="91"/>
      <c r="D115" s="104"/>
      <c r="E115" s="79"/>
      <c r="F115" s="131"/>
      <c r="G115" s="91"/>
      <c r="H115" s="91"/>
      <c r="I115" s="91"/>
      <c r="J115" s="91"/>
      <c r="K115" s="91"/>
      <c r="L115" s="91"/>
      <c r="M115" s="91"/>
      <c r="N115" s="91"/>
      <c r="O115" s="79"/>
      <c r="P115" s="131"/>
      <c r="Q115" s="91"/>
      <c r="R115" s="91"/>
      <c r="S115" s="104"/>
      <c r="T115" s="79"/>
      <c r="U115" s="131"/>
      <c r="V115" s="91"/>
      <c r="W115" s="94"/>
      <c r="X115" s="95"/>
      <c r="Y115" s="94"/>
      <c r="Z115" s="112"/>
    </row>
    <row r="116" spans="1:26" ht="14.4" x14ac:dyDescent="0.3">
      <c r="A116" s="104"/>
      <c r="B116" s="79"/>
      <c r="C116" s="79"/>
      <c r="D116" s="79"/>
      <c r="E116" s="79"/>
      <c r="F116" s="153"/>
      <c r="G116" s="311"/>
      <c r="H116" s="79"/>
      <c r="I116" s="79"/>
      <c r="J116" s="79"/>
      <c r="K116" s="79"/>
      <c r="L116" s="79"/>
      <c r="M116" s="79"/>
      <c r="N116" s="79"/>
      <c r="O116" s="79"/>
      <c r="P116" s="153"/>
      <c r="Q116" s="79"/>
      <c r="R116" s="79"/>
      <c r="S116" s="79"/>
      <c r="T116" s="79"/>
      <c r="U116" s="153"/>
      <c r="V116" s="79"/>
      <c r="W116" s="94"/>
      <c r="X116" s="95"/>
      <c r="Y116" s="94"/>
      <c r="Z116" s="112"/>
    </row>
    <row r="117" spans="1:26" ht="14.4" x14ac:dyDescent="0.3">
      <c r="A117" s="104"/>
      <c r="B117" s="79"/>
      <c r="C117" s="79"/>
      <c r="D117" s="79"/>
      <c r="E117" s="79"/>
      <c r="F117" s="153"/>
      <c r="G117" s="79"/>
      <c r="H117" s="79"/>
      <c r="I117" s="79"/>
      <c r="J117" s="79"/>
      <c r="K117" s="79"/>
      <c r="L117" s="79"/>
      <c r="M117" s="79"/>
      <c r="N117" s="79"/>
      <c r="O117" s="79"/>
      <c r="P117" s="153"/>
      <c r="Q117" s="79"/>
      <c r="R117" s="79"/>
      <c r="S117" s="79"/>
      <c r="T117" s="79"/>
      <c r="U117" s="153"/>
      <c r="V117" s="79"/>
      <c r="W117" s="94"/>
      <c r="X117" s="95"/>
      <c r="Y117" s="94"/>
      <c r="Z117" s="112"/>
    </row>
    <row r="118" spans="1:26" ht="14.4" x14ac:dyDescent="0.3">
      <c r="A118" s="333" t="str">
        <f>A79</f>
        <v>Kentucky American Water Company</v>
      </c>
      <c r="B118" s="333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3"/>
      <c r="R118" s="333"/>
      <c r="S118" s="333"/>
      <c r="T118" s="333"/>
      <c r="U118" s="333"/>
      <c r="V118" s="333"/>
      <c r="W118" s="333"/>
      <c r="X118" s="333"/>
      <c r="Y118" s="333"/>
      <c r="Z118" s="333"/>
    </row>
    <row r="119" spans="1:26" ht="14.4" x14ac:dyDescent="0.3">
      <c r="A119" s="333" t="s">
        <v>77</v>
      </c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/>
      <c r="R119" s="333"/>
      <c r="S119" s="333"/>
      <c r="T119" s="333"/>
      <c r="U119" s="333"/>
      <c r="V119" s="333"/>
      <c r="W119" s="333"/>
      <c r="X119" s="333"/>
      <c r="Y119" s="333"/>
      <c r="Z119" s="333"/>
    </row>
    <row r="120" spans="1:26" ht="14.4" x14ac:dyDescent="0.3">
      <c r="A120" s="333" t="str">
        <f>A81</f>
        <v>Case No. 2018-00358</v>
      </c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</row>
    <row r="121" spans="1:26" ht="14.4" x14ac:dyDescent="0.3">
      <c r="A121" s="333" t="str">
        <f>A82</f>
        <v>Base Year for the 12 Months Ended February 28, 2019 and Forecast Year for the 12 Months Ended June 30, 2020</v>
      </c>
      <c r="B121" s="333"/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3"/>
      <c r="R121" s="333"/>
      <c r="S121" s="333"/>
      <c r="T121" s="333"/>
      <c r="U121" s="333"/>
      <c r="V121" s="333"/>
      <c r="W121" s="333"/>
      <c r="X121" s="333"/>
      <c r="Y121" s="333"/>
      <c r="Z121" s="333"/>
    </row>
    <row r="122" spans="1:26" ht="14.4" x14ac:dyDescent="0.3">
      <c r="A122" s="109" t="str">
        <f>A83</f>
        <v>Witness Responsible:   Melissa Schwarzell</v>
      </c>
      <c r="B122" s="79"/>
      <c r="C122" s="79"/>
      <c r="D122" s="79"/>
      <c r="E122" s="79"/>
      <c r="F122" s="79"/>
      <c r="G122" s="79"/>
      <c r="H122" s="79"/>
      <c r="I122" s="335" t="str">
        <f>"ALL CUSTOMERS ("&amp;LEFT(B128,SEARCH(":",B128,1)-1)&amp;")"</f>
        <v>ALL CUSTOMERS (Industrial)</v>
      </c>
      <c r="J122" s="335"/>
      <c r="K122" s="335"/>
      <c r="L122" s="335"/>
      <c r="M122" s="335"/>
      <c r="N122" s="335"/>
      <c r="O122" s="335"/>
      <c r="P122" s="335"/>
      <c r="Q122" s="335"/>
      <c r="R122" s="79"/>
      <c r="S122" s="79"/>
      <c r="T122" s="79"/>
      <c r="U122" s="79"/>
      <c r="V122" s="79"/>
      <c r="W122" s="94"/>
      <c r="X122" s="94"/>
      <c r="Y122" s="94"/>
      <c r="Z122" s="99" t="str">
        <f>Z83</f>
        <v>Exhibit 37, Schedule M-3</v>
      </c>
    </row>
    <row r="123" spans="1:26" ht="14.4" x14ac:dyDescent="0.3">
      <c r="A123" s="139" t="str">
        <f>A84</f>
        <v/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01"/>
      <c r="X123" s="101"/>
      <c r="Y123" s="101"/>
      <c r="Z123" s="141" t="str">
        <f ca="1">Z84</f>
        <v>Revenues\[KAWC 2018 Rate Case - Revenue.xlsx]Sch M</v>
      </c>
    </row>
    <row r="124" spans="1:26" ht="14.4" x14ac:dyDescent="0.3">
      <c r="A124" s="79"/>
      <c r="B124" s="79"/>
      <c r="C124" s="104"/>
      <c r="D124" s="328" t="s">
        <v>174</v>
      </c>
      <c r="E124" s="328" t="s">
        <v>97</v>
      </c>
      <c r="F124" s="328"/>
      <c r="G124" s="328"/>
      <c r="H124" s="104"/>
      <c r="I124" s="336" t="s">
        <v>173</v>
      </c>
      <c r="J124" s="336" t="s">
        <v>97</v>
      </c>
      <c r="K124" s="336"/>
      <c r="L124" s="336"/>
      <c r="M124" s="104"/>
      <c r="N124" s="328" t="s">
        <v>120</v>
      </c>
      <c r="O124" s="328" t="s">
        <v>98</v>
      </c>
      <c r="P124" s="328"/>
      <c r="Q124" s="328"/>
      <c r="R124" s="104"/>
      <c r="S124" s="328" t="s">
        <v>121</v>
      </c>
      <c r="T124" s="328" t="s">
        <v>99</v>
      </c>
      <c r="U124" s="328"/>
      <c r="V124" s="328"/>
      <c r="W124" s="105"/>
      <c r="X124" s="105"/>
      <c r="Y124" s="94"/>
      <c r="Z124" s="94"/>
    </row>
    <row r="125" spans="1:26" ht="14.4" x14ac:dyDescent="0.3">
      <c r="A125" s="79"/>
      <c r="B125" s="79"/>
      <c r="C125" s="104"/>
      <c r="D125" s="104" t="s">
        <v>27</v>
      </c>
      <c r="E125" s="104"/>
      <c r="F125" s="104"/>
      <c r="G125" s="104"/>
      <c r="H125" s="104"/>
      <c r="I125" s="106" t="s">
        <v>27</v>
      </c>
      <c r="J125" s="106"/>
      <c r="K125" s="106"/>
      <c r="L125" s="106"/>
      <c r="M125" s="104"/>
      <c r="N125" s="104" t="s">
        <v>27</v>
      </c>
      <c r="O125" s="104"/>
      <c r="P125" s="104"/>
      <c r="Q125" s="104"/>
      <c r="R125" s="104"/>
      <c r="S125" s="104" t="s">
        <v>27</v>
      </c>
      <c r="T125" s="104"/>
      <c r="U125" s="104"/>
      <c r="V125" s="104"/>
      <c r="W125" s="106"/>
      <c r="X125" s="106"/>
      <c r="Y125" s="94"/>
      <c r="Z125" s="94"/>
    </row>
    <row r="126" spans="1:26" ht="14.4" x14ac:dyDescent="0.3">
      <c r="A126" s="79"/>
      <c r="B126" s="104" t="s">
        <v>24</v>
      </c>
      <c r="C126" s="104"/>
      <c r="D126" s="104" t="s">
        <v>28</v>
      </c>
      <c r="E126" s="104" t="s">
        <v>39</v>
      </c>
      <c r="F126" s="104" t="s">
        <v>45</v>
      </c>
      <c r="G126" s="104" t="s">
        <v>1</v>
      </c>
      <c r="H126" s="104"/>
      <c r="I126" s="106" t="s">
        <v>28</v>
      </c>
      <c r="J126" s="106" t="s">
        <v>39</v>
      </c>
      <c r="K126" s="106" t="s">
        <v>175</v>
      </c>
      <c r="L126" s="106" t="s">
        <v>1</v>
      </c>
      <c r="M126" s="104"/>
      <c r="N126" s="104" t="s">
        <v>28</v>
      </c>
      <c r="O126" s="104" t="s">
        <v>39</v>
      </c>
      <c r="P126" s="104" t="s">
        <v>45</v>
      </c>
      <c r="Q126" s="104" t="s">
        <v>1</v>
      </c>
      <c r="R126" s="104"/>
      <c r="S126" s="104" t="s">
        <v>28</v>
      </c>
      <c r="T126" s="104" t="s">
        <v>39</v>
      </c>
      <c r="U126" s="104" t="s">
        <v>73</v>
      </c>
      <c r="V126" s="104" t="s">
        <v>1</v>
      </c>
      <c r="W126" s="106"/>
      <c r="X126" s="106" t="s">
        <v>51</v>
      </c>
      <c r="Y126" s="94"/>
      <c r="Z126" s="106" t="s">
        <v>53</v>
      </c>
    </row>
    <row r="127" spans="1:26" ht="14.4" x14ac:dyDescent="0.3">
      <c r="A127" s="107" t="s">
        <v>0</v>
      </c>
      <c r="B127" s="107" t="s">
        <v>2</v>
      </c>
      <c r="C127" s="104"/>
      <c r="D127" s="107" t="s">
        <v>29</v>
      </c>
      <c r="E127" s="107" t="str">
        <f>E88</f>
        <v>('000 Gal)</v>
      </c>
      <c r="F127" s="107" t="s">
        <v>46</v>
      </c>
      <c r="G127" s="107" t="s">
        <v>47</v>
      </c>
      <c r="H127" s="104"/>
      <c r="I127" s="108" t="s">
        <v>29</v>
      </c>
      <c r="J127" s="108" t="str">
        <f>J88</f>
        <v>('000 Gal)</v>
      </c>
      <c r="K127" s="108" t="s">
        <v>46</v>
      </c>
      <c r="L127" s="108" t="s">
        <v>47</v>
      </c>
      <c r="M127" s="104"/>
      <c r="N127" s="107" t="s">
        <v>29</v>
      </c>
      <c r="O127" s="107" t="str">
        <f>E127</f>
        <v>('000 Gal)</v>
      </c>
      <c r="P127" s="107" t="s">
        <v>46</v>
      </c>
      <c r="Q127" s="107" t="s">
        <v>47</v>
      </c>
      <c r="R127" s="104"/>
      <c r="S127" s="107" t="s">
        <v>29</v>
      </c>
      <c r="T127" s="107" t="str">
        <f>O127</f>
        <v>('000 Gal)</v>
      </c>
      <c r="U127" s="107" t="s">
        <v>46</v>
      </c>
      <c r="V127" s="107" t="s">
        <v>47</v>
      </c>
      <c r="W127" s="106"/>
      <c r="X127" s="108" t="s">
        <v>52</v>
      </c>
      <c r="Y127" s="94"/>
      <c r="Z127" s="108" t="s">
        <v>52</v>
      </c>
    </row>
    <row r="128" spans="1:26" ht="14.4" x14ac:dyDescent="0.3">
      <c r="A128" s="104">
        <v>1</v>
      </c>
      <c r="B128" s="109" t="s">
        <v>55</v>
      </c>
      <c r="C128" s="104"/>
      <c r="D128" s="79"/>
      <c r="E128" s="104"/>
      <c r="F128" s="104"/>
      <c r="G128" s="104"/>
      <c r="H128" s="104"/>
      <c r="I128" s="106"/>
      <c r="J128" s="106"/>
      <c r="K128" s="106"/>
      <c r="L128" s="106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6"/>
      <c r="X128" s="106"/>
      <c r="Y128" s="94"/>
      <c r="Z128" s="106"/>
    </row>
    <row r="129" spans="1:26" ht="14.4" x14ac:dyDescent="0.3">
      <c r="A129" s="104">
        <v>2</v>
      </c>
      <c r="B129" s="110" t="s">
        <v>26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94"/>
      <c r="X129" s="94"/>
      <c r="Y129" s="94"/>
      <c r="Z129" s="94"/>
    </row>
    <row r="130" spans="1:26" ht="14.4" x14ac:dyDescent="0.3">
      <c r="A130" s="104">
        <v>3</v>
      </c>
      <c r="B130" s="79" t="s">
        <v>30</v>
      </c>
      <c r="C130" s="97"/>
      <c r="D130" s="95">
        <f>'Link in'!E10</f>
        <v>77</v>
      </c>
      <c r="E130" s="96"/>
      <c r="F130" s="142">
        <f>'Link in'!E41</f>
        <v>13.63</v>
      </c>
      <c r="G130" s="111">
        <f>ROUND((D130*F130),0)</f>
        <v>1050</v>
      </c>
      <c r="H130" s="97"/>
      <c r="I130" s="95">
        <f>D130</f>
        <v>77</v>
      </c>
      <c r="J130" s="96"/>
      <c r="K130" s="142">
        <f>U130</f>
        <v>15</v>
      </c>
      <c r="L130" s="111">
        <f>ROUND((I130*K130),0)</f>
        <v>1155</v>
      </c>
      <c r="M130" s="97"/>
      <c r="N130" s="95">
        <f>'Link in'!O10</f>
        <v>72</v>
      </c>
      <c r="O130" s="96"/>
      <c r="P130" s="142">
        <f>F130</f>
        <v>13.63</v>
      </c>
      <c r="Q130" s="111">
        <f>ROUND((N130*P130),0)</f>
        <v>981</v>
      </c>
      <c r="R130" s="97"/>
      <c r="S130" s="91">
        <f>N130</f>
        <v>72</v>
      </c>
      <c r="T130" s="92"/>
      <c r="U130" s="142">
        <f>'Link in'!L41</f>
        <v>15</v>
      </c>
      <c r="V130" s="97">
        <f>ROUND((S130*U130),0)</f>
        <v>1080</v>
      </c>
      <c r="W130" s="111"/>
      <c r="X130" s="97">
        <f>+V130-Q130</f>
        <v>99</v>
      </c>
      <c r="Y130" s="96"/>
      <c r="Z130" s="112">
        <f t="shared" ref="Z130:Z139" si="42">IF(Q130=0,0,ROUND((X130/Q130),4))</f>
        <v>0.1009</v>
      </c>
    </row>
    <row r="131" spans="1:26" ht="14.4" x14ac:dyDescent="0.3">
      <c r="A131" s="104">
        <v>4</v>
      </c>
      <c r="B131" s="79" t="s">
        <v>31</v>
      </c>
      <c r="C131" s="91"/>
      <c r="D131" s="95">
        <f>'Link in'!E11</f>
        <v>0</v>
      </c>
      <c r="E131" s="96"/>
      <c r="F131" s="114">
        <f>'Link in'!E42</f>
        <v>20.46</v>
      </c>
      <c r="G131" s="95">
        <f t="shared" ref="G131:G138" si="43">ROUND((D131*F131),0)</f>
        <v>0</v>
      </c>
      <c r="H131" s="91"/>
      <c r="I131" s="95">
        <f t="shared" ref="I131:I138" si="44">D131</f>
        <v>0</v>
      </c>
      <c r="J131" s="96"/>
      <c r="K131" s="114">
        <f t="shared" ref="K131:K138" si="45">U131</f>
        <v>22.4</v>
      </c>
      <c r="L131" s="95">
        <f t="shared" ref="L131:L138" si="46">ROUND((I131*K131),0)</f>
        <v>0</v>
      </c>
      <c r="M131" s="91"/>
      <c r="N131" s="95">
        <f>'Link in'!O11</f>
        <v>0</v>
      </c>
      <c r="O131" s="96"/>
      <c r="P131" s="114">
        <f t="shared" ref="P131:P138" si="47">F131</f>
        <v>20.46</v>
      </c>
      <c r="Q131" s="95">
        <f t="shared" ref="Q131:Q138" si="48">ROUND((N131*P131),0)</f>
        <v>0</v>
      </c>
      <c r="R131" s="91"/>
      <c r="S131" s="91">
        <f t="shared" ref="S131:S138" si="49">N131</f>
        <v>0</v>
      </c>
      <c r="T131" s="92"/>
      <c r="U131" s="114">
        <f>'Link in'!L42</f>
        <v>22.4</v>
      </c>
      <c r="V131" s="91">
        <f t="shared" ref="V131:V138" si="50">ROUND((S131*U131),0)</f>
        <v>0</v>
      </c>
      <c r="W131" s="95"/>
      <c r="X131" s="91">
        <f t="shared" ref="X131:X139" si="51">+V131-Q131</f>
        <v>0</v>
      </c>
      <c r="Y131" s="96"/>
      <c r="Z131" s="112">
        <f t="shared" si="42"/>
        <v>0</v>
      </c>
    </row>
    <row r="132" spans="1:26" ht="14.4" x14ac:dyDescent="0.3">
      <c r="A132" s="104">
        <v>5</v>
      </c>
      <c r="B132" s="79" t="s">
        <v>32</v>
      </c>
      <c r="C132" s="91"/>
      <c r="D132" s="95">
        <f>'Link in'!E12</f>
        <v>48</v>
      </c>
      <c r="E132" s="96"/>
      <c r="F132" s="114">
        <f>'Link in'!E43</f>
        <v>34.07</v>
      </c>
      <c r="G132" s="95">
        <f t="shared" si="43"/>
        <v>1635</v>
      </c>
      <c r="H132" s="91"/>
      <c r="I132" s="95">
        <f t="shared" si="44"/>
        <v>48</v>
      </c>
      <c r="J132" s="96"/>
      <c r="K132" s="114">
        <f t="shared" si="45"/>
        <v>37.299999999999997</v>
      </c>
      <c r="L132" s="95">
        <f t="shared" si="46"/>
        <v>1790</v>
      </c>
      <c r="M132" s="91"/>
      <c r="N132" s="95">
        <f>'Link in'!O12</f>
        <v>48</v>
      </c>
      <c r="O132" s="96"/>
      <c r="P132" s="114">
        <f t="shared" si="47"/>
        <v>34.07</v>
      </c>
      <c r="Q132" s="95">
        <f t="shared" si="48"/>
        <v>1635</v>
      </c>
      <c r="R132" s="91"/>
      <c r="S132" s="91">
        <f t="shared" si="49"/>
        <v>48</v>
      </c>
      <c r="T132" s="92"/>
      <c r="U132" s="114">
        <f>'Link in'!L43</f>
        <v>37.299999999999997</v>
      </c>
      <c r="V132" s="91">
        <f t="shared" si="50"/>
        <v>1790</v>
      </c>
      <c r="W132" s="95"/>
      <c r="X132" s="91">
        <f t="shared" si="51"/>
        <v>155</v>
      </c>
      <c r="Y132" s="96"/>
      <c r="Z132" s="112">
        <f t="shared" si="42"/>
        <v>9.4799999999999995E-2</v>
      </c>
    </row>
    <row r="133" spans="1:26" ht="14.4" x14ac:dyDescent="0.3">
      <c r="A133" s="104">
        <v>6</v>
      </c>
      <c r="B133" s="79" t="s">
        <v>33</v>
      </c>
      <c r="C133" s="91"/>
      <c r="D133" s="95">
        <f>'Link in'!E13</f>
        <v>24</v>
      </c>
      <c r="E133" s="96"/>
      <c r="F133" s="114">
        <f>'Link in'!E44</f>
        <v>68.17</v>
      </c>
      <c r="G133" s="95">
        <f t="shared" si="43"/>
        <v>1636</v>
      </c>
      <c r="H133" s="91"/>
      <c r="I133" s="95">
        <f t="shared" si="44"/>
        <v>24</v>
      </c>
      <c r="J133" s="96"/>
      <c r="K133" s="114">
        <f t="shared" si="45"/>
        <v>74.7</v>
      </c>
      <c r="L133" s="95">
        <f t="shared" si="46"/>
        <v>1793</v>
      </c>
      <c r="M133" s="91"/>
      <c r="N133" s="95">
        <f>'Link in'!O13</f>
        <v>24</v>
      </c>
      <c r="O133" s="96"/>
      <c r="P133" s="114">
        <f t="shared" si="47"/>
        <v>68.17</v>
      </c>
      <c r="Q133" s="95">
        <f t="shared" si="48"/>
        <v>1636</v>
      </c>
      <c r="R133" s="91"/>
      <c r="S133" s="91">
        <f t="shared" si="49"/>
        <v>24</v>
      </c>
      <c r="T133" s="92"/>
      <c r="U133" s="114">
        <f>'Link in'!L44</f>
        <v>74.7</v>
      </c>
      <c r="V133" s="91">
        <f t="shared" si="50"/>
        <v>1793</v>
      </c>
      <c r="W133" s="95"/>
      <c r="X133" s="91">
        <f t="shared" si="51"/>
        <v>157</v>
      </c>
      <c r="Y133" s="96"/>
      <c r="Z133" s="112">
        <f t="shared" si="42"/>
        <v>9.6000000000000002E-2</v>
      </c>
    </row>
    <row r="134" spans="1:26" ht="14.4" x14ac:dyDescent="0.3">
      <c r="A134" s="104">
        <v>7</v>
      </c>
      <c r="B134" s="79" t="s">
        <v>34</v>
      </c>
      <c r="C134" s="91"/>
      <c r="D134" s="95">
        <f>'Link in'!E14</f>
        <v>263.82190022010275</v>
      </c>
      <c r="E134" s="96"/>
      <c r="F134" s="114">
        <f>'Link in'!E45</f>
        <v>109.04</v>
      </c>
      <c r="G134" s="95">
        <f t="shared" si="43"/>
        <v>28767</v>
      </c>
      <c r="H134" s="91"/>
      <c r="I134" s="95">
        <f t="shared" si="44"/>
        <v>263.82190022010275</v>
      </c>
      <c r="J134" s="96"/>
      <c r="K134" s="114">
        <f t="shared" si="45"/>
        <v>119.5</v>
      </c>
      <c r="L134" s="95">
        <f t="shared" si="46"/>
        <v>31527</v>
      </c>
      <c r="M134" s="91"/>
      <c r="N134" s="95">
        <f>'Link in'!O14</f>
        <v>264</v>
      </c>
      <c r="O134" s="96"/>
      <c r="P134" s="114">
        <f t="shared" si="47"/>
        <v>109.04</v>
      </c>
      <c r="Q134" s="95">
        <f t="shared" si="48"/>
        <v>28787</v>
      </c>
      <c r="R134" s="91"/>
      <c r="S134" s="91">
        <f t="shared" si="49"/>
        <v>264</v>
      </c>
      <c r="T134" s="92"/>
      <c r="U134" s="114">
        <f>'Link in'!L45</f>
        <v>119.5</v>
      </c>
      <c r="V134" s="91">
        <f t="shared" si="50"/>
        <v>31548</v>
      </c>
      <c r="W134" s="95"/>
      <c r="X134" s="91">
        <f t="shared" si="51"/>
        <v>2761</v>
      </c>
      <c r="Y134" s="96"/>
      <c r="Z134" s="112">
        <f t="shared" si="42"/>
        <v>9.5899999999999999E-2</v>
      </c>
    </row>
    <row r="135" spans="1:26" ht="14.4" x14ac:dyDescent="0.3">
      <c r="A135" s="104">
        <v>8</v>
      </c>
      <c r="B135" s="79" t="s">
        <v>35</v>
      </c>
      <c r="C135" s="91"/>
      <c r="D135" s="95">
        <f>'Link in'!E15</f>
        <v>0</v>
      </c>
      <c r="E135" s="96"/>
      <c r="F135" s="114">
        <f>'Link in'!E46</f>
        <v>204.47</v>
      </c>
      <c r="G135" s="95">
        <f t="shared" si="43"/>
        <v>0</v>
      </c>
      <c r="H135" s="91"/>
      <c r="I135" s="95">
        <f t="shared" si="44"/>
        <v>0</v>
      </c>
      <c r="J135" s="96"/>
      <c r="K135" s="114">
        <f t="shared" si="45"/>
        <v>224</v>
      </c>
      <c r="L135" s="95">
        <f t="shared" si="46"/>
        <v>0</v>
      </c>
      <c r="M135" s="91"/>
      <c r="N135" s="95">
        <f>'Link in'!O15</f>
        <v>0</v>
      </c>
      <c r="O135" s="96"/>
      <c r="P135" s="114">
        <f t="shared" si="47"/>
        <v>204.47</v>
      </c>
      <c r="Q135" s="95">
        <f t="shared" si="48"/>
        <v>0</v>
      </c>
      <c r="R135" s="91"/>
      <c r="S135" s="91">
        <f t="shared" si="49"/>
        <v>0</v>
      </c>
      <c r="T135" s="92"/>
      <c r="U135" s="114">
        <f>'Link in'!L46</f>
        <v>224</v>
      </c>
      <c r="V135" s="91">
        <f t="shared" si="50"/>
        <v>0</v>
      </c>
      <c r="W135" s="95"/>
      <c r="X135" s="91">
        <f t="shared" si="51"/>
        <v>0</v>
      </c>
      <c r="Y135" s="96"/>
      <c r="Z135" s="112">
        <f t="shared" si="42"/>
        <v>0</v>
      </c>
    </row>
    <row r="136" spans="1:26" ht="14.4" x14ac:dyDescent="0.3">
      <c r="A136" s="104">
        <v>9</v>
      </c>
      <c r="B136" s="79" t="s">
        <v>36</v>
      </c>
      <c r="C136" s="91"/>
      <c r="D136" s="95">
        <f>'Link in'!E16</f>
        <v>120</v>
      </c>
      <c r="E136" s="96"/>
      <c r="F136" s="114">
        <f>'Link in'!E47</f>
        <v>340.77</v>
      </c>
      <c r="G136" s="95">
        <f t="shared" si="43"/>
        <v>40892</v>
      </c>
      <c r="H136" s="91"/>
      <c r="I136" s="95">
        <f t="shared" si="44"/>
        <v>120</v>
      </c>
      <c r="J136" s="96"/>
      <c r="K136" s="114">
        <f t="shared" si="45"/>
        <v>373.4</v>
      </c>
      <c r="L136" s="95">
        <f t="shared" si="46"/>
        <v>44808</v>
      </c>
      <c r="M136" s="91"/>
      <c r="N136" s="95">
        <f>'Link in'!O16</f>
        <v>120</v>
      </c>
      <c r="O136" s="96"/>
      <c r="P136" s="114">
        <f t="shared" si="47"/>
        <v>340.77</v>
      </c>
      <c r="Q136" s="95">
        <f t="shared" si="48"/>
        <v>40892</v>
      </c>
      <c r="R136" s="91"/>
      <c r="S136" s="91">
        <f t="shared" si="49"/>
        <v>120</v>
      </c>
      <c r="T136" s="92"/>
      <c r="U136" s="114">
        <f>'Link in'!L47</f>
        <v>373.4</v>
      </c>
      <c r="V136" s="91">
        <f t="shared" si="50"/>
        <v>44808</v>
      </c>
      <c r="W136" s="95"/>
      <c r="X136" s="91">
        <f t="shared" si="51"/>
        <v>3916</v>
      </c>
      <c r="Y136" s="96"/>
      <c r="Z136" s="112">
        <f t="shared" si="42"/>
        <v>9.5799999999999996E-2</v>
      </c>
    </row>
    <row r="137" spans="1:26" ht="14.4" x14ac:dyDescent="0.3">
      <c r="A137" s="104">
        <v>10</v>
      </c>
      <c r="B137" s="79" t="s">
        <v>37</v>
      </c>
      <c r="C137" s="91"/>
      <c r="D137" s="95">
        <f>'Link in'!E17</f>
        <v>108</v>
      </c>
      <c r="E137" s="96"/>
      <c r="F137" s="114">
        <f>'Link in'!E48</f>
        <v>681.5</v>
      </c>
      <c r="G137" s="95">
        <f t="shared" si="43"/>
        <v>73602</v>
      </c>
      <c r="H137" s="91"/>
      <c r="I137" s="95">
        <f t="shared" si="44"/>
        <v>108</v>
      </c>
      <c r="J137" s="96"/>
      <c r="K137" s="114">
        <f t="shared" si="45"/>
        <v>746.7</v>
      </c>
      <c r="L137" s="95">
        <f t="shared" si="46"/>
        <v>80644</v>
      </c>
      <c r="M137" s="91"/>
      <c r="N137" s="95">
        <f>'Link in'!O17</f>
        <v>108</v>
      </c>
      <c r="O137" s="96"/>
      <c r="P137" s="114">
        <f t="shared" si="47"/>
        <v>681.5</v>
      </c>
      <c r="Q137" s="95">
        <f t="shared" si="48"/>
        <v>73602</v>
      </c>
      <c r="R137" s="91"/>
      <c r="S137" s="91">
        <f t="shared" si="49"/>
        <v>108</v>
      </c>
      <c r="T137" s="92"/>
      <c r="U137" s="114">
        <f>'Link in'!L48</f>
        <v>746.7</v>
      </c>
      <c r="V137" s="91">
        <f t="shared" si="50"/>
        <v>80644</v>
      </c>
      <c r="W137" s="95"/>
      <c r="X137" s="91">
        <f t="shared" si="51"/>
        <v>7042</v>
      </c>
      <c r="Y137" s="96"/>
      <c r="Z137" s="112">
        <f t="shared" si="42"/>
        <v>9.5699999999999993E-2</v>
      </c>
    </row>
    <row r="138" spans="1:26" ht="14.4" x14ac:dyDescent="0.3">
      <c r="A138" s="104">
        <v>11</v>
      </c>
      <c r="B138" s="79" t="s">
        <v>38</v>
      </c>
      <c r="C138" s="91"/>
      <c r="D138" s="95">
        <f>'Link in'!E18</f>
        <v>0</v>
      </c>
      <c r="E138" s="96"/>
      <c r="F138" s="114">
        <f>'Link in'!E49</f>
        <v>1090.4000000000001</v>
      </c>
      <c r="G138" s="95">
        <f t="shared" si="43"/>
        <v>0</v>
      </c>
      <c r="H138" s="91"/>
      <c r="I138" s="95">
        <f t="shared" si="44"/>
        <v>0</v>
      </c>
      <c r="J138" s="96"/>
      <c r="K138" s="114">
        <f t="shared" si="45"/>
        <v>1194.7</v>
      </c>
      <c r="L138" s="95">
        <f t="shared" si="46"/>
        <v>0</v>
      </c>
      <c r="M138" s="91"/>
      <c r="N138" s="95">
        <f>'Link in'!O18</f>
        <v>0</v>
      </c>
      <c r="O138" s="96"/>
      <c r="P138" s="114">
        <f t="shared" si="47"/>
        <v>1090.4000000000001</v>
      </c>
      <c r="Q138" s="95">
        <f t="shared" si="48"/>
        <v>0</v>
      </c>
      <c r="R138" s="91"/>
      <c r="S138" s="91">
        <f t="shared" si="49"/>
        <v>0</v>
      </c>
      <c r="T138" s="92"/>
      <c r="U138" s="114">
        <f>'Link in'!L49</f>
        <v>1194.7</v>
      </c>
      <c r="V138" s="91">
        <f t="shared" si="50"/>
        <v>0</v>
      </c>
      <c r="W138" s="95"/>
      <c r="X138" s="91">
        <f t="shared" si="51"/>
        <v>0</v>
      </c>
      <c r="Y138" s="96"/>
      <c r="Z138" s="112">
        <f t="shared" si="42"/>
        <v>0</v>
      </c>
    </row>
    <row r="139" spans="1:26" ht="14.4" x14ac:dyDescent="0.3">
      <c r="A139" s="104">
        <v>12</v>
      </c>
      <c r="B139" s="79" t="s">
        <v>113</v>
      </c>
      <c r="C139" s="91"/>
      <c r="D139" s="95"/>
      <c r="E139" s="96"/>
      <c r="F139" s="114"/>
      <c r="G139" s="95"/>
      <c r="H139" s="91"/>
      <c r="I139" s="95"/>
      <c r="J139" s="96"/>
      <c r="K139" s="114"/>
      <c r="L139" s="95"/>
      <c r="M139" s="91"/>
      <c r="N139" s="95"/>
      <c r="O139" s="96"/>
      <c r="P139" s="114"/>
      <c r="Q139" s="114"/>
      <c r="R139" s="91"/>
      <c r="S139" s="91"/>
      <c r="T139" s="92"/>
      <c r="U139" s="114"/>
      <c r="V139" s="91"/>
      <c r="W139" s="95"/>
      <c r="X139" s="91">
        <f t="shared" si="51"/>
        <v>0</v>
      </c>
      <c r="Y139" s="96"/>
      <c r="Z139" s="112">
        <f t="shared" si="42"/>
        <v>0</v>
      </c>
    </row>
    <row r="140" spans="1:26" ht="14.4" x14ac:dyDescent="0.3">
      <c r="A140" s="104">
        <v>13</v>
      </c>
      <c r="B140" s="79"/>
      <c r="C140" s="91"/>
      <c r="D140" s="95"/>
      <c r="E140" s="96"/>
      <c r="F140" s="114"/>
      <c r="G140" s="95"/>
      <c r="H140" s="91"/>
      <c r="I140" s="95"/>
      <c r="J140" s="96"/>
      <c r="K140" s="114"/>
      <c r="L140" s="95"/>
      <c r="M140" s="91"/>
      <c r="N140" s="95"/>
      <c r="O140" s="96"/>
      <c r="P140" s="114"/>
      <c r="Q140" s="114"/>
      <c r="R140" s="91"/>
      <c r="S140" s="91"/>
      <c r="T140" s="92"/>
      <c r="U140" s="114"/>
      <c r="V140" s="91"/>
      <c r="W140" s="95"/>
      <c r="X140" s="111"/>
      <c r="Y140" s="96"/>
      <c r="Z140" s="112"/>
    </row>
    <row r="141" spans="1:26" ht="14.4" x14ac:dyDescent="0.3">
      <c r="A141" s="104">
        <v>14</v>
      </c>
      <c r="B141" s="79"/>
      <c r="C141" s="92"/>
      <c r="D141" s="96"/>
      <c r="E141" s="96"/>
      <c r="F141" s="96"/>
      <c r="G141" s="96"/>
      <c r="H141" s="92"/>
      <c r="I141" s="96"/>
      <c r="J141" s="96"/>
      <c r="K141" s="96"/>
      <c r="L141" s="96"/>
      <c r="M141" s="92"/>
      <c r="N141" s="96"/>
      <c r="O141" s="96"/>
      <c r="P141" s="96"/>
      <c r="Q141" s="96"/>
      <c r="R141" s="92"/>
      <c r="S141" s="92"/>
      <c r="T141" s="92"/>
      <c r="U141" s="96"/>
      <c r="V141" s="92"/>
      <c r="W141" s="96"/>
      <c r="X141" s="95"/>
      <c r="Y141" s="96"/>
      <c r="Z141" s="112"/>
    </row>
    <row r="142" spans="1:26" ht="14.4" x14ac:dyDescent="0.3">
      <c r="A142" s="104">
        <v>15</v>
      </c>
      <c r="B142" s="79"/>
      <c r="C142" s="79"/>
      <c r="D142" s="94"/>
      <c r="E142" s="94"/>
      <c r="F142" s="96"/>
      <c r="G142" s="94"/>
      <c r="H142" s="79"/>
      <c r="I142" s="94"/>
      <c r="J142" s="94"/>
      <c r="K142" s="96"/>
      <c r="L142" s="94"/>
      <c r="M142" s="79"/>
      <c r="N142" s="94"/>
      <c r="O142" s="94"/>
      <c r="P142" s="94"/>
      <c r="Q142" s="94"/>
      <c r="R142" s="79"/>
      <c r="S142" s="79"/>
      <c r="T142" s="79"/>
      <c r="U142" s="94"/>
      <c r="V142" s="79"/>
      <c r="W142" s="94"/>
      <c r="X142" s="94"/>
      <c r="Y142" s="94"/>
      <c r="Z142" s="94"/>
    </row>
    <row r="143" spans="1:26" ht="14.4" x14ac:dyDescent="0.3">
      <c r="A143" s="104">
        <v>16</v>
      </c>
      <c r="B143" s="110" t="s">
        <v>40</v>
      </c>
      <c r="C143" s="92"/>
      <c r="D143" s="96"/>
      <c r="E143" s="96"/>
      <c r="F143" s="96"/>
      <c r="G143" s="96"/>
      <c r="H143" s="92"/>
      <c r="I143" s="96"/>
      <c r="J143" s="96"/>
      <c r="K143" s="96"/>
      <c r="L143" s="96"/>
      <c r="M143" s="92"/>
      <c r="N143" s="96"/>
      <c r="O143" s="96"/>
      <c r="P143" s="96"/>
      <c r="Q143" s="96"/>
      <c r="R143" s="92"/>
      <c r="S143" s="92"/>
      <c r="T143" s="92"/>
      <c r="U143" s="96"/>
      <c r="V143" s="92"/>
      <c r="W143" s="96"/>
      <c r="X143" s="95"/>
      <c r="Y143" s="96"/>
      <c r="Z143" s="112"/>
    </row>
    <row r="144" spans="1:26" ht="14.4" x14ac:dyDescent="0.3">
      <c r="A144" s="104">
        <v>17</v>
      </c>
      <c r="B144" s="79" t="s">
        <v>41</v>
      </c>
      <c r="C144" s="97"/>
      <c r="D144" s="96"/>
      <c r="E144" s="95">
        <f>'Link in'!E23</f>
        <v>651882.09211704892</v>
      </c>
      <c r="F144" s="144">
        <f>+'[2]Link Out'!$E$112</f>
        <v>4.0890674815387182</v>
      </c>
      <c r="G144" s="111">
        <f>ROUND((E144*F144),0)</f>
        <v>2665590</v>
      </c>
      <c r="H144" s="97"/>
      <c r="I144" s="96"/>
      <c r="J144" s="95">
        <f>E144</f>
        <v>651882.09211704892</v>
      </c>
      <c r="K144" s="144">
        <f>U144</f>
        <v>4.75</v>
      </c>
      <c r="L144" s="111">
        <f>ROUND((J144*K144),0)</f>
        <v>3096440</v>
      </c>
      <c r="M144" s="97"/>
      <c r="N144" s="96"/>
      <c r="O144" s="95">
        <f>'Link in'!O23</f>
        <v>617725.2612666277</v>
      </c>
      <c r="P144" s="145">
        <f>+IFERROR(Q144/O144,0)</f>
        <v>3.8340005638489654</v>
      </c>
      <c r="Q144" s="111">
        <f>+[2]Summary!M113</f>
        <v>2368359</v>
      </c>
      <c r="R144" s="97"/>
      <c r="S144" s="92"/>
      <c r="T144" s="91">
        <f>O144</f>
        <v>617725.2612666277</v>
      </c>
      <c r="U144" s="144">
        <f>+'Link in'!$L59</f>
        <v>4.75</v>
      </c>
      <c r="V144" s="97">
        <f>ROUND((T144*U144),0)</f>
        <v>2934195</v>
      </c>
      <c r="W144" s="95"/>
      <c r="X144" s="97">
        <f t="shared" ref="X144:X150" si="52">+V144-Q144</f>
        <v>565836</v>
      </c>
      <c r="Y144" s="96"/>
      <c r="Z144" s="112">
        <f t="shared" ref="Z144:Z152" si="53">IF(Q144=0,0,ROUND((X144/Q144),4))</f>
        <v>0.2389</v>
      </c>
    </row>
    <row r="145" spans="1:27" ht="14.4" x14ac:dyDescent="0.3">
      <c r="A145" s="104">
        <v>18</v>
      </c>
      <c r="B145" s="79" t="s">
        <v>42</v>
      </c>
      <c r="C145" s="91"/>
      <c r="D145" s="94"/>
      <c r="E145" s="95">
        <f>'Link in'!E24</f>
        <v>0</v>
      </c>
      <c r="F145" s="122">
        <f>'Link in'!E60</f>
        <v>0</v>
      </c>
      <c r="G145" s="95">
        <f>ROUND((E145*F145),0)</f>
        <v>0</v>
      </c>
      <c r="H145" s="91"/>
      <c r="I145" s="94"/>
      <c r="J145" s="95">
        <f t="shared" ref="J145:J150" si="54">E145</f>
        <v>0</v>
      </c>
      <c r="K145" s="122">
        <f t="shared" ref="K145:K149" si="55">U145</f>
        <v>4.75</v>
      </c>
      <c r="L145" s="95">
        <f>ROUND((J145*K145),0)</f>
        <v>0</v>
      </c>
      <c r="M145" s="91"/>
      <c r="N145" s="94"/>
      <c r="O145" s="95">
        <f>'Link in'!O24</f>
        <v>0</v>
      </c>
      <c r="P145" s="122">
        <f>'Link in'!O60</f>
        <v>0</v>
      </c>
      <c r="Q145" s="95">
        <f>ROUND((O145*P145),0)</f>
        <v>0</v>
      </c>
      <c r="R145" s="91"/>
      <c r="S145" s="79"/>
      <c r="T145" s="91">
        <f t="shared" ref="T145:T150" si="56">O145</f>
        <v>0</v>
      </c>
      <c r="U145" s="122">
        <f>+'Link in'!$L60</f>
        <v>4.75</v>
      </c>
      <c r="V145" s="91">
        <f>ROUND((T145*U145),0)</f>
        <v>0</v>
      </c>
      <c r="W145" s="95"/>
      <c r="X145" s="91">
        <f t="shared" si="52"/>
        <v>0</v>
      </c>
      <c r="Y145" s="94"/>
      <c r="Z145" s="112">
        <f t="shared" si="53"/>
        <v>0</v>
      </c>
    </row>
    <row r="146" spans="1:27" ht="14.4" x14ac:dyDescent="0.3">
      <c r="A146" s="104">
        <v>19</v>
      </c>
      <c r="B146" s="79" t="s">
        <v>43</v>
      </c>
      <c r="C146" s="91"/>
      <c r="D146" s="94"/>
      <c r="E146" s="95">
        <f>'Link in'!E25</f>
        <v>0</v>
      </c>
      <c r="F146" s="122">
        <f>'Link in'!E61</f>
        <v>0</v>
      </c>
      <c r="G146" s="95">
        <f>ROUND((E146*F146),0)</f>
        <v>0</v>
      </c>
      <c r="H146" s="91"/>
      <c r="I146" s="94"/>
      <c r="J146" s="95">
        <f t="shared" si="54"/>
        <v>0</v>
      </c>
      <c r="K146" s="122">
        <f t="shared" si="55"/>
        <v>4.75</v>
      </c>
      <c r="L146" s="95">
        <f>ROUND((J146*K146),0)</f>
        <v>0</v>
      </c>
      <c r="M146" s="91"/>
      <c r="N146" s="94"/>
      <c r="O146" s="95">
        <f>'Link in'!O25</f>
        <v>0</v>
      </c>
      <c r="P146" s="122">
        <f>'Link in'!O61</f>
        <v>0</v>
      </c>
      <c r="Q146" s="95">
        <f>ROUND((O146*P146),0)</f>
        <v>0</v>
      </c>
      <c r="R146" s="91"/>
      <c r="S146" s="79"/>
      <c r="T146" s="91">
        <f t="shared" si="56"/>
        <v>0</v>
      </c>
      <c r="U146" s="122">
        <f>+'Link in'!$L61</f>
        <v>4.75</v>
      </c>
      <c r="V146" s="91">
        <f>ROUND((T146*U146),0)</f>
        <v>0</v>
      </c>
      <c r="W146" s="95"/>
      <c r="X146" s="91">
        <f t="shared" si="52"/>
        <v>0</v>
      </c>
      <c r="Y146" s="94"/>
      <c r="Z146" s="112">
        <f t="shared" si="53"/>
        <v>0</v>
      </c>
    </row>
    <row r="147" spans="1:27" ht="14.4" x14ac:dyDescent="0.3">
      <c r="A147" s="104">
        <v>20</v>
      </c>
      <c r="B147" s="79" t="s">
        <v>44</v>
      </c>
      <c r="C147" s="91"/>
      <c r="D147" s="94"/>
      <c r="E147" s="95">
        <f>'Link in'!E26</f>
        <v>0</v>
      </c>
      <c r="F147" s="122">
        <f>'Link in'!E62</f>
        <v>0</v>
      </c>
      <c r="G147" s="95">
        <f>ROUND((E147*F147),0)</f>
        <v>0</v>
      </c>
      <c r="H147" s="91"/>
      <c r="I147" s="94"/>
      <c r="J147" s="95">
        <f t="shared" si="54"/>
        <v>0</v>
      </c>
      <c r="K147" s="122">
        <f t="shared" si="55"/>
        <v>4.75</v>
      </c>
      <c r="L147" s="95">
        <f>ROUND((J147*K147),0)</f>
        <v>0</v>
      </c>
      <c r="M147" s="91"/>
      <c r="N147" s="94"/>
      <c r="O147" s="95">
        <f>'Link in'!O26</f>
        <v>0</v>
      </c>
      <c r="P147" s="122">
        <f>'Link in'!O62</f>
        <v>0</v>
      </c>
      <c r="Q147" s="95">
        <f>ROUND((O147*P147),0)</f>
        <v>0</v>
      </c>
      <c r="R147" s="91"/>
      <c r="S147" s="79"/>
      <c r="T147" s="91">
        <f t="shared" si="56"/>
        <v>0</v>
      </c>
      <c r="U147" s="122">
        <f>+'Link in'!$L62</f>
        <v>4.75</v>
      </c>
      <c r="V147" s="91">
        <f>ROUND((T147*U147),0)</f>
        <v>0</v>
      </c>
      <c r="W147" s="95"/>
      <c r="X147" s="91">
        <f t="shared" si="52"/>
        <v>0</v>
      </c>
      <c r="Y147" s="94"/>
      <c r="Z147" s="112">
        <f t="shared" si="53"/>
        <v>0</v>
      </c>
    </row>
    <row r="148" spans="1:27" ht="14.4" x14ac:dyDescent="0.3">
      <c r="A148" s="104">
        <v>21</v>
      </c>
      <c r="B148" s="79" t="s">
        <v>96</v>
      </c>
      <c r="C148" s="79"/>
      <c r="D148" s="94"/>
      <c r="E148" s="95">
        <f>'Link in'!E27</f>
        <v>0</v>
      </c>
      <c r="F148" s="122">
        <f>'Link in'!E63</f>
        <v>0</v>
      </c>
      <c r="G148" s="95">
        <f t="shared" ref="G148:G149" si="57">ROUND((E148*F148),0)</f>
        <v>0</v>
      </c>
      <c r="H148" s="91"/>
      <c r="I148" s="94"/>
      <c r="J148" s="95">
        <f t="shared" si="54"/>
        <v>0</v>
      </c>
      <c r="K148" s="122">
        <f t="shared" si="55"/>
        <v>4.75</v>
      </c>
      <c r="L148" s="95">
        <f t="shared" ref="L148:L149" si="58">ROUND((J148*K148),0)</f>
        <v>0</v>
      </c>
      <c r="M148" s="79"/>
      <c r="N148" s="94"/>
      <c r="O148" s="95">
        <f>'Link in'!O27</f>
        <v>0</v>
      </c>
      <c r="P148" s="122">
        <f>'Link in'!O63</f>
        <v>0</v>
      </c>
      <c r="Q148" s="95">
        <f t="shared" ref="Q148:Q149" si="59">ROUND((O148*P148),0)</f>
        <v>0</v>
      </c>
      <c r="R148" s="79"/>
      <c r="S148" s="79"/>
      <c r="T148" s="91">
        <f t="shared" si="56"/>
        <v>0</v>
      </c>
      <c r="U148" s="122">
        <f>+'Link in'!$L63</f>
        <v>4.75</v>
      </c>
      <c r="V148" s="91">
        <f t="shared" ref="V148:V149" si="60">ROUND((T148*U148),0)</f>
        <v>0</v>
      </c>
      <c r="W148" s="94"/>
      <c r="X148" s="91">
        <f t="shared" si="52"/>
        <v>0</v>
      </c>
      <c r="Y148" s="94"/>
      <c r="Z148" s="112">
        <f t="shared" si="53"/>
        <v>0</v>
      </c>
    </row>
    <row r="149" spans="1:27" ht="14.4" x14ac:dyDescent="0.3">
      <c r="A149" s="104">
        <v>22</v>
      </c>
      <c r="B149" s="79" t="s">
        <v>101</v>
      </c>
      <c r="C149" s="79"/>
      <c r="D149" s="94"/>
      <c r="E149" s="95">
        <f>'Link in'!E28</f>
        <v>0</v>
      </c>
      <c r="F149" s="122">
        <f>'Link in'!E64</f>
        <v>0</v>
      </c>
      <c r="G149" s="95">
        <f t="shared" si="57"/>
        <v>0</v>
      </c>
      <c r="H149" s="91"/>
      <c r="I149" s="94"/>
      <c r="J149" s="95">
        <f t="shared" si="54"/>
        <v>0</v>
      </c>
      <c r="K149" s="122">
        <f t="shared" si="55"/>
        <v>4.75</v>
      </c>
      <c r="L149" s="95">
        <f t="shared" si="58"/>
        <v>0</v>
      </c>
      <c r="M149" s="79"/>
      <c r="N149" s="94"/>
      <c r="O149" s="95">
        <f>'Link in'!O28</f>
        <v>0</v>
      </c>
      <c r="P149" s="122">
        <f>'Link in'!O64</f>
        <v>0</v>
      </c>
      <c r="Q149" s="95">
        <f t="shared" si="59"/>
        <v>0</v>
      </c>
      <c r="R149" s="79"/>
      <c r="S149" s="79"/>
      <c r="T149" s="91">
        <f t="shared" si="56"/>
        <v>0</v>
      </c>
      <c r="U149" s="122">
        <f>+'Link in'!$L64</f>
        <v>4.75</v>
      </c>
      <c r="V149" s="91">
        <f t="shared" si="60"/>
        <v>0</v>
      </c>
      <c r="W149" s="94"/>
      <c r="X149" s="91">
        <f t="shared" si="52"/>
        <v>0</v>
      </c>
      <c r="Y149" s="94"/>
      <c r="Z149" s="112">
        <f t="shared" si="53"/>
        <v>0</v>
      </c>
    </row>
    <row r="150" spans="1:27" ht="14.4" x14ac:dyDescent="0.3">
      <c r="A150" s="104">
        <v>23</v>
      </c>
      <c r="B150" s="94" t="s">
        <v>108</v>
      </c>
      <c r="C150" s="123"/>
      <c r="D150" s="94"/>
      <c r="E150" s="94">
        <f>'Link in'!E32</f>
        <v>0</v>
      </c>
      <c r="F150" s="122"/>
      <c r="G150" s="123">
        <f>'Link in'!E34</f>
        <v>41.542676825309172</v>
      </c>
      <c r="H150" s="123"/>
      <c r="I150" s="94"/>
      <c r="J150" s="95">
        <f t="shared" si="54"/>
        <v>0</v>
      </c>
      <c r="K150" s="144"/>
      <c r="L150" s="123">
        <f>G150</f>
        <v>41.542676825309172</v>
      </c>
      <c r="M150" s="123"/>
      <c r="N150" s="94"/>
      <c r="O150" s="94"/>
      <c r="P150" s="106"/>
      <c r="Q150" s="123"/>
      <c r="R150" s="123"/>
      <c r="S150" s="94"/>
      <c r="T150" s="94">
        <f t="shared" si="56"/>
        <v>0</v>
      </c>
      <c r="U150" s="106"/>
      <c r="V150" s="123">
        <f>Q150</f>
        <v>0</v>
      </c>
      <c r="W150" s="123"/>
      <c r="X150" s="123">
        <f t="shared" si="52"/>
        <v>0</v>
      </c>
      <c r="Y150" s="94"/>
      <c r="Z150" s="112">
        <f t="shared" si="53"/>
        <v>0</v>
      </c>
      <c r="AA150" s="24"/>
    </row>
    <row r="151" spans="1:27" ht="14.4" x14ac:dyDescent="0.3">
      <c r="A151" s="104">
        <v>24</v>
      </c>
      <c r="B151" s="79"/>
      <c r="C151" s="133"/>
      <c r="D151" s="94"/>
      <c r="E151" s="94"/>
      <c r="F151" s="124"/>
      <c r="G151" s="124"/>
      <c r="H151" s="133"/>
      <c r="I151" s="94"/>
      <c r="J151" s="94"/>
      <c r="K151" s="124"/>
      <c r="L151" s="124"/>
      <c r="M151" s="133"/>
      <c r="N151" s="79"/>
      <c r="O151" s="79"/>
      <c r="P151" s="133"/>
      <c r="Q151" s="133"/>
      <c r="R151" s="133"/>
      <c r="S151" s="79"/>
      <c r="T151" s="79"/>
      <c r="U151" s="133"/>
      <c r="V151" s="133"/>
      <c r="W151" s="124"/>
      <c r="X151" s="95"/>
      <c r="Y151" s="94"/>
      <c r="Z151" s="112"/>
    </row>
    <row r="152" spans="1:27" ht="15" thickBot="1" x14ac:dyDescent="0.35">
      <c r="A152" s="104">
        <v>25</v>
      </c>
      <c r="B152" s="79" t="s">
        <v>1</v>
      </c>
      <c r="C152" s="137"/>
      <c r="D152" s="150"/>
      <c r="E152" s="151">
        <f>SUM(E144:E151)</f>
        <v>651882.09211704892</v>
      </c>
      <c r="F152" s="126"/>
      <c r="G152" s="152">
        <f>SUM(G130:G151)</f>
        <v>2813213.5426768251</v>
      </c>
      <c r="H152" s="137"/>
      <c r="I152" s="150"/>
      <c r="J152" s="151">
        <f>SUM(J144:J151)</f>
        <v>651882.09211704892</v>
      </c>
      <c r="K152" s="126"/>
      <c r="L152" s="152">
        <f>SUM(L130:L151)</f>
        <v>3258198.5426768251</v>
      </c>
      <c r="M152" s="137"/>
      <c r="N152" s="147"/>
      <c r="O152" s="148">
        <f>SUM(O144:O151)</f>
        <v>617725.2612666277</v>
      </c>
      <c r="P152" s="137"/>
      <c r="Q152" s="149">
        <f>SUM(Q130:Q151)</f>
        <v>2515892</v>
      </c>
      <c r="R152" s="137"/>
      <c r="S152" s="147"/>
      <c r="T152" s="148">
        <f>SUM(T144:T151)</f>
        <v>617725.2612666277</v>
      </c>
      <c r="U152" s="137"/>
      <c r="V152" s="149">
        <f>SUM(V130:V151)</f>
        <v>3095858</v>
      </c>
      <c r="W152" s="126"/>
      <c r="X152" s="152">
        <f>SUM(X130:X151)</f>
        <v>579966</v>
      </c>
      <c r="Y152" s="94"/>
      <c r="Z152" s="136">
        <f t="shared" si="53"/>
        <v>0.23050000000000001</v>
      </c>
    </row>
    <row r="153" spans="1:27" ht="15" thickTop="1" x14ac:dyDescent="0.3">
      <c r="A153" s="104"/>
      <c r="B153" s="79"/>
      <c r="C153" s="91"/>
      <c r="D153" s="79"/>
      <c r="E153" s="79"/>
      <c r="F153" s="131"/>
      <c r="G153" s="91"/>
      <c r="H153" s="91"/>
      <c r="I153" s="91"/>
      <c r="J153" s="91"/>
      <c r="K153" s="91"/>
      <c r="L153" s="91"/>
      <c r="M153" s="91"/>
      <c r="N153" s="91"/>
      <c r="O153" s="79"/>
      <c r="P153" s="131"/>
      <c r="Q153" s="91"/>
      <c r="R153" s="91"/>
      <c r="S153" s="79"/>
      <c r="T153" s="79"/>
      <c r="U153" s="131"/>
      <c r="V153" s="91"/>
      <c r="W153" s="94"/>
      <c r="X153" s="95"/>
      <c r="Y153" s="94"/>
      <c r="Z153" s="112"/>
    </row>
    <row r="154" spans="1:27" ht="14.4" x14ac:dyDescent="0.3">
      <c r="A154" s="104"/>
      <c r="B154" s="79"/>
      <c r="C154" s="91"/>
      <c r="D154" s="104"/>
      <c r="E154" s="79"/>
      <c r="F154" s="131"/>
      <c r="G154" s="91"/>
      <c r="H154" s="91"/>
      <c r="I154" s="91"/>
      <c r="J154" s="91"/>
      <c r="K154" s="91"/>
      <c r="L154" s="91"/>
      <c r="M154" s="91"/>
      <c r="N154" s="91"/>
      <c r="O154" s="79"/>
      <c r="P154" s="131"/>
      <c r="Q154" s="91"/>
      <c r="R154" s="91"/>
      <c r="S154" s="104"/>
      <c r="T154" s="79"/>
      <c r="U154" s="131"/>
      <c r="V154" s="91"/>
      <c r="W154" s="94"/>
      <c r="X154" s="95"/>
      <c r="Y154" s="94"/>
      <c r="Z154" s="112"/>
    </row>
    <row r="155" spans="1:27" ht="14.4" x14ac:dyDescent="0.3">
      <c r="A155" s="104"/>
      <c r="B155" s="79"/>
      <c r="C155" s="79"/>
      <c r="D155" s="79"/>
      <c r="E155" s="79"/>
      <c r="F155" s="153"/>
      <c r="G155" s="79"/>
      <c r="H155" s="79"/>
      <c r="I155" s="79"/>
      <c r="J155" s="79"/>
      <c r="K155" s="79"/>
      <c r="L155" s="79"/>
      <c r="M155" s="79"/>
      <c r="N155" s="79"/>
      <c r="O155" s="79"/>
      <c r="P155" s="153"/>
      <c r="Q155" s="79"/>
      <c r="R155" s="79"/>
      <c r="S155" s="79"/>
      <c r="T155" s="79"/>
      <c r="U155" s="153"/>
      <c r="V155" s="79"/>
      <c r="W155" s="94"/>
      <c r="X155" s="95"/>
      <c r="Y155" s="94"/>
      <c r="Z155" s="112"/>
    </row>
    <row r="156" spans="1:27" ht="14.4" x14ac:dyDescent="0.3">
      <c r="A156" s="104"/>
      <c r="B156" s="79"/>
      <c r="C156" s="79"/>
      <c r="D156" s="79"/>
      <c r="E156" s="79"/>
      <c r="F156" s="153"/>
      <c r="G156" s="79"/>
      <c r="H156" s="79"/>
      <c r="I156" s="79"/>
      <c r="J156" s="79"/>
      <c r="K156" s="79"/>
      <c r="L156" s="79"/>
      <c r="M156" s="79"/>
      <c r="N156" s="79"/>
      <c r="O156" s="79"/>
      <c r="P156" s="153"/>
      <c r="Q156" s="79"/>
      <c r="R156" s="79"/>
      <c r="S156" s="79"/>
      <c r="T156" s="79"/>
      <c r="U156" s="153"/>
      <c r="V156" s="79"/>
      <c r="W156" s="94"/>
      <c r="X156" s="95"/>
      <c r="Y156" s="94"/>
      <c r="Z156" s="112"/>
    </row>
    <row r="157" spans="1:27" ht="14.4" x14ac:dyDescent="0.3">
      <c r="A157" s="333" t="str">
        <f>A118</f>
        <v>Kentucky American Water Company</v>
      </c>
      <c r="B157" s="333"/>
      <c r="C157" s="333"/>
      <c r="D157" s="333"/>
      <c r="E157" s="333"/>
      <c r="F157" s="333"/>
      <c r="G157" s="333"/>
      <c r="H157" s="333"/>
      <c r="I157" s="333"/>
      <c r="J157" s="333"/>
      <c r="K157" s="333"/>
      <c r="L157" s="333"/>
      <c r="M157" s="333"/>
      <c r="N157" s="333"/>
      <c r="O157" s="333"/>
      <c r="P157" s="333"/>
      <c r="Q157" s="333"/>
      <c r="R157" s="333"/>
      <c r="S157" s="333"/>
      <c r="T157" s="333"/>
      <c r="U157" s="333"/>
      <c r="V157" s="333"/>
      <c r="W157" s="333"/>
      <c r="X157" s="333"/>
      <c r="Y157" s="333"/>
      <c r="Z157" s="333"/>
    </row>
    <row r="158" spans="1:27" ht="14.4" x14ac:dyDescent="0.3">
      <c r="A158" s="333" t="s">
        <v>77</v>
      </c>
      <c r="B158" s="333"/>
      <c r="C158" s="333"/>
      <c r="D158" s="333"/>
      <c r="E158" s="333"/>
      <c r="F158" s="333"/>
      <c r="G158" s="333"/>
      <c r="H158" s="333"/>
      <c r="I158" s="333"/>
      <c r="J158" s="333"/>
      <c r="K158" s="333"/>
      <c r="L158" s="333"/>
      <c r="M158" s="333"/>
      <c r="N158" s="333"/>
      <c r="O158" s="333"/>
      <c r="P158" s="333"/>
      <c r="Q158" s="333"/>
      <c r="R158" s="333"/>
      <c r="S158" s="333"/>
      <c r="T158" s="333"/>
      <c r="U158" s="333"/>
      <c r="V158" s="333"/>
      <c r="W158" s="333"/>
      <c r="X158" s="333"/>
      <c r="Y158" s="333"/>
      <c r="Z158" s="333"/>
    </row>
    <row r="159" spans="1:27" ht="14.4" x14ac:dyDescent="0.3">
      <c r="A159" s="333" t="str">
        <f>A120</f>
        <v>Case No. 2018-00358</v>
      </c>
      <c r="B159" s="333"/>
      <c r="C159" s="333"/>
      <c r="D159" s="333"/>
      <c r="E159" s="333"/>
      <c r="F159" s="333"/>
      <c r="G159" s="333"/>
      <c r="H159" s="333"/>
      <c r="I159" s="333"/>
      <c r="J159" s="333"/>
      <c r="K159" s="333"/>
      <c r="L159" s="333"/>
      <c r="M159" s="333"/>
      <c r="N159" s="333"/>
      <c r="O159" s="333"/>
      <c r="P159" s="333"/>
      <c r="Q159" s="333"/>
      <c r="R159" s="333"/>
      <c r="S159" s="333"/>
      <c r="T159" s="333"/>
      <c r="U159" s="333"/>
      <c r="V159" s="333"/>
      <c r="W159" s="333"/>
      <c r="X159" s="333"/>
      <c r="Y159" s="333"/>
      <c r="Z159" s="333"/>
    </row>
    <row r="160" spans="1:27" ht="14.4" x14ac:dyDescent="0.3">
      <c r="A160" s="333" t="str">
        <f>A121</f>
        <v>Base Year for the 12 Months Ended February 28, 2019 and Forecast Year for the 12 Months Ended June 30, 2020</v>
      </c>
      <c r="B160" s="333"/>
      <c r="C160" s="333"/>
      <c r="D160" s="333"/>
      <c r="E160" s="333"/>
      <c r="F160" s="333"/>
      <c r="G160" s="333"/>
      <c r="H160" s="333"/>
      <c r="I160" s="333"/>
      <c r="J160" s="333"/>
      <c r="K160" s="333"/>
      <c r="L160" s="333"/>
      <c r="M160" s="333"/>
      <c r="N160" s="333"/>
      <c r="O160" s="333"/>
      <c r="P160" s="333"/>
      <c r="Q160" s="333"/>
      <c r="R160" s="333"/>
      <c r="S160" s="333"/>
      <c r="T160" s="333"/>
      <c r="U160" s="333"/>
      <c r="V160" s="333"/>
      <c r="W160" s="333"/>
      <c r="X160" s="333"/>
      <c r="Y160" s="333"/>
      <c r="Z160" s="333"/>
    </row>
    <row r="161" spans="1:26" ht="14.4" x14ac:dyDescent="0.3">
      <c r="A161" s="109" t="str">
        <f>A122</f>
        <v>Witness Responsible:   Melissa Schwarzell</v>
      </c>
      <c r="B161" s="79"/>
      <c r="C161" s="79"/>
      <c r="D161" s="79"/>
      <c r="E161" s="79"/>
      <c r="F161" s="79"/>
      <c r="G161" s="79"/>
      <c r="H161" s="79"/>
      <c r="I161" s="335" t="str">
        <f>"ALL CUSTOMERS ("&amp;LEFT(B167,SEARCH(":",B167,1)-1)&amp;")"</f>
        <v>ALL CUSTOMERS (Other Public Authority)</v>
      </c>
      <c r="J161" s="335"/>
      <c r="K161" s="335"/>
      <c r="L161" s="335"/>
      <c r="M161" s="335"/>
      <c r="N161" s="335"/>
      <c r="O161" s="335"/>
      <c r="P161" s="335"/>
      <c r="Q161" s="335"/>
      <c r="R161" s="79"/>
      <c r="S161" s="79"/>
      <c r="T161" s="79"/>
      <c r="U161" s="79"/>
      <c r="V161" s="79"/>
      <c r="W161" s="94"/>
      <c r="X161" s="94"/>
      <c r="Y161" s="94"/>
      <c r="Z161" s="99" t="str">
        <f>Z122</f>
        <v>Exhibit 37, Schedule M-3</v>
      </c>
    </row>
    <row r="162" spans="1:26" ht="14.4" x14ac:dyDescent="0.3">
      <c r="A162" s="139" t="str">
        <f>A123</f>
        <v/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01"/>
      <c r="X162" s="101"/>
      <c r="Y162" s="101"/>
      <c r="Z162" s="141" t="str">
        <f ca="1">Z123</f>
        <v>Revenues\[KAWC 2018 Rate Case - Revenue.xlsx]Sch M</v>
      </c>
    </row>
    <row r="163" spans="1:26" ht="14.4" x14ac:dyDescent="0.3">
      <c r="A163" s="79"/>
      <c r="B163" s="79"/>
      <c r="C163" s="104"/>
      <c r="D163" s="328" t="s">
        <v>174</v>
      </c>
      <c r="E163" s="328" t="s">
        <v>97</v>
      </c>
      <c r="F163" s="328"/>
      <c r="G163" s="328"/>
      <c r="H163" s="104"/>
      <c r="I163" s="336" t="s">
        <v>173</v>
      </c>
      <c r="J163" s="336" t="s">
        <v>97</v>
      </c>
      <c r="K163" s="336"/>
      <c r="L163" s="336"/>
      <c r="M163" s="104"/>
      <c r="N163" s="328" t="s">
        <v>120</v>
      </c>
      <c r="O163" s="328" t="s">
        <v>98</v>
      </c>
      <c r="P163" s="328"/>
      <c r="Q163" s="328"/>
      <c r="R163" s="104"/>
      <c r="S163" s="328" t="s">
        <v>121</v>
      </c>
      <c r="T163" s="328" t="s">
        <v>99</v>
      </c>
      <c r="U163" s="328"/>
      <c r="V163" s="328"/>
      <c r="W163" s="105"/>
      <c r="X163" s="105"/>
      <c r="Y163" s="94"/>
      <c r="Z163" s="94"/>
    </row>
    <row r="164" spans="1:26" ht="14.4" x14ac:dyDescent="0.3">
      <c r="A164" s="79"/>
      <c r="B164" s="79"/>
      <c r="C164" s="104"/>
      <c r="D164" s="104" t="s">
        <v>27</v>
      </c>
      <c r="E164" s="104"/>
      <c r="F164" s="104"/>
      <c r="G164" s="104"/>
      <c r="H164" s="104"/>
      <c r="I164" s="106" t="s">
        <v>27</v>
      </c>
      <c r="J164" s="106"/>
      <c r="K164" s="106"/>
      <c r="L164" s="106"/>
      <c r="M164" s="104"/>
      <c r="N164" s="104" t="s">
        <v>27</v>
      </c>
      <c r="O164" s="104"/>
      <c r="P164" s="104"/>
      <c r="Q164" s="104"/>
      <c r="R164" s="104"/>
      <c r="S164" s="104" t="s">
        <v>27</v>
      </c>
      <c r="T164" s="104"/>
      <c r="U164" s="104"/>
      <c r="V164" s="104"/>
      <c r="W164" s="106"/>
      <c r="X164" s="106"/>
      <c r="Y164" s="94"/>
      <c r="Z164" s="94"/>
    </row>
    <row r="165" spans="1:26" ht="14.4" x14ac:dyDescent="0.3">
      <c r="A165" s="79"/>
      <c r="B165" s="104" t="s">
        <v>24</v>
      </c>
      <c r="C165" s="104"/>
      <c r="D165" s="104" t="s">
        <v>28</v>
      </c>
      <c r="E165" s="104" t="s">
        <v>39</v>
      </c>
      <c r="F165" s="104" t="s">
        <v>45</v>
      </c>
      <c r="G165" s="104" t="s">
        <v>1</v>
      </c>
      <c r="H165" s="104"/>
      <c r="I165" s="106" t="s">
        <v>28</v>
      </c>
      <c r="J165" s="106" t="s">
        <v>39</v>
      </c>
      <c r="K165" s="106" t="s">
        <v>175</v>
      </c>
      <c r="L165" s="106" t="s">
        <v>1</v>
      </c>
      <c r="M165" s="104"/>
      <c r="N165" s="104" t="s">
        <v>28</v>
      </c>
      <c r="O165" s="104" t="s">
        <v>39</v>
      </c>
      <c r="P165" s="104" t="s">
        <v>45</v>
      </c>
      <c r="Q165" s="104" t="s">
        <v>1</v>
      </c>
      <c r="R165" s="104"/>
      <c r="S165" s="104" t="s">
        <v>28</v>
      </c>
      <c r="T165" s="104" t="s">
        <v>39</v>
      </c>
      <c r="U165" s="104" t="s">
        <v>73</v>
      </c>
      <c r="V165" s="104" t="s">
        <v>1</v>
      </c>
      <c r="W165" s="106"/>
      <c r="X165" s="106" t="s">
        <v>51</v>
      </c>
      <c r="Y165" s="94"/>
      <c r="Z165" s="106" t="s">
        <v>53</v>
      </c>
    </row>
    <row r="166" spans="1:26" ht="14.4" x14ac:dyDescent="0.3">
      <c r="A166" s="107" t="s">
        <v>0</v>
      </c>
      <c r="B166" s="107" t="s">
        <v>2</v>
      </c>
      <c r="C166" s="104"/>
      <c r="D166" s="107" t="s">
        <v>29</v>
      </c>
      <c r="E166" s="107" t="str">
        <f>E127</f>
        <v>('000 Gal)</v>
      </c>
      <c r="F166" s="107" t="s">
        <v>46</v>
      </c>
      <c r="G166" s="107" t="s">
        <v>47</v>
      </c>
      <c r="H166" s="104"/>
      <c r="I166" s="108" t="s">
        <v>29</v>
      </c>
      <c r="J166" s="108" t="str">
        <f>J127</f>
        <v>('000 Gal)</v>
      </c>
      <c r="K166" s="108" t="s">
        <v>46</v>
      </c>
      <c r="L166" s="108" t="s">
        <v>47</v>
      </c>
      <c r="M166" s="104"/>
      <c r="N166" s="107" t="s">
        <v>29</v>
      </c>
      <c r="O166" s="107" t="str">
        <f>E166</f>
        <v>('000 Gal)</v>
      </c>
      <c r="P166" s="107" t="s">
        <v>46</v>
      </c>
      <c r="Q166" s="107" t="s">
        <v>47</v>
      </c>
      <c r="R166" s="104"/>
      <c r="S166" s="107" t="s">
        <v>29</v>
      </c>
      <c r="T166" s="107" t="str">
        <f>O166</f>
        <v>('000 Gal)</v>
      </c>
      <c r="U166" s="107" t="s">
        <v>46</v>
      </c>
      <c r="V166" s="107" t="s">
        <v>47</v>
      </c>
      <c r="W166" s="106"/>
      <c r="X166" s="108" t="s">
        <v>52</v>
      </c>
      <c r="Y166" s="94"/>
      <c r="Z166" s="108" t="s">
        <v>52</v>
      </c>
    </row>
    <row r="167" spans="1:26" ht="14.4" x14ac:dyDescent="0.3">
      <c r="A167" s="104">
        <v>1</v>
      </c>
      <c r="B167" s="109" t="s">
        <v>56</v>
      </c>
      <c r="C167" s="104"/>
      <c r="D167" s="79"/>
      <c r="E167" s="104"/>
      <c r="F167" s="104"/>
      <c r="G167" s="104"/>
      <c r="H167" s="104"/>
      <c r="I167" s="106"/>
      <c r="J167" s="106"/>
      <c r="K167" s="106"/>
      <c r="L167" s="106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6"/>
      <c r="X167" s="106"/>
      <c r="Y167" s="94"/>
      <c r="Z167" s="106"/>
    </row>
    <row r="168" spans="1:26" ht="14.4" x14ac:dyDescent="0.3">
      <c r="A168" s="104">
        <v>2</v>
      </c>
      <c r="B168" s="110" t="s">
        <v>26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94"/>
      <c r="X168" s="94"/>
      <c r="Y168" s="94"/>
      <c r="Z168" s="94"/>
    </row>
    <row r="169" spans="1:26" ht="14.4" x14ac:dyDescent="0.3">
      <c r="A169" s="104">
        <v>3</v>
      </c>
      <c r="B169" s="79" t="s">
        <v>30</v>
      </c>
      <c r="C169" s="97"/>
      <c r="D169" s="95">
        <f>'Link in'!F10</f>
        <v>1581.8793094637117</v>
      </c>
      <c r="E169" s="96"/>
      <c r="F169" s="142">
        <f>'Link in'!F41</f>
        <v>13.63</v>
      </c>
      <c r="G169" s="111">
        <f>ROUND((D169*F169),0)</f>
        <v>21561</v>
      </c>
      <c r="H169" s="97"/>
      <c r="I169" s="95">
        <f>D169</f>
        <v>1581.8793094637117</v>
      </c>
      <c r="J169" s="96"/>
      <c r="K169" s="142">
        <f>U169</f>
        <v>15</v>
      </c>
      <c r="L169" s="111">
        <f>ROUND((I169*K169),0)</f>
        <v>23728</v>
      </c>
      <c r="M169" s="97"/>
      <c r="N169" s="95">
        <f>'Link in'!P10</f>
        <v>1500</v>
      </c>
      <c r="O169" s="96"/>
      <c r="P169" s="143">
        <f>+IFERROR(Q169/N169,0)</f>
        <v>13.63</v>
      </c>
      <c r="Q169" s="111">
        <f>+[2]Summary!M134+[2]Summary!M562</f>
        <v>20445</v>
      </c>
      <c r="R169" s="111"/>
      <c r="S169" s="91">
        <f>N169</f>
        <v>1500</v>
      </c>
      <c r="T169" s="92"/>
      <c r="U169" s="142">
        <f>'Link in'!M41</f>
        <v>15</v>
      </c>
      <c r="V169" s="97">
        <f>ROUND((S169*U169),0)</f>
        <v>22500</v>
      </c>
      <c r="W169" s="111"/>
      <c r="X169" s="97">
        <f>+V169-Q169</f>
        <v>2055</v>
      </c>
      <c r="Y169" s="96"/>
      <c r="Z169" s="112">
        <f t="shared" ref="Z169:Z178" si="61">IF(Q169=0,0,ROUND((X169/Q169),4))</f>
        <v>0.10050000000000001</v>
      </c>
    </row>
    <row r="170" spans="1:26" ht="14.4" x14ac:dyDescent="0.3">
      <c r="A170" s="104">
        <v>4</v>
      </c>
      <c r="B170" s="79" t="s">
        <v>31</v>
      </c>
      <c r="C170" s="91"/>
      <c r="D170" s="95">
        <f>'Link in'!F11</f>
        <v>0</v>
      </c>
      <c r="E170" s="96"/>
      <c r="F170" s="114">
        <f>'Link in'!F42</f>
        <v>20.46</v>
      </c>
      <c r="G170" s="95">
        <f t="shared" ref="G170:G177" si="62">ROUND((D170*F170),0)</f>
        <v>0</v>
      </c>
      <c r="H170" s="91"/>
      <c r="I170" s="95">
        <f t="shared" ref="I170:I177" si="63">D170</f>
        <v>0</v>
      </c>
      <c r="J170" s="96"/>
      <c r="K170" s="114">
        <f t="shared" ref="K170:K177" si="64">U170</f>
        <v>22.4</v>
      </c>
      <c r="L170" s="95">
        <f t="shared" ref="L170:L177" si="65">ROUND((I170*K170),0)</f>
        <v>0</v>
      </c>
      <c r="M170" s="91"/>
      <c r="N170" s="95">
        <f>'Link in'!P11</f>
        <v>0</v>
      </c>
      <c r="O170" s="96"/>
      <c r="P170" s="113">
        <f>+IFERROR(Q170/N170,0)</f>
        <v>0</v>
      </c>
      <c r="Q170" s="91">
        <f>+[2]Summary!M135+[2]Summary!M563</f>
        <v>0</v>
      </c>
      <c r="R170" s="95"/>
      <c r="S170" s="91">
        <f t="shared" ref="S170:S177" si="66">N170</f>
        <v>0</v>
      </c>
      <c r="T170" s="92"/>
      <c r="U170" s="114">
        <f>'Link in'!M42</f>
        <v>22.4</v>
      </c>
      <c r="V170" s="91">
        <f t="shared" ref="V170:V177" si="67">ROUND((S170*U170),0)</f>
        <v>0</v>
      </c>
      <c r="W170" s="95"/>
      <c r="X170" s="91">
        <f t="shared" ref="X170:X178" si="68">+V170-Q170</f>
        <v>0</v>
      </c>
      <c r="Y170" s="96"/>
      <c r="Z170" s="112">
        <f t="shared" si="61"/>
        <v>0</v>
      </c>
    </row>
    <row r="171" spans="1:26" ht="14.4" x14ac:dyDescent="0.3">
      <c r="A171" s="104">
        <v>5</v>
      </c>
      <c r="B171" s="79" t="s">
        <v>32</v>
      </c>
      <c r="C171" s="91"/>
      <c r="D171" s="95">
        <f>'Link in'!F12</f>
        <v>2128.4141473437039</v>
      </c>
      <c r="E171" s="96"/>
      <c r="F171" s="114">
        <f>'Link in'!F43</f>
        <v>34.07</v>
      </c>
      <c r="G171" s="95">
        <f t="shared" si="62"/>
        <v>72515</v>
      </c>
      <c r="H171" s="91"/>
      <c r="I171" s="95">
        <f t="shared" si="63"/>
        <v>2128.4141473437039</v>
      </c>
      <c r="J171" s="96"/>
      <c r="K171" s="114">
        <f t="shared" si="64"/>
        <v>37.299999999999997</v>
      </c>
      <c r="L171" s="95">
        <f t="shared" si="65"/>
        <v>79390</v>
      </c>
      <c r="M171" s="91"/>
      <c r="N171" s="95">
        <f>'Link in'!P12</f>
        <v>2184</v>
      </c>
      <c r="O171" s="96"/>
      <c r="P171" s="113">
        <f t="shared" ref="P171:P177" si="69">+IFERROR(Q171/N171,0)</f>
        <v>34.070054945054942</v>
      </c>
      <c r="Q171" s="91">
        <f>+[2]Summary!M136+[2]Summary!M564</f>
        <v>74409</v>
      </c>
      <c r="R171" s="95"/>
      <c r="S171" s="91">
        <f t="shared" si="66"/>
        <v>2184</v>
      </c>
      <c r="T171" s="92"/>
      <c r="U171" s="114">
        <f>'Link in'!M43</f>
        <v>37.299999999999997</v>
      </c>
      <c r="V171" s="91">
        <f t="shared" si="67"/>
        <v>81463</v>
      </c>
      <c r="W171" s="95"/>
      <c r="X171" s="91">
        <f t="shared" si="68"/>
        <v>7054</v>
      </c>
      <c r="Y171" s="96"/>
      <c r="Z171" s="112">
        <f t="shared" si="61"/>
        <v>9.4799999999999995E-2</v>
      </c>
    </row>
    <row r="172" spans="1:26" ht="14.4" x14ac:dyDescent="0.3">
      <c r="A172" s="104">
        <v>6</v>
      </c>
      <c r="B172" s="79" t="s">
        <v>33</v>
      </c>
      <c r="C172" s="91"/>
      <c r="D172" s="95">
        <f>'Link in'!F13</f>
        <v>355.03828663635034</v>
      </c>
      <c r="E172" s="96"/>
      <c r="F172" s="114">
        <f>'Link in'!F44</f>
        <v>68.17</v>
      </c>
      <c r="G172" s="95">
        <f t="shared" si="62"/>
        <v>24203</v>
      </c>
      <c r="H172" s="91"/>
      <c r="I172" s="95">
        <f t="shared" si="63"/>
        <v>355.03828663635034</v>
      </c>
      <c r="J172" s="96"/>
      <c r="K172" s="114">
        <f t="shared" si="64"/>
        <v>74.7</v>
      </c>
      <c r="L172" s="95">
        <f t="shared" si="65"/>
        <v>26521</v>
      </c>
      <c r="M172" s="91"/>
      <c r="N172" s="95">
        <f>'Link in'!P13</f>
        <v>384</v>
      </c>
      <c r="O172" s="96"/>
      <c r="P172" s="113">
        <f t="shared" si="69"/>
        <v>68.169270833333329</v>
      </c>
      <c r="Q172" s="91">
        <f>+[2]Summary!M137+[2]Summary!M565</f>
        <v>26177</v>
      </c>
      <c r="R172" s="95"/>
      <c r="S172" s="91">
        <f t="shared" si="66"/>
        <v>384</v>
      </c>
      <c r="T172" s="92"/>
      <c r="U172" s="114">
        <f>'Link in'!M44</f>
        <v>74.7</v>
      </c>
      <c r="V172" s="91">
        <f t="shared" si="67"/>
        <v>28685</v>
      </c>
      <c r="W172" s="95"/>
      <c r="X172" s="91">
        <f t="shared" si="68"/>
        <v>2508</v>
      </c>
      <c r="Y172" s="96"/>
      <c r="Z172" s="112">
        <f t="shared" si="61"/>
        <v>9.5799999999999996E-2</v>
      </c>
    </row>
    <row r="173" spans="1:26" ht="14.4" x14ac:dyDescent="0.3">
      <c r="A173" s="104">
        <v>7</v>
      </c>
      <c r="B173" s="79" t="s">
        <v>34</v>
      </c>
      <c r="C173" s="91"/>
      <c r="D173" s="95">
        <f>'Link in'!F14</f>
        <v>4705.4821839863671</v>
      </c>
      <c r="E173" s="96"/>
      <c r="F173" s="114">
        <f>'Link in'!F45</f>
        <v>109.04</v>
      </c>
      <c r="G173" s="95">
        <f t="shared" si="62"/>
        <v>513086</v>
      </c>
      <c r="H173" s="91"/>
      <c r="I173" s="95">
        <f t="shared" si="63"/>
        <v>4705.4821839863671</v>
      </c>
      <c r="J173" s="96"/>
      <c r="K173" s="114">
        <f t="shared" si="64"/>
        <v>119.5</v>
      </c>
      <c r="L173" s="95">
        <f t="shared" si="65"/>
        <v>562305</v>
      </c>
      <c r="M173" s="91"/>
      <c r="N173" s="95">
        <f>'Link in'!P14</f>
        <v>4860</v>
      </c>
      <c r="O173" s="96"/>
      <c r="P173" s="113">
        <f t="shared" si="69"/>
        <v>109.03991769547325</v>
      </c>
      <c r="Q173" s="91">
        <f>+[2]Summary!M138+[2]Summary!M566</f>
        <v>529934</v>
      </c>
      <c r="R173" s="95"/>
      <c r="S173" s="91">
        <f t="shared" si="66"/>
        <v>4860</v>
      </c>
      <c r="T173" s="92"/>
      <c r="U173" s="114">
        <f>'Link in'!M45</f>
        <v>119.5</v>
      </c>
      <c r="V173" s="91">
        <f t="shared" si="67"/>
        <v>580770</v>
      </c>
      <c r="W173" s="95"/>
      <c r="X173" s="91">
        <f t="shared" si="68"/>
        <v>50836</v>
      </c>
      <c r="Y173" s="96"/>
      <c r="Z173" s="112">
        <f t="shared" si="61"/>
        <v>9.5899999999999999E-2</v>
      </c>
    </row>
    <row r="174" spans="1:26" ht="14.4" x14ac:dyDescent="0.3">
      <c r="A174" s="104">
        <v>8</v>
      </c>
      <c r="B174" s="79" t="s">
        <v>35</v>
      </c>
      <c r="C174" s="91"/>
      <c r="D174" s="95">
        <f>'Link in'!F15</f>
        <v>12</v>
      </c>
      <c r="E174" s="96"/>
      <c r="F174" s="114">
        <f>'Link in'!F46</f>
        <v>204.47</v>
      </c>
      <c r="G174" s="95">
        <f t="shared" si="62"/>
        <v>2454</v>
      </c>
      <c r="H174" s="91"/>
      <c r="I174" s="95">
        <f t="shared" si="63"/>
        <v>12</v>
      </c>
      <c r="J174" s="96"/>
      <c r="K174" s="114">
        <f t="shared" si="64"/>
        <v>224</v>
      </c>
      <c r="L174" s="95">
        <f t="shared" si="65"/>
        <v>2688</v>
      </c>
      <c r="M174" s="91"/>
      <c r="N174" s="95">
        <f>'Link in'!P15</f>
        <v>12</v>
      </c>
      <c r="O174" s="96"/>
      <c r="P174" s="113">
        <f t="shared" si="69"/>
        <v>204.5</v>
      </c>
      <c r="Q174" s="91">
        <f>+[2]Summary!M139+[2]Summary!M567</f>
        <v>2454</v>
      </c>
      <c r="R174" s="95"/>
      <c r="S174" s="91">
        <f t="shared" si="66"/>
        <v>12</v>
      </c>
      <c r="T174" s="92"/>
      <c r="U174" s="114">
        <f>'Link in'!M46</f>
        <v>224</v>
      </c>
      <c r="V174" s="91">
        <f t="shared" si="67"/>
        <v>2688</v>
      </c>
      <c r="W174" s="95"/>
      <c r="X174" s="91">
        <f t="shared" si="68"/>
        <v>234</v>
      </c>
      <c r="Y174" s="96"/>
      <c r="Z174" s="112">
        <f t="shared" si="61"/>
        <v>9.5399999999999999E-2</v>
      </c>
    </row>
    <row r="175" spans="1:26" ht="14.4" x14ac:dyDescent="0.3">
      <c r="A175" s="104">
        <v>9</v>
      </c>
      <c r="B175" s="79" t="s">
        <v>36</v>
      </c>
      <c r="C175" s="91"/>
      <c r="D175" s="95">
        <f>'Link in'!F16</f>
        <v>525.82190333656126</v>
      </c>
      <c r="E175" s="96"/>
      <c r="F175" s="114">
        <f>'Link in'!F47</f>
        <v>340.77</v>
      </c>
      <c r="G175" s="95">
        <f t="shared" si="62"/>
        <v>179184</v>
      </c>
      <c r="H175" s="91"/>
      <c r="I175" s="95">
        <f t="shared" si="63"/>
        <v>525.82190333656126</v>
      </c>
      <c r="J175" s="96"/>
      <c r="K175" s="114">
        <f t="shared" si="64"/>
        <v>373.4</v>
      </c>
      <c r="L175" s="95">
        <f t="shared" si="65"/>
        <v>196342</v>
      </c>
      <c r="M175" s="91"/>
      <c r="N175" s="95">
        <f>'Link in'!P16</f>
        <v>540</v>
      </c>
      <c r="O175" s="96"/>
      <c r="P175" s="113">
        <f t="shared" si="69"/>
        <v>340.77037037037036</v>
      </c>
      <c r="Q175" s="91">
        <f>+[2]Summary!M140+[2]Summary!M568</f>
        <v>184016</v>
      </c>
      <c r="R175" s="95"/>
      <c r="S175" s="91">
        <f t="shared" si="66"/>
        <v>540</v>
      </c>
      <c r="T175" s="92"/>
      <c r="U175" s="114">
        <f>'Link in'!M47</f>
        <v>373.4</v>
      </c>
      <c r="V175" s="91">
        <f t="shared" si="67"/>
        <v>201636</v>
      </c>
      <c r="W175" s="95"/>
      <c r="X175" s="91">
        <f t="shared" si="68"/>
        <v>17620</v>
      </c>
      <c r="Y175" s="96"/>
      <c r="Z175" s="112">
        <f t="shared" si="61"/>
        <v>9.5799999999999996E-2</v>
      </c>
    </row>
    <row r="176" spans="1:26" ht="14.4" x14ac:dyDescent="0.3">
      <c r="A176" s="104">
        <v>10</v>
      </c>
      <c r="B176" s="79" t="s">
        <v>37</v>
      </c>
      <c r="C176" s="91"/>
      <c r="D176" s="95">
        <f>'Link in'!F17</f>
        <v>146</v>
      </c>
      <c r="E176" s="96"/>
      <c r="F176" s="114">
        <f>'Link in'!F48</f>
        <v>681.5</v>
      </c>
      <c r="G176" s="95">
        <f t="shared" si="62"/>
        <v>99499</v>
      </c>
      <c r="H176" s="91"/>
      <c r="I176" s="95">
        <f t="shared" si="63"/>
        <v>146</v>
      </c>
      <c r="J176" s="96"/>
      <c r="K176" s="114">
        <f t="shared" si="64"/>
        <v>746.7</v>
      </c>
      <c r="L176" s="95">
        <f t="shared" si="65"/>
        <v>109018</v>
      </c>
      <c r="M176" s="91"/>
      <c r="N176" s="95">
        <f>'Link in'!P17</f>
        <v>168</v>
      </c>
      <c r="O176" s="96"/>
      <c r="P176" s="113">
        <f t="shared" si="69"/>
        <v>681.5</v>
      </c>
      <c r="Q176" s="91">
        <f>+[2]Summary!M141+[2]Summary!M569</f>
        <v>114492</v>
      </c>
      <c r="R176" s="95"/>
      <c r="S176" s="91">
        <f t="shared" si="66"/>
        <v>168</v>
      </c>
      <c r="T176" s="92"/>
      <c r="U176" s="114">
        <f>'Link in'!M48</f>
        <v>746.7</v>
      </c>
      <c r="V176" s="91">
        <f t="shared" si="67"/>
        <v>125446</v>
      </c>
      <c r="W176" s="95"/>
      <c r="X176" s="91">
        <f t="shared" si="68"/>
        <v>10954</v>
      </c>
      <c r="Y176" s="96"/>
      <c r="Z176" s="112">
        <f t="shared" si="61"/>
        <v>9.5699999999999993E-2</v>
      </c>
    </row>
    <row r="177" spans="1:27" ht="14.4" x14ac:dyDescent="0.3">
      <c r="A177" s="104">
        <v>11</v>
      </c>
      <c r="B177" s="79" t="s">
        <v>38</v>
      </c>
      <c r="C177" s="91"/>
      <c r="D177" s="95">
        <f>'Link in'!F18</f>
        <v>24</v>
      </c>
      <c r="E177" s="96"/>
      <c r="F177" s="114">
        <f>'Link in'!F49</f>
        <v>1090.4000000000001</v>
      </c>
      <c r="G177" s="95">
        <f t="shared" si="62"/>
        <v>26170</v>
      </c>
      <c r="H177" s="91"/>
      <c r="I177" s="95">
        <f t="shared" si="63"/>
        <v>24</v>
      </c>
      <c r="J177" s="96"/>
      <c r="K177" s="114">
        <f t="shared" si="64"/>
        <v>1194.7</v>
      </c>
      <c r="L177" s="95">
        <f t="shared" si="65"/>
        <v>28673</v>
      </c>
      <c r="M177" s="91"/>
      <c r="N177" s="95">
        <f>'Link in'!P18</f>
        <v>24</v>
      </c>
      <c r="O177" s="96"/>
      <c r="P177" s="113">
        <f t="shared" si="69"/>
        <v>1090.4166666666667</v>
      </c>
      <c r="Q177" s="91">
        <f>+[2]Summary!M142+[2]Summary!M570</f>
        <v>26170</v>
      </c>
      <c r="R177" s="95"/>
      <c r="S177" s="91">
        <f t="shared" si="66"/>
        <v>24</v>
      </c>
      <c r="T177" s="92"/>
      <c r="U177" s="114">
        <f>'Link in'!M49</f>
        <v>1194.7</v>
      </c>
      <c r="V177" s="91">
        <f t="shared" si="67"/>
        <v>28673</v>
      </c>
      <c r="W177" s="95"/>
      <c r="X177" s="91">
        <f t="shared" si="68"/>
        <v>2503</v>
      </c>
      <c r="Y177" s="96"/>
      <c r="Z177" s="112">
        <f t="shared" si="61"/>
        <v>9.5600000000000004E-2</v>
      </c>
    </row>
    <row r="178" spans="1:27" ht="14.4" x14ac:dyDescent="0.3">
      <c r="A178" s="104">
        <v>12</v>
      </c>
      <c r="B178" s="79" t="s">
        <v>113</v>
      </c>
      <c r="C178" s="91"/>
      <c r="D178" s="95"/>
      <c r="E178" s="96"/>
      <c r="F178" s="114"/>
      <c r="G178" s="95"/>
      <c r="H178" s="91"/>
      <c r="I178" s="95"/>
      <c r="J178" s="96"/>
      <c r="K178" s="114"/>
      <c r="L178" s="95"/>
      <c r="M178" s="91"/>
      <c r="N178" s="95"/>
      <c r="O178" s="96"/>
      <c r="P178" s="114"/>
      <c r="Q178" s="114"/>
      <c r="R178" s="95"/>
      <c r="S178" s="91"/>
      <c r="T178" s="92"/>
      <c r="U178" s="114"/>
      <c r="V178" s="91"/>
      <c r="W178" s="95"/>
      <c r="X178" s="91">
        <f t="shared" si="68"/>
        <v>0</v>
      </c>
      <c r="Y178" s="96"/>
      <c r="Z178" s="112">
        <f t="shared" si="61"/>
        <v>0</v>
      </c>
    </row>
    <row r="179" spans="1:27" ht="14.4" x14ac:dyDescent="0.3">
      <c r="A179" s="104">
        <v>13</v>
      </c>
      <c r="B179" s="79"/>
      <c r="C179" s="91"/>
      <c r="D179" s="95"/>
      <c r="E179" s="96"/>
      <c r="F179" s="114"/>
      <c r="G179" s="95"/>
      <c r="H179" s="91"/>
      <c r="I179" s="95"/>
      <c r="J179" s="96"/>
      <c r="K179" s="114"/>
      <c r="L179" s="95"/>
      <c r="M179" s="91"/>
      <c r="N179" s="95"/>
      <c r="O179" s="96"/>
      <c r="P179" s="114"/>
      <c r="Q179" s="114"/>
      <c r="R179" s="95"/>
      <c r="S179" s="91"/>
      <c r="T179" s="92"/>
      <c r="U179" s="114"/>
      <c r="V179" s="91"/>
      <c r="W179" s="95"/>
      <c r="X179" s="111"/>
      <c r="Y179" s="96"/>
      <c r="Z179" s="112"/>
    </row>
    <row r="180" spans="1:27" ht="14.4" x14ac:dyDescent="0.3">
      <c r="A180" s="104">
        <v>14</v>
      </c>
      <c r="B180" s="79"/>
      <c r="C180" s="92"/>
      <c r="D180" s="96"/>
      <c r="E180" s="96"/>
      <c r="F180" s="96"/>
      <c r="G180" s="96"/>
      <c r="H180" s="92"/>
      <c r="I180" s="96"/>
      <c r="J180" s="96"/>
      <c r="K180" s="96"/>
      <c r="L180" s="96"/>
      <c r="M180" s="92"/>
      <c r="N180" s="96"/>
      <c r="O180" s="96"/>
      <c r="P180" s="96"/>
      <c r="Q180" s="96"/>
      <c r="R180" s="96"/>
      <c r="S180" s="92"/>
      <c r="T180" s="92"/>
      <c r="U180" s="96"/>
      <c r="V180" s="92"/>
      <c r="W180" s="96"/>
      <c r="X180" s="95"/>
      <c r="Y180" s="96"/>
      <c r="Z180" s="112"/>
    </row>
    <row r="181" spans="1:27" ht="14.4" x14ac:dyDescent="0.3">
      <c r="A181" s="104">
        <v>15</v>
      </c>
      <c r="B181" s="79"/>
      <c r="C181" s="79"/>
      <c r="D181" s="94"/>
      <c r="E181" s="94"/>
      <c r="F181" s="96"/>
      <c r="G181" s="94"/>
      <c r="H181" s="79"/>
      <c r="I181" s="94"/>
      <c r="J181" s="94"/>
      <c r="K181" s="96"/>
      <c r="L181" s="94"/>
      <c r="M181" s="79"/>
      <c r="N181" s="94"/>
      <c r="O181" s="94"/>
      <c r="P181" s="94"/>
      <c r="Q181" s="94"/>
      <c r="R181" s="94"/>
      <c r="S181" s="79"/>
      <c r="T181" s="79"/>
      <c r="U181" s="94"/>
      <c r="V181" s="79"/>
      <c r="W181" s="94"/>
      <c r="X181" s="94"/>
      <c r="Y181" s="94"/>
      <c r="Z181" s="94"/>
    </row>
    <row r="182" spans="1:27" ht="14.4" x14ac:dyDescent="0.3">
      <c r="A182" s="104">
        <v>16</v>
      </c>
      <c r="B182" s="110" t="s">
        <v>40</v>
      </c>
      <c r="C182" s="92"/>
      <c r="D182" s="96"/>
      <c r="E182" s="96"/>
      <c r="F182" s="96"/>
      <c r="G182" s="96"/>
      <c r="H182" s="92"/>
      <c r="I182" s="96"/>
      <c r="J182" s="96"/>
      <c r="K182" s="96"/>
      <c r="L182" s="96"/>
      <c r="M182" s="92"/>
      <c r="N182" s="96"/>
      <c r="O182" s="96"/>
      <c r="P182" s="96"/>
      <c r="Q182" s="96"/>
      <c r="R182" s="96"/>
      <c r="S182" s="92"/>
      <c r="T182" s="92"/>
      <c r="U182" s="96"/>
      <c r="V182" s="92"/>
      <c r="W182" s="96"/>
      <c r="X182" s="95"/>
      <c r="Y182" s="96"/>
      <c r="Z182" s="112"/>
    </row>
    <row r="183" spans="1:27" ht="14.4" x14ac:dyDescent="0.3">
      <c r="A183" s="104">
        <v>17</v>
      </c>
      <c r="B183" s="79" t="s">
        <v>41</v>
      </c>
      <c r="C183" s="97"/>
      <c r="D183" s="96"/>
      <c r="E183" s="95">
        <f>'Link in'!F23</f>
        <v>1120134.9367899653</v>
      </c>
      <c r="F183" s="144">
        <f>+'[2]Link Out'!$E$147</f>
        <v>4.3466219734038738</v>
      </c>
      <c r="G183" s="111">
        <f>ROUND((E183*F183),0)</f>
        <v>4868803</v>
      </c>
      <c r="H183" s="97"/>
      <c r="I183" s="96"/>
      <c r="J183" s="95">
        <f>E183</f>
        <v>1120134.9367899653</v>
      </c>
      <c r="K183" s="144">
        <f>U183</f>
        <v>5.1909999999999998</v>
      </c>
      <c r="L183" s="111">
        <f>ROUND((J183*K183),0)</f>
        <v>5814620</v>
      </c>
      <c r="M183" s="97"/>
      <c r="N183" s="96"/>
      <c r="O183" s="95">
        <f>'Link in'!P23</f>
        <v>1165871.6583333332</v>
      </c>
      <c r="P183" s="145">
        <f>+IFERROR(Q183/O183,0)</f>
        <v>4.0530001447629331</v>
      </c>
      <c r="Q183" s="111">
        <f>++[2]Summary!M576+[2]Summary!M148</f>
        <v>4725278</v>
      </c>
      <c r="R183" s="111"/>
      <c r="S183" s="92"/>
      <c r="T183" s="91">
        <f>O183</f>
        <v>1165871.6583333332</v>
      </c>
      <c r="U183" s="144">
        <f>+'Link in'!$M59</f>
        <v>5.1909999999999998</v>
      </c>
      <c r="V183" s="97">
        <f>ROUND((T183*U183),0)</f>
        <v>6052040</v>
      </c>
      <c r="W183" s="95"/>
      <c r="X183" s="97">
        <f t="shared" ref="X183:X189" si="70">+V183-Q183</f>
        <v>1326762</v>
      </c>
      <c r="Y183" s="96"/>
      <c r="Z183" s="112">
        <f t="shared" ref="Z183:Z191" si="71">IF(Q183=0,0,ROUND((X183/Q183),4))</f>
        <v>0.28079999999999999</v>
      </c>
    </row>
    <row r="184" spans="1:27" ht="14.4" x14ac:dyDescent="0.3">
      <c r="A184" s="104">
        <v>18</v>
      </c>
      <c r="B184" s="79" t="s">
        <v>42</v>
      </c>
      <c r="C184" s="91"/>
      <c r="D184" s="94"/>
      <c r="E184" s="95">
        <f>'Link in'!F24</f>
        <v>0</v>
      </c>
      <c r="F184" s="122">
        <f>'Link in'!F60</f>
        <v>0</v>
      </c>
      <c r="G184" s="95">
        <f>ROUND((E184*F184),0)</f>
        <v>0</v>
      </c>
      <c r="H184" s="91"/>
      <c r="I184" s="94"/>
      <c r="J184" s="95">
        <f t="shared" ref="J184:J189" si="72">E184</f>
        <v>0</v>
      </c>
      <c r="K184" s="122">
        <f t="shared" ref="K184:K188" si="73">U184</f>
        <v>5.1909999999999998</v>
      </c>
      <c r="L184" s="95">
        <f>ROUND((J184*K184),0)</f>
        <v>0</v>
      </c>
      <c r="M184" s="91"/>
      <c r="N184" s="94"/>
      <c r="O184" s="95">
        <f>'Link in'!P24</f>
        <v>0</v>
      </c>
      <c r="P184" s="122">
        <f t="shared" ref="P184:P186" si="74">+IFERROR(Q184/O184,0)</f>
        <v>0</v>
      </c>
      <c r="Q184" s="95">
        <f>++[2]Summary!M577+[2]Summary!M149</f>
        <v>0</v>
      </c>
      <c r="R184" s="95"/>
      <c r="S184" s="79"/>
      <c r="T184" s="91">
        <f t="shared" ref="T184:T189" si="75">O184</f>
        <v>0</v>
      </c>
      <c r="U184" s="122">
        <f>+'Link in'!$M60</f>
        <v>5.1909999999999998</v>
      </c>
      <c r="V184" s="91">
        <f>ROUND((T184*U184),0)</f>
        <v>0</v>
      </c>
      <c r="W184" s="95"/>
      <c r="X184" s="91">
        <f t="shared" si="70"/>
        <v>0</v>
      </c>
      <c r="Y184" s="94"/>
      <c r="Z184" s="112">
        <f t="shared" si="71"/>
        <v>0</v>
      </c>
    </row>
    <row r="185" spans="1:27" ht="14.4" x14ac:dyDescent="0.3">
      <c r="A185" s="104">
        <v>19</v>
      </c>
      <c r="B185" s="79" t="s">
        <v>43</v>
      </c>
      <c r="C185" s="91"/>
      <c r="D185" s="94"/>
      <c r="E185" s="95">
        <f>'Link in'!F25</f>
        <v>0</v>
      </c>
      <c r="F185" s="122">
        <f>'Link in'!F61</f>
        <v>0</v>
      </c>
      <c r="G185" s="95">
        <f>ROUND((E185*F185),0)</f>
        <v>0</v>
      </c>
      <c r="H185" s="91"/>
      <c r="I185" s="94"/>
      <c r="J185" s="95">
        <f t="shared" si="72"/>
        <v>0</v>
      </c>
      <c r="K185" s="122">
        <f t="shared" si="73"/>
        <v>5.1909999999999998</v>
      </c>
      <c r="L185" s="95">
        <f>ROUND((J185*K185),0)</f>
        <v>0</v>
      </c>
      <c r="M185" s="91"/>
      <c r="N185" s="94"/>
      <c r="O185" s="95">
        <f>'Link in'!P25</f>
        <v>0</v>
      </c>
      <c r="P185" s="122">
        <f t="shared" si="74"/>
        <v>0</v>
      </c>
      <c r="Q185" s="95">
        <f>++[2]Summary!M578+[2]Summary!M150</f>
        <v>0</v>
      </c>
      <c r="R185" s="95"/>
      <c r="S185" s="79"/>
      <c r="T185" s="91">
        <f t="shared" si="75"/>
        <v>0</v>
      </c>
      <c r="U185" s="122">
        <f>+'Link in'!$M61</f>
        <v>5.1909999999999998</v>
      </c>
      <c r="V185" s="91">
        <f>ROUND((T185*U185),0)</f>
        <v>0</v>
      </c>
      <c r="W185" s="95"/>
      <c r="X185" s="91">
        <f t="shared" si="70"/>
        <v>0</v>
      </c>
      <c r="Y185" s="94"/>
      <c r="Z185" s="112">
        <f t="shared" si="71"/>
        <v>0</v>
      </c>
    </row>
    <row r="186" spans="1:27" ht="14.4" x14ac:dyDescent="0.3">
      <c r="A186" s="104">
        <v>20</v>
      </c>
      <c r="B186" s="79" t="s">
        <v>44</v>
      </c>
      <c r="C186" s="91"/>
      <c r="D186" s="94"/>
      <c r="E186" s="95">
        <f>'Link in'!F26</f>
        <v>0</v>
      </c>
      <c r="F186" s="122">
        <f>'Link in'!F62</f>
        <v>0</v>
      </c>
      <c r="G186" s="95">
        <f>ROUND((E186*F186),0)</f>
        <v>0</v>
      </c>
      <c r="H186" s="91"/>
      <c r="I186" s="94"/>
      <c r="J186" s="95">
        <f t="shared" si="72"/>
        <v>0</v>
      </c>
      <c r="K186" s="122">
        <f t="shared" si="73"/>
        <v>5.1909999999999998</v>
      </c>
      <c r="L186" s="95">
        <f>ROUND((J186*K186),0)</f>
        <v>0</v>
      </c>
      <c r="M186" s="91"/>
      <c r="N186" s="94"/>
      <c r="O186" s="95">
        <f>'Link in'!P26</f>
        <v>0</v>
      </c>
      <c r="P186" s="122">
        <f t="shared" si="74"/>
        <v>0</v>
      </c>
      <c r="Q186" s="95">
        <f>++[2]Summary!M579+[2]Summary!M151</f>
        <v>0</v>
      </c>
      <c r="R186" s="95"/>
      <c r="S186" s="79"/>
      <c r="T186" s="91">
        <f t="shared" si="75"/>
        <v>0</v>
      </c>
      <c r="U186" s="122">
        <f>+'Link in'!$M62</f>
        <v>5.1909999999999998</v>
      </c>
      <c r="V186" s="91">
        <f>ROUND((T186*U186),0)</f>
        <v>0</v>
      </c>
      <c r="W186" s="95"/>
      <c r="X186" s="91">
        <f t="shared" si="70"/>
        <v>0</v>
      </c>
      <c r="Y186" s="94"/>
      <c r="Z186" s="112">
        <f t="shared" si="71"/>
        <v>0</v>
      </c>
    </row>
    <row r="187" spans="1:27" ht="14.4" x14ac:dyDescent="0.3">
      <c r="A187" s="104">
        <v>21</v>
      </c>
      <c r="B187" s="79" t="s">
        <v>96</v>
      </c>
      <c r="C187" s="79"/>
      <c r="D187" s="94"/>
      <c r="E187" s="95">
        <f>'Link in'!F27</f>
        <v>0</v>
      </c>
      <c r="F187" s="122">
        <f>'Link in'!F63</f>
        <v>0</v>
      </c>
      <c r="G187" s="95">
        <f t="shared" ref="G187:G188" si="76">ROUND((E187*F187),0)</f>
        <v>0</v>
      </c>
      <c r="H187" s="91"/>
      <c r="I187" s="94"/>
      <c r="J187" s="95">
        <f t="shared" si="72"/>
        <v>0</v>
      </c>
      <c r="K187" s="122">
        <f t="shared" si="73"/>
        <v>5.1909999999999998</v>
      </c>
      <c r="L187" s="95">
        <f t="shared" ref="L187:L188" si="77">ROUND((J187*K187),0)</f>
        <v>0</v>
      </c>
      <c r="M187" s="79"/>
      <c r="N187" s="94"/>
      <c r="O187" s="95">
        <f>'Link in'!P27</f>
        <v>0</v>
      </c>
      <c r="P187" s="122">
        <f>'Link in'!O102</f>
        <v>0</v>
      </c>
      <c r="Q187" s="95">
        <f>++[2]Summary!M580+[2]Summary!M152</f>
        <v>0</v>
      </c>
      <c r="R187" s="94"/>
      <c r="S187" s="79"/>
      <c r="T187" s="91">
        <f t="shared" si="75"/>
        <v>0</v>
      </c>
      <c r="U187" s="122">
        <f>+'Link in'!$M63</f>
        <v>5.1909999999999998</v>
      </c>
      <c r="V187" s="91">
        <f t="shared" ref="V187:V188" si="78">ROUND((T187*U187),0)</f>
        <v>0</v>
      </c>
      <c r="W187" s="94"/>
      <c r="X187" s="91">
        <f t="shared" si="70"/>
        <v>0</v>
      </c>
      <c r="Y187" s="94"/>
      <c r="Z187" s="112">
        <f t="shared" si="71"/>
        <v>0</v>
      </c>
    </row>
    <row r="188" spans="1:27" ht="14.4" x14ac:dyDescent="0.3">
      <c r="A188" s="104">
        <v>22</v>
      </c>
      <c r="B188" s="79" t="s">
        <v>101</v>
      </c>
      <c r="C188" s="79"/>
      <c r="D188" s="94"/>
      <c r="E188" s="95">
        <f>'Link in'!F28</f>
        <v>0</v>
      </c>
      <c r="F188" s="122">
        <f>'Link in'!F64</f>
        <v>0</v>
      </c>
      <c r="G188" s="95">
        <f t="shared" si="76"/>
        <v>0</v>
      </c>
      <c r="H188" s="91"/>
      <c r="I188" s="94"/>
      <c r="J188" s="95">
        <f t="shared" si="72"/>
        <v>0</v>
      </c>
      <c r="K188" s="122">
        <f t="shared" si="73"/>
        <v>5.1909999999999998</v>
      </c>
      <c r="L188" s="95">
        <f t="shared" si="77"/>
        <v>0</v>
      </c>
      <c r="M188" s="79"/>
      <c r="N188" s="94"/>
      <c r="O188" s="95">
        <f>'Link in'!P28</f>
        <v>0</v>
      </c>
      <c r="P188" s="122">
        <f>'Link in'!O103</f>
        <v>0</v>
      </c>
      <c r="Q188" s="95">
        <f>++[2]Summary!M581+[2]Summary!M153</f>
        <v>0</v>
      </c>
      <c r="R188" s="94"/>
      <c r="S188" s="79"/>
      <c r="T188" s="91">
        <f t="shared" si="75"/>
        <v>0</v>
      </c>
      <c r="U188" s="122">
        <f>+'Link in'!$M64</f>
        <v>5.1909999999999998</v>
      </c>
      <c r="V188" s="91">
        <f t="shared" si="78"/>
        <v>0</v>
      </c>
      <c r="W188" s="94"/>
      <c r="X188" s="91">
        <f t="shared" si="70"/>
        <v>0</v>
      </c>
      <c r="Y188" s="94"/>
      <c r="Z188" s="112">
        <f t="shared" si="71"/>
        <v>0</v>
      </c>
    </row>
    <row r="189" spans="1:27" ht="14.4" x14ac:dyDescent="0.3">
      <c r="A189" s="104">
        <v>23</v>
      </c>
      <c r="B189" s="94" t="s">
        <v>108</v>
      </c>
      <c r="C189" s="123"/>
      <c r="D189" s="94"/>
      <c r="E189" s="94">
        <f>'Link in'!F32</f>
        <v>-232.11353723378852</v>
      </c>
      <c r="F189" s="122"/>
      <c r="G189" s="123">
        <f>'Link in'!F34</f>
        <v>-21853.390700165764</v>
      </c>
      <c r="H189" s="123"/>
      <c r="I189" s="94"/>
      <c r="J189" s="95">
        <f t="shared" si="72"/>
        <v>-232.11353723378852</v>
      </c>
      <c r="K189" s="144"/>
      <c r="L189" s="123">
        <f>G189</f>
        <v>-21853.390700165764</v>
      </c>
      <c r="M189" s="123"/>
      <c r="N189" s="94"/>
      <c r="O189" s="94"/>
      <c r="P189" s="106"/>
      <c r="Q189" s="123">
        <f>+'Link in'!P34</f>
        <v>0</v>
      </c>
      <c r="R189" s="123"/>
      <c r="S189" s="94"/>
      <c r="T189" s="94">
        <f t="shared" si="75"/>
        <v>0</v>
      </c>
      <c r="U189" s="106"/>
      <c r="V189" s="123">
        <f>Q189</f>
        <v>0</v>
      </c>
      <c r="W189" s="123"/>
      <c r="X189" s="123">
        <f t="shared" si="70"/>
        <v>0</v>
      </c>
      <c r="Y189" s="94"/>
      <c r="Z189" s="112">
        <f t="shared" si="71"/>
        <v>0</v>
      </c>
      <c r="AA189" s="24"/>
    </row>
    <row r="190" spans="1:27" ht="14.4" x14ac:dyDescent="0.3">
      <c r="A190" s="104">
        <v>24</v>
      </c>
      <c r="B190" s="79"/>
      <c r="C190" s="133"/>
      <c r="D190" s="79"/>
      <c r="E190" s="79"/>
      <c r="F190" s="133"/>
      <c r="G190" s="133"/>
      <c r="H190" s="133"/>
      <c r="I190" s="94"/>
      <c r="J190" s="94"/>
      <c r="K190" s="124"/>
      <c r="L190" s="124"/>
      <c r="M190" s="133"/>
      <c r="N190" s="79"/>
      <c r="O190" s="79"/>
      <c r="P190" s="133"/>
      <c r="Q190" s="133"/>
      <c r="R190" s="133"/>
      <c r="S190" s="79"/>
      <c r="T190" s="79"/>
      <c r="U190" s="133"/>
      <c r="V190" s="133"/>
      <c r="W190" s="124"/>
      <c r="X190" s="95"/>
      <c r="Y190" s="94"/>
      <c r="Z190" s="112"/>
    </row>
    <row r="191" spans="1:27" ht="15" thickBot="1" x14ac:dyDescent="0.35">
      <c r="A191" s="104">
        <v>25</v>
      </c>
      <c r="B191" s="79" t="s">
        <v>1</v>
      </c>
      <c r="C191" s="137"/>
      <c r="D191" s="147"/>
      <c r="E191" s="148">
        <f>SUM(E183:E190)</f>
        <v>1119902.8232527315</v>
      </c>
      <c r="F191" s="137"/>
      <c r="G191" s="149">
        <f>SUM(G169:G190)</f>
        <v>5785621.6092998339</v>
      </c>
      <c r="H191" s="137"/>
      <c r="I191" s="150"/>
      <c r="J191" s="151">
        <f>SUM(J183:J190)</f>
        <v>1119902.8232527315</v>
      </c>
      <c r="K191" s="126"/>
      <c r="L191" s="152">
        <f>SUM(L169:L190)</f>
        <v>6821431.6092998339</v>
      </c>
      <c r="M191" s="137"/>
      <c r="N191" s="147"/>
      <c r="O191" s="148">
        <f>SUM(O183:O190)</f>
        <v>1165871.6583333332</v>
      </c>
      <c r="P191" s="137"/>
      <c r="Q191" s="149">
        <f>SUM(Q169:Q190)</f>
        <v>5703375</v>
      </c>
      <c r="R191" s="137"/>
      <c r="S191" s="147"/>
      <c r="T191" s="148">
        <f>SUM(T183:T190)</f>
        <v>1165871.6583333332</v>
      </c>
      <c r="U191" s="137"/>
      <c r="V191" s="149">
        <f>SUM(V169:V190)</f>
        <v>7123901</v>
      </c>
      <c r="W191" s="126"/>
      <c r="X191" s="152">
        <f>SUM(X169:X190)</f>
        <v>1420526</v>
      </c>
      <c r="Y191" s="94"/>
      <c r="Z191" s="136">
        <f t="shared" si="71"/>
        <v>0.24909999999999999</v>
      </c>
    </row>
    <row r="192" spans="1:27" ht="15" thickTop="1" x14ac:dyDescent="0.3">
      <c r="A192" s="104"/>
      <c r="B192" s="79"/>
      <c r="C192" s="91"/>
      <c r="D192" s="79"/>
      <c r="E192" s="79"/>
      <c r="F192" s="131"/>
      <c r="G192" s="91"/>
      <c r="H192" s="91"/>
      <c r="I192" s="91"/>
      <c r="J192" s="91"/>
      <c r="K192" s="91"/>
      <c r="L192" s="91"/>
      <c r="M192" s="91"/>
      <c r="N192" s="91"/>
      <c r="O192" s="79"/>
      <c r="P192" s="131"/>
      <c r="Q192" s="91"/>
      <c r="R192" s="91"/>
      <c r="S192" s="79"/>
      <c r="T192" s="79"/>
      <c r="U192" s="131"/>
      <c r="V192" s="91"/>
      <c r="W192" s="94"/>
      <c r="X192" s="95"/>
      <c r="Y192" s="94"/>
      <c r="Z192" s="112"/>
    </row>
    <row r="193" spans="1:26" ht="14.4" x14ac:dyDescent="0.3">
      <c r="A193" s="104"/>
      <c r="B193" s="79"/>
      <c r="C193" s="91"/>
      <c r="D193" s="104"/>
      <c r="E193" s="79"/>
      <c r="F193" s="131"/>
      <c r="G193" s="91"/>
      <c r="H193" s="91"/>
      <c r="I193" s="91"/>
      <c r="J193" s="91"/>
      <c r="K193" s="91"/>
      <c r="L193" s="91"/>
      <c r="M193" s="91"/>
      <c r="N193" s="91"/>
      <c r="O193" s="79"/>
      <c r="P193" s="131"/>
      <c r="Q193" s="91"/>
      <c r="R193" s="91"/>
      <c r="S193" s="104"/>
      <c r="T193" s="79"/>
      <c r="U193" s="131"/>
      <c r="V193" s="91"/>
      <c r="W193" s="94"/>
      <c r="X193" s="95"/>
      <c r="Y193" s="94"/>
      <c r="Z193" s="112"/>
    </row>
    <row r="194" spans="1:26" ht="14.4" x14ac:dyDescent="0.3">
      <c r="A194" s="104"/>
      <c r="B194" s="79"/>
      <c r="C194" s="79"/>
      <c r="D194" s="79"/>
      <c r="E194" s="79"/>
      <c r="F194" s="153"/>
      <c r="G194" s="79"/>
      <c r="H194" s="79"/>
      <c r="I194" s="79"/>
      <c r="J194" s="79"/>
      <c r="K194" s="79"/>
      <c r="L194" s="79"/>
      <c r="M194" s="79"/>
      <c r="N194" s="79"/>
      <c r="O194" s="79"/>
      <c r="P194" s="153"/>
      <c r="Q194" s="79"/>
      <c r="R194" s="79"/>
      <c r="S194" s="79"/>
      <c r="T194" s="79"/>
      <c r="U194" s="153"/>
      <c r="V194" s="79"/>
      <c r="W194" s="94"/>
      <c r="X194" s="95"/>
      <c r="Y194" s="94"/>
      <c r="Z194" s="112"/>
    </row>
    <row r="195" spans="1:26" ht="14.4" x14ac:dyDescent="0.3">
      <c r="A195" s="104"/>
      <c r="B195" s="79"/>
      <c r="C195" s="79"/>
      <c r="D195" s="79"/>
      <c r="E195" s="79"/>
      <c r="F195" s="153"/>
      <c r="G195" s="79"/>
      <c r="H195" s="79"/>
      <c r="I195" s="79"/>
      <c r="J195" s="79"/>
      <c r="K195" s="79"/>
      <c r="L195" s="79"/>
      <c r="M195" s="79"/>
      <c r="N195" s="79"/>
      <c r="O195" s="79"/>
      <c r="P195" s="153"/>
      <c r="Q195" s="79"/>
      <c r="R195" s="79"/>
      <c r="S195" s="79"/>
      <c r="T195" s="79"/>
      <c r="U195" s="153"/>
      <c r="V195" s="79"/>
      <c r="W195" s="94"/>
      <c r="X195" s="95"/>
      <c r="Y195" s="94"/>
      <c r="Z195" s="112"/>
    </row>
    <row r="196" spans="1:26" ht="14.4" x14ac:dyDescent="0.3">
      <c r="A196" s="333" t="str">
        <f>A157</f>
        <v>Kentucky American Water Company</v>
      </c>
      <c r="B196" s="333"/>
      <c r="C196" s="333"/>
      <c r="D196" s="333"/>
      <c r="E196" s="333"/>
      <c r="F196" s="333"/>
      <c r="G196" s="333"/>
      <c r="H196" s="333"/>
      <c r="I196" s="333"/>
      <c r="J196" s="333"/>
      <c r="K196" s="333"/>
      <c r="L196" s="333"/>
      <c r="M196" s="333"/>
      <c r="N196" s="333"/>
      <c r="O196" s="333"/>
      <c r="P196" s="333"/>
      <c r="Q196" s="333"/>
      <c r="R196" s="333"/>
      <c r="S196" s="333"/>
      <c r="T196" s="333"/>
      <c r="U196" s="333"/>
      <c r="V196" s="333"/>
      <c r="W196" s="333"/>
      <c r="X196" s="333"/>
      <c r="Y196" s="333"/>
      <c r="Z196" s="333"/>
    </row>
    <row r="197" spans="1:26" ht="14.4" x14ac:dyDescent="0.3">
      <c r="A197" s="333" t="s">
        <v>77</v>
      </c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  <c r="L197" s="333"/>
      <c r="M197" s="333"/>
      <c r="N197" s="333"/>
      <c r="O197" s="333"/>
      <c r="P197" s="333"/>
      <c r="Q197" s="333"/>
      <c r="R197" s="333"/>
      <c r="S197" s="333"/>
      <c r="T197" s="333"/>
      <c r="U197" s="333"/>
      <c r="V197" s="333"/>
      <c r="W197" s="333"/>
      <c r="X197" s="333"/>
      <c r="Y197" s="333"/>
      <c r="Z197" s="333"/>
    </row>
    <row r="198" spans="1:26" ht="14.4" x14ac:dyDescent="0.3">
      <c r="A198" s="333" t="str">
        <f>A159</f>
        <v>Case No. 2018-00358</v>
      </c>
      <c r="B198" s="333"/>
      <c r="C198" s="333"/>
      <c r="D198" s="333"/>
      <c r="E198" s="333"/>
      <c r="F198" s="333"/>
      <c r="G198" s="333"/>
      <c r="H198" s="333"/>
      <c r="I198" s="333"/>
      <c r="J198" s="333"/>
      <c r="K198" s="333"/>
      <c r="L198" s="333"/>
      <c r="M198" s="333"/>
      <c r="N198" s="333"/>
      <c r="O198" s="333"/>
      <c r="P198" s="333"/>
      <c r="Q198" s="333"/>
      <c r="R198" s="333"/>
      <c r="S198" s="333"/>
      <c r="T198" s="333"/>
      <c r="U198" s="333"/>
      <c r="V198" s="333"/>
      <c r="W198" s="333"/>
      <c r="X198" s="333"/>
      <c r="Y198" s="333"/>
      <c r="Z198" s="333"/>
    </row>
    <row r="199" spans="1:26" ht="14.4" x14ac:dyDescent="0.3">
      <c r="A199" s="333" t="str">
        <f>A160</f>
        <v>Base Year for the 12 Months Ended February 28, 2019 and Forecast Year for the 12 Months Ended June 30, 2020</v>
      </c>
      <c r="B199" s="333"/>
      <c r="C199" s="333"/>
      <c r="D199" s="333"/>
      <c r="E199" s="333"/>
      <c r="F199" s="333"/>
      <c r="G199" s="333"/>
      <c r="H199" s="333"/>
      <c r="I199" s="333"/>
      <c r="J199" s="333"/>
      <c r="K199" s="333"/>
      <c r="L199" s="333"/>
      <c r="M199" s="333"/>
      <c r="N199" s="333"/>
      <c r="O199" s="333"/>
      <c r="P199" s="333"/>
      <c r="Q199" s="333"/>
      <c r="R199" s="333"/>
      <c r="S199" s="333"/>
      <c r="T199" s="333"/>
      <c r="U199" s="333"/>
      <c r="V199" s="333"/>
      <c r="W199" s="333"/>
      <c r="X199" s="333"/>
      <c r="Y199" s="333"/>
      <c r="Z199" s="333"/>
    </row>
    <row r="200" spans="1:26" ht="14.4" x14ac:dyDescent="0.3">
      <c r="A200" s="109" t="str">
        <f>A161</f>
        <v>Witness Responsible:   Melissa Schwarzell</v>
      </c>
      <c r="B200" s="79"/>
      <c r="C200" s="79"/>
      <c r="D200" s="79"/>
      <c r="E200" s="79"/>
      <c r="F200" s="79"/>
      <c r="G200" s="79"/>
      <c r="H200" s="79"/>
      <c r="I200" s="335" t="str">
        <f>"ALL CUSTOMERS ("&amp;LEFT(B206,SEARCH(":",B206,1)-1)&amp;")"</f>
        <v>ALL CUSTOMERS (Sale for Resale)</v>
      </c>
      <c r="J200" s="335"/>
      <c r="K200" s="335"/>
      <c r="L200" s="335"/>
      <c r="M200" s="335"/>
      <c r="N200" s="335"/>
      <c r="O200" s="335"/>
      <c r="P200" s="335"/>
      <c r="Q200" s="335"/>
      <c r="R200" s="79"/>
      <c r="S200" s="79"/>
      <c r="T200" s="79"/>
      <c r="U200" s="79"/>
      <c r="V200" s="79"/>
      <c r="W200" s="94"/>
      <c r="X200" s="94"/>
      <c r="Y200" s="94"/>
      <c r="Z200" s="99" t="str">
        <f>Z161</f>
        <v>Exhibit 37, Schedule M-3</v>
      </c>
    </row>
    <row r="201" spans="1:26" ht="14.4" x14ac:dyDescent="0.3">
      <c r="A201" s="139" t="str">
        <f>A162</f>
        <v/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01"/>
      <c r="X201" s="101"/>
      <c r="Y201" s="101"/>
      <c r="Z201" s="141" t="str">
        <f ca="1">Z162</f>
        <v>Revenues\[KAWC 2018 Rate Case - Revenue.xlsx]Sch M</v>
      </c>
    </row>
    <row r="202" spans="1:26" ht="14.4" x14ac:dyDescent="0.3">
      <c r="A202" s="79"/>
      <c r="B202" s="79"/>
      <c r="C202" s="104"/>
      <c r="D202" s="328" t="s">
        <v>174</v>
      </c>
      <c r="E202" s="328" t="s">
        <v>97</v>
      </c>
      <c r="F202" s="328"/>
      <c r="G202" s="328"/>
      <c r="H202" s="104"/>
      <c r="I202" s="336" t="s">
        <v>173</v>
      </c>
      <c r="J202" s="336" t="s">
        <v>97</v>
      </c>
      <c r="K202" s="336"/>
      <c r="L202" s="336"/>
      <c r="M202" s="104"/>
      <c r="N202" s="328" t="s">
        <v>120</v>
      </c>
      <c r="O202" s="328" t="s">
        <v>98</v>
      </c>
      <c r="P202" s="328"/>
      <c r="Q202" s="328"/>
      <c r="R202" s="104"/>
      <c r="S202" s="328" t="s">
        <v>121</v>
      </c>
      <c r="T202" s="328" t="s">
        <v>99</v>
      </c>
      <c r="U202" s="328"/>
      <c r="V202" s="328"/>
      <c r="W202" s="105"/>
      <c r="X202" s="105"/>
      <c r="Y202" s="94"/>
      <c r="Z202" s="94"/>
    </row>
    <row r="203" spans="1:26" ht="14.4" x14ac:dyDescent="0.3">
      <c r="A203" s="79"/>
      <c r="B203" s="79"/>
      <c r="C203" s="104"/>
      <c r="D203" s="104" t="s">
        <v>27</v>
      </c>
      <c r="E203" s="104"/>
      <c r="F203" s="104"/>
      <c r="G203" s="104"/>
      <c r="H203" s="104"/>
      <c r="I203" s="106" t="s">
        <v>27</v>
      </c>
      <c r="J203" s="106"/>
      <c r="K203" s="106"/>
      <c r="L203" s="106"/>
      <c r="M203" s="104"/>
      <c r="N203" s="104" t="s">
        <v>27</v>
      </c>
      <c r="O203" s="104"/>
      <c r="P203" s="104"/>
      <c r="Q203" s="104"/>
      <c r="R203" s="104"/>
      <c r="S203" s="104" t="s">
        <v>27</v>
      </c>
      <c r="T203" s="104"/>
      <c r="U203" s="104"/>
      <c r="V203" s="104"/>
      <c r="W203" s="106"/>
      <c r="X203" s="106"/>
      <c r="Y203" s="94"/>
      <c r="Z203" s="94"/>
    </row>
    <row r="204" spans="1:26" ht="14.4" x14ac:dyDescent="0.3">
      <c r="A204" s="79"/>
      <c r="B204" s="104" t="s">
        <v>24</v>
      </c>
      <c r="C204" s="104"/>
      <c r="D204" s="104" t="s">
        <v>28</v>
      </c>
      <c r="E204" s="104" t="s">
        <v>39</v>
      </c>
      <c r="F204" s="104" t="s">
        <v>45</v>
      </c>
      <c r="G204" s="104" t="s">
        <v>1</v>
      </c>
      <c r="H204" s="104"/>
      <c r="I204" s="106" t="s">
        <v>28</v>
      </c>
      <c r="J204" s="106" t="s">
        <v>39</v>
      </c>
      <c r="K204" s="106" t="s">
        <v>175</v>
      </c>
      <c r="L204" s="106" t="s">
        <v>1</v>
      </c>
      <c r="M204" s="104"/>
      <c r="N204" s="104" t="s">
        <v>28</v>
      </c>
      <c r="O204" s="104" t="s">
        <v>39</v>
      </c>
      <c r="P204" s="104" t="s">
        <v>45</v>
      </c>
      <c r="Q204" s="104" t="s">
        <v>1</v>
      </c>
      <c r="R204" s="104"/>
      <c r="S204" s="104" t="s">
        <v>28</v>
      </c>
      <c r="T204" s="104" t="s">
        <v>39</v>
      </c>
      <c r="U204" s="104" t="s">
        <v>73</v>
      </c>
      <c r="V204" s="104" t="s">
        <v>1</v>
      </c>
      <c r="W204" s="106"/>
      <c r="X204" s="106" t="s">
        <v>51</v>
      </c>
      <c r="Y204" s="94"/>
      <c r="Z204" s="106" t="s">
        <v>53</v>
      </c>
    </row>
    <row r="205" spans="1:26" ht="14.4" x14ac:dyDescent="0.3">
      <c r="A205" s="107" t="s">
        <v>0</v>
      </c>
      <c r="B205" s="107" t="s">
        <v>2</v>
      </c>
      <c r="C205" s="104"/>
      <c r="D205" s="107" t="s">
        <v>29</v>
      </c>
      <c r="E205" s="107" t="str">
        <f>E166</f>
        <v>('000 Gal)</v>
      </c>
      <c r="F205" s="107" t="s">
        <v>46</v>
      </c>
      <c r="G205" s="107" t="s">
        <v>47</v>
      </c>
      <c r="H205" s="104"/>
      <c r="I205" s="108" t="s">
        <v>29</v>
      </c>
      <c r="J205" s="108" t="str">
        <f>J166</f>
        <v>('000 Gal)</v>
      </c>
      <c r="K205" s="108" t="s">
        <v>46</v>
      </c>
      <c r="L205" s="108" t="s">
        <v>47</v>
      </c>
      <c r="M205" s="104"/>
      <c r="N205" s="107" t="s">
        <v>29</v>
      </c>
      <c r="O205" s="107" t="str">
        <f>E205</f>
        <v>('000 Gal)</v>
      </c>
      <c r="P205" s="107" t="s">
        <v>46</v>
      </c>
      <c r="Q205" s="107" t="s">
        <v>47</v>
      </c>
      <c r="R205" s="104"/>
      <c r="S205" s="107" t="s">
        <v>29</v>
      </c>
      <c r="T205" s="107" t="str">
        <f>O205</f>
        <v>('000 Gal)</v>
      </c>
      <c r="U205" s="107" t="s">
        <v>46</v>
      </c>
      <c r="V205" s="107" t="s">
        <v>47</v>
      </c>
      <c r="W205" s="106"/>
      <c r="X205" s="108" t="s">
        <v>52</v>
      </c>
      <c r="Y205" s="94"/>
      <c r="Z205" s="108" t="s">
        <v>52</v>
      </c>
    </row>
    <row r="206" spans="1:26" ht="14.4" x14ac:dyDescent="0.3">
      <c r="A206" s="104">
        <v>1</v>
      </c>
      <c r="B206" s="109" t="s">
        <v>177</v>
      </c>
      <c r="C206" s="104"/>
      <c r="D206" s="79"/>
      <c r="E206" s="104"/>
      <c r="F206" s="104"/>
      <c r="G206" s="104"/>
      <c r="H206" s="104"/>
      <c r="I206" s="106"/>
      <c r="J206" s="106"/>
      <c r="K206" s="106"/>
      <c r="L206" s="106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6"/>
      <c r="X206" s="106"/>
      <c r="Y206" s="94"/>
      <c r="Z206" s="106"/>
    </row>
    <row r="207" spans="1:26" ht="14.4" x14ac:dyDescent="0.3">
      <c r="A207" s="104">
        <v>2</v>
      </c>
      <c r="B207" s="110" t="s">
        <v>26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94"/>
      <c r="X207" s="94"/>
      <c r="Y207" s="94"/>
      <c r="Z207" s="94"/>
    </row>
    <row r="208" spans="1:26" ht="14.4" x14ac:dyDescent="0.3">
      <c r="A208" s="104">
        <v>3</v>
      </c>
      <c r="B208" s="79" t="s">
        <v>30</v>
      </c>
      <c r="C208" s="97"/>
      <c r="D208" s="95">
        <f>'Link in'!G10</f>
        <v>0</v>
      </c>
      <c r="E208" s="96"/>
      <c r="F208" s="142">
        <f>'Link in'!G41</f>
        <v>13.63</v>
      </c>
      <c r="G208" s="111">
        <f>ROUND((D208*F208),0)</f>
        <v>0</v>
      </c>
      <c r="H208" s="97"/>
      <c r="I208" s="95">
        <f>D208</f>
        <v>0</v>
      </c>
      <c r="J208" s="96"/>
      <c r="K208" s="142">
        <f>U208</f>
        <v>15</v>
      </c>
      <c r="L208" s="111">
        <f>ROUND((I208*K208),0)</f>
        <v>0</v>
      </c>
      <c r="M208" s="97"/>
      <c r="N208" s="95">
        <f>'Link in'!Q10</f>
        <v>0</v>
      </c>
      <c r="O208" s="96"/>
      <c r="P208" s="143">
        <f>+IFERROR(Q208/N208,0)</f>
        <v>0</v>
      </c>
      <c r="Q208" s="111">
        <f>+[2]Summary!M169+[2]Summary!M424+[2]Summary!M456</f>
        <v>0</v>
      </c>
      <c r="R208" s="97"/>
      <c r="S208" s="91">
        <f>N208</f>
        <v>0</v>
      </c>
      <c r="T208" s="92"/>
      <c r="U208" s="142">
        <f>'Link in'!N41</f>
        <v>15</v>
      </c>
      <c r="V208" s="97">
        <f>ROUND((S208*U208),0)</f>
        <v>0</v>
      </c>
      <c r="W208" s="111"/>
      <c r="X208" s="97">
        <f>+V208-Q208</f>
        <v>0</v>
      </c>
      <c r="Y208" s="96"/>
      <c r="Z208" s="112">
        <f t="shared" ref="Z208:Z217" si="79">IF(Q208=0,0,ROUND((X208/Q208),4))</f>
        <v>0</v>
      </c>
    </row>
    <row r="209" spans="1:26" ht="14.4" x14ac:dyDescent="0.3">
      <c r="A209" s="104">
        <v>4</v>
      </c>
      <c r="B209" s="79" t="s">
        <v>31</v>
      </c>
      <c r="C209" s="91"/>
      <c r="D209" s="95">
        <f>'Link in'!G11</f>
        <v>0</v>
      </c>
      <c r="E209" s="96"/>
      <c r="F209" s="114">
        <f>'Link in'!G42</f>
        <v>20.46</v>
      </c>
      <c r="G209" s="95">
        <f t="shared" ref="G209:G216" si="80">ROUND((D209*F209),0)</f>
        <v>0</v>
      </c>
      <c r="H209" s="91"/>
      <c r="I209" s="95">
        <f t="shared" ref="I209:I216" si="81">D209</f>
        <v>0</v>
      </c>
      <c r="J209" s="96"/>
      <c r="K209" s="114">
        <f t="shared" ref="K209:K216" si="82">U209</f>
        <v>22.4</v>
      </c>
      <c r="L209" s="95">
        <f t="shared" ref="L209:L216" si="83">ROUND((I209*K209),0)</f>
        <v>0</v>
      </c>
      <c r="M209" s="91"/>
      <c r="N209" s="95">
        <f>'Link in'!Q11</f>
        <v>0</v>
      </c>
      <c r="O209" s="96"/>
      <c r="P209" s="113">
        <f>+IFERROR(Q209/N209,0)</f>
        <v>0</v>
      </c>
      <c r="Q209" s="95">
        <f>+[2]Summary!M170+[2]Summary!M425+[2]Summary!M457</f>
        <v>0</v>
      </c>
      <c r="R209" s="91"/>
      <c r="S209" s="91">
        <f t="shared" ref="S209:S216" si="84">N209</f>
        <v>0</v>
      </c>
      <c r="T209" s="92"/>
      <c r="U209" s="114">
        <f>'Link in'!N42</f>
        <v>22.4</v>
      </c>
      <c r="V209" s="91">
        <f t="shared" ref="V209:V216" si="85">ROUND((S209*U209),0)</f>
        <v>0</v>
      </c>
      <c r="W209" s="95"/>
      <c r="X209" s="91">
        <f t="shared" ref="X209:X217" si="86">+V209-Q209</f>
        <v>0</v>
      </c>
      <c r="Y209" s="96"/>
      <c r="Z209" s="112">
        <f t="shared" si="79"/>
        <v>0</v>
      </c>
    </row>
    <row r="210" spans="1:26" ht="14.4" x14ac:dyDescent="0.3">
      <c r="A210" s="104">
        <v>5</v>
      </c>
      <c r="B210" s="79" t="s">
        <v>32</v>
      </c>
      <c r="C210" s="91"/>
      <c r="D210" s="95">
        <f>'Link in'!G12</f>
        <v>0</v>
      </c>
      <c r="E210" s="96"/>
      <c r="F210" s="114">
        <f>'Link in'!G43</f>
        <v>34.07</v>
      </c>
      <c r="G210" s="95">
        <f t="shared" si="80"/>
        <v>0</v>
      </c>
      <c r="H210" s="91"/>
      <c r="I210" s="95">
        <f t="shared" si="81"/>
        <v>0</v>
      </c>
      <c r="J210" s="96"/>
      <c r="K210" s="114">
        <f t="shared" si="82"/>
        <v>37.299999999999997</v>
      </c>
      <c r="L210" s="95">
        <f t="shared" si="83"/>
        <v>0</v>
      </c>
      <c r="M210" s="91"/>
      <c r="N210" s="95">
        <f>'Link in'!Q12</f>
        <v>0</v>
      </c>
      <c r="O210" s="96"/>
      <c r="P210" s="113">
        <f t="shared" ref="P210:P216" si="87">+IFERROR(Q210/N210,0)</f>
        <v>0</v>
      </c>
      <c r="Q210" s="95">
        <f>+[2]Summary!M171+[2]Summary!M426+[2]Summary!M458</f>
        <v>0</v>
      </c>
      <c r="R210" s="91"/>
      <c r="S210" s="91">
        <f t="shared" si="84"/>
        <v>0</v>
      </c>
      <c r="T210" s="92"/>
      <c r="U210" s="114">
        <f>'Link in'!N43</f>
        <v>37.299999999999997</v>
      </c>
      <c r="V210" s="91">
        <f t="shared" si="85"/>
        <v>0</v>
      </c>
      <c r="W210" s="95"/>
      <c r="X210" s="91">
        <f t="shared" si="86"/>
        <v>0</v>
      </c>
      <c r="Y210" s="96"/>
      <c r="Z210" s="112">
        <f t="shared" si="79"/>
        <v>0</v>
      </c>
    </row>
    <row r="211" spans="1:26" ht="14.4" x14ac:dyDescent="0.3">
      <c r="A211" s="104">
        <v>6</v>
      </c>
      <c r="B211" s="79" t="s">
        <v>33</v>
      </c>
      <c r="C211" s="91"/>
      <c r="D211" s="95">
        <f>'Link in'!G13</f>
        <v>54</v>
      </c>
      <c r="E211" s="96"/>
      <c r="F211" s="114">
        <f>'Link in'!G44</f>
        <v>68.17</v>
      </c>
      <c r="G211" s="95">
        <f t="shared" si="80"/>
        <v>3681</v>
      </c>
      <c r="H211" s="91"/>
      <c r="I211" s="95">
        <f t="shared" si="81"/>
        <v>54</v>
      </c>
      <c r="J211" s="96"/>
      <c r="K211" s="114">
        <f t="shared" si="82"/>
        <v>74.7</v>
      </c>
      <c r="L211" s="95">
        <f t="shared" si="83"/>
        <v>4034</v>
      </c>
      <c r="M211" s="91"/>
      <c r="N211" s="95">
        <f>'Link in'!Q13</f>
        <v>60</v>
      </c>
      <c r="O211" s="96"/>
      <c r="P211" s="113">
        <f t="shared" si="87"/>
        <v>68.166666666666671</v>
      </c>
      <c r="Q211" s="95">
        <f>+[2]Summary!M172+[2]Summary!M427+[2]Summary!M459</f>
        <v>4090</v>
      </c>
      <c r="R211" s="91"/>
      <c r="S211" s="91">
        <f t="shared" si="84"/>
        <v>60</v>
      </c>
      <c r="T211" s="92"/>
      <c r="U211" s="114">
        <f>'Link in'!N44</f>
        <v>74.7</v>
      </c>
      <c r="V211" s="91">
        <f t="shared" si="85"/>
        <v>4482</v>
      </c>
      <c r="W211" s="95"/>
      <c r="X211" s="91">
        <f t="shared" si="86"/>
        <v>392</v>
      </c>
      <c r="Y211" s="96"/>
      <c r="Z211" s="112">
        <f t="shared" si="79"/>
        <v>9.5799999999999996E-2</v>
      </c>
    </row>
    <row r="212" spans="1:26" ht="14.4" x14ac:dyDescent="0.3">
      <c r="A212" s="104">
        <v>7</v>
      </c>
      <c r="B212" s="79" t="s">
        <v>34</v>
      </c>
      <c r="C212" s="91"/>
      <c r="D212" s="95">
        <f>'Link in'!G14</f>
        <v>57.63563829787234</v>
      </c>
      <c r="E212" s="96"/>
      <c r="F212" s="114">
        <f>'Link in'!G45</f>
        <v>109.04</v>
      </c>
      <c r="G212" s="95">
        <f t="shared" si="80"/>
        <v>6285</v>
      </c>
      <c r="H212" s="91"/>
      <c r="I212" s="95">
        <f t="shared" si="81"/>
        <v>57.63563829787234</v>
      </c>
      <c r="J212" s="96"/>
      <c r="K212" s="114">
        <f t="shared" si="82"/>
        <v>119.5</v>
      </c>
      <c r="L212" s="95">
        <f t="shared" si="83"/>
        <v>6887</v>
      </c>
      <c r="M212" s="91"/>
      <c r="N212" s="95">
        <f>'Link in'!Q14</f>
        <v>48</v>
      </c>
      <c r="O212" s="96"/>
      <c r="P212" s="113">
        <f t="shared" si="87"/>
        <v>109</v>
      </c>
      <c r="Q212" s="95">
        <f>+[2]Summary!M173+[2]Summary!M428+[2]Summary!M460</f>
        <v>5232</v>
      </c>
      <c r="R212" s="91"/>
      <c r="S212" s="91">
        <f t="shared" si="84"/>
        <v>48</v>
      </c>
      <c r="T212" s="92"/>
      <c r="U212" s="114">
        <f>'Link in'!N45</f>
        <v>119.5</v>
      </c>
      <c r="V212" s="91">
        <f t="shared" si="85"/>
        <v>5736</v>
      </c>
      <c r="W212" s="95"/>
      <c r="X212" s="91">
        <f t="shared" si="86"/>
        <v>504</v>
      </c>
      <c r="Y212" s="96"/>
      <c r="Z212" s="112">
        <f t="shared" si="79"/>
        <v>9.6299999999999997E-2</v>
      </c>
    </row>
    <row r="213" spans="1:26" ht="14.4" x14ac:dyDescent="0.3">
      <c r="A213" s="104">
        <v>8</v>
      </c>
      <c r="B213" s="79" t="s">
        <v>35</v>
      </c>
      <c r="C213" s="91"/>
      <c r="D213" s="95">
        <f>'Link in'!G15</f>
        <v>0</v>
      </c>
      <c r="E213" s="96"/>
      <c r="F213" s="114">
        <f>'Link in'!G46</f>
        <v>204.47</v>
      </c>
      <c r="G213" s="95">
        <f t="shared" si="80"/>
        <v>0</v>
      </c>
      <c r="H213" s="91"/>
      <c r="I213" s="95">
        <f t="shared" si="81"/>
        <v>0</v>
      </c>
      <c r="J213" s="96"/>
      <c r="K213" s="114">
        <f t="shared" si="82"/>
        <v>224</v>
      </c>
      <c r="L213" s="95">
        <f t="shared" si="83"/>
        <v>0</v>
      </c>
      <c r="M213" s="91"/>
      <c r="N213" s="95">
        <f>'Link in'!Q15</f>
        <v>0</v>
      </c>
      <c r="O213" s="96"/>
      <c r="P213" s="113">
        <f t="shared" si="87"/>
        <v>0</v>
      </c>
      <c r="Q213" s="95">
        <f>+[2]Summary!M174+[2]Summary!M429+[2]Summary!M461</f>
        <v>0</v>
      </c>
      <c r="R213" s="91"/>
      <c r="S213" s="91">
        <f t="shared" si="84"/>
        <v>0</v>
      </c>
      <c r="T213" s="92"/>
      <c r="U213" s="114">
        <f>'Link in'!N46</f>
        <v>224</v>
      </c>
      <c r="V213" s="91">
        <f t="shared" si="85"/>
        <v>0</v>
      </c>
      <c r="W213" s="95"/>
      <c r="X213" s="91">
        <f t="shared" si="86"/>
        <v>0</v>
      </c>
      <c r="Y213" s="96"/>
      <c r="Z213" s="112">
        <f t="shared" si="79"/>
        <v>0</v>
      </c>
    </row>
    <row r="214" spans="1:26" ht="14.4" x14ac:dyDescent="0.3">
      <c r="A214" s="104">
        <v>9</v>
      </c>
      <c r="B214" s="79" t="s">
        <v>36</v>
      </c>
      <c r="C214" s="91"/>
      <c r="D214" s="95">
        <f>'Link in'!G16</f>
        <v>54.032866742964465</v>
      </c>
      <c r="E214" s="96"/>
      <c r="F214" s="114">
        <f>'Link in'!G47</f>
        <v>340.77</v>
      </c>
      <c r="G214" s="95">
        <f t="shared" si="80"/>
        <v>18413</v>
      </c>
      <c r="H214" s="91"/>
      <c r="I214" s="95">
        <f t="shared" si="81"/>
        <v>54.032866742964465</v>
      </c>
      <c r="J214" s="96"/>
      <c r="K214" s="114">
        <f t="shared" si="82"/>
        <v>373.4</v>
      </c>
      <c r="L214" s="95">
        <f t="shared" si="83"/>
        <v>20176</v>
      </c>
      <c r="M214" s="91"/>
      <c r="N214" s="95">
        <f>'Link in'!Q16</f>
        <v>72</v>
      </c>
      <c r="O214" s="96"/>
      <c r="P214" s="113">
        <f t="shared" si="87"/>
        <v>288.76388888888891</v>
      </c>
      <c r="Q214" s="95">
        <f>+[2]Summary!M175+[2]Summary!M430+[2]Summary!M462</f>
        <v>20791</v>
      </c>
      <c r="R214" s="91"/>
      <c r="S214" s="91">
        <f t="shared" si="84"/>
        <v>72</v>
      </c>
      <c r="T214" s="92"/>
      <c r="U214" s="114">
        <f>'Link in'!N47</f>
        <v>373.4</v>
      </c>
      <c r="V214" s="91">
        <f t="shared" si="85"/>
        <v>26885</v>
      </c>
      <c r="W214" s="95"/>
      <c r="X214" s="91">
        <f t="shared" si="86"/>
        <v>6094</v>
      </c>
      <c r="Y214" s="96"/>
      <c r="Z214" s="112">
        <f t="shared" si="79"/>
        <v>0.29310000000000003</v>
      </c>
    </row>
    <row r="215" spans="1:26" ht="14.4" x14ac:dyDescent="0.3">
      <c r="A215" s="104">
        <v>10</v>
      </c>
      <c r="B215" s="79" t="s">
        <v>37</v>
      </c>
      <c r="C215" s="91"/>
      <c r="D215" s="95">
        <f>'Link in'!G17</f>
        <v>49.178576669112253</v>
      </c>
      <c r="E215" s="96"/>
      <c r="F215" s="114">
        <f>'Link in'!G48</f>
        <v>681.5</v>
      </c>
      <c r="G215" s="95">
        <f t="shared" si="80"/>
        <v>33515</v>
      </c>
      <c r="H215" s="91"/>
      <c r="I215" s="95">
        <f t="shared" si="81"/>
        <v>49.178576669112253</v>
      </c>
      <c r="J215" s="96"/>
      <c r="K215" s="114">
        <f t="shared" si="82"/>
        <v>746.7</v>
      </c>
      <c r="L215" s="95">
        <f t="shared" si="83"/>
        <v>36722</v>
      </c>
      <c r="M215" s="91"/>
      <c r="N215" s="95">
        <f>'Link in'!Q17</f>
        <v>48</v>
      </c>
      <c r="O215" s="96"/>
      <c r="P215" s="113">
        <f t="shared" si="87"/>
        <v>681.5</v>
      </c>
      <c r="Q215" s="95">
        <f>+[2]Summary!M176+[2]Summary!M431+[2]Summary!M463</f>
        <v>32712</v>
      </c>
      <c r="R215" s="91"/>
      <c r="S215" s="91">
        <f t="shared" si="84"/>
        <v>48</v>
      </c>
      <c r="T215" s="92"/>
      <c r="U215" s="114">
        <f>'Link in'!N48</f>
        <v>746.7</v>
      </c>
      <c r="V215" s="91">
        <f t="shared" si="85"/>
        <v>35842</v>
      </c>
      <c r="W215" s="95"/>
      <c r="X215" s="91">
        <f t="shared" si="86"/>
        <v>3130</v>
      </c>
      <c r="Y215" s="96"/>
      <c r="Z215" s="112">
        <f t="shared" si="79"/>
        <v>9.5699999999999993E-2</v>
      </c>
    </row>
    <row r="216" spans="1:26" ht="14.4" x14ac:dyDescent="0.3">
      <c r="A216" s="104">
        <v>11</v>
      </c>
      <c r="B216" s="79" t="s">
        <v>38</v>
      </c>
      <c r="C216" s="91"/>
      <c r="D216" s="95">
        <f>'Link in'!G18</f>
        <v>0</v>
      </c>
      <c r="E216" s="96"/>
      <c r="F216" s="114">
        <f>'Link in'!G49</f>
        <v>1090.4000000000001</v>
      </c>
      <c r="G216" s="95">
        <f t="shared" si="80"/>
        <v>0</v>
      </c>
      <c r="H216" s="91"/>
      <c r="I216" s="95">
        <f t="shared" si="81"/>
        <v>0</v>
      </c>
      <c r="J216" s="96"/>
      <c r="K216" s="114">
        <f t="shared" si="82"/>
        <v>1194.7</v>
      </c>
      <c r="L216" s="95">
        <f t="shared" si="83"/>
        <v>0</v>
      </c>
      <c r="M216" s="91"/>
      <c r="N216" s="95">
        <f>'Link in'!Q18</f>
        <v>0</v>
      </c>
      <c r="O216" s="96"/>
      <c r="P216" s="113">
        <f t="shared" si="87"/>
        <v>0</v>
      </c>
      <c r="Q216" s="95">
        <f>+[2]Summary!M177+[2]Summary!M432+[2]Summary!M464</f>
        <v>0</v>
      </c>
      <c r="R216" s="91"/>
      <c r="S216" s="91">
        <f t="shared" si="84"/>
        <v>0</v>
      </c>
      <c r="T216" s="92"/>
      <c r="U216" s="114">
        <f>'Link in'!N49</f>
        <v>1194.7</v>
      </c>
      <c r="V216" s="91">
        <f t="shared" si="85"/>
        <v>0</v>
      </c>
      <c r="W216" s="95"/>
      <c r="X216" s="91">
        <f t="shared" si="86"/>
        <v>0</v>
      </c>
      <c r="Y216" s="96"/>
      <c r="Z216" s="112">
        <f t="shared" si="79"/>
        <v>0</v>
      </c>
    </row>
    <row r="217" spans="1:26" ht="14.4" x14ac:dyDescent="0.3">
      <c r="A217" s="104">
        <v>12</v>
      </c>
      <c r="B217" s="79" t="s">
        <v>162</v>
      </c>
      <c r="C217" s="91"/>
      <c r="D217" s="95"/>
      <c r="E217" s="96"/>
      <c r="F217" s="114"/>
      <c r="G217" s="95">
        <f>'Link in'!B156</f>
        <v>0</v>
      </c>
      <c r="H217" s="91"/>
      <c r="I217" s="95"/>
      <c r="J217" s="96"/>
      <c r="K217" s="114"/>
      <c r="L217" s="95">
        <f>G217</f>
        <v>0</v>
      </c>
      <c r="M217" s="91"/>
      <c r="N217" s="95"/>
      <c r="O217" s="96"/>
      <c r="P217" s="114"/>
      <c r="Q217" s="114">
        <v>0</v>
      </c>
      <c r="R217" s="91"/>
      <c r="S217" s="91"/>
      <c r="T217" s="92"/>
      <c r="U217" s="114"/>
      <c r="V217" s="91">
        <v>0</v>
      </c>
      <c r="W217" s="95"/>
      <c r="X217" s="91">
        <f t="shared" si="86"/>
        <v>0</v>
      </c>
      <c r="Y217" s="96"/>
      <c r="Z217" s="112">
        <f t="shared" si="79"/>
        <v>0</v>
      </c>
    </row>
    <row r="218" spans="1:26" ht="14.4" x14ac:dyDescent="0.3">
      <c r="A218" s="104">
        <v>13</v>
      </c>
      <c r="B218" s="79"/>
      <c r="C218" s="91"/>
      <c r="D218" s="95"/>
      <c r="E218" s="96"/>
      <c r="F218" s="114"/>
      <c r="G218" s="95"/>
      <c r="H218" s="91"/>
      <c r="I218" s="95"/>
      <c r="J218" s="96"/>
      <c r="K218" s="114"/>
      <c r="L218" s="95"/>
      <c r="M218" s="91"/>
      <c r="N218" s="95"/>
      <c r="O218" s="96"/>
      <c r="P218" s="114"/>
      <c r="Q218" s="114"/>
      <c r="R218" s="91"/>
      <c r="S218" s="91"/>
      <c r="T218" s="92"/>
      <c r="U218" s="114"/>
      <c r="V218" s="91"/>
      <c r="W218" s="95"/>
      <c r="X218" s="111"/>
      <c r="Y218" s="96"/>
      <c r="Z218" s="112"/>
    </row>
    <row r="219" spans="1:26" ht="14.4" x14ac:dyDescent="0.3">
      <c r="A219" s="104">
        <v>14</v>
      </c>
      <c r="B219" s="79"/>
      <c r="C219" s="92"/>
      <c r="D219" s="96"/>
      <c r="E219" s="96"/>
      <c r="F219" s="96"/>
      <c r="G219" s="96"/>
      <c r="H219" s="92"/>
      <c r="I219" s="96"/>
      <c r="J219" s="96"/>
      <c r="K219" s="96"/>
      <c r="L219" s="96"/>
      <c r="M219" s="92"/>
      <c r="N219" s="96"/>
      <c r="O219" s="96"/>
      <c r="P219" s="96"/>
      <c r="Q219" s="96"/>
      <c r="R219" s="92"/>
      <c r="S219" s="92"/>
      <c r="T219" s="92"/>
      <c r="U219" s="96"/>
      <c r="V219" s="92"/>
      <c r="W219" s="96"/>
      <c r="X219" s="95"/>
      <c r="Y219" s="96"/>
      <c r="Z219" s="112"/>
    </row>
    <row r="220" spans="1:26" ht="14.4" x14ac:dyDescent="0.3">
      <c r="A220" s="104">
        <v>15</v>
      </c>
      <c r="B220" s="79"/>
      <c r="C220" s="79"/>
      <c r="D220" s="94"/>
      <c r="E220" s="94"/>
      <c r="F220" s="96"/>
      <c r="G220" s="94"/>
      <c r="H220" s="79"/>
      <c r="I220" s="94"/>
      <c r="J220" s="94"/>
      <c r="K220" s="96"/>
      <c r="L220" s="94"/>
      <c r="M220" s="79"/>
      <c r="N220" s="94"/>
      <c r="O220" s="94"/>
      <c r="P220" s="94"/>
      <c r="Q220" s="94"/>
      <c r="R220" s="79"/>
      <c r="S220" s="79"/>
      <c r="T220" s="79"/>
      <c r="U220" s="94"/>
      <c r="V220" s="79"/>
      <c r="W220" s="94"/>
      <c r="X220" s="94"/>
      <c r="Y220" s="94"/>
      <c r="Z220" s="94"/>
    </row>
    <row r="221" spans="1:26" ht="14.4" x14ac:dyDescent="0.3">
      <c r="A221" s="104">
        <v>16</v>
      </c>
      <c r="B221" s="110" t="s">
        <v>40</v>
      </c>
      <c r="C221" s="92"/>
      <c r="D221" s="96"/>
      <c r="E221" s="96"/>
      <c r="F221" s="96"/>
      <c r="G221" s="96"/>
      <c r="H221" s="92"/>
      <c r="I221" s="96"/>
      <c r="J221" s="96"/>
      <c r="K221" s="96"/>
      <c r="L221" s="96"/>
      <c r="M221" s="92"/>
      <c r="N221" s="96"/>
      <c r="O221" s="96"/>
      <c r="P221" s="96"/>
      <c r="Q221" s="96"/>
      <c r="R221" s="92"/>
      <c r="S221" s="92"/>
      <c r="T221" s="92"/>
      <c r="U221" s="96"/>
      <c r="V221" s="92"/>
      <c r="W221" s="96"/>
      <c r="X221" s="95"/>
      <c r="Y221" s="96"/>
      <c r="Z221" s="112"/>
    </row>
    <row r="222" spans="1:26" ht="14.4" x14ac:dyDescent="0.3">
      <c r="A222" s="104">
        <v>17</v>
      </c>
      <c r="B222" s="79" t="s">
        <v>41</v>
      </c>
      <c r="C222" s="97"/>
      <c r="D222" s="96"/>
      <c r="E222" s="95">
        <f>'Link in'!G23</f>
        <v>437974.80628075969</v>
      </c>
      <c r="F222" s="144">
        <f>+'[2]Link Out'!$E$182</f>
        <v>4.0915220560391719</v>
      </c>
      <c r="G222" s="111">
        <f>ROUND((E222*F222),0)</f>
        <v>1791984</v>
      </c>
      <c r="H222" s="97"/>
      <c r="I222" s="96"/>
      <c r="J222" s="95">
        <f>E222</f>
        <v>437974.80628075969</v>
      </c>
      <c r="K222" s="144">
        <f>U222</f>
        <v>4.76</v>
      </c>
      <c r="L222" s="111">
        <f>ROUND((J222*K222),0)</f>
        <v>2084760</v>
      </c>
      <c r="M222" s="97"/>
      <c r="N222" s="96"/>
      <c r="O222" s="95">
        <f>'Link in'!Q23</f>
        <v>416336</v>
      </c>
      <c r="P222" s="145">
        <f>+IFERROR(Q222/O222,0)</f>
        <v>3.9022736443641675</v>
      </c>
      <c r="Q222" s="111">
        <f>+[2]Summary!M183+[2]Summary!M438+[2]Summary!M470</f>
        <v>1624657</v>
      </c>
      <c r="R222" s="97"/>
      <c r="S222" s="92"/>
      <c r="T222" s="91">
        <f>O222</f>
        <v>416336</v>
      </c>
      <c r="U222" s="144">
        <f>+'Link in'!$N59</f>
        <v>4.76</v>
      </c>
      <c r="V222" s="97">
        <f>ROUND((T222*U222),0)</f>
        <v>1981759</v>
      </c>
      <c r="W222" s="95"/>
      <c r="X222" s="97">
        <f t="shared" ref="X222:X229" si="88">+V222-Q222</f>
        <v>357102</v>
      </c>
      <c r="Y222" s="96"/>
      <c r="Z222" s="112">
        <f t="shared" ref="Z222:Z231" si="89">IF(Q222=0,0,ROUND((X222/Q222),4))</f>
        <v>0.2198</v>
      </c>
    </row>
    <row r="223" spans="1:26" ht="14.4" x14ac:dyDescent="0.3">
      <c r="A223" s="104">
        <v>18</v>
      </c>
      <c r="B223" s="79" t="s">
        <v>42</v>
      </c>
      <c r="C223" s="91"/>
      <c r="D223" s="94"/>
      <c r="E223" s="95">
        <f>'Link in'!G24</f>
        <v>0</v>
      </c>
      <c r="F223" s="122">
        <f>'Link in'!G60</f>
        <v>0</v>
      </c>
      <c r="G223" s="95">
        <f>ROUND((E223*F223),0)</f>
        <v>0</v>
      </c>
      <c r="H223" s="91"/>
      <c r="I223" s="94"/>
      <c r="J223" s="95">
        <f t="shared" ref="J223:J230" si="90">E223</f>
        <v>0</v>
      </c>
      <c r="K223" s="122">
        <f t="shared" ref="K223:K227" si="91">U223</f>
        <v>4.76</v>
      </c>
      <c r="L223" s="95">
        <f>ROUND((J223*K223),0)</f>
        <v>0</v>
      </c>
      <c r="M223" s="91"/>
      <c r="N223" s="94"/>
      <c r="O223" s="95">
        <f>'Link in'!Q24</f>
        <v>0</v>
      </c>
      <c r="P223" s="122">
        <f>'Link in'!O138</f>
        <v>0</v>
      </c>
      <c r="Q223" s="95">
        <f>ROUND((O223*P223),0)</f>
        <v>0</v>
      </c>
      <c r="R223" s="91"/>
      <c r="S223" s="79"/>
      <c r="T223" s="91">
        <f t="shared" ref="T223:T228" si="92">O223</f>
        <v>0</v>
      </c>
      <c r="U223" s="122">
        <f>+'Link in'!$N60</f>
        <v>4.76</v>
      </c>
      <c r="V223" s="91">
        <f>ROUND((T223*U223),0)</f>
        <v>0</v>
      </c>
      <c r="W223" s="95"/>
      <c r="X223" s="91">
        <f t="shared" si="88"/>
        <v>0</v>
      </c>
      <c r="Y223" s="94"/>
      <c r="Z223" s="112">
        <f t="shared" si="89"/>
        <v>0</v>
      </c>
    </row>
    <row r="224" spans="1:26" ht="14.4" x14ac:dyDescent="0.3">
      <c r="A224" s="104">
        <v>19</v>
      </c>
      <c r="B224" s="79" t="s">
        <v>43</v>
      </c>
      <c r="C224" s="91"/>
      <c r="D224" s="94"/>
      <c r="E224" s="95">
        <v>0</v>
      </c>
      <c r="F224" s="122">
        <f>'Link in'!G61</f>
        <v>0</v>
      </c>
      <c r="G224" s="95">
        <f>ROUND((E224*F224),0)</f>
        <v>0</v>
      </c>
      <c r="H224" s="91"/>
      <c r="I224" s="94"/>
      <c r="J224" s="95">
        <f t="shared" si="90"/>
        <v>0</v>
      </c>
      <c r="K224" s="122">
        <f t="shared" si="91"/>
        <v>4.76</v>
      </c>
      <c r="L224" s="95">
        <f>ROUND((J224*K224),0)</f>
        <v>0</v>
      </c>
      <c r="M224" s="91"/>
      <c r="N224" s="94"/>
      <c r="O224" s="95">
        <v>0</v>
      </c>
      <c r="P224" s="122">
        <f t="shared" ref="P224:P226" si="93">F224</f>
        <v>0</v>
      </c>
      <c r="Q224" s="95">
        <f>ROUND((O224*P224),0)</f>
        <v>0</v>
      </c>
      <c r="R224" s="91"/>
      <c r="S224" s="79"/>
      <c r="T224" s="91">
        <f t="shared" si="92"/>
        <v>0</v>
      </c>
      <c r="U224" s="122">
        <f>+'Link in'!$N61</f>
        <v>4.76</v>
      </c>
      <c r="V224" s="91">
        <f>ROUND((T224*U224),0)</f>
        <v>0</v>
      </c>
      <c r="W224" s="95"/>
      <c r="X224" s="91">
        <f t="shared" si="88"/>
        <v>0</v>
      </c>
      <c r="Y224" s="94"/>
      <c r="Z224" s="112">
        <f t="shared" si="89"/>
        <v>0</v>
      </c>
    </row>
    <row r="225" spans="1:27" ht="14.4" x14ac:dyDescent="0.3">
      <c r="A225" s="104">
        <v>20</v>
      </c>
      <c r="B225" s="79" t="s">
        <v>44</v>
      </c>
      <c r="C225" s="91"/>
      <c r="D225" s="94"/>
      <c r="E225" s="95">
        <v>0</v>
      </c>
      <c r="F225" s="122">
        <f>'Link in'!G62</f>
        <v>0</v>
      </c>
      <c r="G225" s="95">
        <f>ROUND((E225*F225),0)</f>
        <v>0</v>
      </c>
      <c r="H225" s="91"/>
      <c r="I225" s="94"/>
      <c r="J225" s="95">
        <f t="shared" si="90"/>
        <v>0</v>
      </c>
      <c r="K225" s="122">
        <f t="shared" si="91"/>
        <v>4.76</v>
      </c>
      <c r="L225" s="95">
        <f>ROUND((J225*K225),0)</f>
        <v>0</v>
      </c>
      <c r="M225" s="91"/>
      <c r="N225" s="94"/>
      <c r="O225" s="95">
        <v>0</v>
      </c>
      <c r="P225" s="122">
        <f t="shared" si="93"/>
        <v>0</v>
      </c>
      <c r="Q225" s="95">
        <f>ROUND((O225*P225),0)</f>
        <v>0</v>
      </c>
      <c r="R225" s="91"/>
      <c r="S225" s="79"/>
      <c r="T225" s="91">
        <f t="shared" si="92"/>
        <v>0</v>
      </c>
      <c r="U225" s="122">
        <f>+'Link in'!$N62</f>
        <v>4.76</v>
      </c>
      <c r="V225" s="91">
        <f>ROUND((T225*U225),0)</f>
        <v>0</v>
      </c>
      <c r="W225" s="95"/>
      <c r="X225" s="91">
        <f t="shared" si="88"/>
        <v>0</v>
      </c>
      <c r="Y225" s="94"/>
      <c r="Z225" s="112">
        <f t="shared" si="89"/>
        <v>0</v>
      </c>
    </row>
    <row r="226" spans="1:27" ht="14.4" x14ac:dyDescent="0.3">
      <c r="A226" s="104">
        <v>21</v>
      </c>
      <c r="B226" s="79" t="s">
        <v>96</v>
      </c>
      <c r="C226" s="79"/>
      <c r="D226" s="94"/>
      <c r="E226" s="95">
        <v>0</v>
      </c>
      <c r="F226" s="122">
        <f>'Link in'!G63</f>
        <v>0</v>
      </c>
      <c r="G226" s="95">
        <f t="shared" ref="G226:G230" si="94">ROUND((E226*F226),0)</f>
        <v>0</v>
      </c>
      <c r="H226" s="91"/>
      <c r="I226" s="94"/>
      <c r="J226" s="95">
        <f t="shared" si="90"/>
        <v>0</v>
      </c>
      <c r="K226" s="122">
        <f t="shared" si="91"/>
        <v>4.76</v>
      </c>
      <c r="L226" s="95">
        <f t="shared" ref="L226:L227" si="95">ROUND((J226*K226),0)</f>
        <v>0</v>
      </c>
      <c r="M226" s="79"/>
      <c r="N226" s="94"/>
      <c r="O226" s="95">
        <v>0</v>
      </c>
      <c r="P226" s="122">
        <f t="shared" si="93"/>
        <v>0</v>
      </c>
      <c r="Q226" s="95">
        <f t="shared" ref="Q226:Q229" si="96">ROUND((O226*P226),0)</f>
        <v>0</v>
      </c>
      <c r="R226" s="79"/>
      <c r="S226" s="79"/>
      <c r="T226" s="91">
        <f t="shared" si="92"/>
        <v>0</v>
      </c>
      <c r="U226" s="122">
        <f>+'Link in'!$N63</f>
        <v>4.76</v>
      </c>
      <c r="V226" s="91">
        <f t="shared" ref="V226:V227" si="97">ROUND((T226*U226),0)</f>
        <v>0</v>
      </c>
      <c r="W226" s="94"/>
      <c r="X226" s="91">
        <f t="shared" si="88"/>
        <v>0</v>
      </c>
      <c r="Y226" s="94"/>
      <c r="Z226" s="112">
        <f t="shared" si="89"/>
        <v>0</v>
      </c>
    </row>
    <row r="227" spans="1:27" ht="14.4" x14ac:dyDescent="0.3">
      <c r="A227" s="104">
        <v>22</v>
      </c>
      <c r="B227" s="79" t="s">
        <v>101</v>
      </c>
      <c r="C227" s="79"/>
      <c r="D227" s="94"/>
      <c r="E227" s="95">
        <v>0</v>
      </c>
      <c r="F227" s="122">
        <f>'Link in'!G64</f>
        <v>0</v>
      </c>
      <c r="G227" s="95">
        <f t="shared" si="94"/>
        <v>0</v>
      </c>
      <c r="H227" s="91"/>
      <c r="I227" s="94"/>
      <c r="J227" s="95">
        <f t="shared" si="90"/>
        <v>0</v>
      </c>
      <c r="K227" s="122">
        <f t="shared" si="91"/>
        <v>4.76</v>
      </c>
      <c r="L227" s="95">
        <f t="shared" si="95"/>
        <v>0</v>
      </c>
      <c r="M227" s="79"/>
      <c r="N227" s="94"/>
      <c r="O227" s="95">
        <v>0</v>
      </c>
      <c r="P227" s="122">
        <v>0</v>
      </c>
      <c r="Q227" s="95">
        <f t="shared" si="96"/>
        <v>0</v>
      </c>
      <c r="R227" s="79"/>
      <c r="S227" s="79"/>
      <c r="T227" s="91">
        <f t="shared" si="92"/>
        <v>0</v>
      </c>
      <c r="U227" s="122">
        <f>+'Link in'!$N64</f>
        <v>4.76</v>
      </c>
      <c r="V227" s="91">
        <f t="shared" si="97"/>
        <v>0</v>
      </c>
      <c r="W227" s="94"/>
      <c r="X227" s="91">
        <f t="shared" si="88"/>
        <v>0</v>
      </c>
      <c r="Y227" s="94"/>
      <c r="Z227" s="112">
        <f t="shared" si="89"/>
        <v>0</v>
      </c>
    </row>
    <row r="228" spans="1:27" ht="14.4" x14ac:dyDescent="0.3">
      <c r="A228" s="302">
        <v>23</v>
      </c>
      <c r="B228" s="79" t="s">
        <v>208</v>
      </c>
      <c r="C228" s="79"/>
      <c r="D228" s="94"/>
      <c r="E228" s="95">
        <v>0</v>
      </c>
      <c r="F228" s="122">
        <v>0</v>
      </c>
      <c r="G228" s="95">
        <f>+'[2]Link Out'!$G$191</f>
        <v>15095.53</v>
      </c>
      <c r="H228" s="91"/>
      <c r="I228" s="94"/>
      <c r="J228" s="95">
        <f t="shared" si="90"/>
        <v>0</v>
      </c>
      <c r="K228" s="122"/>
      <c r="L228" s="95"/>
      <c r="M228" s="79"/>
      <c r="N228" s="94"/>
      <c r="O228" s="95">
        <v>0</v>
      </c>
      <c r="P228" s="122">
        <v>0</v>
      </c>
      <c r="Q228" s="95">
        <f t="shared" si="96"/>
        <v>0</v>
      </c>
      <c r="R228" s="79"/>
      <c r="S228" s="79"/>
      <c r="T228" s="91">
        <f t="shared" si="92"/>
        <v>0</v>
      </c>
      <c r="U228" s="122"/>
      <c r="V228" s="91"/>
      <c r="W228" s="94"/>
      <c r="X228" s="91"/>
      <c r="Y228" s="94"/>
      <c r="Z228" s="112"/>
    </row>
    <row r="229" spans="1:27" ht="14.4" x14ac:dyDescent="0.3">
      <c r="A229" s="104">
        <v>24</v>
      </c>
      <c r="B229" s="94" t="s">
        <v>108</v>
      </c>
      <c r="C229" s="123"/>
      <c r="D229" s="94"/>
      <c r="E229" s="94">
        <f>'Link in'!G32</f>
        <v>0</v>
      </c>
      <c r="F229" s="122">
        <v>0</v>
      </c>
      <c r="G229" s="123">
        <f>'Link in'!G34</f>
        <v>5654.0612980101414</v>
      </c>
      <c r="H229" s="123"/>
      <c r="I229" s="94"/>
      <c r="J229" s="95">
        <f t="shared" si="90"/>
        <v>0</v>
      </c>
      <c r="K229" s="144"/>
      <c r="L229" s="123">
        <f>G229</f>
        <v>5654.0612980101414</v>
      </c>
      <c r="M229" s="123"/>
      <c r="N229" s="94"/>
      <c r="O229" s="94">
        <v>0</v>
      </c>
      <c r="P229" s="122">
        <v>0</v>
      </c>
      <c r="Q229" s="95">
        <f t="shared" si="96"/>
        <v>0</v>
      </c>
      <c r="R229" s="123"/>
      <c r="S229" s="94"/>
      <c r="T229" s="94">
        <f>O229</f>
        <v>0</v>
      </c>
      <c r="U229" s="106"/>
      <c r="V229" s="123">
        <f>Q229</f>
        <v>0</v>
      </c>
      <c r="W229" s="123"/>
      <c r="X229" s="123">
        <f t="shared" si="88"/>
        <v>0</v>
      </c>
      <c r="Y229" s="94"/>
      <c r="Z229" s="112">
        <f t="shared" si="89"/>
        <v>0</v>
      </c>
      <c r="AA229" s="24"/>
    </row>
    <row r="230" spans="1:27" ht="14.4" x14ac:dyDescent="0.3">
      <c r="A230" s="104">
        <v>25</v>
      </c>
      <c r="B230" s="79" t="s">
        <v>202</v>
      </c>
      <c r="C230" s="133"/>
      <c r="D230" s="79"/>
      <c r="E230" s="79">
        <f>+'Link in'!G28</f>
        <v>10298.8313149767</v>
      </c>
      <c r="F230" s="122">
        <f>+'Link in'!G66</f>
        <v>2.25</v>
      </c>
      <c r="G230" s="95">
        <f t="shared" si="94"/>
        <v>23172</v>
      </c>
      <c r="H230" s="133"/>
      <c r="I230" s="94"/>
      <c r="J230" s="94">
        <f t="shared" si="90"/>
        <v>10298.8313149767</v>
      </c>
      <c r="K230" s="122">
        <f>+U230</f>
        <v>2.25</v>
      </c>
      <c r="L230" s="95">
        <f>ROUND((J230*K230),0)</f>
        <v>23172</v>
      </c>
      <c r="M230" s="133"/>
      <c r="N230" s="94"/>
      <c r="O230" s="94">
        <f>+'Link in'!Q28</f>
        <v>10491.362000000001</v>
      </c>
      <c r="P230" s="144">
        <f>F230</f>
        <v>2.25</v>
      </c>
      <c r="Q230" s="111">
        <f>ROUND((O230*P230),0)</f>
        <v>23606</v>
      </c>
      <c r="R230" s="133"/>
      <c r="S230" s="79"/>
      <c r="T230" s="91">
        <f>O230</f>
        <v>10491.362000000001</v>
      </c>
      <c r="U230" s="122">
        <f>+'Link in'!N66</f>
        <v>2.25</v>
      </c>
      <c r="V230" s="97">
        <f>ROUND((T230*U230),0)</f>
        <v>23606</v>
      </c>
      <c r="W230" s="124"/>
      <c r="X230" s="95"/>
      <c r="Y230" s="94"/>
      <c r="Z230" s="112"/>
    </row>
    <row r="231" spans="1:27" ht="15" thickBot="1" x14ac:dyDescent="0.35">
      <c r="A231" s="104">
        <v>26</v>
      </c>
      <c r="B231" s="79" t="s">
        <v>1</v>
      </c>
      <c r="C231" s="137"/>
      <c r="D231" s="147"/>
      <c r="E231" s="148">
        <f>SUM(E222:E230)</f>
        <v>448273.63759573636</v>
      </c>
      <c r="F231" s="137"/>
      <c r="G231" s="149">
        <f>SUM(G208:G230)</f>
        <v>1897799.5912980102</v>
      </c>
      <c r="H231" s="137"/>
      <c r="I231" s="150"/>
      <c r="J231" s="151">
        <f>SUM(J222:J230)</f>
        <v>448273.63759573636</v>
      </c>
      <c r="K231" s="126"/>
      <c r="L231" s="152">
        <f>SUM(L208:L230)</f>
        <v>2181405.0612980099</v>
      </c>
      <c r="M231" s="137"/>
      <c r="N231" s="147"/>
      <c r="O231" s="148">
        <f>SUM(O222:O230)</f>
        <v>426827.36200000002</v>
      </c>
      <c r="P231" s="137"/>
      <c r="Q231" s="149">
        <f>SUM(Q208:Q230)</f>
        <v>1711088</v>
      </c>
      <c r="R231" s="137"/>
      <c r="S231" s="147"/>
      <c r="T231" s="148">
        <f>SUM(T222:T230)</f>
        <v>426827.36200000002</v>
      </c>
      <c r="U231" s="137"/>
      <c r="V231" s="149">
        <f>SUM(V208:V230)</f>
        <v>2078310</v>
      </c>
      <c r="W231" s="126"/>
      <c r="X231" s="152">
        <f>SUM(X208:X230)</f>
        <v>367222</v>
      </c>
      <c r="Y231" s="94"/>
      <c r="Z231" s="136">
        <f t="shared" si="89"/>
        <v>0.21460000000000001</v>
      </c>
    </row>
    <row r="232" spans="1:27" ht="15" thickTop="1" x14ac:dyDescent="0.3">
      <c r="A232" s="104"/>
      <c r="B232" s="79"/>
      <c r="C232" s="91"/>
      <c r="D232" s="79"/>
      <c r="E232" s="79"/>
      <c r="F232" s="131"/>
      <c r="G232" s="91"/>
      <c r="H232" s="91"/>
      <c r="I232" s="91"/>
      <c r="J232" s="91"/>
      <c r="K232" s="91"/>
      <c r="L232" s="91"/>
      <c r="M232" s="91"/>
      <c r="N232" s="91"/>
      <c r="O232" s="79"/>
      <c r="P232" s="131"/>
      <c r="Q232" s="91"/>
      <c r="R232" s="91"/>
      <c r="S232" s="79"/>
      <c r="T232" s="79"/>
      <c r="U232" s="131"/>
      <c r="V232" s="91"/>
      <c r="W232" s="94"/>
      <c r="X232" s="95"/>
      <c r="Y232" s="94"/>
      <c r="Z232" s="112"/>
    </row>
    <row r="233" spans="1:27" ht="14.4" x14ac:dyDescent="0.3">
      <c r="A233" s="104"/>
      <c r="B233" s="79"/>
      <c r="C233" s="91"/>
      <c r="D233" s="104"/>
      <c r="E233" s="79"/>
      <c r="F233" s="131"/>
      <c r="G233" s="91"/>
      <c r="H233" s="91"/>
      <c r="I233" s="91"/>
      <c r="J233" s="91"/>
      <c r="K233" s="91"/>
      <c r="L233" s="91"/>
      <c r="M233" s="91"/>
      <c r="N233" s="91"/>
      <c r="O233" s="79"/>
      <c r="P233" s="131"/>
      <c r="Q233" s="91" t="s">
        <v>209</v>
      </c>
      <c r="R233" s="91"/>
      <c r="S233" s="104"/>
      <c r="T233" s="79"/>
      <c r="U233" s="131"/>
      <c r="V233" s="91"/>
      <c r="W233" s="94"/>
      <c r="X233" s="95"/>
      <c r="Y233" s="94"/>
      <c r="Z233" s="112"/>
    </row>
    <row r="234" spans="1:27" ht="14.4" x14ac:dyDescent="0.3">
      <c r="A234" s="104"/>
      <c r="B234" s="79"/>
      <c r="C234" s="79"/>
      <c r="D234" s="79"/>
      <c r="E234" s="79"/>
      <c r="F234" s="153"/>
      <c r="G234" s="79"/>
      <c r="H234" s="79"/>
      <c r="I234" s="79"/>
      <c r="J234" s="79"/>
      <c r="K234" s="79"/>
      <c r="L234" s="79"/>
      <c r="M234" s="79"/>
      <c r="N234" s="79"/>
      <c r="O234" s="79"/>
      <c r="P234" s="153"/>
      <c r="Q234" s="79"/>
      <c r="R234" s="79"/>
      <c r="S234" s="79"/>
      <c r="T234" s="79"/>
      <c r="U234" s="153"/>
      <c r="V234" s="79"/>
      <c r="W234" s="94"/>
      <c r="X234" s="95"/>
      <c r="Y234" s="94"/>
      <c r="Z234" s="112"/>
    </row>
    <row r="235" spans="1:27" ht="14.4" x14ac:dyDescent="0.3">
      <c r="A235" s="104"/>
      <c r="B235" s="79"/>
      <c r="C235" s="79"/>
      <c r="D235" s="79"/>
      <c r="E235" s="79"/>
      <c r="F235" s="153"/>
      <c r="G235" s="79"/>
      <c r="H235" s="79"/>
      <c r="I235" s="79"/>
      <c r="J235" s="79"/>
      <c r="K235" s="79"/>
      <c r="L235" s="79"/>
      <c r="M235" s="79"/>
      <c r="N235" s="79"/>
      <c r="O235" s="79"/>
      <c r="P235" s="153"/>
      <c r="Q235" s="79"/>
      <c r="R235" s="79"/>
      <c r="S235" s="79"/>
      <c r="T235" s="79"/>
      <c r="U235" s="153"/>
      <c r="V235" s="79"/>
      <c r="W235" s="94"/>
      <c r="X235" s="95"/>
      <c r="Y235" s="94"/>
      <c r="Z235" s="112"/>
    </row>
    <row r="236" spans="1:27" ht="14.4" x14ac:dyDescent="0.3">
      <c r="A236" s="333" t="str">
        <f>A196</f>
        <v>Kentucky American Water Company</v>
      </c>
      <c r="B236" s="333"/>
      <c r="C236" s="333"/>
      <c r="D236" s="333"/>
      <c r="E236" s="333"/>
      <c r="F236" s="333"/>
      <c r="G236" s="333"/>
      <c r="H236" s="333"/>
      <c r="I236" s="333"/>
      <c r="J236" s="333"/>
      <c r="K236" s="333"/>
      <c r="L236" s="333"/>
      <c r="M236" s="333"/>
      <c r="N236" s="333"/>
      <c r="O236" s="333"/>
      <c r="P236" s="333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19"/>
    </row>
    <row r="237" spans="1:27" ht="14.4" x14ac:dyDescent="0.3">
      <c r="A237" s="333" t="s">
        <v>77</v>
      </c>
      <c r="B237" s="333"/>
      <c r="C237" s="333"/>
      <c r="D237" s="333"/>
      <c r="E237" s="333"/>
      <c r="F237" s="333"/>
      <c r="G237" s="333"/>
      <c r="H237" s="333"/>
      <c r="I237" s="333"/>
      <c r="J237" s="333"/>
      <c r="K237" s="333"/>
      <c r="L237" s="333"/>
      <c r="M237" s="333"/>
      <c r="N237" s="333"/>
      <c r="O237" s="333"/>
      <c r="P237" s="333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19"/>
    </row>
    <row r="238" spans="1:27" ht="14.4" x14ac:dyDescent="0.3">
      <c r="A238" s="333" t="str">
        <f>A198</f>
        <v>Case No. 2018-00358</v>
      </c>
      <c r="B238" s="333"/>
      <c r="C238" s="333"/>
      <c r="D238" s="333"/>
      <c r="E238" s="333"/>
      <c r="F238" s="333"/>
      <c r="G238" s="333"/>
      <c r="H238" s="333"/>
      <c r="I238" s="333"/>
      <c r="J238" s="333"/>
      <c r="K238" s="333"/>
      <c r="L238" s="333"/>
      <c r="M238" s="333"/>
      <c r="N238" s="333"/>
      <c r="O238" s="333"/>
      <c r="P238" s="333"/>
      <c r="Q238" s="333"/>
      <c r="R238" s="333"/>
      <c r="S238" s="333"/>
      <c r="T238" s="333"/>
      <c r="U238" s="333"/>
      <c r="V238" s="333"/>
      <c r="W238" s="333"/>
      <c r="X238" s="333"/>
      <c r="Y238" s="333"/>
      <c r="Z238" s="333"/>
      <c r="AA238" s="19"/>
    </row>
    <row r="239" spans="1:27" ht="14.4" x14ac:dyDescent="0.3">
      <c r="A239" s="333" t="str">
        <f>A199</f>
        <v>Base Year for the 12 Months Ended February 28, 2019 and Forecast Year for the 12 Months Ended June 30, 2020</v>
      </c>
      <c r="B239" s="333"/>
      <c r="C239" s="333"/>
      <c r="D239" s="333"/>
      <c r="E239" s="333"/>
      <c r="F239" s="333"/>
      <c r="G239" s="333"/>
      <c r="H239" s="333"/>
      <c r="I239" s="333"/>
      <c r="J239" s="333"/>
      <c r="K239" s="333"/>
      <c r="L239" s="333"/>
      <c r="M239" s="333"/>
      <c r="N239" s="333"/>
      <c r="O239" s="333"/>
      <c r="P239" s="333"/>
      <c r="Q239" s="333"/>
      <c r="R239" s="333"/>
      <c r="S239" s="333"/>
      <c r="T239" s="333"/>
      <c r="U239" s="333"/>
      <c r="V239" s="333"/>
      <c r="W239" s="333"/>
      <c r="X239" s="333"/>
      <c r="Y239" s="333"/>
      <c r="Z239" s="333"/>
      <c r="AA239" s="19"/>
    </row>
    <row r="240" spans="1:27" ht="14.4" x14ac:dyDescent="0.3">
      <c r="A240" s="109" t="str">
        <f>A200</f>
        <v>Witness Responsible:   Melissa Schwarzell</v>
      </c>
      <c r="B240" s="79"/>
      <c r="C240" s="79"/>
      <c r="D240" s="79"/>
      <c r="E240" s="79"/>
      <c r="F240" s="79"/>
      <c r="G240" s="79"/>
      <c r="H240" s="79"/>
      <c r="I240" s="335" t="str">
        <f>"ALL CUSTOMERS ("&amp;"Fire"&amp;")"</f>
        <v>ALL CUSTOMERS (Fire)</v>
      </c>
      <c r="J240" s="335"/>
      <c r="K240" s="335"/>
      <c r="L240" s="335"/>
      <c r="M240" s="335"/>
      <c r="N240" s="335"/>
      <c r="O240" s="335"/>
      <c r="P240" s="335"/>
      <c r="Q240" s="335"/>
      <c r="R240" s="79"/>
      <c r="S240" s="79"/>
      <c r="T240" s="79"/>
      <c r="U240" s="79"/>
      <c r="V240" s="79"/>
      <c r="W240" s="94"/>
      <c r="X240" s="94"/>
      <c r="Y240" s="94"/>
      <c r="Z240" s="99" t="str">
        <f>Z200</f>
        <v>Exhibit 37, Schedule M-3</v>
      </c>
      <c r="AA240" s="19"/>
    </row>
    <row r="241" spans="1:27" ht="14.4" x14ac:dyDescent="0.3">
      <c r="A241" s="139" t="str">
        <f>A201</f>
        <v/>
      </c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01"/>
      <c r="X241" s="101"/>
      <c r="Y241" s="101"/>
      <c r="Z241" s="141" t="str">
        <f ca="1">Z201</f>
        <v>Revenues\[KAWC 2018 Rate Case - Revenue.xlsx]Sch M</v>
      </c>
      <c r="AA241" s="19"/>
    </row>
    <row r="242" spans="1:27" ht="14.4" x14ac:dyDescent="0.3">
      <c r="A242" s="79"/>
      <c r="B242" s="79"/>
      <c r="C242" s="104"/>
      <c r="D242" s="79"/>
      <c r="E242" s="328" t="s">
        <v>174</v>
      </c>
      <c r="F242" s="328"/>
      <c r="G242" s="328"/>
      <c r="H242" s="104"/>
      <c r="I242" s="106"/>
      <c r="J242" s="336" t="s">
        <v>173</v>
      </c>
      <c r="K242" s="336"/>
      <c r="L242" s="336"/>
      <c r="M242" s="104"/>
      <c r="N242" s="79"/>
      <c r="O242" s="328" t="s">
        <v>120</v>
      </c>
      <c r="P242" s="328"/>
      <c r="Q242" s="328"/>
      <c r="R242" s="104"/>
      <c r="S242" s="79"/>
      <c r="T242" s="328" t="s">
        <v>121</v>
      </c>
      <c r="U242" s="328"/>
      <c r="V242" s="328"/>
      <c r="W242" s="94"/>
      <c r="X242" s="94"/>
      <c r="Y242" s="94"/>
      <c r="Z242" s="94"/>
      <c r="AA242" s="19"/>
    </row>
    <row r="243" spans="1:27" ht="14.4" x14ac:dyDescent="0.3">
      <c r="A243" s="79"/>
      <c r="B243" s="79"/>
      <c r="C243" s="104"/>
      <c r="D243" s="79"/>
      <c r="E243" s="104" t="s">
        <v>64</v>
      </c>
      <c r="F243" s="104"/>
      <c r="G243" s="104"/>
      <c r="H243" s="104"/>
      <c r="I243" s="106"/>
      <c r="J243" s="106" t="s">
        <v>64</v>
      </c>
      <c r="K243" s="106"/>
      <c r="L243" s="106"/>
      <c r="M243" s="104"/>
      <c r="N243" s="104"/>
      <c r="O243" s="104" t="s">
        <v>64</v>
      </c>
      <c r="P243" s="104"/>
      <c r="Q243" s="104"/>
      <c r="R243" s="104"/>
      <c r="S243" s="79"/>
      <c r="T243" s="104" t="s">
        <v>64</v>
      </c>
      <c r="U243" s="104"/>
      <c r="V243" s="104"/>
      <c r="W243" s="106"/>
      <c r="X243" s="106"/>
      <c r="Y243" s="94"/>
      <c r="Z243" s="94"/>
      <c r="AA243" s="19"/>
    </row>
    <row r="244" spans="1:27" ht="14.4" x14ac:dyDescent="0.3">
      <c r="A244" s="79"/>
      <c r="B244" s="104" t="s">
        <v>58</v>
      </c>
      <c r="C244" s="104"/>
      <c r="D244" s="79"/>
      <c r="E244" s="104" t="s">
        <v>65</v>
      </c>
      <c r="F244" s="104" t="s">
        <v>45</v>
      </c>
      <c r="G244" s="104" t="s">
        <v>1</v>
      </c>
      <c r="H244" s="104"/>
      <c r="I244" s="106"/>
      <c r="J244" s="106" t="s">
        <v>65</v>
      </c>
      <c r="K244" s="104" t="s">
        <v>73</v>
      </c>
      <c r="L244" s="106" t="s">
        <v>1</v>
      </c>
      <c r="M244" s="104"/>
      <c r="N244" s="104"/>
      <c r="O244" s="104" t="s">
        <v>65</v>
      </c>
      <c r="P244" s="104" t="s">
        <v>45</v>
      </c>
      <c r="Q244" s="104" t="s">
        <v>1</v>
      </c>
      <c r="R244" s="104"/>
      <c r="S244" s="79"/>
      <c r="T244" s="104" t="s">
        <v>65</v>
      </c>
      <c r="U244" s="104" t="s">
        <v>73</v>
      </c>
      <c r="V244" s="104" t="s">
        <v>1</v>
      </c>
      <c r="W244" s="106"/>
      <c r="X244" s="106" t="s">
        <v>51</v>
      </c>
      <c r="Y244" s="94"/>
      <c r="Z244" s="106" t="s">
        <v>53</v>
      </c>
      <c r="AA244" s="19"/>
    </row>
    <row r="245" spans="1:27" ht="14.4" x14ac:dyDescent="0.3">
      <c r="A245" s="140" t="s">
        <v>0</v>
      </c>
      <c r="B245" s="107" t="s">
        <v>59</v>
      </c>
      <c r="C245" s="104"/>
      <c r="D245" s="79"/>
      <c r="E245" s="107" t="s">
        <v>66</v>
      </c>
      <c r="F245" s="107" t="s">
        <v>46</v>
      </c>
      <c r="G245" s="107" t="s">
        <v>47</v>
      </c>
      <c r="H245" s="104"/>
      <c r="I245" s="106"/>
      <c r="J245" s="108" t="s">
        <v>66</v>
      </c>
      <c r="K245" s="108" t="s">
        <v>46</v>
      </c>
      <c r="L245" s="108" t="s">
        <v>47</v>
      </c>
      <c r="M245" s="104"/>
      <c r="N245" s="104"/>
      <c r="O245" s="107" t="s">
        <v>66</v>
      </c>
      <c r="P245" s="107" t="s">
        <v>46</v>
      </c>
      <c r="Q245" s="107" t="s">
        <v>47</v>
      </c>
      <c r="R245" s="104"/>
      <c r="S245" s="79"/>
      <c r="T245" s="107" t="s">
        <v>66</v>
      </c>
      <c r="U245" s="107" t="s">
        <v>46</v>
      </c>
      <c r="V245" s="107" t="s">
        <v>47</v>
      </c>
      <c r="W245" s="106"/>
      <c r="X245" s="108" t="s">
        <v>52</v>
      </c>
      <c r="Y245" s="94"/>
      <c r="Z245" s="108" t="s">
        <v>52</v>
      </c>
      <c r="AA245" s="19"/>
    </row>
    <row r="246" spans="1:27" ht="14.4" x14ac:dyDescent="0.3">
      <c r="A246" s="104">
        <v>1</v>
      </c>
      <c r="B246" s="109" t="s">
        <v>57</v>
      </c>
      <c r="C246" s="104"/>
      <c r="D246" s="79"/>
      <c r="E246" s="104"/>
      <c r="F246" s="104"/>
      <c r="G246" s="104"/>
      <c r="H246" s="104"/>
      <c r="I246" s="106"/>
      <c r="J246" s="106"/>
      <c r="K246" s="106"/>
      <c r="L246" s="106"/>
      <c r="M246" s="104"/>
      <c r="N246" s="104"/>
      <c r="O246" s="104"/>
      <c r="P246" s="104"/>
      <c r="Q246" s="104"/>
      <c r="R246" s="104"/>
      <c r="S246" s="79"/>
      <c r="T246" s="104"/>
      <c r="U246" s="104"/>
      <c r="V246" s="104"/>
      <c r="W246" s="106"/>
      <c r="X246" s="106"/>
      <c r="Y246" s="94"/>
      <c r="Z246" s="112"/>
      <c r="AA246" s="19"/>
    </row>
    <row r="247" spans="1:27" ht="14.4" x14ac:dyDescent="0.3">
      <c r="A247" s="104">
        <v>2</v>
      </c>
      <c r="B247" s="79" t="s">
        <v>138</v>
      </c>
      <c r="C247" s="97"/>
      <c r="D247" s="92"/>
      <c r="E247" s="95">
        <f>'Link in'!I10</f>
        <v>14850.901341356399</v>
      </c>
      <c r="F247" s="142">
        <f>+'[2]Link Out'!E204</f>
        <v>75.326310119963907</v>
      </c>
      <c r="G247" s="111">
        <f>ROUND((E247*F247),0)</f>
        <v>1118664</v>
      </c>
      <c r="H247" s="97"/>
      <c r="I247" s="111"/>
      <c r="J247" s="95">
        <f>E247</f>
        <v>14850.901341356399</v>
      </c>
      <c r="K247" s="142">
        <f>U247</f>
        <v>80.12</v>
      </c>
      <c r="L247" s="111">
        <f>ROUND((J247*K247),0)</f>
        <v>1189854</v>
      </c>
      <c r="M247" s="97"/>
      <c r="N247" s="97"/>
      <c r="O247" s="95">
        <f>'Link in'!S10</f>
        <v>14880</v>
      </c>
      <c r="P247" s="142">
        <f>+'[2]Link Out'!K204</f>
        <v>70.900000000000006</v>
      </c>
      <c r="Q247" s="111">
        <f>ROUND((O247*P247),0)</f>
        <v>1054992</v>
      </c>
      <c r="R247" s="97"/>
      <c r="S247" s="79"/>
      <c r="T247" s="91">
        <f>O247</f>
        <v>14880</v>
      </c>
      <c r="U247" s="142">
        <f>'Link in'!L75</f>
        <v>80.12</v>
      </c>
      <c r="V247" s="97">
        <f>ROUND((U247*T247),0)</f>
        <v>1192186</v>
      </c>
      <c r="W247" s="94"/>
      <c r="X247" s="97">
        <f>+V247-Q247</f>
        <v>137194</v>
      </c>
      <c r="Y247" s="96"/>
      <c r="Z247" s="112">
        <f>IF(Q247=0,0,ROUND((X247/Q247),4))</f>
        <v>0.13</v>
      </c>
      <c r="AA247" s="19"/>
    </row>
    <row r="248" spans="1:27" ht="14.4" x14ac:dyDescent="0.3">
      <c r="A248" s="104">
        <v>3</v>
      </c>
      <c r="B248" s="79" t="s">
        <v>13</v>
      </c>
      <c r="C248" s="91"/>
      <c r="D248" s="92"/>
      <c r="E248" s="95">
        <f>'Link in'!I11</f>
        <v>879</v>
      </c>
      <c r="F248" s="114">
        <f>+'[2]Link Out'!E205</f>
        <v>8.607815699658703</v>
      </c>
      <c r="G248" s="95">
        <f t="shared" ref="G248:G255" si="98">ROUND((E248*F248),0)</f>
        <v>7566</v>
      </c>
      <c r="H248" s="91"/>
      <c r="I248" s="95"/>
      <c r="J248" s="95">
        <f t="shared" ref="J248:J255" si="99">E248</f>
        <v>879</v>
      </c>
      <c r="K248" s="142">
        <f t="shared" ref="K248:K255" si="100">U248</f>
        <v>9.16</v>
      </c>
      <c r="L248" s="95">
        <f t="shared" ref="L248:L255" si="101">ROUND((J248*K248),0)</f>
        <v>8052</v>
      </c>
      <c r="M248" s="91"/>
      <c r="N248" s="91"/>
      <c r="O248" s="95">
        <f>'Link in'!S11</f>
        <v>900</v>
      </c>
      <c r="P248" s="114">
        <f>+'[2]Link Out'!K205</f>
        <v>8.11</v>
      </c>
      <c r="Q248" s="95">
        <f t="shared" ref="Q248:Q255" si="102">ROUND((O248*P248),0)</f>
        <v>7299</v>
      </c>
      <c r="R248" s="91"/>
      <c r="S248" s="79"/>
      <c r="T248" s="91">
        <f t="shared" ref="T248:T255" si="103">O248</f>
        <v>900</v>
      </c>
      <c r="U248" s="114">
        <f>'Link in'!L76</f>
        <v>9.16</v>
      </c>
      <c r="V248" s="91">
        <f t="shared" ref="V248:V255" si="104">ROUND((U248*T248),0)</f>
        <v>8244</v>
      </c>
      <c r="W248" s="111"/>
      <c r="X248" s="91">
        <f t="shared" ref="X248:X255" si="105">+V248-Q248</f>
        <v>945</v>
      </c>
      <c r="Y248" s="96"/>
      <c r="Z248" s="112">
        <f t="shared" ref="Z248:Z255" si="106">IF(Q248=0,0,ROUND((X248/Q248),4))</f>
        <v>0.1295</v>
      </c>
      <c r="AA248" s="19"/>
    </row>
    <row r="249" spans="1:27" ht="14.4" x14ac:dyDescent="0.3">
      <c r="A249" s="104">
        <v>4</v>
      </c>
      <c r="B249" s="79" t="s">
        <v>16</v>
      </c>
      <c r="C249" s="91"/>
      <c r="D249" s="92"/>
      <c r="E249" s="95">
        <f>'Link in'!I12</f>
        <v>5508.0854189336242</v>
      </c>
      <c r="F249" s="114">
        <f>+'[2]Link Out'!E206</f>
        <v>34.625926341738584</v>
      </c>
      <c r="G249" s="95">
        <f>ROUND((E249*F249),0)</f>
        <v>190723</v>
      </c>
      <c r="H249" s="91"/>
      <c r="I249" s="95"/>
      <c r="J249" s="95">
        <f t="shared" si="99"/>
        <v>5508.0854189336242</v>
      </c>
      <c r="K249" s="142">
        <f t="shared" si="100"/>
        <v>36.92</v>
      </c>
      <c r="L249" s="95">
        <f t="shared" si="101"/>
        <v>203359</v>
      </c>
      <c r="M249" s="91"/>
      <c r="N249" s="91"/>
      <c r="O249" s="95">
        <f>'Link in'!S12</f>
        <v>5748</v>
      </c>
      <c r="P249" s="114">
        <f>+'[2]Link Out'!K206</f>
        <v>32.67</v>
      </c>
      <c r="Q249" s="95">
        <f t="shared" si="102"/>
        <v>187787</v>
      </c>
      <c r="R249" s="91"/>
      <c r="S249" s="79"/>
      <c r="T249" s="91">
        <f t="shared" si="103"/>
        <v>5748</v>
      </c>
      <c r="U249" s="114">
        <f>'Link in'!L77</f>
        <v>36.92</v>
      </c>
      <c r="V249" s="91">
        <f t="shared" si="104"/>
        <v>212216</v>
      </c>
      <c r="W249" s="95"/>
      <c r="X249" s="91">
        <f t="shared" si="105"/>
        <v>24429</v>
      </c>
      <c r="Y249" s="96"/>
      <c r="Z249" s="112">
        <f t="shared" si="106"/>
        <v>0.13009999999999999</v>
      </c>
      <c r="AA249" s="19"/>
    </row>
    <row r="250" spans="1:27" ht="14.4" x14ac:dyDescent="0.3">
      <c r="A250" s="104">
        <v>5</v>
      </c>
      <c r="B250" s="79" t="s">
        <v>60</v>
      </c>
      <c r="C250" s="91"/>
      <c r="D250" s="92"/>
      <c r="E250" s="95">
        <f>'Link in'!I13</f>
        <v>11472.50701499758</v>
      </c>
      <c r="F250" s="114">
        <f>+'[2]Link Out'!E207</f>
        <v>78.027527795779562</v>
      </c>
      <c r="G250" s="95">
        <f t="shared" si="98"/>
        <v>895171</v>
      </c>
      <c r="H250" s="91"/>
      <c r="I250" s="95"/>
      <c r="J250" s="95">
        <f t="shared" si="99"/>
        <v>11472.50701499758</v>
      </c>
      <c r="K250" s="142">
        <f t="shared" si="100"/>
        <v>83.04</v>
      </c>
      <c r="L250" s="95">
        <f t="shared" si="101"/>
        <v>952677</v>
      </c>
      <c r="M250" s="91"/>
      <c r="N250" s="91"/>
      <c r="O250" s="95">
        <f>'Link in'!S13</f>
        <v>11616</v>
      </c>
      <c r="P250" s="114">
        <f>+'[2]Link Out'!K207</f>
        <v>73.489999999999995</v>
      </c>
      <c r="Q250" s="95">
        <f t="shared" si="102"/>
        <v>853660</v>
      </c>
      <c r="R250" s="91"/>
      <c r="S250" s="79"/>
      <c r="T250" s="91">
        <f t="shared" si="103"/>
        <v>11616</v>
      </c>
      <c r="U250" s="114">
        <f>'Link in'!L78</f>
        <v>83.04</v>
      </c>
      <c r="V250" s="91">
        <f t="shared" si="104"/>
        <v>964593</v>
      </c>
      <c r="W250" s="111"/>
      <c r="X250" s="91">
        <f t="shared" si="105"/>
        <v>110933</v>
      </c>
      <c r="Y250" s="96"/>
      <c r="Z250" s="112">
        <f t="shared" si="106"/>
        <v>0.12989999999999999</v>
      </c>
      <c r="AA250" s="19"/>
    </row>
    <row r="251" spans="1:27" ht="14.4" x14ac:dyDescent="0.3">
      <c r="A251" s="104">
        <v>6</v>
      </c>
      <c r="B251" s="79" t="s">
        <v>61</v>
      </c>
      <c r="C251" s="91"/>
      <c r="D251" s="92"/>
      <c r="E251" s="95">
        <f>'Link in'!I14</f>
        <v>3803.8438563069803</v>
      </c>
      <c r="F251" s="114">
        <f>+'[2]Link Out'!E208</f>
        <v>138.73234284446713</v>
      </c>
      <c r="G251" s="95">
        <f t="shared" si="98"/>
        <v>527716</v>
      </c>
      <c r="H251" s="91"/>
      <c r="I251" s="95"/>
      <c r="J251" s="95">
        <f t="shared" si="99"/>
        <v>3803.8438563069803</v>
      </c>
      <c r="K251" s="142">
        <f t="shared" si="100"/>
        <v>147.62</v>
      </c>
      <c r="L251" s="95">
        <f t="shared" si="101"/>
        <v>561523</v>
      </c>
      <c r="M251" s="91"/>
      <c r="N251" s="91"/>
      <c r="O251" s="95">
        <f>'Link in'!S14</f>
        <v>3840</v>
      </c>
      <c r="P251" s="114">
        <f>+'[2]Link Out'!K208</f>
        <v>130.63999999999999</v>
      </c>
      <c r="Q251" s="95">
        <f t="shared" si="102"/>
        <v>501658</v>
      </c>
      <c r="R251" s="91"/>
      <c r="S251" s="79"/>
      <c r="T251" s="91">
        <f t="shared" si="103"/>
        <v>3840</v>
      </c>
      <c r="U251" s="114">
        <f>'Link in'!L79</f>
        <v>147.62</v>
      </c>
      <c r="V251" s="91">
        <f t="shared" si="104"/>
        <v>566861</v>
      </c>
      <c r="W251" s="95"/>
      <c r="X251" s="91">
        <f t="shared" si="105"/>
        <v>65203</v>
      </c>
      <c r="Y251" s="96"/>
      <c r="Z251" s="112">
        <f t="shared" si="106"/>
        <v>0.13</v>
      </c>
      <c r="AA251" s="19"/>
    </row>
    <row r="252" spans="1:27" ht="14.4" x14ac:dyDescent="0.3">
      <c r="A252" s="104">
        <v>7</v>
      </c>
      <c r="B252" s="79" t="s">
        <v>62</v>
      </c>
      <c r="C252" s="91"/>
      <c r="D252" s="92"/>
      <c r="E252" s="95">
        <f>'Link in'!I15</f>
        <v>152</v>
      </c>
      <c r="F252" s="114">
        <f>+'[2]Link Out'!E209</f>
        <v>216.61394736842104</v>
      </c>
      <c r="G252" s="95">
        <f t="shared" si="98"/>
        <v>32925</v>
      </c>
      <c r="H252" s="91"/>
      <c r="I252" s="95"/>
      <c r="J252" s="95">
        <f t="shared" si="99"/>
        <v>152</v>
      </c>
      <c r="K252" s="142">
        <f t="shared" si="100"/>
        <v>230.72</v>
      </c>
      <c r="L252" s="95">
        <f t="shared" si="101"/>
        <v>35069</v>
      </c>
      <c r="M252" s="91"/>
      <c r="N252" s="91"/>
      <c r="O252" s="95">
        <f>'Link in'!S15</f>
        <v>156</v>
      </c>
      <c r="P252" s="114">
        <f>+'[2]Link Out'!K209</f>
        <v>204.18</v>
      </c>
      <c r="Q252" s="95">
        <f t="shared" si="102"/>
        <v>31852</v>
      </c>
      <c r="R252" s="91"/>
      <c r="S252" s="79"/>
      <c r="T252" s="91">
        <f t="shared" si="103"/>
        <v>156</v>
      </c>
      <c r="U252" s="114">
        <f>'Link in'!L80</f>
        <v>230.72</v>
      </c>
      <c r="V252" s="91">
        <f t="shared" si="104"/>
        <v>35992</v>
      </c>
      <c r="W252" s="111"/>
      <c r="X252" s="91">
        <f t="shared" si="105"/>
        <v>4140</v>
      </c>
      <c r="Y252" s="96"/>
      <c r="Z252" s="112">
        <f t="shared" si="106"/>
        <v>0.13</v>
      </c>
      <c r="AA252" s="19"/>
    </row>
    <row r="253" spans="1:27" ht="14.4" x14ac:dyDescent="0.3">
      <c r="A253" s="104">
        <v>8</v>
      </c>
      <c r="B253" s="79" t="s">
        <v>63</v>
      </c>
      <c r="C253" s="91"/>
      <c r="D253" s="92"/>
      <c r="E253" s="95">
        <f>'Link in'!I16</f>
        <v>72</v>
      </c>
      <c r="F253" s="114">
        <f>+'[2]Link Out'!E210</f>
        <v>312.84500000000003</v>
      </c>
      <c r="G253" s="95">
        <f t="shared" si="98"/>
        <v>22525</v>
      </c>
      <c r="H253" s="91"/>
      <c r="I253" s="95"/>
      <c r="J253" s="95">
        <f t="shared" si="99"/>
        <v>72</v>
      </c>
      <c r="K253" s="142">
        <f t="shared" si="100"/>
        <v>332.71</v>
      </c>
      <c r="L253" s="95">
        <f t="shared" si="101"/>
        <v>23955</v>
      </c>
      <c r="M253" s="91"/>
      <c r="N253" s="91"/>
      <c r="O253" s="95">
        <f>'Link in'!S16</f>
        <v>72</v>
      </c>
      <c r="P253" s="114">
        <f>+'[2]Link Out'!K210</f>
        <v>294.43</v>
      </c>
      <c r="Q253" s="95">
        <f t="shared" si="102"/>
        <v>21199</v>
      </c>
      <c r="R253" s="91"/>
      <c r="S253" s="79"/>
      <c r="T253" s="91">
        <f t="shared" si="103"/>
        <v>72</v>
      </c>
      <c r="U253" s="114">
        <f>'Link in'!L81</f>
        <v>332.71</v>
      </c>
      <c r="V253" s="91">
        <f t="shared" si="104"/>
        <v>23955</v>
      </c>
      <c r="W253" s="95"/>
      <c r="X253" s="91">
        <f t="shared" si="105"/>
        <v>2756</v>
      </c>
      <c r="Y253" s="96"/>
      <c r="Z253" s="112">
        <f t="shared" si="106"/>
        <v>0.13</v>
      </c>
      <c r="AA253" s="19"/>
    </row>
    <row r="254" spans="1:27" ht="14.4" x14ac:dyDescent="0.3">
      <c r="A254" s="104">
        <v>9</v>
      </c>
      <c r="B254" s="79" t="s">
        <v>134</v>
      </c>
      <c r="C254" s="91"/>
      <c r="D254" s="92"/>
      <c r="E254" s="95">
        <f>'Link in'!I17</f>
        <v>0</v>
      </c>
      <c r="F254" s="114">
        <f>+'[2]Link Out'!E211</f>
        <v>0</v>
      </c>
      <c r="G254" s="95">
        <f t="shared" si="98"/>
        <v>0</v>
      </c>
      <c r="H254" s="91"/>
      <c r="I254" s="95"/>
      <c r="J254" s="95">
        <f t="shared" si="99"/>
        <v>0</v>
      </c>
      <c r="K254" s="142">
        <f t="shared" si="100"/>
        <v>479.07</v>
      </c>
      <c r="L254" s="95">
        <f t="shared" si="101"/>
        <v>0</v>
      </c>
      <c r="M254" s="91"/>
      <c r="N254" s="91"/>
      <c r="O254" s="95">
        <f>'Link in'!S17</f>
        <v>0</v>
      </c>
      <c r="P254" s="114">
        <f>+'[2]Link Out'!K211</f>
        <v>423.96</v>
      </c>
      <c r="Q254" s="95">
        <f t="shared" si="102"/>
        <v>0</v>
      </c>
      <c r="R254" s="91"/>
      <c r="S254" s="79"/>
      <c r="T254" s="91">
        <f t="shared" si="103"/>
        <v>0</v>
      </c>
      <c r="U254" s="114">
        <f>'Link in'!L82</f>
        <v>479.07</v>
      </c>
      <c r="V254" s="91">
        <f t="shared" si="104"/>
        <v>0</v>
      </c>
      <c r="W254" s="111"/>
      <c r="X254" s="91">
        <f t="shared" si="105"/>
        <v>0</v>
      </c>
      <c r="Y254" s="96"/>
      <c r="Z254" s="112">
        <f t="shared" si="106"/>
        <v>0</v>
      </c>
      <c r="AA254" s="19"/>
    </row>
    <row r="255" spans="1:27" ht="14.4" x14ac:dyDescent="0.3">
      <c r="A255" s="104">
        <v>10</v>
      </c>
      <c r="B255" s="79" t="s">
        <v>135</v>
      </c>
      <c r="C255" s="91"/>
      <c r="D255" s="92"/>
      <c r="E255" s="95">
        <f>'Link in'!I18</f>
        <v>12</v>
      </c>
      <c r="F255" s="114">
        <f>+'[2]Link Out'!E212</f>
        <v>555.50999999999988</v>
      </c>
      <c r="G255" s="95">
        <f t="shared" si="98"/>
        <v>6666</v>
      </c>
      <c r="H255" s="91"/>
      <c r="I255" s="95"/>
      <c r="J255" s="95">
        <f t="shared" si="99"/>
        <v>12</v>
      </c>
      <c r="K255" s="142">
        <f t="shared" si="100"/>
        <v>590.78</v>
      </c>
      <c r="L255" s="95">
        <f t="shared" si="101"/>
        <v>7089</v>
      </c>
      <c r="M255" s="91"/>
      <c r="N255" s="91"/>
      <c r="O255" s="95">
        <f>'Link in'!S18</f>
        <v>12</v>
      </c>
      <c r="P255" s="114">
        <f>+'[2]Link Out'!K212</f>
        <v>522.80999999999995</v>
      </c>
      <c r="Q255" s="95">
        <f t="shared" si="102"/>
        <v>6274</v>
      </c>
      <c r="R255" s="91"/>
      <c r="S255" s="79"/>
      <c r="T255" s="91">
        <f t="shared" si="103"/>
        <v>12</v>
      </c>
      <c r="U255" s="114">
        <f>'Link in'!L83</f>
        <v>590.78</v>
      </c>
      <c r="V255" s="91">
        <f t="shared" si="104"/>
        <v>7089</v>
      </c>
      <c r="W255" s="95"/>
      <c r="X255" s="91">
        <f t="shared" si="105"/>
        <v>815</v>
      </c>
      <c r="Y255" s="96"/>
      <c r="Z255" s="112">
        <f t="shared" si="106"/>
        <v>0.12989999999999999</v>
      </c>
      <c r="AA255" s="19"/>
    </row>
    <row r="256" spans="1:27" ht="14.4" x14ac:dyDescent="0.3">
      <c r="A256" s="104">
        <v>11</v>
      </c>
      <c r="B256" s="104"/>
      <c r="C256" s="91"/>
      <c r="D256" s="79"/>
      <c r="E256" s="95"/>
      <c r="F256" s="114"/>
      <c r="G256" s="95"/>
      <c r="H256" s="91"/>
      <c r="I256" s="95"/>
      <c r="J256" s="95"/>
      <c r="K256" s="114"/>
      <c r="L256" s="95"/>
      <c r="M256" s="91"/>
      <c r="N256" s="91"/>
      <c r="O256" s="95"/>
      <c r="P256" s="114"/>
      <c r="Q256" s="95"/>
      <c r="R256" s="91"/>
      <c r="S256" s="79"/>
      <c r="T256" s="91"/>
      <c r="U256" s="114"/>
      <c r="V256" s="91"/>
      <c r="W256" s="111"/>
      <c r="X256" s="111"/>
      <c r="Y256" s="96"/>
      <c r="Z256" s="112"/>
      <c r="AA256" s="19"/>
    </row>
    <row r="257" spans="1:27" ht="14.4" x14ac:dyDescent="0.3">
      <c r="A257" s="104">
        <v>12</v>
      </c>
      <c r="B257" s="104"/>
      <c r="C257" s="79"/>
      <c r="D257" s="79"/>
      <c r="E257" s="94"/>
      <c r="F257" s="94"/>
      <c r="G257" s="94"/>
      <c r="H257" s="79"/>
      <c r="I257" s="94"/>
      <c r="J257" s="94"/>
      <c r="K257" s="94"/>
      <c r="L257" s="94"/>
      <c r="M257" s="79"/>
      <c r="N257" s="79"/>
      <c r="O257" s="94"/>
      <c r="P257" s="94"/>
      <c r="Q257" s="94"/>
      <c r="R257" s="79"/>
      <c r="S257" s="79"/>
      <c r="T257" s="79"/>
      <c r="U257" s="94"/>
      <c r="V257" s="91"/>
      <c r="W257" s="95"/>
      <c r="X257" s="111"/>
      <c r="Y257" s="96"/>
      <c r="Z257" s="112"/>
      <c r="AA257" s="19"/>
    </row>
    <row r="258" spans="1:27" ht="14.4" x14ac:dyDescent="0.3">
      <c r="A258" s="104">
        <v>13</v>
      </c>
      <c r="B258" s="94" t="s">
        <v>108</v>
      </c>
      <c r="C258" s="95"/>
      <c r="D258" s="96"/>
      <c r="E258" s="94"/>
      <c r="F258" s="122"/>
      <c r="G258" s="123"/>
      <c r="H258" s="123"/>
      <c r="I258" s="123"/>
      <c r="J258" s="94"/>
      <c r="K258" s="122"/>
      <c r="L258" s="123">
        <f>G258</f>
        <v>0</v>
      </c>
      <c r="M258" s="123"/>
      <c r="N258" s="94"/>
      <c r="O258" s="94"/>
      <c r="P258" s="106"/>
      <c r="Q258" s="123"/>
      <c r="R258" s="123"/>
      <c r="S258" s="94"/>
      <c r="T258" s="94"/>
      <c r="U258" s="106"/>
      <c r="V258" s="123">
        <f>Q258</f>
        <v>0</v>
      </c>
      <c r="W258" s="111"/>
      <c r="X258" s="95"/>
      <c r="Y258" s="96"/>
      <c r="Z258" s="112"/>
      <c r="AA258" s="19"/>
    </row>
    <row r="259" spans="1:27" ht="15" thickBot="1" x14ac:dyDescent="0.35">
      <c r="A259" s="104">
        <v>14</v>
      </c>
      <c r="B259" s="79" t="s">
        <v>1</v>
      </c>
      <c r="C259" s="154"/>
      <c r="D259" s="104"/>
      <c r="E259" s="118">
        <f>SUM(E247:E258)</f>
        <v>36750.337631594586</v>
      </c>
      <c r="F259" s="106"/>
      <c r="G259" s="155">
        <f>SUM(G247:G258)</f>
        <v>2801956</v>
      </c>
      <c r="H259" s="154"/>
      <c r="I259" s="156"/>
      <c r="J259" s="118">
        <f>SUM(J247:J258)</f>
        <v>36750.337631594586</v>
      </c>
      <c r="K259" s="106"/>
      <c r="L259" s="155">
        <f>SUM(L247:L258)</f>
        <v>2981578</v>
      </c>
      <c r="M259" s="154"/>
      <c r="N259" s="154"/>
      <c r="O259" s="118">
        <f>SUM(O247:O258)</f>
        <v>37224</v>
      </c>
      <c r="P259" s="106"/>
      <c r="Q259" s="155">
        <f>SUM(Q247:Q258)</f>
        <v>2664721</v>
      </c>
      <c r="R259" s="154"/>
      <c r="S259" s="79"/>
      <c r="T259" s="116">
        <f>SUM(T247:T258)</f>
        <v>37224</v>
      </c>
      <c r="U259" s="123"/>
      <c r="V259" s="157">
        <f>SUM(V247:V258)</f>
        <v>3011136</v>
      </c>
      <c r="W259" s="123"/>
      <c r="X259" s="157">
        <f>SUM(X247:X258)</f>
        <v>346415</v>
      </c>
      <c r="Y259" s="94"/>
      <c r="Z259" s="136">
        <f>IF(Q259=0,0,ROUND((X259/Q259),4))</f>
        <v>0.13</v>
      </c>
      <c r="AA259" s="19"/>
    </row>
    <row r="260" spans="1:27" ht="15" thickTop="1" x14ac:dyDescent="0.3">
      <c r="A260" s="104">
        <v>15</v>
      </c>
      <c r="B260" s="79"/>
      <c r="C260" s="91"/>
      <c r="D260" s="79"/>
      <c r="E260" s="95"/>
      <c r="F260" s="122"/>
      <c r="G260" s="95"/>
      <c r="H260" s="91"/>
      <c r="I260" s="95"/>
      <c r="J260" s="95"/>
      <c r="K260" s="122"/>
      <c r="L260" s="95"/>
      <c r="M260" s="91"/>
      <c r="N260" s="91"/>
      <c r="O260" s="95"/>
      <c r="P260" s="122"/>
      <c r="Q260" s="95"/>
      <c r="R260" s="91"/>
      <c r="S260" s="79"/>
      <c r="T260" s="91"/>
      <c r="U260" s="114"/>
      <c r="V260" s="146"/>
      <c r="W260" s="95"/>
      <c r="X260" s="95"/>
      <c r="Y260" s="94"/>
      <c r="Z260" s="112"/>
      <c r="AA260" s="19"/>
    </row>
    <row r="261" spans="1:27" ht="14.4" x14ac:dyDescent="0.3">
      <c r="A261" s="299">
        <v>16</v>
      </c>
      <c r="B261" s="110" t="s">
        <v>40</v>
      </c>
      <c r="C261" s="92"/>
      <c r="D261" s="96"/>
      <c r="E261" s="96"/>
      <c r="F261" s="96"/>
      <c r="G261" s="96"/>
      <c r="H261" s="92"/>
      <c r="I261" s="96"/>
      <c r="J261" s="96"/>
      <c r="K261" s="96"/>
      <c r="L261" s="96"/>
      <c r="M261" s="92"/>
      <c r="N261" s="96"/>
      <c r="O261" s="96"/>
      <c r="P261" s="96"/>
      <c r="Q261" s="96"/>
      <c r="R261" s="92"/>
      <c r="S261" s="92"/>
      <c r="T261" s="92"/>
      <c r="U261" s="96"/>
      <c r="V261" s="92"/>
      <c r="W261" s="96"/>
      <c r="X261" s="95"/>
      <c r="Y261" s="96"/>
      <c r="Z261" s="112"/>
      <c r="AA261" s="19"/>
    </row>
    <row r="262" spans="1:27" ht="14.4" x14ac:dyDescent="0.3">
      <c r="A262" s="299">
        <f>+A261+1</f>
        <v>17</v>
      </c>
      <c r="B262" s="79" t="s">
        <v>41</v>
      </c>
      <c r="C262" s="97"/>
      <c r="D262" s="96"/>
      <c r="E262" s="95">
        <f>+'Link in'!I23</f>
        <v>3137.8147203140338</v>
      </c>
      <c r="F262" s="144">
        <f>+'[2]Link Out'!E217</f>
        <v>5.0952000000000002</v>
      </c>
      <c r="G262" s="111">
        <f>ROUND((E262*F262),0)</f>
        <v>15988</v>
      </c>
      <c r="H262" s="97"/>
      <c r="I262" s="96"/>
      <c r="J262" s="95">
        <f>E262</f>
        <v>3137.8147203140338</v>
      </c>
      <c r="K262" s="144">
        <f>U262</f>
        <v>0</v>
      </c>
      <c r="L262" s="111">
        <f>ROUND((J262*K262),0)</f>
        <v>0</v>
      </c>
      <c r="M262" s="97"/>
      <c r="N262" s="96"/>
      <c r="O262" s="95">
        <f>+'Link in'!S23</f>
        <v>0</v>
      </c>
      <c r="P262" s="144">
        <f>F262</f>
        <v>5.0952000000000002</v>
      </c>
      <c r="Q262" s="111">
        <f>ROUND((O262*P262),0)</f>
        <v>0</v>
      </c>
      <c r="R262" s="97"/>
      <c r="S262" s="92"/>
      <c r="T262" s="91">
        <f>O262</f>
        <v>0</v>
      </c>
      <c r="U262" s="144">
        <f>+'Link in'!$N98</f>
        <v>0</v>
      </c>
      <c r="V262" s="97">
        <f>ROUND((T262*U262),0)</f>
        <v>0</v>
      </c>
      <c r="W262" s="95"/>
      <c r="X262" s="97">
        <f t="shared" ref="X262" si="107">+V262-Q262</f>
        <v>0</v>
      </c>
      <c r="Y262" s="96"/>
      <c r="Z262" s="112">
        <f t="shared" ref="Z262" si="108">IF(Q262=0,0,ROUND((X262/Q262),4))</f>
        <v>0</v>
      </c>
      <c r="AA262" s="19"/>
    </row>
    <row r="263" spans="1:27" ht="14.4" x14ac:dyDescent="0.3">
      <c r="A263" s="299">
        <f t="shared" ref="A263:A272" si="109">+A262+1</f>
        <v>18</v>
      </c>
      <c r="B263" s="79"/>
      <c r="C263" s="91"/>
      <c r="D263" s="79"/>
      <c r="E263" s="95"/>
      <c r="F263" s="122"/>
      <c r="G263" s="95"/>
      <c r="H263" s="91"/>
      <c r="I263" s="95"/>
      <c r="J263" s="95"/>
      <c r="K263" s="122"/>
      <c r="L263" s="95"/>
      <c r="M263" s="91"/>
      <c r="N263" s="91"/>
      <c r="O263" s="95"/>
      <c r="P263" s="122"/>
      <c r="Q263" s="95"/>
      <c r="R263" s="91"/>
      <c r="S263" s="79"/>
      <c r="T263" s="91"/>
      <c r="U263" s="114"/>
      <c r="V263" s="146"/>
      <c r="W263" s="95"/>
      <c r="X263" s="95"/>
      <c r="Y263" s="94"/>
      <c r="Z263" s="112"/>
      <c r="AA263" s="19"/>
    </row>
    <row r="264" spans="1:27" ht="14.4" x14ac:dyDescent="0.3">
      <c r="A264" s="299">
        <f t="shared" si="109"/>
        <v>19</v>
      </c>
      <c r="B264" s="79"/>
      <c r="C264" s="79"/>
      <c r="D264" s="79"/>
      <c r="E264" s="94"/>
      <c r="F264" s="94"/>
      <c r="G264" s="94"/>
      <c r="H264" s="79"/>
      <c r="I264" s="94"/>
      <c r="J264" s="94"/>
      <c r="K264" s="94"/>
      <c r="L264" s="94"/>
      <c r="M264" s="79"/>
      <c r="N264" s="79"/>
      <c r="O264" s="94"/>
      <c r="P264" s="94"/>
      <c r="Q264" s="94"/>
      <c r="R264" s="79"/>
      <c r="S264" s="79"/>
      <c r="T264" s="79"/>
      <c r="U264" s="94"/>
      <c r="V264" s="79"/>
      <c r="W264" s="94"/>
      <c r="X264" s="94"/>
      <c r="Y264" s="94"/>
      <c r="Z264" s="94"/>
      <c r="AA264" s="19"/>
    </row>
    <row r="265" spans="1:27" ht="14.4" x14ac:dyDescent="0.3">
      <c r="A265" s="299">
        <f t="shared" si="109"/>
        <v>20</v>
      </c>
      <c r="B265" s="109" t="s">
        <v>86</v>
      </c>
      <c r="C265" s="91"/>
      <c r="D265" s="132"/>
      <c r="E265" s="94"/>
      <c r="F265" s="128"/>
      <c r="G265" s="95"/>
      <c r="H265" s="91"/>
      <c r="I265" s="95"/>
      <c r="J265" s="94"/>
      <c r="K265" s="128"/>
      <c r="L265" s="95"/>
      <c r="M265" s="91"/>
      <c r="N265" s="91"/>
      <c r="O265" s="94"/>
      <c r="P265" s="128"/>
      <c r="Q265" s="95"/>
      <c r="R265" s="91"/>
      <c r="S265" s="79"/>
      <c r="T265" s="132"/>
      <c r="U265" s="94"/>
      <c r="V265" s="131"/>
      <c r="W265" s="127"/>
      <c r="X265" s="95"/>
      <c r="Y265" s="94"/>
      <c r="Z265" s="112"/>
      <c r="AA265" s="19"/>
    </row>
    <row r="266" spans="1:27" ht="14.4" x14ac:dyDescent="0.3">
      <c r="A266" s="299">
        <f t="shared" si="109"/>
        <v>21</v>
      </c>
      <c r="B266" s="94" t="s">
        <v>87</v>
      </c>
      <c r="C266" s="91"/>
      <c r="D266" s="79"/>
      <c r="E266" s="94">
        <f>'Link in'!I19</f>
        <v>90026</v>
      </c>
      <c r="F266" s="142">
        <f>+'[2]Link Out'!$E$233</f>
        <v>42.290053095772315</v>
      </c>
      <c r="G266" s="111">
        <f>ROUND((E266*F266),0)</f>
        <v>3807204</v>
      </c>
      <c r="H266" s="97"/>
      <c r="I266" s="95"/>
      <c r="J266" s="94">
        <f>E266</f>
        <v>90026</v>
      </c>
      <c r="K266" s="142">
        <f>U266</f>
        <v>49.16</v>
      </c>
      <c r="L266" s="111">
        <f>ROUND((J266*K266),0)</f>
        <v>4425678</v>
      </c>
      <c r="M266" s="91"/>
      <c r="N266" s="91"/>
      <c r="O266" s="94">
        <f>'Link in'!S19</f>
        <v>90504</v>
      </c>
      <c r="P266" s="142">
        <f>+Q266/O266</f>
        <v>39.9</v>
      </c>
      <c r="Q266" s="111">
        <f>+'[2]Link Out'!$M$233+'[2]Link Out'!$M$550</f>
        <v>3611109.6</v>
      </c>
      <c r="R266" s="91"/>
      <c r="S266" s="79"/>
      <c r="T266" s="94">
        <f>'Link in'!S19</f>
        <v>90504</v>
      </c>
      <c r="U266" s="142">
        <f>'Link in'!L86</f>
        <v>49.16</v>
      </c>
      <c r="V266" s="97">
        <f>ROUND((T266*U266),0)</f>
        <v>4449177</v>
      </c>
      <c r="W266" s="94"/>
      <c r="X266" s="97">
        <f>+V266-Q266</f>
        <v>838067.39999999991</v>
      </c>
      <c r="Y266" s="94"/>
      <c r="Z266" s="112">
        <f>IF(Q266=0,0,ROUND((X266/Q266),4))</f>
        <v>0.2321</v>
      </c>
      <c r="AA266" s="19"/>
    </row>
    <row r="267" spans="1:27" ht="14.4" x14ac:dyDescent="0.3">
      <c r="A267" s="299">
        <f t="shared" si="109"/>
        <v>22</v>
      </c>
      <c r="B267" s="158"/>
      <c r="C267" s="156"/>
      <c r="D267" s="106"/>
      <c r="E267" s="94"/>
      <c r="F267" s="114"/>
      <c r="G267" s="95"/>
      <c r="H267" s="91"/>
      <c r="I267" s="115"/>
      <c r="J267" s="94"/>
      <c r="K267" s="114"/>
      <c r="L267" s="95"/>
      <c r="M267" s="93"/>
      <c r="N267" s="93"/>
      <c r="O267" s="94"/>
      <c r="P267" s="114"/>
      <c r="Q267" s="95"/>
      <c r="R267" s="93"/>
      <c r="S267" s="93"/>
      <c r="T267" s="79"/>
      <c r="U267" s="114"/>
      <c r="V267" s="91"/>
      <c r="W267" s="94"/>
      <c r="X267" s="91"/>
      <c r="Y267" s="94"/>
      <c r="Z267" s="112"/>
      <c r="AA267" s="19"/>
    </row>
    <row r="268" spans="1:27" ht="15" thickBot="1" x14ac:dyDescent="0.35">
      <c r="A268" s="299">
        <f t="shared" si="109"/>
        <v>23</v>
      </c>
      <c r="B268" s="79"/>
      <c r="C268" s="79"/>
      <c r="D268" s="79"/>
      <c r="E268" s="151">
        <f>SUM(E266:E267)</f>
        <v>90026</v>
      </c>
      <c r="F268" s="142"/>
      <c r="G268" s="157">
        <f>SUM(G266:G267)</f>
        <v>3807204</v>
      </c>
      <c r="H268" s="154"/>
      <c r="I268" s="156"/>
      <c r="J268" s="151">
        <f>SUM(J266:J267)</f>
        <v>90026</v>
      </c>
      <c r="K268" s="142"/>
      <c r="L268" s="155">
        <f>SUM(L266:L267)</f>
        <v>4425678</v>
      </c>
      <c r="M268" s="156"/>
      <c r="N268" s="156"/>
      <c r="O268" s="151">
        <f>SUM(O266:O267)</f>
        <v>90504</v>
      </c>
      <c r="P268" s="142"/>
      <c r="Q268" s="155">
        <f>SUM(Q266:Q267)</f>
        <v>3611109.6</v>
      </c>
      <c r="R268" s="156"/>
      <c r="S268" s="94"/>
      <c r="T268" s="151">
        <f>SUM(T266:T267)</f>
        <v>90504</v>
      </c>
      <c r="U268" s="142"/>
      <c r="V268" s="157">
        <f>SUM(V266:V267)</f>
        <v>4449177</v>
      </c>
      <c r="W268" s="111"/>
      <c r="X268" s="157">
        <f>+V268-Q268</f>
        <v>838067.39999999991</v>
      </c>
      <c r="Y268" s="96"/>
      <c r="Z268" s="136">
        <f>IF(Q268=0,0,ROUND((X268/Q268),4))</f>
        <v>0.2321</v>
      </c>
      <c r="AA268" s="19"/>
    </row>
    <row r="269" spans="1:27" ht="15" thickTop="1" x14ac:dyDescent="0.3">
      <c r="A269" s="299">
        <f t="shared" si="109"/>
        <v>24</v>
      </c>
      <c r="B269" s="79"/>
      <c r="C269" s="79"/>
      <c r="D269" s="79"/>
      <c r="E269" s="79"/>
      <c r="F269" s="79"/>
      <c r="G269" s="79"/>
      <c r="H269" s="79"/>
      <c r="I269" s="94"/>
      <c r="J269" s="94"/>
      <c r="K269" s="94"/>
      <c r="L269" s="94"/>
      <c r="M269" s="79"/>
      <c r="N269" s="79"/>
      <c r="O269" s="94"/>
      <c r="P269" s="94"/>
      <c r="Q269" s="94"/>
      <c r="R269" s="79"/>
      <c r="S269" s="79"/>
      <c r="T269" s="79"/>
      <c r="U269" s="79"/>
      <c r="V269" s="79"/>
      <c r="W269" s="94"/>
      <c r="X269" s="94"/>
      <c r="Y269" s="94"/>
      <c r="Z269" s="94"/>
      <c r="AA269" s="19"/>
    </row>
    <row r="270" spans="1:27" ht="14.4" x14ac:dyDescent="0.3">
      <c r="A270" s="299">
        <f t="shared" si="109"/>
        <v>25</v>
      </c>
      <c r="B270" s="79" t="s">
        <v>108</v>
      </c>
      <c r="C270" s="79"/>
      <c r="D270" s="79"/>
      <c r="E270" s="79">
        <f>+'Link in'!I23+'Link in'!I32</f>
        <v>3097.8330000000001</v>
      </c>
      <c r="F270" s="79"/>
      <c r="G270" s="79">
        <f>'Link in'!I34</f>
        <v>-16491.003562943923</v>
      </c>
      <c r="H270" s="79"/>
      <c r="I270" s="94"/>
      <c r="J270" s="94"/>
      <c r="K270" s="94"/>
      <c r="L270" s="94">
        <f>+G270</f>
        <v>-16491.003562943923</v>
      </c>
      <c r="M270" s="79"/>
      <c r="N270" s="79"/>
      <c r="O270" s="94"/>
      <c r="P270" s="94"/>
      <c r="Q270" s="94">
        <f>+'Link in'!S34</f>
        <v>0</v>
      </c>
      <c r="R270" s="79"/>
      <c r="S270" s="79"/>
      <c r="T270" s="79"/>
      <c r="U270" s="79"/>
      <c r="V270" s="79">
        <f>+Q270</f>
        <v>0</v>
      </c>
      <c r="W270" s="94"/>
      <c r="X270" s="94"/>
      <c r="Y270" s="94"/>
      <c r="Z270" s="94"/>
      <c r="AA270" s="19"/>
    </row>
    <row r="271" spans="1:27" ht="14.4" x14ac:dyDescent="0.3">
      <c r="A271" s="299">
        <f t="shared" si="109"/>
        <v>26</v>
      </c>
      <c r="B271" s="79"/>
      <c r="C271" s="79"/>
      <c r="D271" s="79"/>
      <c r="E271" s="79"/>
      <c r="F271" s="79"/>
      <c r="G271" s="79"/>
      <c r="H271" s="79"/>
      <c r="I271" s="94"/>
      <c r="J271" s="94"/>
      <c r="K271" s="94"/>
      <c r="L271" s="94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94"/>
      <c r="X271" s="94"/>
      <c r="Y271" s="94"/>
      <c r="Z271" s="94"/>
      <c r="AA271" s="19"/>
    </row>
    <row r="272" spans="1:27" ht="15" thickBot="1" x14ac:dyDescent="0.35">
      <c r="A272" s="299">
        <f t="shared" si="109"/>
        <v>27</v>
      </c>
      <c r="B272" s="79" t="s">
        <v>168</v>
      </c>
      <c r="C272" s="79"/>
      <c r="D272" s="79"/>
      <c r="E272" s="79"/>
      <c r="F272" s="79"/>
      <c r="G272" s="149">
        <f>G268+G259+G270+G262</f>
        <v>6608656.996437056</v>
      </c>
      <c r="H272" s="137"/>
      <c r="I272" s="94"/>
      <c r="J272" s="94"/>
      <c r="K272" s="94"/>
      <c r="L272" s="149">
        <f>L268+L259+L270+L262</f>
        <v>7390764.996437056</v>
      </c>
      <c r="M272" s="79"/>
      <c r="N272" s="79"/>
      <c r="O272" s="79"/>
      <c r="P272" s="79"/>
      <c r="Q272" s="149">
        <f>Q268+Q259+Q270+Q262</f>
        <v>6275830.5999999996</v>
      </c>
      <c r="R272" s="79"/>
      <c r="S272" s="79"/>
      <c r="T272" s="79"/>
      <c r="U272" s="79"/>
      <c r="V272" s="149">
        <f>V268+V259+V270+V262</f>
        <v>7460313</v>
      </c>
      <c r="W272" s="94"/>
      <c r="X272" s="149">
        <f>X268+X259+X270+X262</f>
        <v>1184482.3999999999</v>
      </c>
      <c r="Y272" s="94"/>
      <c r="Z272" s="136">
        <f>IF(Q272=0,0,ROUND((X272/Q272),4))</f>
        <v>0.18870000000000001</v>
      </c>
      <c r="AA272" s="19"/>
    </row>
    <row r="273" spans="1:27" ht="15" thickTop="1" x14ac:dyDescent="0.3">
      <c r="A273" s="104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94"/>
      <c r="X273" s="94"/>
      <c r="Y273" s="94"/>
      <c r="Z273" s="94"/>
      <c r="AA273" s="19"/>
    </row>
    <row r="274" spans="1:27" ht="14.4" x14ac:dyDescent="0.3">
      <c r="A274" s="104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94"/>
      <c r="X274" s="94"/>
      <c r="Y274" s="94"/>
      <c r="Z274" s="94"/>
      <c r="AA274" s="19"/>
    </row>
    <row r="275" spans="1:27" ht="14.4" x14ac:dyDescent="0.3">
      <c r="A275" s="104"/>
      <c r="B275" s="79"/>
      <c r="C275" s="79"/>
      <c r="D275" s="79"/>
      <c r="E275" s="79"/>
      <c r="F275" s="79"/>
      <c r="G275" s="15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94"/>
      <c r="X275" s="94"/>
      <c r="Y275" s="94"/>
      <c r="Z275" s="94"/>
      <c r="AA275" s="19"/>
    </row>
    <row r="276" spans="1:27" ht="14.4" x14ac:dyDescent="0.3">
      <c r="A276" s="104"/>
      <c r="B276" s="79"/>
      <c r="C276" s="133"/>
      <c r="D276" s="133"/>
      <c r="E276" s="79"/>
      <c r="F276" s="133"/>
      <c r="G276" s="133"/>
      <c r="H276" s="133"/>
      <c r="I276" s="133"/>
      <c r="J276" s="133"/>
      <c r="K276" s="133"/>
      <c r="L276" s="133"/>
      <c r="M276" s="133"/>
      <c r="N276" s="133"/>
      <c r="O276" s="79"/>
      <c r="P276" s="133"/>
      <c r="Q276" s="133"/>
      <c r="R276" s="133"/>
      <c r="S276" s="133"/>
      <c r="T276" s="110"/>
      <c r="U276" s="110"/>
      <c r="V276" s="110"/>
      <c r="W276" s="135"/>
      <c r="X276" s="135"/>
      <c r="Y276" s="106"/>
      <c r="Z276" s="94"/>
      <c r="AA276" s="19"/>
    </row>
    <row r="277" spans="1:27" ht="14.4" x14ac:dyDescent="0.3">
      <c r="A277" s="104"/>
      <c r="B277" s="79"/>
      <c r="C277" s="137"/>
      <c r="D277" s="132"/>
      <c r="E277" s="79"/>
      <c r="F277" s="138"/>
      <c r="G277" s="137"/>
      <c r="H277" s="137"/>
      <c r="I277" s="137"/>
      <c r="J277" s="137"/>
      <c r="K277" s="137"/>
      <c r="L277" s="137"/>
      <c r="M277" s="137"/>
      <c r="N277" s="137"/>
      <c r="O277" s="79"/>
      <c r="P277" s="138"/>
      <c r="Q277" s="137"/>
      <c r="R277" s="137"/>
      <c r="S277" s="137"/>
      <c r="T277" s="132"/>
      <c r="U277" s="138"/>
      <c r="V277" s="132"/>
      <c r="W277" s="127"/>
      <c r="X277" s="95"/>
      <c r="Y277" s="127"/>
      <c r="Z277" s="112"/>
      <c r="AA277" s="19"/>
    </row>
    <row r="278" spans="1:27" ht="14.4" x14ac:dyDescent="0.3">
      <c r="A278" s="104"/>
      <c r="B278" s="79"/>
      <c r="C278" s="137"/>
      <c r="D278" s="132"/>
      <c r="E278" s="79"/>
      <c r="F278" s="138"/>
      <c r="G278" s="137"/>
      <c r="H278" s="137"/>
      <c r="I278" s="137"/>
      <c r="J278" s="137"/>
      <c r="K278" s="137"/>
      <c r="L278" s="137"/>
      <c r="M278" s="137"/>
      <c r="N278" s="137"/>
      <c r="O278" s="79"/>
      <c r="P278" s="138"/>
      <c r="Q278" s="137"/>
      <c r="R278" s="137"/>
      <c r="S278" s="137"/>
      <c r="T278" s="132"/>
      <c r="U278" s="138"/>
      <c r="V278" s="132"/>
      <c r="W278" s="94"/>
      <c r="X278" s="94"/>
      <c r="Y278" s="94"/>
      <c r="Z278" s="94"/>
      <c r="AA278" s="19"/>
    </row>
    <row r="279" spans="1:27" ht="14.4" x14ac:dyDescent="0.3">
      <c r="A279" s="337" t="str">
        <f>A236</f>
        <v>Kentucky American Water Company</v>
      </c>
      <c r="B279" s="337"/>
      <c r="C279" s="337"/>
      <c r="D279" s="337"/>
      <c r="E279" s="337"/>
      <c r="F279" s="337"/>
      <c r="G279" s="337"/>
      <c r="H279" s="337"/>
      <c r="I279" s="337"/>
      <c r="J279" s="337"/>
      <c r="K279" s="337"/>
      <c r="L279" s="337"/>
      <c r="M279" s="337"/>
      <c r="N279" s="337"/>
      <c r="O279" s="337"/>
      <c r="P279" s="337"/>
      <c r="Q279" s="337"/>
      <c r="R279" s="337"/>
      <c r="S279" s="337"/>
      <c r="T279" s="337"/>
      <c r="U279" s="337"/>
      <c r="V279" s="337"/>
      <c r="W279" s="337"/>
      <c r="X279" s="337"/>
      <c r="Y279" s="337"/>
      <c r="Z279" s="337"/>
      <c r="AA279" s="25"/>
    </row>
    <row r="280" spans="1:27" ht="14.4" x14ac:dyDescent="0.3">
      <c r="A280" s="337" t="s">
        <v>77</v>
      </c>
      <c r="B280" s="337"/>
      <c r="C280" s="337"/>
      <c r="D280" s="337"/>
      <c r="E280" s="337"/>
      <c r="F280" s="337"/>
      <c r="G280" s="337"/>
      <c r="H280" s="337"/>
      <c r="I280" s="337"/>
      <c r="J280" s="337"/>
      <c r="K280" s="337"/>
      <c r="L280" s="337"/>
      <c r="M280" s="337"/>
      <c r="N280" s="337"/>
      <c r="O280" s="337"/>
      <c r="P280" s="337"/>
      <c r="Q280" s="337"/>
      <c r="R280" s="337"/>
      <c r="S280" s="337"/>
      <c r="T280" s="337"/>
      <c r="U280" s="337"/>
      <c r="V280" s="337"/>
      <c r="W280" s="337"/>
      <c r="X280" s="337"/>
      <c r="Y280" s="337"/>
      <c r="Z280" s="337"/>
      <c r="AA280" s="81"/>
    </row>
    <row r="281" spans="1:27" ht="14.4" x14ac:dyDescent="0.3">
      <c r="A281" s="337" t="str">
        <f>A238</f>
        <v>Case No. 2018-00358</v>
      </c>
      <c r="B281" s="337"/>
      <c r="C281" s="337"/>
      <c r="D281" s="337"/>
      <c r="E281" s="337"/>
      <c r="F281" s="337"/>
      <c r="G281" s="337"/>
      <c r="H281" s="337"/>
      <c r="I281" s="337"/>
      <c r="J281" s="337"/>
      <c r="K281" s="337"/>
      <c r="L281" s="337"/>
      <c r="M281" s="337"/>
      <c r="N281" s="337"/>
      <c r="O281" s="337"/>
      <c r="P281" s="337"/>
      <c r="Q281" s="337"/>
      <c r="R281" s="337"/>
      <c r="S281" s="337"/>
      <c r="T281" s="337"/>
      <c r="U281" s="337"/>
      <c r="V281" s="337"/>
      <c r="W281" s="337"/>
      <c r="X281" s="337"/>
      <c r="Y281" s="337"/>
      <c r="Z281" s="337"/>
      <c r="AA281" s="81"/>
    </row>
    <row r="282" spans="1:27" ht="14.4" x14ac:dyDescent="0.3">
      <c r="A282" s="337" t="str">
        <f>A239</f>
        <v>Base Year for the 12 Months Ended February 28, 2019 and Forecast Year for the 12 Months Ended June 30, 2020</v>
      </c>
      <c r="B282" s="337"/>
      <c r="C282" s="337"/>
      <c r="D282" s="337"/>
      <c r="E282" s="337"/>
      <c r="F282" s="337"/>
      <c r="G282" s="337"/>
      <c r="H282" s="337"/>
      <c r="I282" s="337"/>
      <c r="J282" s="337"/>
      <c r="K282" s="337"/>
      <c r="L282" s="337"/>
      <c r="M282" s="337"/>
      <c r="N282" s="337"/>
      <c r="O282" s="337"/>
      <c r="P282" s="337"/>
      <c r="Q282" s="337"/>
      <c r="R282" s="337"/>
      <c r="S282" s="337"/>
      <c r="T282" s="337"/>
      <c r="U282" s="337"/>
      <c r="V282" s="337"/>
      <c r="W282" s="337"/>
      <c r="X282" s="337"/>
      <c r="Y282" s="337"/>
      <c r="Z282" s="337"/>
      <c r="AA282" s="81"/>
    </row>
    <row r="283" spans="1:27" ht="14.4" x14ac:dyDescent="0.3">
      <c r="A283" s="109" t="str">
        <f>A240</f>
        <v>Witness Responsible:   Melissa Schwarzell</v>
      </c>
      <c r="B283" s="79"/>
      <c r="C283" s="79"/>
      <c r="D283" s="79"/>
      <c r="E283" s="79"/>
      <c r="F283" s="79"/>
      <c r="G283" s="79"/>
      <c r="H283" s="79"/>
      <c r="I283" s="335" t="str">
        <f>"ALL CUSTOMERS ("&amp;LEFT(B289,SEARCH(":",B289,1)-1)&amp;")"</f>
        <v>ALL CUSTOMERS (Miscellaneous)</v>
      </c>
      <c r="J283" s="335"/>
      <c r="K283" s="335"/>
      <c r="L283" s="335"/>
      <c r="M283" s="335"/>
      <c r="N283" s="335"/>
      <c r="O283" s="335"/>
      <c r="P283" s="335"/>
      <c r="Q283" s="335"/>
      <c r="R283" s="79"/>
      <c r="S283" s="79"/>
      <c r="T283" s="79"/>
      <c r="U283" s="79"/>
      <c r="V283" s="79"/>
      <c r="W283" s="94"/>
      <c r="X283" s="94"/>
      <c r="Y283" s="94"/>
      <c r="Z283" s="99" t="str">
        <f>Z240</f>
        <v>Exhibit 37, Schedule M-3</v>
      </c>
      <c r="AA283" s="81"/>
    </row>
    <row r="284" spans="1:27" ht="14.4" x14ac:dyDescent="0.3">
      <c r="A284" s="139" t="str">
        <f>A241</f>
        <v/>
      </c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01"/>
      <c r="X284" s="101"/>
      <c r="Y284" s="101"/>
      <c r="Z284" s="141" t="str">
        <f ca="1">Z241</f>
        <v>Revenues\[KAWC 2018 Rate Case - Revenue.xlsx]Sch M</v>
      </c>
      <c r="AA284" s="81"/>
    </row>
    <row r="285" spans="1:27" ht="14.4" x14ac:dyDescent="0.3">
      <c r="A285" s="79"/>
      <c r="B285" s="79"/>
      <c r="C285" s="104"/>
      <c r="D285" s="328" t="s">
        <v>119</v>
      </c>
      <c r="E285" s="328" t="s">
        <v>97</v>
      </c>
      <c r="F285" s="328"/>
      <c r="G285" s="328"/>
      <c r="H285" s="104"/>
      <c r="I285" s="336" t="s">
        <v>119</v>
      </c>
      <c r="J285" s="336" t="s">
        <v>97</v>
      </c>
      <c r="K285" s="336"/>
      <c r="L285" s="336"/>
      <c r="M285" s="104"/>
      <c r="N285" s="328" t="s">
        <v>120</v>
      </c>
      <c r="O285" s="328" t="s">
        <v>98</v>
      </c>
      <c r="P285" s="328"/>
      <c r="Q285" s="328"/>
      <c r="R285" s="104"/>
      <c r="S285" s="328" t="s">
        <v>121</v>
      </c>
      <c r="T285" s="328" t="s">
        <v>99</v>
      </c>
      <c r="U285" s="328"/>
      <c r="V285" s="328"/>
      <c r="W285" s="105"/>
      <c r="X285" s="105"/>
      <c r="Y285" s="94"/>
      <c r="Z285" s="94"/>
      <c r="AA285" s="81"/>
    </row>
    <row r="286" spans="1:27" ht="14.4" x14ac:dyDescent="0.3">
      <c r="A286" s="79"/>
      <c r="B286" s="79"/>
      <c r="C286" s="104"/>
      <c r="D286" s="104" t="s">
        <v>27</v>
      </c>
      <c r="E286" s="104"/>
      <c r="F286" s="104"/>
      <c r="G286" s="104"/>
      <c r="H286" s="104"/>
      <c r="I286" s="106" t="s">
        <v>27</v>
      </c>
      <c r="J286" s="106"/>
      <c r="K286" s="106"/>
      <c r="L286" s="106"/>
      <c r="M286" s="104"/>
      <c r="N286" s="104" t="s">
        <v>27</v>
      </c>
      <c r="O286" s="104"/>
      <c r="P286" s="104"/>
      <c r="Q286" s="104"/>
      <c r="R286" s="104"/>
      <c r="S286" s="104" t="s">
        <v>27</v>
      </c>
      <c r="T286" s="104"/>
      <c r="U286" s="104"/>
      <c r="V286" s="104"/>
      <c r="W286" s="106"/>
      <c r="X286" s="106"/>
      <c r="Y286" s="94"/>
      <c r="Z286" s="94"/>
      <c r="AA286" s="81"/>
    </row>
    <row r="287" spans="1:27" ht="14.4" x14ac:dyDescent="0.3">
      <c r="A287" s="79"/>
      <c r="B287" s="104" t="s">
        <v>24</v>
      </c>
      <c r="C287" s="104"/>
      <c r="D287" s="104" t="s">
        <v>28</v>
      </c>
      <c r="E287" s="104" t="s">
        <v>39</v>
      </c>
      <c r="F287" s="104" t="s">
        <v>45</v>
      </c>
      <c r="G287" s="104" t="s">
        <v>1</v>
      </c>
      <c r="H287" s="104"/>
      <c r="I287" s="106" t="s">
        <v>28</v>
      </c>
      <c r="J287" s="106" t="s">
        <v>39</v>
      </c>
      <c r="K287" s="106" t="s">
        <v>45</v>
      </c>
      <c r="L287" s="106" t="s">
        <v>1</v>
      </c>
      <c r="M287" s="104"/>
      <c r="N287" s="104" t="s">
        <v>28</v>
      </c>
      <c r="O287" s="104" t="s">
        <v>39</v>
      </c>
      <c r="P287" s="104" t="s">
        <v>45</v>
      </c>
      <c r="Q287" s="104" t="s">
        <v>1</v>
      </c>
      <c r="R287" s="104"/>
      <c r="S287" s="104" t="s">
        <v>28</v>
      </c>
      <c r="T287" s="104" t="s">
        <v>39</v>
      </c>
      <c r="U287" s="104" t="s">
        <v>73</v>
      </c>
      <c r="V287" s="104" t="s">
        <v>1</v>
      </c>
      <c r="W287" s="106"/>
      <c r="X287" s="106" t="s">
        <v>51</v>
      </c>
      <c r="Y287" s="94"/>
      <c r="Z287" s="106" t="s">
        <v>53</v>
      </c>
      <c r="AA287" s="81"/>
    </row>
    <row r="288" spans="1:27" ht="14.4" x14ac:dyDescent="0.3">
      <c r="A288" s="107" t="s">
        <v>0</v>
      </c>
      <c r="B288" s="107" t="s">
        <v>2</v>
      </c>
      <c r="C288" s="104"/>
      <c r="D288" s="107" t="s">
        <v>29</v>
      </c>
      <c r="E288" s="107">
        <f>E246</f>
        <v>0</v>
      </c>
      <c r="F288" s="107" t="s">
        <v>46</v>
      </c>
      <c r="G288" s="107" t="s">
        <v>47</v>
      </c>
      <c r="H288" s="104"/>
      <c r="I288" s="108" t="s">
        <v>29</v>
      </c>
      <c r="J288" s="108">
        <f>J246</f>
        <v>0</v>
      </c>
      <c r="K288" s="108" t="s">
        <v>46</v>
      </c>
      <c r="L288" s="108" t="s">
        <v>47</v>
      </c>
      <c r="M288" s="104"/>
      <c r="N288" s="107" t="s">
        <v>29</v>
      </c>
      <c r="O288" s="107">
        <f>E288</f>
        <v>0</v>
      </c>
      <c r="P288" s="107" t="s">
        <v>46</v>
      </c>
      <c r="Q288" s="107" t="s">
        <v>47</v>
      </c>
      <c r="R288" s="104"/>
      <c r="S288" s="107" t="s">
        <v>29</v>
      </c>
      <c r="T288" s="107">
        <f>O288</f>
        <v>0</v>
      </c>
      <c r="U288" s="107" t="s">
        <v>46</v>
      </c>
      <c r="V288" s="107" t="s">
        <v>47</v>
      </c>
      <c r="W288" s="106"/>
      <c r="X288" s="108" t="s">
        <v>52</v>
      </c>
      <c r="Y288" s="94"/>
      <c r="Z288" s="108" t="s">
        <v>52</v>
      </c>
      <c r="AA288" s="81"/>
    </row>
    <row r="289" spans="1:27" ht="14.4" x14ac:dyDescent="0.3">
      <c r="A289" s="104">
        <v>1</v>
      </c>
      <c r="B289" s="109" t="s">
        <v>154</v>
      </c>
      <c r="C289" s="104"/>
      <c r="D289" s="79"/>
      <c r="E289" s="104"/>
      <c r="F289" s="104"/>
      <c r="G289" s="104"/>
      <c r="H289" s="104"/>
      <c r="I289" s="106"/>
      <c r="J289" s="106"/>
      <c r="K289" s="106"/>
      <c r="L289" s="106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6"/>
      <c r="X289" s="106"/>
      <c r="Y289" s="94"/>
      <c r="Z289" s="106"/>
      <c r="AA289" s="81"/>
    </row>
    <row r="290" spans="1:27" ht="14.4" x14ac:dyDescent="0.3">
      <c r="A290" s="104">
        <v>2</v>
      </c>
      <c r="B290" s="110" t="s">
        <v>26</v>
      </c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94"/>
      <c r="V290" s="79"/>
      <c r="W290" s="94"/>
      <c r="X290" s="94"/>
      <c r="Y290" s="94"/>
      <c r="Z290" s="94"/>
      <c r="AA290" s="81"/>
    </row>
    <row r="291" spans="1:27" ht="14.4" x14ac:dyDescent="0.3">
      <c r="A291" s="104">
        <v>3</v>
      </c>
      <c r="B291" s="79" t="s">
        <v>30</v>
      </c>
      <c r="C291" s="97"/>
      <c r="D291" s="95">
        <f>'Link in'!H10</f>
        <v>28.104181951577402</v>
      </c>
      <c r="E291" s="96"/>
      <c r="F291" s="142">
        <f>+'[2]Link Out'!E250</f>
        <v>13.63</v>
      </c>
      <c r="G291" s="97">
        <f>ROUND((D291*F291),0)</f>
        <v>383</v>
      </c>
      <c r="H291" s="97"/>
      <c r="I291" s="95">
        <f>D291</f>
        <v>28.104181951577402</v>
      </c>
      <c r="J291" s="96"/>
      <c r="K291" s="142">
        <f>U291</f>
        <v>13.63</v>
      </c>
      <c r="L291" s="111">
        <f>ROUND((I291*K291),0)</f>
        <v>383</v>
      </c>
      <c r="M291" s="97"/>
      <c r="N291" s="95">
        <f>'Link in'!R10</f>
        <v>48</v>
      </c>
      <c r="O291" s="96"/>
      <c r="P291" s="142">
        <f>F291</f>
        <v>13.63</v>
      </c>
      <c r="Q291" s="111">
        <f>ROUND((N291*P291),0)</f>
        <v>654</v>
      </c>
      <c r="R291" s="97"/>
      <c r="S291" s="91">
        <f>N291</f>
        <v>48</v>
      </c>
      <c r="T291" s="92"/>
      <c r="U291" s="142">
        <f>P291</f>
        <v>13.63</v>
      </c>
      <c r="V291" s="97">
        <f>ROUND((S291*U291),0)</f>
        <v>654</v>
      </c>
      <c r="W291" s="111"/>
      <c r="X291" s="97">
        <f>+V291-Q291</f>
        <v>0</v>
      </c>
      <c r="Y291" s="96"/>
      <c r="Z291" s="112">
        <f t="shared" ref="Z291:Z300" si="110">IF(Q291=0,0,ROUND((X291/Q291),4))</f>
        <v>0</v>
      </c>
      <c r="AA291" s="81"/>
    </row>
    <row r="292" spans="1:27" ht="14.4" x14ac:dyDescent="0.3">
      <c r="A292" s="104">
        <v>4</v>
      </c>
      <c r="B292" s="79" t="s">
        <v>31</v>
      </c>
      <c r="C292" s="91"/>
      <c r="D292" s="95">
        <f>'Link in'!H11</f>
        <v>0</v>
      </c>
      <c r="E292" s="96"/>
      <c r="F292" s="142">
        <f>+'[2]Link Out'!E251</f>
        <v>20.46</v>
      </c>
      <c r="G292" s="91">
        <f t="shared" ref="G292:G299" si="111">ROUND((D292*F292),0)</f>
        <v>0</v>
      </c>
      <c r="H292" s="91"/>
      <c r="I292" s="95">
        <f t="shared" ref="I292:I299" si="112">D292</f>
        <v>0</v>
      </c>
      <c r="J292" s="96"/>
      <c r="K292" s="114">
        <f t="shared" ref="K292:K299" si="113">U292</f>
        <v>20.46</v>
      </c>
      <c r="L292" s="95">
        <f t="shared" ref="L292:L299" si="114">ROUND((I292*K292),0)</f>
        <v>0</v>
      </c>
      <c r="M292" s="91"/>
      <c r="N292" s="95">
        <f>'Link in'!R11</f>
        <v>0</v>
      </c>
      <c r="O292" s="96"/>
      <c r="P292" s="114">
        <f t="shared" ref="P292:P299" si="115">F292</f>
        <v>20.46</v>
      </c>
      <c r="Q292" s="95">
        <f t="shared" ref="Q292:Q299" si="116">ROUND((N292*P292),0)</f>
        <v>0</v>
      </c>
      <c r="R292" s="91"/>
      <c r="S292" s="91">
        <f t="shared" ref="S292:S299" si="117">N292</f>
        <v>0</v>
      </c>
      <c r="T292" s="92"/>
      <c r="U292" s="114">
        <f>P292</f>
        <v>20.46</v>
      </c>
      <c r="V292" s="91">
        <f t="shared" ref="V292:V299" si="118">ROUND((S292*U292),0)</f>
        <v>0</v>
      </c>
      <c r="W292" s="95"/>
      <c r="X292" s="91">
        <f t="shared" ref="X292:X300" si="119">+V292-Q292</f>
        <v>0</v>
      </c>
      <c r="Y292" s="96"/>
      <c r="Z292" s="112">
        <f t="shared" si="110"/>
        <v>0</v>
      </c>
      <c r="AA292" s="81"/>
    </row>
    <row r="293" spans="1:27" ht="14.4" x14ac:dyDescent="0.3">
      <c r="A293" s="104">
        <v>5</v>
      </c>
      <c r="B293" s="79" t="s">
        <v>32</v>
      </c>
      <c r="C293" s="91"/>
      <c r="D293" s="95">
        <f>'Link in'!H12</f>
        <v>262.11535074845904</v>
      </c>
      <c r="E293" s="96"/>
      <c r="F293" s="142">
        <f>+'[2]Link Out'!E252</f>
        <v>34.07</v>
      </c>
      <c r="G293" s="91">
        <f t="shared" si="111"/>
        <v>8930</v>
      </c>
      <c r="H293" s="91"/>
      <c r="I293" s="95">
        <f t="shared" si="112"/>
        <v>262.11535074845904</v>
      </c>
      <c r="J293" s="96"/>
      <c r="K293" s="114">
        <f t="shared" si="113"/>
        <v>34.07</v>
      </c>
      <c r="L293" s="95">
        <f t="shared" si="114"/>
        <v>8930</v>
      </c>
      <c r="M293" s="91"/>
      <c r="N293" s="95">
        <f>'Link in'!R12</f>
        <v>288</v>
      </c>
      <c r="O293" s="96"/>
      <c r="P293" s="114">
        <f t="shared" si="115"/>
        <v>34.07</v>
      </c>
      <c r="Q293" s="95">
        <f t="shared" si="116"/>
        <v>9812</v>
      </c>
      <c r="R293" s="91"/>
      <c r="S293" s="91">
        <f t="shared" si="117"/>
        <v>288</v>
      </c>
      <c r="T293" s="92"/>
      <c r="U293" s="114">
        <f t="shared" ref="U293:U299" si="120">P293</f>
        <v>34.07</v>
      </c>
      <c r="V293" s="91">
        <f t="shared" si="118"/>
        <v>9812</v>
      </c>
      <c r="W293" s="95"/>
      <c r="X293" s="91">
        <f t="shared" si="119"/>
        <v>0</v>
      </c>
      <c r="Y293" s="96"/>
      <c r="Z293" s="112">
        <f t="shared" si="110"/>
        <v>0</v>
      </c>
      <c r="AA293" s="81"/>
    </row>
    <row r="294" spans="1:27" ht="14.4" x14ac:dyDescent="0.3">
      <c r="A294" s="104">
        <v>6</v>
      </c>
      <c r="B294" s="79" t="s">
        <v>33</v>
      </c>
      <c r="C294" s="91"/>
      <c r="D294" s="95">
        <f>'Link in'!H13</f>
        <v>0</v>
      </c>
      <c r="E294" s="96"/>
      <c r="F294" s="142">
        <f>+'[2]Link Out'!E253</f>
        <v>68.17</v>
      </c>
      <c r="G294" s="91">
        <f t="shared" si="111"/>
        <v>0</v>
      </c>
      <c r="H294" s="91"/>
      <c r="I294" s="95">
        <f t="shared" si="112"/>
        <v>0</v>
      </c>
      <c r="J294" s="96"/>
      <c r="K294" s="114">
        <f t="shared" si="113"/>
        <v>68.17</v>
      </c>
      <c r="L294" s="95">
        <f t="shared" si="114"/>
        <v>0</v>
      </c>
      <c r="M294" s="91"/>
      <c r="N294" s="95">
        <f>'Link in'!R13</f>
        <v>0</v>
      </c>
      <c r="O294" s="96"/>
      <c r="P294" s="114">
        <f t="shared" si="115"/>
        <v>68.17</v>
      </c>
      <c r="Q294" s="95">
        <f t="shared" si="116"/>
        <v>0</v>
      </c>
      <c r="R294" s="91"/>
      <c r="S294" s="91">
        <f t="shared" si="117"/>
        <v>0</v>
      </c>
      <c r="T294" s="92"/>
      <c r="U294" s="114">
        <f t="shared" si="120"/>
        <v>68.17</v>
      </c>
      <c r="V294" s="91">
        <f t="shared" si="118"/>
        <v>0</v>
      </c>
      <c r="W294" s="95"/>
      <c r="X294" s="91">
        <f t="shared" si="119"/>
        <v>0</v>
      </c>
      <c r="Y294" s="96"/>
      <c r="Z294" s="112">
        <f t="shared" si="110"/>
        <v>0</v>
      </c>
      <c r="AA294" s="81"/>
    </row>
    <row r="295" spans="1:27" ht="14.4" x14ac:dyDescent="0.3">
      <c r="A295" s="104">
        <v>7</v>
      </c>
      <c r="B295" s="79" t="s">
        <v>34</v>
      </c>
      <c r="C295" s="91"/>
      <c r="D295" s="95">
        <f>'Link in'!H14</f>
        <v>0</v>
      </c>
      <c r="E295" s="96"/>
      <c r="F295" s="142">
        <f>+'[2]Link Out'!E254</f>
        <v>109.04</v>
      </c>
      <c r="G295" s="91">
        <f t="shared" si="111"/>
        <v>0</v>
      </c>
      <c r="H295" s="91"/>
      <c r="I295" s="95">
        <f t="shared" si="112"/>
        <v>0</v>
      </c>
      <c r="J295" s="96"/>
      <c r="K295" s="114">
        <f t="shared" si="113"/>
        <v>109.04</v>
      </c>
      <c r="L295" s="95">
        <f t="shared" si="114"/>
        <v>0</v>
      </c>
      <c r="M295" s="91"/>
      <c r="N295" s="95">
        <f>'Link in'!R14</f>
        <v>0</v>
      </c>
      <c r="O295" s="96"/>
      <c r="P295" s="114">
        <f t="shared" si="115"/>
        <v>109.04</v>
      </c>
      <c r="Q295" s="95">
        <f t="shared" si="116"/>
        <v>0</v>
      </c>
      <c r="R295" s="91"/>
      <c r="S295" s="91">
        <f t="shared" si="117"/>
        <v>0</v>
      </c>
      <c r="T295" s="92"/>
      <c r="U295" s="114">
        <f t="shared" si="120"/>
        <v>109.04</v>
      </c>
      <c r="V295" s="91">
        <f t="shared" si="118"/>
        <v>0</v>
      </c>
      <c r="W295" s="95"/>
      <c r="X295" s="91">
        <f t="shared" si="119"/>
        <v>0</v>
      </c>
      <c r="Y295" s="96"/>
      <c r="Z295" s="112">
        <f t="shared" si="110"/>
        <v>0</v>
      </c>
      <c r="AA295" s="81"/>
    </row>
    <row r="296" spans="1:27" ht="14.4" x14ac:dyDescent="0.3">
      <c r="A296" s="104">
        <v>8</v>
      </c>
      <c r="B296" s="79" t="s">
        <v>35</v>
      </c>
      <c r="C296" s="91"/>
      <c r="D296" s="95">
        <f>'Link in'!H15</f>
        <v>177.32082946153469</v>
      </c>
      <c r="E296" s="96"/>
      <c r="F296" s="142">
        <f>+'[2]Link Out'!E255</f>
        <v>204.47</v>
      </c>
      <c r="G296" s="91">
        <f t="shared" si="111"/>
        <v>36257</v>
      </c>
      <c r="H296" s="91"/>
      <c r="I296" s="95">
        <f t="shared" si="112"/>
        <v>177.32082946153469</v>
      </c>
      <c r="J296" s="96"/>
      <c r="K296" s="114">
        <f t="shared" si="113"/>
        <v>204.47</v>
      </c>
      <c r="L296" s="95">
        <f t="shared" si="114"/>
        <v>36257</v>
      </c>
      <c r="M296" s="91"/>
      <c r="N296" s="95">
        <f>'Link in'!R15</f>
        <v>192</v>
      </c>
      <c r="O296" s="96"/>
      <c r="P296" s="114">
        <f t="shared" si="115"/>
        <v>204.47</v>
      </c>
      <c r="Q296" s="95">
        <f t="shared" si="116"/>
        <v>39258</v>
      </c>
      <c r="R296" s="91"/>
      <c r="S296" s="91">
        <f t="shared" si="117"/>
        <v>192</v>
      </c>
      <c r="T296" s="92"/>
      <c r="U296" s="114">
        <f>P296</f>
        <v>204.47</v>
      </c>
      <c r="V296" s="91">
        <f t="shared" si="118"/>
        <v>39258</v>
      </c>
      <c r="W296" s="95"/>
      <c r="X296" s="91">
        <f t="shared" si="119"/>
        <v>0</v>
      </c>
      <c r="Y296" s="96"/>
      <c r="Z296" s="112">
        <f t="shared" si="110"/>
        <v>0</v>
      </c>
      <c r="AA296" s="81"/>
    </row>
    <row r="297" spans="1:27" ht="14.4" x14ac:dyDescent="0.3">
      <c r="A297" s="104">
        <v>9</v>
      </c>
      <c r="B297" s="79" t="s">
        <v>36</v>
      </c>
      <c r="C297" s="91"/>
      <c r="D297" s="95">
        <f>'Link in'!H16</f>
        <v>0</v>
      </c>
      <c r="E297" s="96"/>
      <c r="F297" s="142">
        <f>+'[2]Link Out'!E256</f>
        <v>340.77</v>
      </c>
      <c r="G297" s="91">
        <f t="shared" si="111"/>
        <v>0</v>
      </c>
      <c r="H297" s="91"/>
      <c r="I297" s="95">
        <f t="shared" si="112"/>
        <v>0</v>
      </c>
      <c r="J297" s="96"/>
      <c r="K297" s="114">
        <f>U297</f>
        <v>340.77</v>
      </c>
      <c r="L297" s="95">
        <f t="shared" si="114"/>
        <v>0</v>
      </c>
      <c r="M297" s="91"/>
      <c r="N297" s="95">
        <f>'Link in'!R16</f>
        <v>0</v>
      </c>
      <c r="O297" s="96"/>
      <c r="P297" s="114">
        <f t="shared" si="115"/>
        <v>340.77</v>
      </c>
      <c r="Q297" s="95">
        <f t="shared" si="116"/>
        <v>0</v>
      </c>
      <c r="R297" s="91"/>
      <c r="S297" s="91">
        <f t="shared" si="117"/>
        <v>0</v>
      </c>
      <c r="T297" s="92"/>
      <c r="U297" s="114">
        <f t="shared" si="120"/>
        <v>340.77</v>
      </c>
      <c r="V297" s="91">
        <f t="shared" si="118"/>
        <v>0</v>
      </c>
      <c r="W297" s="95"/>
      <c r="X297" s="91">
        <f t="shared" si="119"/>
        <v>0</v>
      </c>
      <c r="Y297" s="96"/>
      <c r="Z297" s="112">
        <f t="shared" si="110"/>
        <v>0</v>
      </c>
      <c r="AA297" s="81"/>
    </row>
    <row r="298" spans="1:27" ht="14.4" x14ac:dyDescent="0.3">
      <c r="A298" s="104">
        <v>10</v>
      </c>
      <c r="B298" s="79" t="s">
        <v>37</v>
      </c>
      <c r="C298" s="91"/>
      <c r="D298" s="95">
        <f>'Link in'!H17</f>
        <v>0</v>
      </c>
      <c r="E298" s="96"/>
      <c r="F298" s="142">
        <f>+'[2]Link Out'!E257</f>
        <v>681.5</v>
      </c>
      <c r="G298" s="91">
        <f t="shared" si="111"/>
        <v>0</v>
      </c>
      <c r="H298" s="91"/>
      <c r="I298" s="95">
        <f t="shared" si="112"/>
        <v>0</v>
      </c>
      <c r="J298" s="96"/>
      <c r="K298" s="114">
        <f t="shared" si="113"/>
        <v>681.5</v>
      </c>
      <c r="L298" s="95">
        <f t="shared" si="114"/>
        <v>0</v>
      </c>
      <c r="M298" s="91"/>
      <c r="N298" s="95">
        <f>'Link in'!R17</f>
        <v>0</v>
      </c>
      <c r="O298" s="96"/>
      <c r="P298" s="114">
        <f t="shared" si="115"/>
        <v>681.5</v>
      </c>
      <c r="Q298" s="95">
        <f t="shared" si="116"/>
        <v>0</v>
      </c>
      <c r="R298" s="91"/>
      <c r="S298" s="91">
        <f t="shared" si="117"/>
        <v>0</v>
      </c>
      <c r="T298" s="92"/>
      <c r="U298" s="114">
        <f t="shared" si="120"/>
        <v>681.5</v>
      </c>
      <c r="V298" s="91">
        <f t="shared" si="118"/>
        <v>0</v>
      </c>
      <c r="W298" s="95"/>
      <c r="X298" s="91">
        <f t="shared" si="119"/>
        <v>0</v>
      </c>
      <c r="Y298" s="96"/>
      <c r="Z298" s="112">
        <f t="shared" si="110"/>
        <v>0</v>
      </c>
      <c r="AA298" s="81"/>
    </row>
    <row r="299" spans="1:27" ht="14.4" x14ac:dyDescent="0.3">
      <c r="A299" s="104">
        <v>11</v>
      </c>
      <c r="B299" s="79" t="s">
        <v>38</v>
      </c>
      <c r="C299" s="91"/>
      <c r="D299" s="95">
        <f>'Link in'!H18</f>
        <v>0</v>
      </c>
      <c r="E299" s="96"/>
      <c r="F299" s="142">
        <f>+'[2]Link Out'!E258</f>
        <v>1090.4000000000001</v>
      </c>
      <c r="G299" s="91">
        <f t="shared" si="111"/>
        <v>0</v>
      </c>
      <c r="H299" s="91"/>
      <c r="I299" s="95">
        <f t="shared" si="112"/>
        <v>0</v>
      </c>
      <c r="J299" s="96"/>
      <c r="K299" s="114">
        <f t="shared" si="113"/>
        <v>1090.4000000000001</v>
      </c>
      <c r="L299" s="95">
        <f t="shared" si="114"/>
        <v>0</v>
      </c>
      <c r="M299" s="91"/>
      <c r="N299" s="95">
        <f>'Link in'!R18</f>
        <v>0</v>
      </c>
      <c r="O299" s="96"/>
      <c r="P299" s="114">
        <f t="shared" si="115"/>
        <v>1090.4000000000001</v>
      </c>
      <c r="Q299" s="95">
        <f t="shared" si="116"/>
        <v>0</v>
      </c>
      <c r="R299" s="91"/>
      <c r="S299" s="91">
        <f t="shared" si="117"/>
        <v>0</v>
      </c>
      <c r="T299" s="92"/>
      <c r="U299" s="114">
        <f t="shared" si="120"/>
        <v>1090.4000000000001</v>
      </c>
      <c r="V299" s="91">
        <f t="shared" si="118"/>
        <v>0</v>
      </c>
      <c r="W299" s="95"/>
      <c r="X299" s="91">
        <f t="shared" si="119"/>
        <v>0</v>
      </c>
      <c r="Y299" s="96"/>
      <c r="Z299" s="112">
        <f t="shared" si="110"/>
        <v>0</v>
      </c>
      <c r="AA299" s="81"/>
    </row>
    <row r="300" spans="1:27" ht="14.4" x14ac:dyDescent="0.3">
      <c r="A300" s="104">
        <v>12</v>
      </c>
      <c r="B300" s="79" t="s">
        <v>113</v>
      </c>
      <c r="C300" s="91"/>
      <c r="D300" s="95"/>
      <c r="E300" s="96"/>
      <c r="F300" s="114"/>
      <c r="G300" s="91"/>
      <c r="H300" s="91"/>
      <c r="I300" s="95"/>
      <c r="J300" s="96"/>
      <c r="K300" s="114"/>
      <c r="L300" s="95"/>
      <c r="M300" s="91"/>
      <c r="N300" s="95"/>
      <c r="O300" s="96"/>
      <c r="P300" s="114"/>
      <c r="Q300" s="114"/>
      <c r="R300" s="91"/>
      <c r="S300" s="91"/>
      <c r="T300" s="92"/>
      <c r="U300" s="114"/>
      <c r="V300" s="91"/>
      <c r="W300" s="95"/>
      <c r="X300" s="91">
        <f t="shared" si="119"/>
        <v>0</v>
      </c>
      <c r="Y300" s="96"/>
      <c r="Z300" s="112">
        <f t="shared" si="110"/>
        <v>0</v>
      </c>
      <c r="AA300" s="81"/>
    </row>
    <row r="301" spans="1:27" ht="14.4" x14ac:dyDescent="0.3">
      <c r="A301" s="104">
        <v>13</v>
      </c>
      <c r="B301" s="79"/>
      <c r="C301" s="91"/>
      <c r="D301" s="95"/>
      <c r="E301" s="96"/>
      <c r="F301" s="114"/>
      <c r="G301" s="91"/>
      <c r="H301" s="91"/>
      <c r="I301" s="95"/>
      <c r="J301" s="96"/>
      <c r="K301" s="114"/>
      <c r="L301" s="95"/>
      <c r="M301" s="91"/>
      <c r="N301" s="95"/>
      <c r="O301" s="96"/>
      <c r="P301" s="114"/>
      <c r="Q301" s="114"/>
      <c r="R301" s="91"/>
      <c r="S301" s="91"/>
      <c r="T301" s="92"/>
      <c r="U301" s="114"/>
      <c r="V301" s="91"/>
      <c r="W301" s="95"/>
      <c r="X301" s="111"/>
      <c r="Y301" s="96"/>
      <c r="Z301" s="112"/>
      <c r="AA301" s="81"/>
    </row>
    <row r="302" spans="1:27" ht="14.4" x14ac:dyDescent="0.3">
      <c r="A302" s="104">
        <v>14</v>
      </c>
      <c r="B302" s="79"/>
      <c r="C302" s="92"/>
      <c r="D302" s="96"/>
      <c r="E302" s="96"/>
      <c r="F302" s="96"/>
      <c r="G302" s="92"/>
      <c r="H302" s="92"/>
      <c r="I302" s="96"/>
      <c r="J302" s="96"/>
      <c r="K302" s="96"/>
      <c r="L302" s="96"/>
      <c r="M302" s="92"/>
      <c r="N302" s="96"/>
      <c r="O302" s="96"/>
      <c r="P302" s="96"/>
      <c r="Q302" s="96"/>
      <c r="R302" s="92"/>
      <c r="S302" s="92"/>
      <c r="T302" s="92"/>
      <c r="U302" s="96"/>
      <c r="V302" s="92"/>
      <c r="W302" s="96"/>
      <c r="X302" s="95"/>
      <c r="Y302" s="96"/>
      <c r="Z302" s="112"/>
      <c r="AA302" s="81"/>
    </row>
    <row r="303" spans="1:27" ht="14.4" x14ac:dyDescent="0.3">
      <c r="A303" s="104">
        <v>15</v>
      </c>
      <c r="B303" s="79"/>
      <c r="C303" s="79"/>
      <c r="D303" s="94"/>
      <c r="E303" s="94"/>
      <c r="F303" s="96"/>
      <c r="G303" s="79"/>
      <c r="H303" s="79"/>
      <c r="I303" s="94"/>
      <c r="J303" s="94"/>
      <c r="K303" s="96"/>
      <c r="L303" s="94"/>
      <c r="M303" s="79"/>
      <c r="N303" s="94"/>
      <c r="O303" s="94"/>
      <c r="P303" s="94"/>
      <c r="Q303" s="94"/>
      <c r="R303" s="79"/>
      <c r="S303" s="79"/>
      <c r="T303" s="79"/>
      <c r="U303" s="94"/>
      <c r="V303" s="79"/>
      <c r="W303" s="94"/>
      <c r="X303" s="94"/>
      <c r="Y303" s="94"/>
      <c r="Z303" s="94"/>
      <c r="AA303" s="81"/>
    </row>
    <row r="304" spans="1:27" ht="14.4" x14ac:dyDescent="0.3">
      <c r="A304" s="104">
        <v>16</v>
      </c>
      <c r="B304" s="110" t="s">
        <v>40</v>
      </c>
      <c r="C304" s="92"/>
      <c r="D304" s="96"/>
      <c r="E304" s="96"/>
      <c r="F304" s="96"/>
      <c r="G304" s="92"/>
      <c r="H304" s="92"/>
      <c r="I304" s="96"/>
      <c r="J304" s="96"/>
      <c r="K304" s="96"/>
      <c r="L304" s="96"/>
      <c r="M304" s="92"/>
      <c r="N304" s="96"/>
      <c r="O304" s="96"/>
      <c r="P304" s="96"/>
      <c r="Q304" s="96"/>
      <c r="R304" s="92"/>
      <c r="S304" s="92"/>
      <c r="T304" s="92"/>
      <c r="U304" s="96"/>
      <c r="V304" s="92"/>
      <c r="W304" s="96"/>
      <c r="X304" s="95"/>
      <c r="Y304" s="96"/>
      <c r="Z304" s="112"/>
      <c r="AA304" s="81"/>
    </row>
    <row r="305" spans="1:27" ht="14.4" x14ac:dyDescent="0.3">
      <c r="A305" s="104">
        <v>17</v>
      </c>
      <c r="B305" s="79" t="s">
        <v>41</v>
      </c>
      <c r="C305" s="97"/>
      <c r="D305" s="96"/>
      <c r="E305" s="95">
        <f>'Link in'!H23</f>
        <v>8171.195228010567</v>
      </c>
      <c r="F305" s="144">
        <f>+'[2]Link Out'!E264</f>
        <v>4.2975187974351181</v>
      </c>
      <c r="G305" s="97">
        <f>ROUND((E305*F305),0)</f>
        <v>35116</v>
      </c>
      <c r="H305" s="97"/>
      <c r="I305" s="96"/>
      <c r="J305" s="95">
        <f>E305</f>
        <v>8171.195228010567</v>
      </c>
      <c r="K305" s="144">
        <f>U305</f>
        <v>3.3479999999999999</v>
      </c>
      <c r="L305" s="111">
        <f>ROUND((J305*K305),0)</f>
        <v>27357</v>
      </c>
      <c r="M305" s="97"/>
      <c r="N305" s="96"/>
      <c r="O305" s="95">
        <f>'Link in'!R23</f>
        <v>3153.34584</v>
      </c>
      <c r="P305" s="144">
        <f>+'[2]Link Out'!$K$264</f>
        <v>3.3479999999999999</v>
      </c>
      <c r="Q305" s="111">
        <f>ROUND((O305*P305),0)</f>
        <v>10557</v>
      </c>
      <c r="R305" s="97"/>
      <c r="S305" s="92"/>
      <c r="T305" s="91">
        <f>O305</f>
        <v>3153.34584</v>
      </c>
      <c r="U305" s="144">
        <f>P305</f>
        <v>3.3479999999999999</v>
      </c>
      <c r="V305" s="97">
        <f>ROUND((T305*U305),0)</f>
        <v>10557</v>
      </c>
      <c r="W305" s="95"/>
      <c r="X305" s="97">
        <f t="shared" ref="X305:X311" si="121">+V305-Q305</f>
        <v>0</v>
      </c>
      <c r="Y305" s="96"/>
      <c r="Z305" s="112">
        <f t="shared" ref="Z305:Z311" si="122">IF(Q305=0,0,ROUND((X305/Q305),4))</f>
        <v>0</v>
      </c>
      <c r="AA305" s="81"/>
    </row>
    <row r="306" spans="1:27" ht="14.4" x14ac:dyDescent="0.3">
      <c r="A306" s="104">
        <v>18</v>
      </c>
      <c r="B306" s="79" t="s">
        <v>42</v>
      </c>
      <c r="C306" s="91"/>
      <c r="D306" s="94"/>
      <c r="E306" s="95">
        <f>'Link in'!H24</f>
        <v>0</v>
      </c>
      <c r="F306" s="122">
        <v>0</v>
      </c>
      <c r="G306" s="91">
        <f>ROUND((E306*F306),0)</f>
        <v>0</v>
      </c>
      <c r="H306" s="91"/>
      <c r="I306" s="94"/>
      <c r="J306" s="95">
        <f t="shared" ref="J306:J311" si="123">E306</f>
        <v>0</v>
      </c>
      <c r="K306" s="122">
        <f t="shared" ref="K306:K310" si="124">U306</f>
        <v>0</v>
      </c>
      <c r="L306" s="95">
        <f>ROUND((J306*K306),0)</f>
        <v>0</v>
      </c>
      <c r="M306" s="91"/>
      <c r="N306" s="94"/>
      <c r="O306" s="95">
        <f>'Link in'!R24</f>
        <v>0</v>
      </c>
      <c r="P306" s="122">
        <f t="shared" ref="P306:P310" si="125">F306</f>
        <v>0</v>
      </c>
      <c r="Q306" s="95">
        <f>ROUND((O306*P306),0)</f>
        <v>0</v>
      </c>
      <c r="R306" s="91"/>
      <c r="S306" s="79"/>
      <c r="T306" s="91">
        <f t="shared" ref="T306:T310" si="126">O306</f>
        <v>0</v>
      </c>
      <c r="U306" s="122">
        <f>P306</f>
        <v>0</v>
      </c>
      <c r="V306" s="91">
        <f>ROUND((T306*U306),0)</f>
        <v>0</v>
      </c>
      <c r="W306" s="95"/>
      <c r="X306" s="91">
        <f t="shared" si="121"/>
        <v>0</v>
      </c>
      <c r="Y306" s="94"/>
      <c r="Z306" s="112">
        <f t="shared" si="122"/>
        <v>0</v>
      </c>
      <c r="AA306" s="81"/>
    </row>
    <row r="307" spans="1:27" ht="14.4" x14ac:dyDescent="0.3">
      <c r="A307" s="104">
        <v>19</v>
      </c>
      <c r="B307" s="79" t="s">
        <v>43</v>
      </c>
      <c r="C307" s="91"/>
      <c r="D307" s="94"/>
      <c r="E307" s="95">
        <f>'Link in'!H25</f>
        <v>0</v>
      </c>
      <c r="F307" s="122">
        <v>0</v>
      </c>
      <c r="G307" s="91">
        <f>ROUND((E307*F307),0)</f>
        <v>0</v>
      </c>
      <c r="H307" s="91"/>
      <c r="I307" s="94"/>
      <c r="J307" s="95">
        <f t="shared" si="123"/>
        <v>0</v>
      </c>
      <c r="K307" s="122">
        <f t="shared" si="124"/>
        <v>0</v>
      </c>
      <c r="L307" s="95">
        <f>ROUND((J307*K307),0)</f>
        <v>0</v>
      </c>
      <c r="M307" s="91"/>
      <c r="N307" s="94"/>
      <c r="O307" s="95">
        <f>'Link in'!R25</f>
        <v>0</v>
      </c>
      <c r="P307" s="122">
        <f t="shared" si="125"/>
        <v>0</v>
      </c>
      <c r="Q307" s="95">
        <f>ROUND((O307*P307),0)</f>
        <v>0</v>
      </c>
      <c r="R307" s="91"/>
      <c r="S307" s="79"/>
      <c r="T307" s="91">
        <f t="shared" si="126"/>
        <v>0</v>
      </c>
      <c r="U307" s="122">
        <f t="shared" ref="U307:U310" si="127">P307</f>
        <v>0</v>
      </c>
      <c r="V307" s="91">
        <f>ROUND((T307*U307),0)</f>
        <v>0</v>
      </c>
      <c r="W307" s="95"/>
      <c r="X307" s="91">
        <f t="shared" si="121"/>
        <v>0</v>
      </c>
      <c r="Y307" s="94"/>
      <c r="Z307" s="112">
        <f t="shared" si="122"/>
        <v>0</v>
      </c>
      <c r="AA307" s="81"/>
    </row>
    <row r="308" spans="1:27" ht="14.4" x14ac:dyDescent="0.3">
      <c r="A308" s="104">
        <v>20</v>
      </c>
      <c r="B308" s="79" t="s">
        <v>44</v>
      </c>
      <c r="C308" s="91"/>
      <c r="D308" s="94"/>
      <c r="E308" s="95">
        <f>'Link in'!H26</f>
        <v>0</v>
      </c>
      <c r="F308" s="122">
        <v>0</v>
      </c>
      <c r="G308" s="91">
        <f>ROUND((E308*F308),0)</f>
        <v>0</v>
      </c>
      <c r="H308" s="91"/>
      <c r="I308" s="94"/>
      <c r="J308" s="95">
        <f t="shared" si="123"/>
        <v>0</v>
      </c>
      <c r="K308" s="122">
        <f t="shared" si="124"/>
        <v>0</v>
      </c>
      <c r="L308" s="95">
        <f>ROUND((J308*K308),0)</f>
        <v>0</v>
      </c>
      <c r="M308" s="91"/>
      <c r="N308" s="94"/>
      <c r="O308" s="95">
        <f>'Link in'!R26</f>
        <v>0</v>
      </c>
      <c r="P308" s="122">
        <f t="shared" si="125"/>
        <v>0</v>
      </c>
      <c r="Q308" s="95">
        <f>ROUND((O308*P308),0)</f>
        <v>0</v>
      </c>
      <c r="R308" s="91"/>
      <c r="S308" s="79"/>
      <c r="T308" s="91">
        <f t="shared" si="126"/>
        <v>0</v>
      </c>
      <c r="U308" s="122">
        <f t="shared" si="127"/>
        <v>0</v>
      </c>
      <c r="V308" s="91">
        <f>ROUND((T308*U308),0)</f>
        <v>0</v>
      </c>
      <c r="W308" s="95"/>
      <c r="X308" s="91">
        <f t="shared" si="121"/>
        <v>0</v>
      </c>
      <c r="Y308" s="94"/>
      <c r="Z308" s="112">
        <f t="shared" si="122"/>
        <v>0</v>
      </c>
      <c r="AA308" s="81"/>
    </row>
    <row r="309" spans="1:27" ht="14.4" x14ac:dyDescent="0.3">
      <c r="A309" s="104">
        <v>21</v>
      </c>
      <c r="B309" s="79" t="s">
        <v>96</v>
      </c>
      <c r="C309" s="79"/>
      <c r="D309" s="94"/>
      <c r="E309" s="95">
        <f>'Link in'!H27</f>
        <v>0</v>
      </c>
      <c r="F309" s="122">
        <v>0</v>
      </c>
      <c r="G309" s="91">
        <f t="shared" ref="G309:G310" si="128">ROUND((E309*F309),0)</f>
        <v>0</v>
      </c>
      <c r="H309" s="91"/>
      <c r="I309" s="94"/>
      <c r="J309" s="95">
        <f t="shared" si="123"/>
        <v>0</v>
      </c>
      <c r="K309" s="122">
        <f t="shared" si="124"/>
        <v>0</v>
      </c>
      <c r="L309" s="95">
        <f t="shared" ref="L309:L310" si="129">ROUND((J309*K309),0)</f>
        <v>0</v>
      </c>
      <c r="M309" s="79"/>
      <c r="N309" s="94"/>
      <c r="O309" s="95">
        <f>'Link in'!R27</f>
        <v>0</v>
      </c>
      <c r="P309" s="122">
        <f t="shared" si="125"/>
        <v>0</v>
      </c>
      <c r="Q309" s="95">
        <f t="shared" ref="Q309:Q310" si="130">ROUND((O309*P309),0)</f>
        <v>0</v>
      </c>
      <c r="R309" s="79"/>
      <c r="S309" s="79"/>
      <c r="T309" s="91">
        <f t="shared" si="126"/>
        <v>0</v>
      </c>
      <c r="U309" s="122">
        <f t="shared" si="127"/>
        <v>0</v>
      </c>
      <c r="V309" s="91">
        <f t="shared" ref="V309:V310" si="131">ROUND((T309*U309),0)</f>
        <v>0</v>
      </c>
      <c r="W309" s="94"/>
      <c r="X309" s="91">
        <f t="shared" si="121"/>
        <v>0</v>
      </c>
      <c r="Y309" s="94"/>
      <c r="Z309" s="112">
        <f t="shared" si="122"/>
        <v>0</v>
      </c>
      <c r="AA309" s="81"/>
    </row>
    <row r="310" spans="1:27" ht="14.4" x14ac:dyDescent="0.3">
      <c r="A310" s="104">
        <v>22</v>
      </c>
      <c r="B310" s="79" t="s">
        <v>101</v>
      </c>
      <c r="C310" s="79"/>
      <c r="D310" s="94"/>
      <c r="E310" s="95">
        <f>'Link in'!H28</f>
        <v>0</v>
      </c>
      <c r="F310" s="122">
        <v>0</v>
      </c>
      <c r="G310" s="91">
        <f t="shared" si="128"/>
        <v>0</v>
      </c>
      <c r="H310" s="91"/>
      <c r="I310" s="94"/>
      <c r="J310" s="95">
        <f t="shared" si="123"/>
        <v>0</v>
      </c>
      <c r="K310" s="122">
        <f t="shared" si="124"/>
        <v>0</v>
      </c>
      <c r="L310" s="95">
        <f t="shared" si="129"/>
        <v>0</v>
      </c>
      <c r="M310" s="79"/>
      <c r="N310" s="94"/>
      <c r="O310" s="95">
        <f>'Link in'!R28</f>
        <v>0</v>
      </c>
      <c r="P310" s="122">
        <f t="shared" si="125"/>
        <v>0</v>
      </c>
      <c r="Q310" s="95">
        <f t="shared" si="130"/>
        <v>0</v>
      </c>
      <c r="R310" s="79"/>
      <c r="S310" s="79"/>
      <c r="T310" s="91">
        <f t="shared" si="126"/>
        <v>0</v>
      </c>
      <c r="U310" s="122">
        <f t="shared" si="127"/>
        <v>0</v>
      </c>
      <c r="V310" s="91">
        <f t="shared" si="131"/>
        <v>0</v>
      </c>
      <c r="W310" s="94"/>
      <c r="X310" s="91">
        <f t="shared" si="121"/>
        <v>0</v>
      </c>
      <c r="Y310" s="94"/>
      <c r="Z310" s="112">
        <f t="shared" si="122"/>
        <v>0</v>
      </c>
      <c r="AA310" s="81"/>
    </row>
    <row r="311" spans="1:27" ht="14.4" x14ac:dyDescent="0.3">
      <c r="A311" s="104">
        <v>23</v>
      </c>
      <c r="B311" s="94" t="s">
        <v>108</v>
      </c>
      <c r="C311" s="123"/>
      <c r="D311" s="94"/>
      <c r="E311" s="94">
        <f>'Link in'!H32</f>
        <v>-2283.9556480105657</v>
      </c>
      <c r="F311" s="122"/>
      <c r="G311" s="123">
        <f>+'Link in'!H34+165</f>
        <v>175.41458395245172</v>
      </c>
      <c r="H311" s="123"/>
      <c r="I311" s="94"/>
      <c r="J311" s="95">
        <f t="shared" si="123"/>
        <v>-2283.9556480105657</v>
      </c>
      <c r="K311" s="144"/>
      <c r="L311" s="123">
        <f>G311</f>
        <v>175.41458395245172</v>
      </c>
      <c r="M311" s="123"/>
      <c r="N311" s="94"/>
      <c r="O311" s="94">
        <f>'Link in'!R32</f>
        <v>0</v>
      </c>
      <c r="P311" s="106"/>
      <c r="Q311" s="123">
        <f>'Link in'!R34</f>
        <v>0</v>
      </c>
      <c r="R311" s="123"/>
      <c r="S311" s="94"/>
      <c r="T311" s="94">
        <f>O311</f>
        <v>0</v>
      </c>
      <c r="U311" s="106"/>
      <c r="V311" s="123">
        <f>Q311</f>
        <v>0</v>
      </c>
      <c r="W311" s="123"/>
      <c r="X311" s="123">
        <f t="shared" si="121"/>
        <v>0</v>
      </c>
      <c r="Y311" s="94"/>
      <c r="Z311" s="112">
        <f t="shared" si="122"/>
        <v>0</v>
      </c>
      <c r="AA311" s="81"/>
    </row>
    <row r="312" spans="1:27" ht="14.4" x14ac:dyDescent="0.3">
      <c r="A312" s="104">
        <v>24</v>
      </c>
      <c r="B312" s="79"/>
      <c r="C312" s="133"/>
      <c r="D312" s="94"/>
      <c r="E312" s="94"/>
      <c r="F312" s="124"/>
      <c r="G312" s="133"/>
      <c r="H312" s="133"/>
      <c r="I312" s="94"/>
      <c r="J312" s="94"/>
      <c r="K312" s="124"/>
      <c r="L312" s="124"/>
      <c r="M312" s="133"/>
      <c r="N312" s="94"/>
      <c r="O312" s="94"/>
      <c r="P312" s="124"/>
      <c r="Q312" s="124"/>
      <c r="R312" s="133"/>
      <c r="S312" s="79"/>
      <c r="T312" s="79"/>
      <c r="U312" s="133"/>
      <c r="V312" s="133"/>
      <c r="W312" s="124"/>
      <c r="X312" s="95"/>
      <c r="Y312" s="94"/>
      <c r="Z312" s="112"/>
      <c r="AA312" s="81"/>
    </row>
    <row r="313" spans="1:27" ht="15" thickBot="1" x14ac:dyDescent="0.35">
      <c r="A313" s="104">
        <v>25</v>
      </c>
      <c r="B313" s="79" t="s">
        <v>1</v>
      </c>
      <c r="C313" s="137"/>
      <c r="D313" s="147"/>
      <c r="E313" s="148">
        <f>SUM(E305:E312)</f>
        <v>5887.2395800000013</v>
      </c>
      <c r="F313" s="137"/>
      <c r="G313" s="149">
        <f>SUM(G291:G312)</f>
        <v>80861.414583952457</v>
      </c>
      <c r="H313" s="137"/>
      <c r="I313" s="150"/>
      <c r="J313" s="151">
        <f>SUM(J305:J312)</f>
        <v>5887.2395800000013</v>
      </c>
      <c r="K313" s="126"/>
      <c r="L313" s="152">
        <f>SUM(L291:L312)</f>
        <v>73102.414583952457</v>
      </c>
      <c r="M313" s="137"/>
      <c r="N313" s="150"/>
      <c r="O313" s="151">
        <f>SUM(O305:O312)</f>
        <v>3153.34584</v>
      </c>
      <c r="P313" s="126"/>
      <c r="Q313" s="152">
        <f>SUM(Q291:Q312)</f>
        <v>60281</v>
      </c>
      <c r="R313" s="137"/>
      <c r="S313" s="147"/>
      <c r="T313" s="148">
        <f>SUM(T305:T312)</f>
        <v>3153.34584</v>
      </c>
      <c r="U313" s="137"/>
      <c r="V313" s="149">
        <f>SUM(V291:V312)</f>
        <v>60281</v>
      </c>
      <c r="W313" s="126"/>
      <c r="X313" s="152">
        <f>SUM(X291:X312)</f>
        <v>0</v>
      </c>
      <c r="Y313" s="94"/>
      <c r="Z313" s="136">
        <f t="shared" ref="Z313" si="132">IF(Q313=0,0,ROUND((X313/Q313),4))</f>
        <v>0</v>
      </c>
      <c r="AA313" s="81"/>
    </row>
    <row r="314" spans="1:27" ht="15" thickTop="1" x14ac:dyDescent="0.3">
      <c r="A314" s="104"/>
      <c r="B314" s="79"/>
      <c r="C314" s="91"/>
      <c r="D314" s="79"/>
      <c r="E314" s="79"/>
      <c r="F314" s="131"/>
      <c r="G314" s="91"/>
      <c r="H314" s="91"/>
      <c r="I314" s="91"/>
      <c r="J314" s="91"/>
      <c r="K314" s="91"/>
      <c r="L314" s="91"/>
      <c r="M314" s="91"/>
      <c r="N314" s="91"/>
      <c r="O314" s="79"/>
      <c r="P314" s="131"/>
      <c r="Q314" s="91"/>
      <c r="R314" s="91"/>
      <c r="S314" s="79"/>
      <c r="T314" s="79"/>
      <c r="U314" s="131"/>
      <c r="V314" s="91"/>
      <c r="W314" s="94"/>
      <c r="X314" s="95"/>
      <c r="Y314" s="94"/>
      <c r="Z314" s="112"/>
      <c r="AA314" s="81"/>
    </row>
    <row r="315" spans="1:27" x14ac:dyDescent="0.3">
      <c r="A315" s="20"/>
      <c r="B315" s="19"/>
      <c r="C315" s="21"/>
      <c r="D315" s="20"/>
      <c r="E315" s="19"/>
      <c r="F315" s="22"/>
      <c r="G315" s="21"/>
      <c r="H315" s="21"/>
      <c r="I315" s="21"/>
      <c r="J315" s="21"/>
      <c r="K315" s="21"/>
      <c r="L315" s="21"/>
      <c r="M315" s="21"/>
      <c r="N315" s="21"/>
      <c r="O315" s="19"/>
      <c r="P315" s="22"/>
      <c r="Q315" s="21"/>
      <c r="R315" s="21"/>
      <c r="S315" s="20"/>
      <c r="T315" s="19"/>
      <c r="U315" s="22"/>
      <c r="V315" s="21"/>
      <c r="X315" s="26"/>
      <c r="Z315" s="88"/>
      <c r="AA315" s="81"/>
    </row>
    <row r="316" spans="1:27" x14ac:dyDescent="0.3">
      <c r="A316" s="20"/>
      <c r="B316" s="19"/>
      <c r="C316" s="19"/>
      <c r="D316" s="19"/>
      <c r="E316" s="19"/>
      <c r="F316" s="23"/>
      <c r="G316" s="19"/>
      <c r="H316" s="19"/>
      <c r="I316" s="19"/>
      <c r="J316" s="19"/>
      <c r="K316" s="19"/>
      <c r="L316" s="19"/>
      <c r="M316" s="19"/>
      <c r="N316" s="19"/>
      <c r="O316" s="19"/>
      <c r="P316" s="23"/>
      <c r="Q316" s="19"/>
      <c r="R316" s="19"/>
      <c r="S316" s="19"/>
      <c r="T316" s="19"/>
      <c r="U316" s="23"/>
      <c r="V316" s="19"/>
      <c r="X316" s="26"/>
      <c r="Z316" s="88"/>
      <c r="AA316" s="81"/>
    </row>
    <row r="317" spans="1:27" x14ac:dyDescent="0.3">
      <c r="A317" s="20"/>
      <c r="B317" s="19"/>
      <c r="C317" s="19"/>
      <c r="D317" s="19"/>
      <c r="E317" s="19"/>
      <c r="F317" s="23"/>
      <c r="G317" s="19"/>
      <c r="H317" s="19"/>
      <c r="I317" s="19"/>
      <c r="J317" s="19"/>
      <c r="K317" s="19"/>
      <c r="L317" s="19"/>
      <c r="M317" s="19"/>
      <c r="N317" s="19"/>
      <c r="O317" s="19"/>
      <c r="P317" s="23"/>
      <c r="Q317" s="19"/>
      <c r="R317" s="19"/>
      <c r="S317" s="19"/>
      <c r="T317" s="19"/>
      <c r="U317" s="23"/>
      <c r="V317" s="19"/>
      <c r="X317" s="26"/>
      <c r="Z317" s="88"/>
      <c r="AA317" s="81"/>
    </row>
    <row r="318" spans="1:27" x14ac:dyDescent="0.3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AA318" s="81"/>
    </row>
    <row r="319" spans="1:27" x14ac:dyDescent="0.3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AA319" s="81"/>
    </row>
  </sheetData>
  <mergeCells count="73">
    <mergeCell ref="A196:Z196"/>
    <mergeCell ref="A197:Z197"/>
    <mergeCell ref="A198:Z198"/>
    <mergeCell ref="D85:G85"/>
    <mergeCell ref="N85:Q85"/>
    <mergeCell ref="S85:V85"/>
    <mergeCell ref="I85:L85"/>
    <mergeCell ref="I124:L124"/>
    <mergeCell ref="I163:L163"/>
    <mergeCell ref="N124:Q124"/>
    <mergeCell ref="S124:V124"/>
    <mergeCell ref="A118:Z118"/>
    <mergeCell ref="I200:Q200"/>
    <mergeCell ref="I240:Q240"/>
    <mergeCell ref="A199:Z199"/>
    <mergeCell ref="A237:Z237"/>
    <mergeCell ref="A238:Z238"/>
    <mergeCell ref="A239:Z239"/>
    <mergeCell ref="A236:Z236"/>
    <mergeCell ref="A279:Z279"/>
    <mergeCell ref="A280:Z280"/>
    <mergeCell ref="A281:Z281"/>
    <mergeCell ref="A282:Z282"/>
    <mergeCell ref="D285:G285"/>
    <mergeCell ref="N285:Q285"/>
    <mergeCell ref="S285:V285"/>
    <mergeCell ref="I285:L285"/>
    <mergeCell ref="I283:Q283"/>
    <mergeCell ref="T242:V242"/>
    <mergeCell ref="E242:G242"/>
    <mergeCell ref="O242:Q242"/>
    <mergeCell ref="D202:G202"/>
    <mergeCell ref="N202:Q202"/>
    <mergeCell ref="S202:V202"/>
    <mergeCell ref="I202:L202"/>
    <mergeCell ref="J242:L242"/>
    <mergeCell ref="A81:Z81"/>
    <mergeCell ref="N163:Q163"/>
    <mergeCell ref="S163:V163"/>
    <mergeCell ref="D124:G124"/>
    <mergeCell ref="D163:G163"/>
    <mergeCell ref="A159:Z159"/>
    <mergeCell ref="A160:Z160"/>
    <mergeCell ref="A82:Z82"/>
    <mergeCell ref="A119:Z119"/>
    <mergeCell ref="A120:Z120"/>
    <mergeCell ref="A121:Z121"/>
    <mergeCell ref="A157:Z157"/>
    <mergeCell ref="A158:Z158"/>
    <mergeCell ref="I83:Q83"/>
    <mergeCell ref="I122:Q122"/>
    <mergeCell ref="I161:Q161"/>
    <mergeCell ref="A41:Z41"/>
    <mergeCell ref="A42:Z42"/>
    <mergeCell ref="A43:Z43"/>
    <mergeCell ref="A79:Z79"/>
    <mergeCell ref="A80:Z80"/>
    <mergeCell ref="D46:G46"/>
    <mergeCell ref="N46:Q46"/>
    <mergeCell ref="S46:V46"/>
    <mergeCell ref="I46:L46"/>
    <mergeCell ref="I44:Q44"/>
    <mergeCell ref="A1:Z1"/>
    <mergeCell ref="A2:Z2"/>
    <mergeCell ref="A3:Z3"/>
    <mergeCell ref="A4:Z4"/>
    <mergeCell ref="A40:Z40"/>
    <mergeCell ref="E7:G7"/>
    <mergeCell ref="O7:Q7"/>
    <mergeCell ref="T7:V7"/>
    <mergeCell ref="J7:L7"/>
    <mergeCell ref="I6:Q6"/>
    <mergeCell ref="I5:Q5"/>
  </mergeCells>
  <phoneticPr fontId="0" type="noConversion"/>
  <printOptions horizontalCentered="1"/>
  <pageMargins left="0.5" right="0.5" top="0.75" bottom="0.75" header="0.5" footer="0.25"/>
  <pageSetup scale="50" orientation="landscape" r:id="rId1"/>
  <headerFooter alignWithMargins="0"/>
  <rowBreaks count="7" manualBreakCount="7">
    <brk id="39" max="25" man="1"/>
    <brk id="78" max="25" man="1"/>
    <brk id="117" max="25" man="1"/>
    <brk id="156" max="25" man="1"/>
    <brk id="195" max="25" man="1"/>
    <brk id="235" max="25" man="1"/>
    <brk id="278" max="25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9"/>
  <sheetViews>
    <sheetView zoomScaleNormal="100" workbookViewId="0"/>
  </sheetViews>
  <sheetFormatPr defaultColWidth="9.109375" defaultRowHeight="14.4" x14ac:dyDescent="0.3"/>
  <cols>
    <col min="1" max="1" width="18.6640625" style="36" customWidth="1"/>
    <col min="2" max="2" width="2.6640625" style="36" customWidth="1"/>
    <col min="3" max="3" width="18.5546875" style="36" customWidth="1"/>
    <col min="4" max="4" width="2.6640625" style="36" customWidth="1"/>
    <col min="5" max="5" width="18.5546875" style="36" customWidth="1"/>
    <col min="6" max="6" width="2.6640625" style="36" customWidth="1"/>
    <col min="7" max="7" width="18.5546875" style="36" customWidth="1"/>
    <col min="8" max="8" width="2.6640625" style="36" customWidth="1"/>
    <col min="9" max="9" width="18.5546875" style="36" customWidth="1"/>
    <col min="10" max="13" width="13.44140625" style="36" customWidth="1"/>
    <col min="14" max="16384" width="9.109375" style="36"/>
  </cols>
  <sheetData>
    <row r="1" spans="1:24" x14ac:dyDescent="0.3">
      <c r="G1" s="82"/>
      <c r="H1" s="82"/>
      <c r="I1" s="83"/>
    </row>
    <row r="2" spans="1:24" x14ac:dyDescent="0.3">
      <c r="A2" s="84"/>
      <c r="G2" s="82"/>
      <c r="H2" s="82"/>
    </row>
    <row r="3" spans="1:24" x14ac:dyDescent="0.3">
      <c r="A3" s="84"/>
      <c r="G3" s="82"/>
      <c r="H3" s="82"/>
    </row>
    <row r="4" spans="1:24" x14ac:dyDescent="0.3">
      <c r="G4" s="82"/>
      <c r="H4" s="82"/>
      <c r="I4" s="82"/>
    </row>
    <row r="5" spans="1:24" x14ac:dyDescent="0.3">
      <c r="A5" s="338" t="str">
        <f>'Link in'!A1</f>
        <v>Kentucky American Water Company</v>
      </c>
      <c r="B5" s="338"/>
      <c r="C5" s="338"/>
      <c r="D5" s="338"/>
      <c r="E5" s="338"/>
      <c r="F5" s="338"/>
      <c r="G5" s="338"/>
      <c r="H5" s="338"/>
      <c r="I5" s="338"/>
      <c r="J5" s="37"/>
      <c r="K5" s="37"/>
      <c r="L5" s="37"/>
      <c r="M5" s="37"/>
      <c r="N5" s="38"/>
      <c r="O5" s="38"/>
      <c r="P5" s="38"/>
      <c r="Q5" s="38"/>
      <c r="S5" s="38"/>
      <c r="T5" s="38"/>
      <c r="U5" s="38"/>
      <c r="V5" s="38"/>
      <c r="W5" s="38"/>
      <c r="X5" s="38"/>
    </row>
    <row r="6" spans="1:24" x14ac:dyDescent="0.3">
      <c r="A6" s="338" t="str">
        <f>'Link in'!A2</f>
        <v>Case No. 2018-00358</v>
      </c>
      <c r="B6" s="338"/>
      <c r="C6" s="338"/>
      <c r="D6" s="338"/>
      <c r="E6" s="338"/>
      <c r="F6" s="338"/>
      <c r="G6" s="338"/>
      <c r="H6" s="338"/>
      <c r="I6" s="338"/>
      <c r="J6" s="37"/>
      <c r="K6" s="37"/>
      <c r="L6" s="37"/>
      <c r="M6" s="37"/>
      <c r="N6" s="38"/>
      <c r="O6" s="39"/>
      <c r="P6" s="39"/>
      <c r="Q6" s="40"/>
      <c r="S6" s="38"/>
      <c r="T6" s="38"/>
      <c r="U6" s="38"/>
      <c r="V6" s="38"/>
      <c r="W6" s="38"/>
      <c r="X6" s="38"/>
    </row>
    <row r="7" spans="1:24" x14ac:dyDescent="0.3">
      <c r="A7" s="338" t="str">
        <f>'Link in'!A92</f>
        <v>Forecast Year for the 12 Months Ended June 30, 2020</v>
      </c>
      <c r="B7" s="338"/>
      <c r="C7" s="338"/>
      <c r="D7" s="338"/>
      <c r="E7" s="338"/>
      <c r="F7" s="338"/>
      <c r="G7" s="338"/>
      <c r="H7" s="338"/>
      <c r="I7" s="338"/>
      <c r="J7" s="37"/>
      <c r="K7" s="37"/>
      <c r="L7" s="37"/>
      <c r="M7" s="37"/>
      <c r="N7" s="38"/>
      <c r="O7" s="39"/>
      <c r="P7" s="39"/>
      <c r="Q7" s="40"/>
      <c r="S7" s="38"/>
      <c r="T7" s="38"/>
      <c r="U7" s="38"/>
      <c r="V7" s="38"/>
      <c r="W7" s="38"/>
      <c r="X7" s="38"/>
    </row>
    <row r="8" spans="1:24" ht="30" customHeight="1" x14ac:dyDescent="0.3">
      <c r="A8" s="339" t="s">
        <v>211</v>
      </c>
      <c r="B8" s="338"/>
      <c r="C8" s="338"/>
      <c r="D8" s="338"/>
      <c r="E8" s="338"/>
      <c r="F8" s="338"/>
      <c r="G8" s="338"/>
      <c r="H8" s="338"/>
      <c r="I8" s="338"/>
      <c r="J8" s="37"/>
      <c r="K8" s="37"/>
      <c r="L8" s="37"/>
      <c r="M8" s="37"/>
      <c r="N8" s="38"/>
      <c r="O8" s="41"/>
      <c r="P8" s="41"/>
      <c r="Q8" s="40"/>
      <c r="S8" s="38"/>
      <c r="T8" s="38"/>
      <c r="U8" s="38"/>
      <c r="V8" s="38"/>
      <c r="W8" s="38"/>
      <c r="X8" s="38"/>
    </row>
    <row r="9" spans="1:24" x14ac:dyDescent="0.3">
      <c r="A9" s="338" t="s">
        <v>125</v>
      </c>
      <c r="B9" s="338"/>
      <c r="C9" s="338"/>
      <c r="D9" s="338"/>
      <c r="E9" s="338"/>
      <c r="F9" s="338"/>
      <c r="G9" s="338"/>
      <c r="H9" s="338"/>
      <c r="I9" s="338"/>
      <c r="J9" s="37"/>
      <c r="K9" s="37"/>
      <c r="L9" s="37"/>
      <c r="M9" s="37"/>
      <c r="N9" s="38"/>
      <c r="O9" s="41"/>
      <c r="P9" s="41"/>
      <c r="Q9" s="40"/>
      <c r="R9" s="39"/>
      <c r="S9" s="38"/>
      <c r="T9" s="38"/>
      <c r="U9" s="38"/>
      <c r="V9" s="38"/>
      <c r="W9" s="38"/>
      <c r="X9" s="38"/>
    </row>
    <row r="10" spans="1:24" x14ac:dyDescent="0.3">
      <c r="J10" s="37"/>
      <c r="K10" s="37"/>
      <c r="L10" s="37"/>
      <c r="M10" s="37"/>
      <c r="N10" s="38"/>
      <c r="O10" s="41"/>
      <c r="P10" s="41"/>
      <c r="Q10" s="40"/>
      <c r="R10" s="39"/>
      <c r="S10" s="38"/>
      <c r="T10" s="38"/>
      <c r="U10" s="38"/>
      <c r="V10" s="38"/>
      <c r="W10" s="38"/>
      <c r="X10" s="38"/>
    </row>
    <row r="11" spans="1:24" x14ac:dyDescent="0.3">
      <c r="A11" s="87" t="str">
        <f>'Link in'!A178</f>
        <v>Witness Responsible:   Melissa Schwarzell</v>
      </c>
      <c r="B11" s="87"/>
      <c r="C11" s="87"/>
      <c r="D11" s="87"/>
      <c r="E11" s="87"/>
      <c r="F11" s="87"/>
      <c r="G11" s="87"/>
      <c r="H11" s="87"/>
      <c r="I11" s="85" t="s">
        <v>186</v>
      </c>
      <c r="J11" s="37"/>
      <c r="K11" s="37"/>
      <c r="L11" s="37"/>
      <c r="M11" s="37"/>
      <c r="N11" s="38"/>
      <c r="O11" s="41"/>
      <c r="P11" s="41"/>
      <c r="Q11" s="40"/>
      <c r="R11" s="39"/>
      <c r="S11" s="38"/>
      <c r="T11" s="38"/>
      <c r="U11" s="38"/>
      <c r="V11" s="38"/>
      <c r="W11" s="38"/>
      <c r="X11" s="38"/>
    </row>
    <row r="12" spans="1:24" x14ac:dyDescent="0.3">
      <c r="A12" s="87" t="str">
        <f>'Link in'!$A$95</f>
        <v/>
      </c>
      <c r="B12" s="87"/>
      <c r="C12" s="87"/>
      <c r="D12" s="87"/>
      <c r="E12" s="87"/>
      <c r="F12" s="87"/>
      <c r="G12" s="87"/>
      <c r="H12" s="87"/>
      <c r="I12" s="90" t="str">
        <f ca="1">RIGHT(CELL("filename",$A$1),LEN(CELL("filename",$A$1))-SEARCH("\Revenues",CELL("filename",$A$1),1))</f>
        <v>Revenues\[KAWC 2018 Rate Case - Revenue.xlsx]Sch N</v>
      </c>
      <c r="J12" s="37"/>
      <c r="K12" s="37"/>
      <c r="L12" s="37"/>
      <c r="M12" s="37"/>
      <c r="N12" s="38"/>
      <c r="O12" s="41"/>
      <c r="P12" s="41"/>
      <c r="Q12" s="40"/>
      <c r="R12" s="39"/>
      <c r="S12" s="38"/>
      <c r="T12" s="38"/>
      <c r="U12" s="38"/>
      <c r="V12" s="38"/>
      <c r="W12" s="38"/>
      <c r="X12" s="38"/>
    </row>
    <row r="13" spans="1:24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1"/>
      <c r="P13" s="41"/>
      <c r="Q13" s="40"/>
      <c r="R13" s="58"/>
      <c r="S13" s="55"/>
      <c r="T13" s="55"/>
      <c r="U13" s="55"/>
      <c r="V13" s="55"/>
      <c r="W13" s="55"/>
      <c r="X13" s="38"/>
    </row>
    <row r="14" spans="1:24" x14ac:dyDescent="0.3">
      <c r="A14" s="43" t="s">
        <v>18</v>
      </c>
      <c r="B14" s="42"/>
      <c r="C14" s="44" t="s">
        <v>79</v>
      </c>
      <c r="D14" s="44"/>
      <c r="E14" s="44" t="s">
        <v>73</v>
      </c>
      <c r="F14" s="44"/>
      <c r="G14" s="44"/>
      <c r="H14" s="44"/>
      <c r="I14" s="44" t="s">
        <v>53</v>
      </c>
      <c r="J14" s="42"/>
      <c r="K14" s="42"/>
      <c r="L14" s="42"/>
      <c r="M14" s="42"/>
      <c r="N14" s="38"/>
      <c r="O14" s="41"/>
      <c r="P14" s="41"/>
      <c r="Q14" s="40"/>
      <c r="R14" s="59"/>
      <c r="S14" s="60"/>
      <c r="T14" s="60"/>
      <c r="U14" s="60"/>
      <c r="V14" s="60"/>
      <c r="W14" s="55"/>
      <c r="X14" s="38"/>
    </row>
    <row r="15" spans="1:24" x14ac:dyDescent="0.3">
      <c r="A15" s="45" t="s">
        <v>128</v>
      </c>
      <c r="B15" s="42"/>
      <c r="C15" s="45" t="s">
        <v>46</v>
      </c>
      <c r="D15" s="44"/>
      <c r="E15" s="45" t="s">
        <v>46</v>
      </c>
      <c r="F15" s="44"/>
      <c r="G15" s="45" t="s">
        <v>126</v>
      </c>
      <c r="H15" s="44"/>
      <c r="I15" s="45" t="s">
        <v>126</v>
      </c>
      <c r="J15" s="46"/>
      <c r="K15" s="46"/>
      <c r="L15" s="46"/>
      <c r="M15" s="46"/>
      <c r="N15" s="38"/>
      <c r="O15" s="41"/>
      <c r="P15" s="41"/>
      <c r="Q15" s="40"/>
      <c r="R15" s="55"/>
      <c r="S15" s="55"/>
      <c r="T15" s="55"/>
      <c r="U15" s="55"/>
      <c r="V15" s="55"/>
      <c r="W15" s="55"/>
      <c r="X15" s="38"/>
    </row>
    <row r="16" spans="1:24" x14ac:dyDescent="0.3">
      <c r="A16" s="47">
        <v>0</v>
      </c>
      <c r="B16" s="42"/>
      <c r="C16" s="61">
        <f>'Sch M'!P52</f>
        <v>12.633185921378272</v>
      </c>
      <c r="D16" s="48"/>
      <c r="E16" s="61">
        <f>'Sch M'!U52</f>
        <v>15</v>
      </c>
      <c r="F16" s="48"/>
      <c r="G16" s="61">
        <f>+E16-C16</f>
        <v>2.3668140786217275</v>
      </c>
      <c r="H16" s="42"/>
      <c r="I16" s="50">
        <f>+G16/C16</f>
        <v>0.18734894692054921</v>
      </c>
      <c r="J16" s="50"/>
      <c r="K16" s="50"/>
      <c r="L16" s="50"/>
      <c r="M16" s="50"/>
      <c r="N16" s="38"/>
      <c r="O16" s="38"/>
      <c r="P16" s="51"/>
      <c r="Q16" s="38"/>
      <c r="R16" s="55"/>
      <c r="S16" s="55"/>
      <c r="T16" s="55"/>
      <c r="U16" s="55"/>
      <c r="V16" s="55"/>
      <c r="W16" s="55"/>
      <c r="X16" s="38"/>
    </row>
    <row r="17" spans="1:24" x14ac:dyDescent="0.3">
      <c r="A17" s="52">
        <v>1</v>
      </c>
      <c r="B17" s="38"/>
      <c r="C17" s="53">
        <f>ROUND($C$16+(A17*'Sch M'!$P$66),2)</f>
        <v>17.670000000000002</v>
      </c>
      <c r="D17" s="53"/>
      <c r="E17" s="53">
        <f>ROUND($E$16+(A17*'Sch M'!$U$66),2)</f>
        <v>21.36</v>
      </c>
      <c r="F17" s="53"/>
      <c r="G17" s="54">
        <f t="shared" ref="G17:G36" si="0">+E17-C17</f>
        <v>3.6899999999999977</v>
      </c>
      <c r="H17" s="42"/>
      <c r="I17" s="50">
        <f t="shared" ref="I17:I36" si="1">+G17/C17</f>
        <v>0.2088285229202036</v>
      </c>
      <c r="J17" s="50"/>
      <c r="K17" s="50"/>
      <c r="L17" s="50"/>
      <c r="M17" s="50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x14ac:dyDescent="0.3">
      <c r="A18" s="52">
        <v>2</v>
      </c>
      <c r="B18" s="38"/>
      <c r="C18" s="53">
        <f>ROUND($C$16+(A18*'Sch M'!$P$66),2)</f>
        <v>22.71</v>
      </c>
      <c r="D18" s="53"/>
      <c r="E18" s="53">
        <f>ROUND($E$16+(A18*'Sch M'!$U$66),2)</f>
        <v>27.73</v>
      </c>
      <c r="F18" s="53"/>
      <c r="G18" s="54">
        <f t="shared" si="0"/>
        <v>5.0199999999999996</v>
      </c>
      <c r="H18" s="42"/>
      <c r="I18" s="50">
        <f t="shared" si="1"/>
        <v>0.22104799647732273</v>
      </c>
      <c r="J18" s="50"/>
      <c r="K18" s="50"/>
      <c r="L18" s="50"/>
      <c r="M18" s="50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x14ac:dyDescent="0.3">
      <c r="A19" s="52">
        <v>3</v>
      </c>
      <c r="B19" s="38"/>
      <c r="C19" s="53">
        <f>ROUND($C$16+(A19*'Sch M'!$P$66),2)</f>
        <v>27.76</v>
      </c>
      <c r="D19" s="53"/>
      <c r="E19" s="53">
        <f>ROUND($E$16+(A19*'Sch M'!$U$66),2)</f>
        <v>34.090000000000003</v>
      </c>
      <c r="F19" s="53"/>
      <c r="G19" s="54">
        <f t="shared" si="0"/>
        <v>6.3300000000000018</v>
      </c>
      <c r="H19" s="42"/>
      <c r="I19" s="50">
        <f t="shared" si="1"/>
        <v>0.22802593659942369</v>
      </c>
      <c r="J19" s="50"/>
      <c r="K19" s="50"/>
      <c r="L19" s="50"/>
      <c r="M19" s="50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x14ac:dyDescent="0.3">
      <c r="A20" s="47">
        <v>4</v>
      </c>
      <c r="B20" s="55"/>
      <c r="C20" s="53">
        <f>ROUND($C$16+(A20*'Sch M'!$P$66),2)</f>
        <v>32.799999999999997</v>
      </c>
      <c r="D20" s="56"/>
      <c r="E20" s="53">
        <f>ROUND($E$16+(A20*'Sch M'!$U$66),2)</f>
        <v>40.46</v>
      </c>
      <c r="F20" s="56"/>
      <c r="G20" s="54">
        <f>+E20-C20</f>
        <v>7.6600000000000037</v>
      </c>
      <c r="H20" s="46"/>
      <c r="I20" s="50">
        <f>+G20/C20</f>
        <v>0.23353658536585378</v>
      </c>
      <c r="J20" s="50"/>
      <c r="K20" s="50"/>
      <c r="L20" s="50"/>
      <c r="M20" s="50"/>
      <c r="N20" s="55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x14ac:dyDescent="0.3">
      <c r="A21" s="47">
        <v>5</v>
      </c>
      <c r="B21" s="55"/>
      <c r="C21" s="56">
        <f>ROUND($C$16+(A21*'Sch M'!$P$66),2)</f>
        <v>37.840000000000003</v>
      </c>
      <c r="D21" s="56"/>
      <c r="E21" s="56">
        <f>ROUND($E$16+(A21*'Sch M'!$U$66),2)</f>
        <v>46.82</v>
      </c>
      <c r="F21" s="56"/>
      <c r="G21" s="54">
        <f t="shared" si="0"/>
        <v>8.9799999999999969</v>
      </c>
      <c r="H21" s="46"/>
      <c r="I21" s="50">
        <f t="shared" si="1"/>
        <v>0.23731501057082441</v>
      </c>
      <c r="J21" s="50"/>
      <c r="K21" s="50"/>
      <c r="L21" s="50"/>
      <c r="M21" s="50"/>
      <c r="N21" s="55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x14ac:dyDescent="0.3">
      <c r="A22" s="47">
        <v>6</v>
      </c>
      <c r="B22" s="55"/>
      <c r="C22" s="53">
        <f>ROUND($C$16+(A22*'Sch M'!$P$66),2)</f>
        <v>42.88</v>
      </c>
      <c r="D22" s="56"/>
      <c r="E22" s="53">
        <f>ROUND($E$16+(A22*'Sch M'!$U$66),2)</f>
        <v>53.18</v>
      </c>
      <c r="F22" s="56"/>
      <c r="G22" s="54">
        <f t="shared" si="0"/>
        <v>10.299999999999997</v>
      </c>
      <c r="H22" s="46"/>
      <c r="I22" s="50">
        <f t="shared" si="1"/>
        <v>0.24020522388059692</v>
      </c>
      <c r="J22" s="50"/>
      <c r="K22" s="50"/>
      <c r="L22" s="50"/>
      <c r="M22" s="50"/>
      <c r="N22" s="55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x14ac:dyDescent="0.3">
      <c r="A23" s="47">
        <v>7</v>
      </c>
      <c r="B23" s="55"/>
      <c r="C23" s="53">
        <f>ROUND($C$16+(A23*'Sch M'!$P$66),2)</f>
        <v>47.92</v>
      </c>
      <c r="D23" s="56"/>
      <c r="E23" s="53">
        <f>ROUND($E$16+(A23*'Sch M'!$U$66),2)</f>
        <v>59.55</v>
      </c>
      <c r="F23" s="56"/>
      <c r="G23" s="54">
        <f t="shared" si="0"/>
        <v>11.629999999999995</v>
      </c>
      <c r="H23" s="46"/>
      <c r="I23" s="50">
        <f t="shared" si="1"/>
        <v>0.24269616026711174</v>
      </c>
      <c r="J23" s="50"/>
      <c r="K23" s="50"/>
      <c r="L23" s="50"/>
      <c r="M23" s="50"/>
      <c r="N23" s="55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x14ac:dyDescent="0.3">
      <c r="A24" s="47">
        <v>8</v>
      </c>
      <c r="B24" s="55"/>
      <c r="C24" s="53">
        <f>ROUND($C$16+(A24*'Sch M'!$P$66),2)</f>
        <v>52.96</v>
      </c>
      <c r="D24" s="56"/>
      <c r="E24" s="53">
        <f>ROUND($E$16+(A24*'Sch M'!$U$66),2)</f>
        <v>65.91</v>
      </c>
      <c r="F24" s="56"/>
      <c r="G24" s="54">
        <f t="shared" si="0"/>
        <v>12.949999999999996</v>
      </c>
      <c r="H24" s="46"/>
      <c r="I24" s="50">
        <f t="shared" si="1"/>
        <v>0.24452416918428996</v>
      </c>
      <c r="J24" s="50"/>
      <c r="K24" s="50"/>
      <c r="L24" s="50"/>
      <c r="M24" s="50"/>
      <c r="N24" s="55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x14ac:dyDescent="0.3">
      <c r="A25" s="47">
        <v>9</v>
      </c>
      <c r="B25" s="55"/>
      <c r="C25" s="53">
        <f>ROUND($C$16+(A25*'Sch M'!$P$66),2)</f>
        <v>58</v>
      </c>
      <c r="D25" s="56"/>
      <c r="E25" s="53">
        <f>ROUND($E$16+(A25*'Sch M'!$U$66),2)</f>
        <v>72.28</v>
      </c>
      <c r="F25" s="56"/>
      <c r="G25" s="54">
        <f t="shared" si="0"/>
        <v>14.280000000000001</v>
      </c>
      <c r="H25" s="46"/>
      <c r="I25" s="50">
        <f t="shared" si="1"/>
        <v>0.24620689655172415</v>
      </c>
      <c r="J25" s="50"/>
      <c r="K25" s="50"/>
      <c r="L25" s="50"/>
      <c r="M25" s="50"/>
      <c r="N25" s="55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x14ac:dyDescent="0.3">
      <c r="A26" s="52">
        <v>10</v>
      </c>
      <c r="B26" s="38"/>
      <c r="C26" s="53">
        <f>ROUND($C$16+(A26*'Sch M'!$P$66),2)</f>
        <v>63.04</v>
      </c>
      <c r="D26" s="53"/>
      <c r="E26" s="53">
        <f>ROUND($E$16+(A26*'Sch M'!$U$66),2)</f>
        <v>78.64</v>
      </c>
      <c r="F26" s="53"/>
      <c r="G26" s="54">
        <f t="shared" si="0"/>
        <v>15.600000000000001</v>
      </c>
      <c r="H26" s="42"/>
      <c r="I26" s="50">
        <f t="shared" si="1"/>
        <v>0.24746192893401017</v>
      </c>
      <c r="J26" s="50"/>
      <c r="K26" s="50"/>
      <c r="L26" s="50"/>
      <c r="M26" s="50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x14ac:dyDescent="0.3">
      <c r="A27" s="52">
        <v>15</v>
      </c>
      <c r="B27" s="38"/>
      <c r="C27" s="53">
        <f>ROUND($C$16+(A27*'Sch M'!$P$66),2)</f>
        <v>88.25</v>
      </c>
      <c r="D27" s="53"/>
      <c r="E27" s="53">
        <f>ROUND($E$16+(A27*'Sch M'!$U$66),2)</f>
        <v>110.46</v>
      </c>
      <c r="F27" s="53"/>
      <c r="G27" s="54">
        <f t="shared" si="0"/>
        <v>22.209999999999994</v>
      </c>
      <c r="H27" s="42"/>
      <c r="I27" s="50">
        <f t="shared" si="1"/>
        <v>0.25167138810198292</v>
      </c>
      <c r="J27" s="50"/>
      <c r="K27" s="50"/>
      <c r="L27" s="50"/>
      <c r="M27" s="50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x14ac:dyDescent="0.3">
      <c r="A28" s="52">
        <v>20</v>
      </c>
      <c r="B28" s="38"/>
      <c r="C28" s="53">
        <f>ROUND($C$16+(A28*'Sch M'!$P$66),2)</f>
        <v>113.45</v>
      </c>
      <c r="D28" s="53"/>
      <c r="E28" s="53">
        <f>ROUND($E$16+(A28*'Sch M'!$U$66),2)</f>
        <v>142.28</v>
      </c>
      <c r="F28" s="53"/>
      <c r="G28" s="54">
        <f t="shared" si="0"/>
        <v>28.83</v>
      </c>
      <c r="H28" s="42"/>
      <c r="I28" s="50">
        <f t="shared" si="1"/>
        <v>0.25412075804319079</v>
      </c>
      <c r="J28" s="50"/>
      <c r="K28" s="50"/>
      <c r="L28" s="50"/>
      <c r="M28" s="50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x14ac:dyDescent="0.3">
      <c r="A29" s="52">
        <v>25</v>
      </c>
      <c r="B29" s="38"/>
      <c r="C29" s="53">
        <f>ROUND($C$16+(A29*'Sch M'!$P$66),2)</f>
        <v>138.66</v>
      </c>
      <c r="D29" s="53"/>
      <c r="E29" s="53">
        <f>ROUND($E$16+(A29*'Sch M'!$U$66),2)</f>
        <v>174.1</v>
      </c>
      <c r="F29" s="53"/>
      <c r="G29" s="54">
        <f t="shared" si="0"/>
        <v>35.44</v>
      </c>
      <c r="H29" s="42"/>
      <c r="I29" s="50">
        <f t="shared" si="1"/>
        <v>0.25558921101976056</v>
      </c>
      <c r="J29" s="50"/>
      <c r="K29" s="50"/>
      <c r="L29" s="50"/>
      <c r="M29" s="5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x14ac:dyDescent="0.3">
      <c r="A30" s="52">
        <v>30</v>
      </c>
      <c r="B30" s="38"/>
      <c r="C30" s="53">
        <f>ROUND($C$16+(A30*'Sch M'!$P$66),2)</f>
        <v>163.86</v>
      </c>
      <c r="D30" s="53"/>
      <c r="E30" s="53">
        <f>ROUND($E$16+(A30*'Sch M'!$U$66),2)</f>
        <v>205.92</v>
      </c>
      <c r="F30" s="53"/>
      <c r="G30" s="54">
        <f t="shared" si="0"/>
        <v>42.059999999999974</v>
      </c>
      <c r="H30" s="42"/>
      <c r="I30" s="50">
        <f t="shared" si="1"/>
        <v>0.25668253387037698</v>
      </c>
      <c r="J30" s="50"/>
      <c r="K30" s="50"/>
      <c r="L30" s="50"/>
      <c r="M30" s="5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x14ac:dyDescent="0.3">
      <c r="A31" s="52">
        <v>35</v>
      </c>
      <c r="B31" s="38"/>
      <c r="C31" s="53">
        <f>ROUND($C$16+(A31*'Sch M'!$P$66),2)</f>
        <v>189.06</v>
      </c>
      <c r="D31" s="53"/>
      <c r="E31" s="53">
        <f>ROUND($E$16+(A31*'Sch M'!$U$66),2)</f>
        <v>237.74</v>
      </c>
      <c r="F31" s="53"/>
      <c r="G31" s="54">
        <f t="shared" si="0"/>
        <v>48.680000000000007</v>
      </c>
      <c r="H31" s="42"/>
      <c r="I31" s="50">
        <f t="shared" si="1"/>
        <v>0.25748439648788746</v>
      </c>
      <c r="J31" s="50"/>
      <c r="K31" s="50"/>
      <c r="L31" s="50"/>
      <c r="M31" s="50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x14ac:dyDescent="0.3">
      <c r="A32" s="52">
        <v>40</v>
      </c>
      <c r="B32" s="38"/>
      <c r="C32" s="53">
        <f>ROUND($C$16+(A32*'Sch M'!$P$66),2)</f>
        <v>214.27</v>
      </c>
      <c r="D32" s="53"/>
      <c r="E32" s="53">
        <f>ROUND($E$16+(A32*'Sch M'!$U$66),2)</f>
        <v>269.56</v>
      </c>
      <c r="F32" s="53"/>
      <c r="G32" s="54">
        <f t="shared" si="0"/>
        <v>55.289999999999992</v>
      </c>
      <c r="H32" s="42"/>
      <c r="I32" s="50">
        <f t="shared" si="1"/>
        <v>0.2580389228543426</v>
      </c>
      <c r="J32" s="50"/>
      <c r="K32" s="50"/>
      <c r="L32" s="50"/>
      <c r="M32" s="50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x14ac:dyDescent="0.3">
      <c r="A33" s="52">
        <v>45</v>
      </c>
      <c r="B33" s="38"/>
      <c r="C33" s="53">
        <f>ROUND($C$16+(A33*'Sch M'!$P$66),2)</f>
        <v>239.47</v>
      </c>
      <c r="D33" s="53"/>
      <c r="E33" s="53">
        <f>ROUND($E$16+(A33*'Sch M'!$U$66),2)</f>
        <v>301.38</v>
      </c>
      <c r="F33" s="53"/>
      <c r="G33" s="54">
        <f t="shared" si="0"/>
        <v>61.91</v>
      </c>
      <c r="H33" s="42"/>
      <c r="I33" s="50">
        <f t="shared" si="1"/>
        <v>0.2585292520983839</v>
      </c>
      <c r="J33" s="50"/>
      <c r="K33" s="50"/>
      <c r="L33" s="50"/>
      <c r="M33" s="50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x14ac:dyDescent="0.3">
      <c r="A34" s="52">
        <v>50</v>
      </c>
      <c r="B34" s="38"/>
      <c r="C34" s="53">
        <f>ROUND($C$16+(A34*'Sch M'!$P$66),2)</f>
        <v>264.68</v>
      </c>
      <c r="D34" s="53"/>
      <c r="E34" s="53">
        <f>ROUND($E$16+(A34*'Sch M'!$U$66),2)</f>
        <v>333.2</v>
      </c>
      <c r="F34" s="53"/>
      <c r="G34" s="54">
        <f t="shared" si="0"/>
        <v>68.519999999999982</v>
      </c>
      <c r="H34" s="42"/>
      <c r="I34" s="50">
        <f t="shared" si="1"/>
        <v>0.25887864591204468</v>
      </c>
      <c r="J34" s="50"/>
      <c r="K34" s="50"/>
      <c r="L34" s="50"/>
      <c r="M34" s="50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x14ac:dyDescent="0.3">
      <c r="A35" s="52">
        <v>75</v>
      </c>
      <c r="B35" s="38"/>
      <c r="C35" s="53">
        <f>ROUND($C$16+(A35*'Sch M'!$P$66),2)</f>
        <v>390.7</v>
      </c>
      <c r="D35" s="53"/>
      <c r="E35" s="53">
        <f>ROUND($E$16+(A35*'Sch M'!$U$66),2)</f>
        <v>492.3</v>
      </c>
      <c r="F35" s="53"/>
      <c r="G35" s="54">
        <f t="shared" si="0"/>
        <v>101.60000000000002</v>
      </c>
      <c r="H35" s="42"/>
      <c r="I35" s="50">
        <f t="shared" si="1"/>
        <v>0.26004607115433842</v>
      </c>
      <c r="J35" s="50"/>
      <c r="K35" s="50"/>
      <c r="L35" s="50"/>
      <c r="M35" s="50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x14ac:dyDescent="0.3">
      <c r="A36" s="52">
        <v>100</v>
      </c>
      <c r="B36" s="38"/>
      <c r="C36" s="53">
        <f>ROUND($C$16+(A36*'Sch M'!$P$66),2)</f>
        <v>516.72</v>
      </c>
      <c r="D36" s="53"/>
      <c r="E36" s="53">
        <f>ROUND($E$16+(A36*'Sch M'!$U$66),2)</f>
        <v>651.4</v>
      </c>
      <c r="F36" s="53"/>
      <c r="G36" s="54">
        <f t="shared" si="0"/>
        <v>134.67999999999995</v>
      </c>
      <c r="H36" s="42"/>
      <c r="I36" s="50">
        <f t="shared" si="1"/>
        <v>0.26064406254838202</v>
      </c>
      <c r="J36" s="50"/>
      <c r="K36" s="50"/>
      <c r="L36" s="50"/>
      <c r="M36" s="50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x14ac:dyDescent="0.3">
      <c r="A38" s="38" t="s">
        <v>127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x14ac:dyDescent="0.3">
      <c r="A39" s="317">
        <f>+'Link in'!M29/'Link in'!M21</f>
        <v>3.8625784976384105</v>
      </c>
      <c r="B39" s="38"/>
      <c r="C39" s="56">
        <f>ROUND($C$16+(A39*'Sch M'!$P$66),2)</f>
        <v>32.1</v>
      </c>
      <c r="D39" s="57"/>
      <c r="E39" s="56">
        <f>ROUND($E$16+(A39*'Sch M'!$U$66),2)</f>
        <v>39.58</v>
      </c>
      <c r="F39" s="57"/>
      <c r="G39" s="54">
        <f>+E39-C39</f>
        <v>7.4799999999999969</v>
      </c>
      <c r="H39" s="42"/>
      <c r="I39" s="50">
        <f>+G39/C39</f>
        <v>0.23302180685358245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x14ac:dyDescent="0.3">
      <c r="L40" s="36">
        <f>A39*12</f>
        <v>46.35094197166093</v>
      </c>
    </row>
    <row r="41" spans="1:24" x14ac:dyDescent="0.3">
      <c r="G41" s="82"/>
      <c r="H41" s="82"/>
      <c r="I41" s="82"/>
      <c r="J41" s="82"/>
    </row>
    <row r="42" spans="1:24" x14ac:dyDescent="0.3">
      <c r="G42" s="82"/>
      <c r="H42" s="82"/>
      <c r="I42" s="83"/>
      <c r="J42" s="82"/>
    </row>
    <row r="43" spans="1:24" x14ac:dyDescent="0.3">
      <c r="A43" s="84"/>
      <c r="G43" s="82"/>
      <c r="H43" s="82"/>
      <c r="J43" s="82"/>
    </row>
    <row r="44" spans="1:24" x14ac:dyDescent="0.3">
      <c r="A44" s="84"/>
      <c r="G44" s="82"/>
      <c r="H44" s="82"/>
      <c r="J44" s="82"/>
    </row>
    <row r="45" spans="1:24" x14ac:dyDescent="0.3">
      <c r="G45" s="82"/>
      <c r="H45" s="82"/>
      <c r="I45" s="82"/>
      <c r="J45" s="82"/>
    </row>
    <row r="46" spans="1:24" x14ac:dyDescent="0.3">
      <c r="A46" s="338" t="str">
        <f>A5</f>
        <v>Kentucky American Water Company</v>
      </c>
      <c r="B46" s="338"/>
      <c r="C46" s="338"/>
      <c r="D46" s="338"/>
      <c r="E46" s="338"/>
      <c r="F46" s="338"/>
      <c r="G46" s="338"/>
      <c r="H46" s="338"/>
      <c r="I46" s="338"/>
    </row>
    <row r="47" spans="1:24" x14ac:dyDescent="0.3">
      <c r="A47" s="338" t="str">
        <f>A6</f>
        <v>Case No. 2018-00358</v>
      </c>
      <c r="B47" s="338"/>
      <c r="C47" s="338"/>
      <c r="D47" s="338"/>
      <c r="E47" s="338"/>
      <c r="F47" s="338"/>
      <c r="G47" s="338"/>
      <c r="H47" s="338"/>
      <c r="I47" s="338"/>
    </row>
    <row r="48" spans="1:24" x14ac:dyDescent="0.3">
      <c r="A48" s="338" t="str">
        <f>A7</f>
        <v>Forecast Year for the 12 Months Ended June 30, 2020</v>
      </c>
      <c r="B48" s="338"/>
      <c r="C48" s="338"/>
      <c r="D48" s="338"/>
      <c r="E48" s="338"/>
      <c r="F48" s="338"/>
      <c r="G48" s="338"/>
      <c r="H48" s="338"/>
      <c r="I48" s="338"/>
    </row>
    <row r="49" spans="1:9" ht="29.55" customHeight="1" x14ac:dyDescent="0.3">
      <c r="A49" s="339" t="s">
        <v>211</v>
      </c>
      <c r="B49" s="338"/>
      <c r="C49" s="338"/>
      <c r="D49" s="338"/>
      <c r="E49" s="338"/>
      <c r="F49" s="338"/>
      <c r="G49" s="338"/>
      <c r="H49" s="338"/>
      <c r="I49" s="338"/>
    </row>
    <row r="50" spans="1:9" x14ac:dyDescent="0.3">
      <c r="A50" s="338" t="s">
        <v>129</v>
      </c>
      <c r="B50" s="338"/>
      <c r="C50" s="338"/>
      <c r="D50" s="338"/>
      <c r="E50" s="338"/>
      <c r="F50" s="338"/>
      <c r="G50" s="338"/>
      <c r="H50" s="338"/>
      <c r="I50" s="338"/>
    </row>
    <row r="52" spans="1:9" x14ac:dyDescent="0.3">
      <c r="A52" s="87" t="str">
        <f>A11</f>
        <v>Witness Responsible:   Melissa Schwarzell</v>
      </c>
      <c r="B52" s="87"/>
      <c r="C52" s="87"/>
      <c r="D52" s="87"/>
      <c r="E52" s="87"/>
      <c r="F52" s="87"/>
      <c r="G52" s="87"/>
      <c r="H52" s="87"/>
      <c r="I52" s="85" t="s">
        <v>186</v>
      </c>
    </row>
    <row r="53" spans="1:9" x14ac:dyDescent="0.3">
      <c r="A53" s="87" t="str">
        <f>'Link in'!$A$95</f>
        <v/>
      </c>
      <c r="B53" s="42"/>
      <c r="C53" s="42"/>
      <c r="D53" s="42"/>
      <c r="E53" s="42"/>
      <c r="F53" s="42"/>
      <c r="G53" s="42"/>
      <c r="H53" s="42"/>
      <c r="I53" s="90" t="str">
        <f ca="1">RIGHT(CELL("filename",$A$1),LEN(CELL("filename",$A$1))-SEARCH("\Revenues",CELL("filename",$A$1),1))</f>
        <v>Revenues\[KAWC 2018 Rate Case - Revenue.xlsx]Sch N</v>
      </c>
    </row>
    <row r="54" spans="1:9" x14ac:dyDescent="0.3">
      <c r="A54" s="38"/>
      <c r="B54" s="38"/>
      <c r="C54" s="38"/>
      <c r="D54" s="38"/>
      <c r="E54" s="38"/>
      <c r="F54" s="38"/>
      <c r="G54" s="38"/>
      <c r="H54" s="38"/>
      <c r="I54" s="38"/>
    </row>
    <row r="55" spans="1:9" x14ac:dyDescent="0.3">
      <c r="A55" s="43" t="s">
        <v>18</v>
      </c>
      <c r="B55" s="42"/>
      <c r="C55" s="44" t="s">
        <v>79</v>
      </c>
      <c r="D55" s="44"/>
      <c r="E55" s="44" t="s">
        <v>73</v>
      </c>
      <c r="F55" s="44"/>
      <c r="G55" s="44"/>
      <c r="H55" s="44"/>
      <c r="I55" s="44" t="s">
        <v>53</v>
      </c>
    </row>
    <row r="56" spans="1:9" x14ac:dyDescent="0.3">
      <c r="A56" s="45" t="s">
        <v>128</v>
      </c>
      <c r="B56" s="42"/>
      <c r="C56" s="45" t="s">
        <v>46</v>
      </c>
      <c r="D56" s="44"/>
      <c r="E56" s="45" t="s">
        <v>46</v>
      </c>
      <c r="F56" s="44"/>
      <c r="G56" s="45" t="s">
        <v>126</v>
      </c>
      <c r="H56" s="44"/>
      <c r="I56" s="45" t="s">
        <v>126</v>
      </c>
    </row>
    <row r="57" spans="1:9" x14ac:dyDescent="0.3">
      <c r="A57" s="47">
        <v>0</v>
      </c>
      <c r="B57" s="42"/>
      <c r="C57" s="61">
        <f>'Sch M'!P91</f>
        <v>13.700012672206231</v>
      </c>
      <c r="D57" s="48"/>
      <c r="E57" s="61">
        <f>'Sch M'!U91</f>
        <v>15</v>
      </c>
      <c r="F57" s="48"/>
      <c r="G57" s="61">
        <f>+E57-C57</f>
        <v>1.2999873277937688</v>
      </c>
      <c r="H57" s="42"/>
      <c r="I57" s="50">
        <f>+G57/C57</f>
        <v>9.4889498199596967E-2</v>
      </c>
    </row>
    <row r="58" spans="1:9" x14ac:dyDescent="0.3">
      <c r="A58" s="52">
        <v>1</v>
      </c>
      <c r="B58" s="38"/>
      <c r="C58" s="53">
        <f>ROUND($C$57+(A58*'Sch M'!$P$105),2)</f>
        <v>18.11</v>
      </c>
      <c r="D58" s="53"/>
      <c r="E58" s="53">
        <f>ROUND($E$57+(A58*'Sch M'!$U$105),2)</f>
        <v>20.71</v>
      </c>
      <c r="F58" s="53"/>
      <c r="G58" s="54">
        <f t="shared" ref="G58:G78" si="2">+E58-C58</f>
        <v>2.6000000000000014</v>
      </c>
      <c r="H58" s="42"/>
      <c r="I58" s="50">
        <f t="shared" ref="I58:I78" si="3">+G58/C58</f>
        <v>0.1435670900055219</v>
      </c>
    </row>
    <row r="59" spans="1:9" x14ac:dyDescent="0.3">
      <c r="A59" s="52">
        <v>2</v>
      </c>
      <c r="B59" s="38"/>
      <c r="C59" s="53">
        <f>ROUND($C$57+(A59*'Sch M'!$P$105),2)</f>
        <v>22.52</v>
      </c>
      <c r="D59" s="53"/>
      <c r="E59" s="53">
        <f>ROUND($E$57+(A59*'Sch M'!$U$105),2)</f>
        <v>26.42</v>
      </c>
      <c r="F59" s="53"/>
      <c r="G59" s="54">
        <f t="shared" si="2"/>
        <v>3.9000000000000021</v>
      </c>
      <c r="H59" s="42"/>
      <c r="I59" s="50">
        <f t="shared" si="3"/>
        <v>0.17317939609236244</v>
      </c>
    </row>
    <row r="60" spans="1:9" x14ac:dyDescent="0.3">
      <c r="A60" s="52">
        <v>3</v>
      </c>
      <c r="B60" s="38"/>
      <c r="C60" s="53">
        <f>ROUND($C$57+(A60*'Sch M'!$P$105),2)</f>
        <v>26.93</v>
      </c>
      <c r="D60" s="53"/>
      <c r="E60" s="53">
        <f>ROUND($E$57+(A60*'Sch M'!$U$105),2)</f>
        <v>32.14</v>
      </c>
      <c r="F60" s="53"/>
      <c r="G60" s="54">
        <f t="shared" si="2"/>
        <v>5.2100000000000009</v>
      </c>
      <c r="H60" s="42"/>
      <c r="I60" s="50">
        <f t="shared" si="3"/>
        <v>0.19346453769030825</v>
      </c>
    </row>
    <row r="61" spans="1:9" x14ac:dyDescent="0.3">
      <c r="A61" s="47">
        <v>4</v>
      </c>
      <c r="B61" s="55"/>
      <c r="C61" s="53">
        <f>ROUND($C$57+(A61*'Sch M'!$P$105),2)</f>
        <v>31.34</v>
      </c>
      <c r="D61" s="56"/>
      <c r="E61" s="53">
        <f>ROUND($E$57+(A61*'Sch M'!$U$105),2)</f>
        <v>37.85</v>
      </c>
      <c r="F61" s="56"/>
      <c r="G61" s="54">
        <f t="shared" si="2"/>
        <v>6.5100000000000016</v>
      </c>
      <c r="H61" s="46"/>
      <c r="I61" s="50">
        <f t="shared" si="3"/>
        <v>0.20772176132737721</v>
      </c>
    </row>
    <row r="62" spans="1:9" x14ac:dyDescent="0.3">
      <c r="A62" s="47">
        <v>4.5</v>
      </c>
      <c r="B62" s="55"/>
      <c r="C62" s="56">
        <f>ROUND($C$57+(A62*'Sch M'!$P$105),2)</f>
        <v>33.549999999999997</v>
      </c>
      <c r="D62" s="56"/>
      <c r="E62" s="56">
        <f>ROUND($E$57+(A62*'Sch M'!$U$105),2)</f>
        <v>40.700000000000003</v>
      </c>
      <c r="F62" s="56"/>
      <c r="G62" s="54">
        <f t="shared" si="2"/>
        <v>7.1500000000000057</v>
      </c>
      <c r="H62" s="46"/>
      <c r="I62" s="50">
        <f t="shared" si="3"/>
        <v>0.21311475409836084</v>
      </c>
    </row>
    <row r="63" spans="1:9" x14ac:dyDescent="0.3">
      <c r="A63" s="47">
        <v>5</v>
      </c>
      <c r="B63" s="55"/>
      <c r="C63" s="56">
        <f>ROUND($C$57+(A63*'Sch M'!$P$105),2)</f>
        <v>35.76</v>
      </c>
      <c r="D63" s="56"/>
      <c r="E63" s="56">
        <f>ROUND($E$57+(A63*'Sch M'!$U$105),2)</f>
        <v>43.56</v>
      </c>
      <c r="F63" s="56"/>
      <c r="G63" s="54">
        <f t="shared" si="2"/>
        <v>7.8000000000000043</v>
      </c>
      <c r="H63" s="46"/>
      <c r="I63" s="50">
        <f t="shared" si="3"/>
        <v>0.21812080536912765</v>
      </c>
    </row>
    <row r="64" spans="1:9" x14ac:dyDescent="0.3">
      <c r="A64" s="47">
        <v>6</v>
      </c>
      <c r="B64" s="55"/>
      <c r="C64" s="53">
        <f>ROUND($C$57+(A64*'Sch M'!$P$105),2)</f>
        <v>40.17</v>
      </c>
      <c r="D64" s="56"/>
      <c r="E64" s="53">
        <f>ROUND($E$57+(A64*'Sch M'!$U$105),2)</f>
        <v>49.27</v>
      </c>
      <c r="F64" s="56"/>
      <c r="G64" s="54">
        <f t="shared" si="2"/>
        <v>9.1000000000000014</v>
      </c>
      <c r="H64" s="46"/>
      <c r="I64" s="50">
        <f t="shared" si="3"/>
        <v>0.22653721682847899</v>
      </c>
    </row>
    <row r="65" spans="1:9" x14ac:dyDescent="0.3">
      <c r="A65" s="47">
        <v>7</v>
      </c>
      <c r="B65" s="55"/>
      <c r="C65" s="53">
        <f>ROUND($C$57+(A65*'Sch M'!$P$105),2)</f>
        <v>44.58</v>
      </c>
      <c r="D65" s="56"/>
      <c r="E65" s="53">
        <f>ROUND($E$57+(A65*'Sch M'!$U$105),2)</f>
        <v>54.98</v>
      </c>
      <c r="F65" s="56"/>
      <c r="G65" s="54">
        <f t="shared" si="2"/>
        <v>10.399999999999999</v>
      </c>
      <c r="H65" s="46"/>
      <c r="I65" s="50">
        <f t="shared" si="3"/>
        <v>0.23328847016599369</v>
      </c>
    </row>
    <row r="66" spans="1:9" x14ac:dyDescent="0.3">
      <c r="A66" s="47">
        <v>8</v>
      </c>
      <c r="B66" s="55"/>
      <c r="C66" s="53">
        <f>ROUND($C$57+(A66*'Sch M'!$P$105),2)</f>
        <v>48.99</v>
      </c>
      <c r="D66" s="56"/>
      <c r="E66" s="53">
        <f>ROUND($E$57+(A66*'Sch M'!$U$105),2)</f>
        <v>60.7</v>
      </c>
      <c r="F66" s="56"/>
      <c r="G66" s="54">
        <f t="shared" si="2"/>
        <v>11.71</v>
      </c>
      <c r="H66" s="46"/>
      <c r="I66" s="50">
        <f t="shared" si="3"/>
        <v>0.23902837313737499</v>
      </c>
    </row>
    <row r="67" spans="1:9" x14ac:dyDescent="0.3">
      <c r="A67" s="47">
        <v>9</v>
      </c>
      <c r="B67" s="55"/>
      <c r="C67" s="53">
        <f>ROUND($C$57+(A67*'Sch M'!$P$105),2)</f>
        <v>53.4</v>
      </c>
      <c r="D67" s="56"/>
      <c r="E67" s="53">
        <f>ROUND($E$57+(A67*'Sch M'!$U$105),2)</f>
        <v>66.41</v>
      </c>
      <c r="F67" s="56"/>
      <c r="G67" s="54">
        <f t="shared" si="2"/>
        <v>13.009999999999998</v>
      </c>
      <c r="H67" s="46"/>
      <c r="I67" s="50">
        <f t="shared" si="3"/>
        <v>0.2436329588014981</v>
      </c>
    </row>
    <row r="68" spans="1:9" x14ac:dyDescent="0.3">
      <c r="A68" s="52">
        <v>10</v>
      </c>
      <c r="B68" s="38"/>
      <c r="C68" s="53">
        <f>ROUND($C$57+(A68*'Sch M'!$P$105),2)</f>
        <v>57.81</v>
      </c>
      <c r="D68" s="53"/>
      <c r="E68" s="53">
        <f>ROUND($E$57+(A68*'Sch M'!$U$105),2)</f>
        <v>72.12</v>
      </c>
      <c r="F68" s="53"/>
      <c r="G68" s="54">
        <f t="shared" si="2"/>
        <v>14.310000000000002</v>
      </c>
      <c r="H68" s="42"/>
      <c r="I68" s="50">
        <f t="shared" si="3"/>
        <v>0.24753502854177481</v>
      </c>
    </row>
    <row r="69" spans="1:9" x14ac:dyDescent="0.3">
      <c r="A69" s="52">
        <v>15</v>
      </c>
      <c r="B69" s="38"/>
      <c r="C69" s="53">
        <f>ROUND($C$57+(A69*'Sch M'!$P$105),2)</f>
        <v>79.87</v>
      </c>
      <c r="D69" s="53"/>
      <c r="E69" s="53">
        <f>ROUND($E$57+(A69*'Sch M'!$U$105),2)</f>
        <v>100.68</v>
      </c>
      <c r="F69" s="53"/>
      <c r="G69" s="54">
        <f t="shared" si="2"/>
        <v>20.810000000000002</v>
      </c>
      <c r="H69" s="42"/>
      <c r="I69" s="50">
        <f t="shared" si="3"/>
        <v>0.26054839113559536</v>
      </c>
    </row>
    <row r="70" spans="1:9" x14ac:dyDescent="0.3">
      <c r="A70" s="52">
        <v>20</v>
      </c>
      <c r="B70" s="38"/>
      <c r="C70" s="53">
        <f>ROUND($C$57+(A70*'Sch M'!$P$105),2)</f>
        <v>101.92</v>
      </c>
      <c r="D70" s="53"/>
      <c r="E70" s="53">
        <f>ROUND($E$57+(A70*'Sch M'!$U$105),2)</f>
        <v>129.24</v>
      </c>
      <c r="F70" s="53"/>
      <c r="G70" s="54">
        <f t="shared" si="2"/>
        <v>27.320000000000007</v>
      </c>
      <c r="H70" s="42"/>
      <c r="I70" s="50">
        <f t="shared" si="3"/>
        <v>0.2680533751962324</v>
      </c>
    </row>
    <row r="71" spans="1:9" x14ac:dyDescent="0.3">
      <c r="A71" s="52">
        <v>25</v>
      </c>
      <c r="B71" s="38"/>
      <c r="C71" s="53">
        <f>ROUND($C$57+(A71*'Sch M'!$P$105),2)</f>
        <v>123.98</v>
      </c>
      <c r="D71" s="53"/>
      <c r="E71" s="53">
        <f>ROUND($E$57+(A71*'Sch M'!$U$105),2)</f>
        <v>157.80000000000001</v>
      </c>
      <c r="F71" s="53"/>
      <c r="G71" s="54">
        <f t="shared" si="2"/>
        <v>33.820000000000007</v>
      </c>
      <c r="H71" s="42"/>
      <c r="I71" s="50">
        <f t="shared" si="3"/>
        <v>0.27278593321503475</v>
      </c>
    </row>
    <row r="72" spans="1:9" x14ac:dyDescent="0.3">
      <c r="A72" s="52">
        <v>32.200000000000003</v>
      </c>
      <c r="B72" s="38"/>
      <c r="C72" s="53">
        <f>ROUND($C$57+(A72*'Sch M'!$P$105),2)</f>
        <v>155.74</v>
      </c>
      <c r="D72" s="53"/>
      <c r="E72" s="53">
        <f>ROUND($E$57+(A72*'Sch M'!$U$105),2)</f>
        <v>198.93</v>
      </c>
      <c r="F72" s="53"/>
      <c r="G72" s="54">
        <f t="shared" si="2"/>
        <v>43.19</v>
      </c>
      <c r="H72" s="42"/>
      <c r="I72" s="50">
        <f t="shared" si="3"/>
        <v>0.27732117631950681</v>
      </c>
    </row>
    <row r="73" spans="1:9" x14ac:dyDescent="0.3">
      <c r="A73" s="52">
        <v>35</v>
      </c>
      <c r="B73" s="38"/>
      <c r="C73" s="53">
        <f>ROUND($C$57+(A73*'Sch M'!$P$105),2)</f>
        <v>168.09</v>
      </c>
      <c r="D73" s="53"/>
      <c r="E73" s="53">
        <f>ROUND($E$57+(A73*'Sch M'!$U$105),2)</f>
        <v>214.92</v>
      </c>
      <c r="F73" s="53"/>
      <c r="G73" s="54">
        <f t="shared" si="2"/>
        <v>46.829999999999984</v>
      </c>
      <c r="H73" s="42"/>
      <c r="I73" s="50">
        <f t="shared" si="3"/>
        <v>0.27860074959842929</v>
      </c>
    </row>
    <row r="74" spans="1:9" x14ac:dyDescent="0.3">
      <c r="A74" s="47">
        <v>36</v>
      </c>
      <c r="B74" s="55"/>
      <c r="C74" s="56">
        <f>ROUND($C$57+(A74*'Sch M'!$P$105),2)</f>
        <v>172.5</v>
      </c>
      <c r="D74" s="56"/>
      <c r="E74" s="56">
        <f>ROUND($E$57+(A74*'Sch M'!$U$105),2)</f>
        <v>220.63</v>
      </c>
      <c r="F74" s="56"/>
      <c r="G74" s="54">
        <f t="shared" si="2"/>
        <v>48.129999999999995</v>
      </c>
      <c r="H74" s="46"/>
      <c r="I74" s="50">
        <f t="shared" si="3"/>
        <v>0.27901449275362317</v>
      </c>
    </row>
    <row r="75" spans="1:9" x14ac:dyDescent="0.3">
      <c r="A75" s="52">
        <v>40</v>
      </c>
      <c r="B75" s="38"/>
      <c r="C75" s="53">
        <f>ROUND($C$57+(A75*'Sch M'!$P$105),2)</f>
        <v>190.15</v>
      </c>
      <c r="D75" s="53"/>
      <c r="E75" s="53">
        <f>ROUND($E$57+(A75*'Sch M'!$U$105),2)</f>
        <v>243.48</v>
      </c>
      <c r="F75" s="53"/>
      <c r="G75" s="54">
        <f t="shared" si="2"/>
        <v>53.329999999999984</v>
      </c>
      <c r="H75" s="42"/>
      <c r="I75" s="50">
        <f t="shared" si="3"/>
        <v>0.28046279253221135</v>
      </c>
    </row>
    <row r="76" spans="1:9" x14ac:dyDescent="0.3">
      <c r="A76" s="52">
        <v>50</v>
      </c>
      <c r="B76" s="38"/>
      <c r="C76" s="53">
        <f>ROUND($C$57+(A76*'Sch M'!$P$105),2)</f>
        <v>234.26</v>
      </c>
      <c r="D76" s="53"/>
      <c r="E76" s="53">
        <f>ROUND($E$57+(A76*'Sch M'!$U$105),2)</f>
        <v>300.60000000000002</v>
      </c>
      <c r="F76" s="53"/>
      <c r="G76" s="54">
        <f t="shared" si="2"/>
        <v>66.340000000000032</v>
      </c>
      <c r="H76" s="42"/>
      <c r="I76" s="50">
        <f t="shared" si="3"/>
        <v>0.28318961837274836</v>
      </c>
    </row>
    <row r="77" spans="1:9" x14ac:dyDescent="0.3">
      <c r="A77" s="52">
        <v>75</v>
      </c>
      <c r="B77" s="38"/>
      <c r="C77" s="53">
        <f>ROUND($C$57+(A77*'Sch M'!$P$105),2)</f>
        <v>344.54</v>
      </c>
      <c r="D77" s="53"/>
      <c r="E77" s="53">
        <f>ROUND($E$57+(A77*'Sch M'!$U$105),2)</f>
        <v>443.4</v>
      </c>
      <c r="F77" s="53"/>
      <c r="G77" s="54">
        <f t="shared" si="2"/>
        <v>98.859999999999957</v>
      </c>
      <c r="H77" s="42"/>
      <c r="I77" s="50">
        <f t="shared" si="3"/>
        <v>0.28693330237417991</v>
      </c>
    </row>
    <row r="78" spans="1:9" x14ac:dyDescent="0.3">
      <c r="A78" s="52">
        <v>100</v>
      </c>
      <c r="B78" s="38"/>
      <c r="C78" s="53">
        <f>ROUND($C$57+(A78*'Sch M'!$P$105),2)</f>
        <v>454.82</v>
      </c>
      <c r="D78" s="53"/>
      <c r="E78" s="53">
        <f>ROUND($E$57+(A78*'Sch M'!$U$105),2)</f>
        <v>586.20000000000005</v>
      </c>
      <c r="F78" s="53"/>
      <c r="G78" s="54">
        <f t="shared" si="2"/>
        <v>131.38000000000005</v>
      </c>
      <c r="H78" s="42"/>
      <c r="I78" s="50">
        <f t="shared" si="3"/>
        <v>0.28886152763730716</v>
      </c>
    </row>
    <row r="79" spans="1:9" x14ac:dyDescent="0.3">
      <c r="A79" s="38"/>
      <c r="B79" s="38"/>
      <c r="C79" s="38"/>
      <c r="D79" s="38"/>
      <c r="E79" s="38"/>
      <c r="F79" s="38"/>
      <c r="G79" s="38"/>
      <c r="H79" s="38"/>
      <c r="I79" s="38"/>
    </row>
    <row r="80" spans="1:9" x14ac:dyDescent="0.3">
      <c r="A80" s="38" t="s">
        <v>127</v>
      </c>
      <c r="B80" s="38"/>
      <c r="C80" s="38"/>
      <c r="D80" s="38"/>
      <c r="E80" s="38"/>
      <c r="F80" s="38"/>
      <c r="G80" s="38"/>
      <c r="H80" s="38"/>
      <c r="I80" s="38"/>
    </row>
    <row r="81" spans="1:10" x14ac:dyDescent="0.3">
      <c r="A81" s="52">
        <f>+'Link in'!N29/'Link in'!N21</f>
        <v>34.152772979373275</v>
      </c>
      <c r="B81" s="38"/>
      <c r="C81" s="56">
        <f>ROUND($C$57+(A81*'Sch M'!$P$105),2)</f>
        <v>164.35</v>
      </c>
      <c r="D81" s="57"/>
      <c r="E81" s="56">
        <f>ROUND($E$57+(A81*'Sch M'!$U$105),2)</f>
        <v>210.08</v>
      </c>
      <c r="F81" s="57"/>
      <c r="G81" s="54">
        <f t="shared" ref="G81" si="4">+E81-C81</f>
        <v>45.730000000000018</v>
      </c>
      <c r="H81" s="42"/>
      <c r="I81" s="50">
        <f t="shared" ref="I81" si="5">+G81/C81</f>
        <v>0.27824764222695481</v>
      </c>
    </row>
    <row r="84" spans="1:10" hidden="1" x14ac:dyDescent="0.3">
      <c r="A84" s="82"/>
      <c r="B84" s="82"/>
      <c r="C84" s="82"/>
      <c r="D84" s="82"/>
      <c r="E84" s="82"/>
      <c r="F84" s="82"/>
      <c r="G84" s="82"/>
      <c r="H84" s="82"/>
      <c r="I84" s="83"/>
      <c r="J84" s="82"/>
    </row>
    <row r="85" spans="1:10" hidden="1" x14ac:dyDescent="0.3">
      <c r="A85" s="84"/>
      <c r="G85" s="82"/>
      <c r="H85" s="82"/>
      <c r="J85" s="82"/>
    </row>
    <row r="86" spans="1:10" x14ac:dyDescent="0.3">
      <c r="A86" s="84"/>
      <c r="G86" s="82"/>
      <c r="H86" s="82"/>
      <c r="J86" s="82"/>
    </row>
    <row r="87" spans="1:10" x14ac:dyDescent="0.3">
      <c r="A87" s="82"/>
      <c r="B87" s="82"/>
      <c r="C87" s="82"/>
      <c r="D87" s="82"/>
      <c r="E87" s="82"/>
      <c r="F87" s="82"/>
      <c r="G87" s="82"/>
      <c r="H87" s="82"/>
      <c r="I87" s="82"/>
      <c r="J87" s="82"/>
    </row>
    <row r="88" spans="1:10" x14ac:dyDescent="0.3">
      <c r="A88" s="340" t="str">
        <f>A46</f>
        <v>Kentucky American Water Company</v>
      </c>
      <c r="B88" s="340"/>
      <c r="C88" s="340"/>
      <c r="D88" s="340"/>
      <c r="E88" s="340"/>
      <c r="F88" s="340"/>
      <c r="G88" s="340"/>
      <c r="H88" s="340"/>
      <c r="I88" s="340"/>
      <c r="J88" s="82"/>
    </row>
    <row r="89" spans="1:10" x14ac:dyDescent="0.3">
      <c r="A89" s="338" t="str">
        <f t="shared" ref="A89:A90" si="6">A47</f>
        <v>Case No. 2018-00358</v>
      </c>
      <c r="B89" s="338"/>
      <c r="C89" s="338"/>
      <c r="D89" s="338"/>
      <c r="E89" s="338"/>
      <c r="F89" s="338"/>
      <c r="G89" s="338"/>
      <c r="H89" s="338"/>
      <c r="I89" s="338"/>
    </row>
    <row r="90" spans="1:10" x14ac:dyDescent="0.3">
      <c r="A90" s="338" t="str">
        <f t="shared" si="6"/>
        <v>Forecast Year for the 12 Months Ended June 30, 2020</v>
      </c>
      <c r="B90" s="338"/>
      <c r="C90" s="338"/>
      <c r="D90" s="338"/>
      <c r="E90" s="338"/>
      <c r="F90" s="338"/>
      <c r="G90" s="338"/>
      <c r="H90" s="338"/>
      <c r="I90" s="338"/>
    </row>
    <row r="91" spans="1:10" ht="31.5" customHeight="1" x14ac:dyDescent="0.3">
      <c r="A91" s="339" t="s">
        <v>211</v>
      </c>
      <c r="B91" s="338"/>
      <c r="C91" s="338"/>
      <c r="D91" s="338"/>
      <c r="E91" s="338"/>
      <c r="F91" s="338"/>
      <c r="G91" s="338"/>
      <c r="H91" s="338"/>
      <c r="I91" s="338"/>
    </row>
    <row r="92" spans="1:10" x14ac:dyDescent="0.3">
      <c r="A92" s="338" t="s">
        <v>130</v>
      </c>
      <c r="B92" s="338"/>
      <c r="C92" s="338"/>
      <c r="D92" s="338"/>
      <c r="E92" s="338"/>
      <c r="F92" s="338"/>
      <c r="G92" s="338"/>
      <c r="H92" s="338"/>
      <c r="I92" s="338"/>
    </row>
    <row r="94" spans="1:10" x14ac:dyDescent="0.3">
      <c r="A94" s="87" t="str">
        <f>A52</f>
        <v>Witness Responsible:   Melissa Schwarzell</v>
      </c>
      <c r="B94" s="87"/>
      <c r="C94" s="87"/>
      <c r="D94" s="87"/>
      <c r="E94" s="87"/>
      <c r="F94" s="87"/>
      <c r="G94" s="87"/>
      <c r="H94" s="87"/>
      <c r="I94" s="85" t="s">
        <v>186</v>
      </c>
    </row>
    <row r="95" spans="1:10" x14ac:dyDescent="0.3">
      <c r="A95" s="87" t="str">
        <f>'Link in'!$A$95</f>
        <v/>
      </c>
      <c r="B95" s="42"/>
      <c r="C95" s="42"/>
      <c r="D95" s="42"/>
      <c r="E95" s="42"/>
      <c r="F95" s="42"/>
      <c r="G95" s="42"/>
      <c r="H95" s="42"/>
      <c r="I95" s="90" t="str">
        <f ca="1">RIGHT(CELL("filename",$A$1),LEN(CELL("filename",$A$1))-SEARCH("\Revenues",CELL("filename",$A$1),1))</f>
        <v>Revenues\[KAWC 2018 Rate Case - Revenue.xlsx]Sch N</v>
      </c>
    </row>
    <row r="96" spans="1:10" x14ac:dyDescent="0.3">
      <c r="A96" s="38"/>
      <c r="B96" s="38"/>
      <c r="C96" s="38"/>
      <c r="D96" s="38"/>
      <c r="E96" s="38"/>
      <c r="F96" s="38"/>
      <c r="G96" s="38"/>
      <c r="H96" s="38"/>
      <c r="I96" s="38"/>
    </row>
    <row r="97" spans="1:9" x14ac:dyDescent="0.3">
      <c r="A97" s="43" t="s">
        <v>18</v>
      </c>
      <c r="B97" s="42"/>
      <c r="C97" s="44" t="s">
        <v>79</v>
      </c>
      <c r="D97" s="44"/>
      <c r="E97" s="44" t="s">
        <v>73</v>
      </c>
      <c r="F97" s="44"/>
      <c r="G97" s="44"/>
      <c r="H97" s="44"/>
      <c r="I97" s="44" t="s">
        <v>53</v>
      </c>
    </row>
    <row r="98" spans="1:9" x14ac:dyDescent="0.3">
      <c r="A98" s="45" t="s">
        <v>128</v>
      </c>
      <c r="B98" s="42"/>
      <c r="C98" s="45" t="s">
        <v>46</v>
      </c>
      <c r="D98" s="44"/>
      <c r="E98" s="45" t="s">
        <v>46</v>
      </c>
      <c r="F98" s="44"/>
      <c r="G98" s="45" t="s">
        <v>126</v>
      </c>
      <c r="H98" s="44"/>
      <c r="I98" s="45" t="s">
        <v>126</v>
      </c>
    </row>
    <row r="99" spans="1:9" x14ac:dyDescent="0.3">
      <c r="A99" s="47">
        <v>0</v>
      </c>
      <c r="B99" s="42"/>
      <c r="C99" s="61">
        <f>'Sch M'!P134</f>
        <v>109.04</v>
      </c>
      <c r="D99" s="48"/>
      <c r="E99" s="61">
        <f>'Sch M'!U134</f>
        <v>119.5</v>
      </c>
      <c r="F99" s="48"/>
      <c r="G99" s="61">
        <f>+E99-C99</f>
        <v>10.459999999999994</v>
      </c>
      <c r="H99" s="42"/>
      <c r="I99" s="50">
        <f>+G99/C99</f>
        <v>9.5928099779897219E-2</v>
      </c>
    </row>
    <row r="100" spans="1:9" x14ac:dyDescent="0.3">
      <c r="A100" s="52">
        <v>10</v>
      </c>
      <c r="B100" s="38"/>
      <c r="C100" s="53">
        <f>ROUND($C$99+(A100*'Sch M'!$P$144),2)</f>
        <v>147.38</v>
      </c>
      <c r="D100" s="53"/>
      <c r="E100" s="53">
        <f>ROUND($E$99+(A100*'Sch M'!$U$144),2)</f>
        <v>167</v>
      </c>
      <c r="F100" s="53"/>
      <c r="G100" s="54">
        <f t="shared" ref="G100:G120" si="7">+E100-C100</f>
        <v>19.620000000000005</v>
      </c>
      <c r="H100" s="42"/>
      <c r="I100" s="50">
        <f t="shared" ref="I100:I120" si="8">+G100/C100</f>
        <v>0.13312525444429371</v>
      </c>
    </row>
    <row r="101" spans="1:9" x14ac:dyDescent="0.3">
      <c r="A101" s="52">
        <v>25</v>
      </c>
      <c r="B101" s="38"/>
      <c r="C101" s="53">
        <f>ROUND($C$99+(A101*'Sch M'!$P$144),2)</f>
        <v>204.89</v>
      </c>
      <c r="D101" s="53"/>
      <c r="E101" s="53">
        <f>ROUND($E$99+(A101*'Sch M'!$U$144),2)</f>
        <v>238.25</v>
      </c>
      <c r="F101" s="53"/>
      <c r="G101" s="54">
        <f t="shared" si="7"/>
        <v>33.360000000000014</v>
      </c>
      <c r="H101" s="42"/>
      <c r="I101" s="50">
        <f t="shared" si="8"/>
        <v>0.16281907364927531</v>
      </c>
    </row>
    <row r="102" spans="1:9" x14ac:dyDescent="0.3">
      <c r="A102" s="52">
        <v>50</v>
      </c>
      <c r="B102" s="38"/>
      <c r="C102" s="53">
        <f>ROUND($C$99+(A102*'Sch M'!$P$144),2)</f>
        <v>300.74</v>
      </c>
      <c r="D102" s="53"/>
      <c r="E102" s="53">
        <f>ROUND($E$99+(A102*'Sch M'!$U$144),2)</f>
        <v>357</v>
      </c>
      <c r="F102" s="53"/>
      <c r="G102" s="54">
        <f t="shared" si="7"/>
        <v>56.259999999999991</v>
      </c>
      <c r="H102" s="42"/>
      <c r="I102" s="50">
        <f t="shared" si="8"/>
        <v>0.18707188933962887</v>
      </c>
    </row>
    <row r="103" spans="1:9" x14ac:dyDescent="0.3">
      <c r="A103" s="47">
        <v>75</v>
      </c>
      <c r="B103" s="55"/>
      <c r="C103" s="53">
        <f>ROUND($C$99+(A103*'Sch M'!$P$144),2)</f>
        <v>396.59</v>
      </c>
      <c r="D103" s="56"/>
      <c r="E103" s="53">
        <f>ROUND($E$99+(A103*'Sch M'!$U$144),2)</f>
        <v>475.75</v>
      </c>
      <c r="F103" s="56"/>
      <c r="G103" s="54">
        <f t="shared" si="7"/>
        <v>79.160000000000025</v>
      </c>
      <c r="H103" s="46"/>
      <c r="I103" s="50">
        <f t="shared" si="8"/>
        <v>0.19960160367129789</v>
      </c>
    </row>
    <row r="104" spans="1:9" x14ac:dyDescent="0.3">
      <c r="A104" s="47">
        <v>100</v>
      </c>
      <c r="B104" s="55"/>
      <c r="C104" s="53">
        <f>ROUND($C$99+(A104*'Sch M'!$P$144),2)</f>
        <v>492.44</v>
      </c>
      <c r="D104" s="56"/>
      <c r="E104" s="53">
        <f>ROUND($E$99+(A104*'Sch M'!$U$144),2)</f>
        <v>594.5</v>
      </c>
      <c r="F104" s="56"/>
      <c r="G104" s="54">
        <f t="shared" si="7"/>
        <v>102.06</v>
      </c>
      <c r="H104" s="46"/>
      <c r="I104" s="50">
        <f t="shared" si="8"/>
        <v>0.20725367557468929</v>
      </c>
    </row>
    <row r="105" spans="1:9" x14ac:dyDescent="0.3">
      <c r="A105" s="47">
        <v>150</v>
      </c>
      <c r="B105" s="55"/>
      <c r="C105" s="53">
        <f>ROUND($C$99+(A105*'Sch M'!$P$144),2)</f>
        <v>684.14</v>
      </c>
      <c r="D105" s="56"/>
      <c r="E105" s="53">
        <f>ROUND($E$99+(A105*'Sch M'!$U$144),2)</f>
        <v>832</v>
      </c>
      <c r="F105" s="56"/>
      <c r="G105" s="54">
        <f t="shared" si="7"/>
        <v>147.86000000000001</v>
      </c>
      <c r="H105" s="46"/>
      <c r="I105" s="50">
        <f t="shared" si="8"/>
        <v>0.21612535445961356</v>
      </c>
    </row>
    <row r="106" spans="1:9" x14ac:dyDescent="0.3">
      <c r="A106" s="47">
        <v>200</v>
      </c>
      <c r="B106" s="55"/>
      <c r="C106" s="53">
        <f>ROUND($C$99+(A106*'Sch M'!$P$144),2)</f>
        <v>875.84</v>
      </c>
      <c r="D106" s="56"/>
      <c r="E106" s="53">
        <f>ROUND($E$99+(A106*'Sch M'!$U$144),2)</f>
        <v>1069.5</v>
      </c>
      <c r="F106" s="56"/>
      <c r="G106" s="54">
        <f t="shared" si="7"/>
        <v>193.65999999999997</v>
      </c>
      <c r="H106" s="46"/>
      <c r="I106" s="50">
        <f t="shared" si="8"/>
        <v>0.22111344537815122</v>
      </c>
    </row>
    <row r="107" spans="1:9" x14ac:dyDescent="0.3">
      <c r="A107" s="47">
        <v>250</v>
      </c>
      <c r="B107" s="55"/>
      <c r="C107" s="53">
        <f>ROUND($C$99+(A107*'Sch M'!$P$144),2)</f>
        <v>1067.54</v>
      </c>
      <c r="D107" s="56"/>
      <c r="E107" s="53">
        <f>ROUND($E$99+(A107*'Sch M'!$U$144),2)</f>
        <v>1307</v>
      </c>
      <c r="F107" s="56"/>
      <c r="G107" s="54">
        <f t="shared" si="7"/>
        <v>239.46000000000004</v>
      </c>
      <c r="H107" s="46"/>
      <c r="I107" s="50">
        <f t="shared" si="8"/>
        <v>0.22431009610881095</v>
      </c>
    </row>
    <row r="108" spans="1:9" x14ac:dyDescent="0.3">
      <c r="A108" s="47">
        <v>500</v>
      </c>
      <c r="B108" s="55"/>
      <c r="C108" s="53">
        <f>ROUND($C$99+(A108*'Sch M'!$P$144),2)</f>
        <v>2026.04</v>
      </c>
      <c r="D108" s="56"/>
      <c r="E108" s="53">
        <f>ROUND($E$99+(A108*'Sch M'!$U$144),2)</f>
        <v>2494.5</v>
      </c>
      <c r="F108" s="56"/>
      <c r="G108" s="54">
        <f t="shared" si="7"/>
        <v>468.46000000000004</v>
      </c>
      <c r="H108" s="46"/>
      <c r="I108" s="50">
        <f t="shared" si="8"/>
        <v>0.23121952182582775</v>
      </c>
    </row>
    <row r="109" spans="1:9" x14ac:dyDescent="0.3">
      <c r="A109" s="47">
        <v>750</v>
      </c>
      <c r="B109" s="55"/>
      <c r="C109" s="53">
        <f>ROUND($C$99+(A109*'Sch M'!$P$144),2)</f>
        <v>2984.54</v>
      </c>
      <c r="D109" s="56"/>
      <c r="E109" s="53">
        <f>ROUND($E$99+(A109*'Sch M'!$U$144),2)</f>
        <v>3682</v>
      </c>
      <c r="F109" s="56"/>
      <c r="G109" s="54">
        <f t="shared" si="7"/>
        <v>697.46</v>
      </c>
      <c r="H109" s="46"/>
      <c r="I109" s="50">
        <f t="shared" si="8"/>
        <v>0.23369095404987034</v>
      </c>
    </row>
    <row r="110" spans="1:9" x14ac:dyDescent="0.3">
      <c r="A110" s="52">
        <v>1000</v>
      </c>
      <c r="B110" s="38"/>
      <c r="C110" s="53">
        <f>ROUND($C$99+(A110*'Sch M'!$P$144),2)</f>
        <v>3943.04</v>
      </c>
      <c r="D110" s="53"/>
      <c r="E110" s="53">
        <f>ROUND($E$99+(A110*'Sch M'!$U$144),2)</f>
        <v>4869.5</v>
      </c>
      <c r="F110" s="53"/>
      <c r="G110" s="54">
        <f t="shared" si="7"/>
        <v>926.46</v>
      </c>
      <c r="H110" s="42"/>
      <c r="I110" s="50">
        <f t="shared" si="8"/>
        <v>0.23496084239571499</v>
      </c>
    </row>
    <row r="111" spans="1:9" x14ac:dyDescent="0.3">
      <c r="A111" s="52">
        <v>1250</v>
      </c>
      <c r="B111" s="38"/>
      <c r="C111" s="53">
        <f>ROUND($C$99+(A111*'Sch M'!$P$144),2)</f>
        <v>4901.54</v>
      </c>
      <c r="D111" s="53"/>
      <c r="E111" s="53">
        <f>ROUND($E$99+(A111*'Sch M'!$U$144),2)</f>
        <v>6057</v>
      </c>
      <c r="F111" s="53"/>
      <c r="G111" s="54">
        <f t="shared" si="7"/>
        <v>1155.46</v>
      </c>
      <c r="H111" s="42"/>
      <c r="I111" s="50">
        <f t="shared" si="8"/>
        <v>0.23573407541303346</v>
      </c>
    </row>
    <row r="112" spans="1:9" x14ac:dyDescent="0.3">
      <c r="A112" s="52">
        <v>1500</v>
      </c>
      <c r="B112" s="38"/>
      <c r="C112" s="53">
        <f>ROUND($C$99+(A112*'Sch M'!$P$144),2)</f>
        <v>5860.04</v>
      </c>
      <c r="D112" s="53"/>
      <c r="E112" s="53">
        <f>ROUND($E$99+(A112*'Sch M'!$U$144),2)</f>
        <v>7244.5</v>
      </c>
      <c r="F112" s="53"/>
      <c r="G112" s="54">
        <f t="shared" si="7"/>
        <v>1384.46</v>
      </c>
      <c r="H112" s="42"/>
      <c r="I112" s="50">
        <f t="shared" si="8"/>
        <v>0.23625436003849803</v>
      </c>
    </row>
    <row r="113" spans="1:10" x14ac:dyDescent="0.3">
      <c r="A113" s="47">
        <v>1984.3</v>
      </c>
      <c r="B113" s="55"/>
      <c r="C113" s="56">
        <f>ROUND($C$99+(A113*'Sch M'!$P$144),2)</f>
        <v>7716.85</v>
      </c>
      <c r="D113" s="56"/>
      <c r="E113" s="56">
        <f>ROUND($E$99+(A113*'Sch M'!$U$144),2)</f>
        <v>9544.93</v>
      </c>
      <c r="F113" s="56"/>
      <c r="G113" s="54">
        <f t="shared" si="7"/>
        <v>1828.08</v>
      </c>
      <c r="H113" s="46"/>
      <c r="I113" s="50">
        <f t="shared" si="8"/>
        <v>0.23689458781756803</v>
      </c>
    </row>
    <row r="114" spans="1:10" x14ac:dyDescent="0.3">
      <c r="A114" s="47">
        <v>2092</v>
      </c>
      <c r="B114" s="55"/>
      <c r="C114" s="56">
        <f>ROUND($C$99+(A114*'Sch M'!$P$144),2)</f>
        <v>8129.77</v>
      </c>
      <c r="D114" s="56"/>
      <c r="E114" s="56">
        <f>ROUND($E$99+(A114*'Sch M'!$U$144),2)</f>
        <v>10056.5</v>
      </c>
      <c r="F114" s="56"/>
      <c r="G114" s="54">
        <f t="shared" si="7"/>
        <v>1926.7299999999996</v>
      </c>
      <c r="H114" s="46"/>
      <c r="I114" s="50">
        <f t="shared" si="8"/>
        <v>0.23699686460994585</v>
      </c>
    </row>
    <row r="115" spans="1:10" x14ac:dyDescent="0.3">
      <c r="A115" s="52">
        <v>2500</v>
      </c>
      <c r="B115" s="38"/>
      <c r="C115" s="53">
        <f>ROUND($C$99+(A115*'Sch M'!$P$144),2)</f>
        <v>9694.0400000000009</v>
      </c>
      <c r="D115" s="53"/>
      <c r="E115" s="53">
        <f>ROUND($E$99+(A115*'Sch M'!$U$144),2)</f>
        <v>11994.5</v>
      </c>
      <c r="F115" s="53"/>
      <c r="G115" s="54">
        <f t="shared" si="7"/>
        <v>2300.4599999999991</v>
      </c>
      <c r="H115" s="42"/>
      <c r="I115" s="50">
        <f t="shared" si="8"/>
        <v>0.23730663376672667</v>
      </c>
    </row>
    <row r="116" spans="1:10" x14ac:dyDescent="0.3">
      <c r="A116" s="52">
        <v>2750</v>
      </c>
      <c r="B116" s="38"/>
      <c r="C116" s="53">
        <f>ROUND($C$99+(A116*'Sch M'!$P$144),2)</f>
        <v>10652.54</v>
      </c>
      <c r="D116" s="53"/>
      <c r="E116" s="53">
        <f>ROUND($E$99+(A116*'Sch M'!$U$144),2)</f>
        <v>13182</v>
      </c>
      <c r="F116" s="53"/>
      <c r="G116" s="54">
        <f t="shared" si="7"/>
        <v>2529.4599999999991</v>
      </c>
      <c r="H116" s="42"/>
      <c r="I116" s="50">
        <f t="shared" si="8"/>
        <v>0.23745134963116768</v>
      </c>
    </row>
    <row r="117" spans="1:10" x14ac:dyDescent="0.3">
      <c r="A117" s="52">
        <v>3000</v>
      </c>
      <c r="B117" s="38"/>
      <c r="C117" s="53">
        <f>ROUND($C$99+(A117*'Sch M'!$P$144),2)</f>
        <v>11611.04</v>
      </c>
      <c r="D117" s="53"/>
      <c r="E117" s="53">
        <f>ROUND($E$99+(A117*'Sch M'!$U$144),2)</f>
        <v>14369.5</v>
      </c>
      <c r="F117" s="53"/>
      <c r="G117" s="54">
        <f t="shared" si="7"/>
        <v>2758.4599999999991</v>
      </c>
      <c r="H117" s="42"/>
      <c r="I117" s="50">
        <f t="shared" si="8"/>
        <v>0.23757217269081829</v>
      </c>
    </row>
    <row r="118" spans="1:10" x14ac:dyDescent="0.3">
      <c r="A118" s="52">
        <v>5000</v>
      </c>
      <c r="B118" s="38"/>
      <c r="C118" s="53">
        <f>ROUND($C$99+(A118*'Sch M'!$P$144),2)</f>
        <v>19279.04</v>
      </c>
      <c r="D118" s="53"/>
      <c r="E118" s="53">
        <f>ROUND($E$99+(A118*'Sch M'!$U$144),2)</f>
        <v>23869.5</v>
      </c>
      <c r="F118" s="53"/>
      <c r="G118" s="54">
        <f t="shared" si="7"/>
        <v>4590.4599999999991</v>
      </c>
      <c r="H118" s="42"/>
      <c r="I118" s="50">
        <f t="shared" si="8"/>
        <v>0.23810625425332377</v>
      </c>
    </row>
    <row r="119" spans="1:10" x14ac:dyDescent="0.3">
      <c r="A119" s="52">
        <v>10000</v>
      </c>
      <c r="B119" s="38"/>
      <c r="C119" s="53">
        <f>ROUND($C$99+(A119*'Sch M'!$P$144),2)</f>
        <v>38449.050000000003</v>
      </c>
      <c r="D119" s="53"/>
      <c r="E119" s="53">
        <f>ROUND($E$99+(A119*'Sch M'!$U$144),2)</f>
        <v>47619.5</v>
      </c>
      <c r="F119" s="53"/>
      <c r="G119" s="54">
        <f t="shared" si="7"/>
        <v>9170.4499999999971</v>
      </c>
      <c r="H119" s="42"/>
      <c r="I119" s="50">
        <f t="shared" si="8"/>
        <v>0.23850914391903041</v>
      </c>
    </row>
    <row r="120" spans="1:10" x14ac:dyDescent="0.3">
      <c r="A120" s="52">
        <v>20000</v>
      </c>
      <c r="B120" s="38"/>
      <c r="C120" s="53">
        <f>ROUND($C$99+(A120*'Sch M'!$P$144),2)</f>
        <v>76789.05</v>
      </c>
      <c r="D120" s="53"/>
      <c r="E120" s="53">
        <f>ROUND($E$99+(A120*'Sch M'!$U$144),2)</f>
        <v>95119.5</v>
      </c>
      <c r="F120" s="53"/>
      <c r="G120" s="54">
        <f t="shared" si="7"/>
        <v>18330.449999999997</v>
      </c>
      <c r="H120" s="42"/>
      <c r="I120" s="50">
        <f t="shared" si="8"/>
        <v>0.23871176945150377</v>
      </c>
    </row>
    <row r="121" spans="1:10" x14ac:dyDescent="0.3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10" x14ac:dyDescent="0.3">
      <c r="A122" s="38" t="s">
        <v>127</v>
      </c>
      <c r="B122" s="38"/>
      <c r="C122" s="38"/>
      <c r="D122" s="38"/>
      <c r="E122" s="38"/>
      <c r="F122" s="38"/>
      <c r="G122" s="38"/>
      <c r="H122" s="38"/>
      <c r="I122" s="38"/>
    </row>
    <row r="123" spans="1:10" x14ac:dyDescent="0.3">
      <c r="A123" s="52">
        <f>+('Link in'!O29/'Link in'!O21)</f>
        <v>971.26613406702472</v>
      </c>
      <c r="B123" s="38"/>
      <c r="C123" s="56">
        <f>ROUND($C$99+(A123*'Sch M'!$P$144),2)</f>
        <v>3832.87</v>
      </c>
      <c r="D123" s="57"/>
      <c r="E123" s="56">
        <f>ROUND($E$99+(A123*'Sch M'!$U$144),2)</f>
        <v>4733.01</v>
      </c>
      <c r="F123" s="57"/>
      <c r="G123" s="54">
        <f t="shared" ref="G123" si="9">+E123-C123</f>
        <v>900.14000000000033</v>
      </c>
      <c r="H123" s="42"/>
      <c r="I123" s="50">
        <f t="shared" ref="I123" si="10">+G123/C123</f>
        <v>0.23484751635197654</v>
      </c>
    </row>
    <row r="125" spans="1:10" hidden="1" x14ac:dyDescent="0.3">
      <c r="G125" s="82"/>
      <c r="H125" s="82"/>
      <c r="I125" s="82"/>
      <c r="J125" s="82"/>
    </row>
    <row r="126" spans="1:10" hidden="1" x14ac:dyDescent="0.3">
      <c r="G126" s="82"/>
      <c r="H126" s="82"/>
      <c r="I126" s="83"/>
      <c r="J126" s="82"/>
    </row>
    <row r="127" spans="1:10" hidden="1" x14ac:dyDescent="0.3">
      <c r="A127" s="84"/>
      <c r="G127" s="82"/>
      <c r="H127" s="82"/>
      <c r="J127" s="82"/>
    </row>
    <row r="128" spans="1:10" x14ac:dyDescent="0.3">
      <c r="A128" s="84"/>
      <c r="G128" s="82"/>
      <c r="H128" s="82"/>
      <c r="J128" s="82"/>
    </row>
    <row r="129" spans="1:10" x14ac:dyDescent="0.3">
      <c r="G129" s="82"/>
      <c r="H129" s="82"/>
      <c r="I129" s="82"/>
      <c r="J129" s="82"/>
    </row>
    <row r="130" spans="1:10" x14ac:dyDescent="0.3">
      <c r="A130" s="338" t="str">
        <f>A88</f>
        <v>Kentucky American Water Company</v>
      </c>
      <c r="B130" s="338"/>
      <c r="C130" s="338"/>
      <c r="D130" s="338"/>
      <c r="E130" s="338"/>
      <c r="F130" s="338"/>
      <c r="G130" s="338"/>
      <c r="H130" s="338"/>
      <c r="I130" s="338"/>
    </row>
    <row r="131" spans="1:10" x14ac:dyDescent="0.3">
      <c r="A131" s="338" t="str">
        <f t="shared" ref="A131:A132" si="11">A89</f>
        <v>Case No. 2018-00358</v>
      </c>
      <c r="B131" s="338"/>
      <c r="C131" s="338"/>
      <c r="D131" s="338"/>
      <c r="E131" s="338"/>
      <c r="F131" s="338"/>
      <c r="G131" s="338"/>
      <c r="H131" s="338"/>
      <c r="I131" s="338"/>
    </row>
    <row r="132" spans="1:10" x14ac:dyDescent="0.3">
      <c r="A132" s="338" t="str">
        <f t="shared" si="11"/>
        <v>Forecast Year for the 12 Months Ended June 30, 2020</v>
      </c>
      <c r="B132" s="338"/>
      <c r="C132" s="338"/>
      <c r="D132" s="338"/>
      <c r="E132" s="338"/>
      <c r="F132" s="338"/>
      <c r="G132" s="338"/>
      <c r="H132" s="338"/>
      <c r="I132" s="338"/>
    </row>
    <row r="133" spans="1:10" ht="33" customHeight="1" x14ac:dyDescent="0.3">
      <c r="A133" s="339" t="s">
        <v>211</v>
      </c>
      <c r="B133" s="338"/>
      <c r="C133" s="338"/>
      <c r="D133" s="338"/>
      <c r="E133" s="338"/>
      <c r="F133" s="338"/>
      <c r="G133" s="338"/>
      <c r="H133" s="338"/>
      <c r="I133" s="338"/>
    </row>
    <row r="134" spans="1:10" x14ac:dyDescent="0.3">
      <c r="A134" s="338" t="s">
        <v>131</v>
      </c>
      <c r="B134" s="338"/>
      <c r="C134" s="338"/>
      <c r="D134" s="338"/>
      <c r="E134" s="338"/>
      <c r="F134" s="338"/>
      <c r="G134" s="338"/>
      <c r="H134" s="338"/>
      <c r="I134" s="338"/>
    </row>
    <row r="136" spans="1:10" x14ac:dyDescent="0.3">
      <c r="A136" s="87" t="str">
        <f>A94</f>
        <v>Witness Responsible:   Melissa Schwarzell</v>
      </c>
      <c r="B136" s="87"/>
      <c r="C136" s="87"/>
      <c r="D136" s="87"/>
      <c r="E136" s="87"/>
      <c r="F136" s="87"/>
      <c r="G136" s="87"/>
      <c r="H136" s="87"/>
      <c r="I136" s="85" t="s">
        <v>186</v>
      </c>
    </row>
    <row r="137" spans="1:10" x14ac:dyDescent="0.3">
      <c r="A137" s="87" t="str">
        <f>'Link in'!$A$95</f>
        <v/>
      </c>
      <c r="B137" s="42"/>
      <c r="C137" s="42"/>
      <c r="D137" s="42"/>
      <c r="E137" s="42"/>
      <c r="F137" s="42"/>
      <c r="G137" s="42"/>
      <c r="H137" s="42"/>
      <c r="I137" s="90" t="str">
        <f ca="1">RIGHT(CELL("filename",$A$1),LEN(CELL("filename",$A$1))-SEARCH("\Revenues",CELL("filename",$A$1),1))</f>
        <v>Revenues\[KAWC 2018 Rate Case - Revenue.xlsx]Sch N</v>
      </c>
    </row>
    <row r="138" spans="1:10" x14ac:dyDescent="0.3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10" x14ac:dyDescent="0.3">
      <c r="A139" s="43" t="s">
        <v>18</v>
      </c>
      <c r="B139" s="42"/>
      <c r="C139" s="44" t="s">
        <v>79</v>
      </c>
      <c r="D139" s="44"/>
      <c r="E139" s="44" t="s">
        <v>73</v>
      </c>
      <c r="F139" s="44"/>
      <c r="G139" s="44"/>
      <c r="H139" s="44"/>
      <c r="I139" s="44" t="s">
        <v>53</v>
      </c>
    </row>
    <row r="140" spans="1:10" x14ac:dyDescent="0.3">
      <c r="A140" s="45" t="s">
        <v>128</v>
      </c>
      <c r="B140" s="42"/>
      <c r="C140" s="45" t="s">
        <v>46</v>
      </c>
      <c r="D140" s="44"/>
      <c r="E140" s="45" t="s">
        <v>46</v>
      </c>
      <c r="F140" s="44"/>
      <c r="G140" s="45" t="s">
        <v>126</v>
      </c>
      <c r="H140" s="44"/>
      <c r="I140" s="45" t="s">
        <v>126</v>
      </c>
    </row>
    <row r="141" spans="1:10" x14ac:dyDescent="0.3">
      <c r="A141" s="47">
        <v>0</v>
      </c>
      <c r="B141" s="42"/>
      <c r="C141" s="61">
        <f>'Sch M'!P173</f>
        <v>109.03991769547325</v>
      </c>
      <c r="D141" s="48"/>
      <c r="E141" s="61">
        <f>'Sch M'!U173</f>
        <v>119.5</v>
      </c>
      <c r="F141" s="48"/>
      <c r="G141" s="61">
        <f>+E141-C141</f>
        <v>10.46008230452675</v>
      </c>
      <c r="H141" s="42"/>
      <c r="I141" s="50">
        <f>+G141/C141</f>
        <v>9.5928926998456426E-2</v>
      </c>
    </row>
    <row r="142" spans="1:10" x14ac:dyDescent="0.3">
      <c r="A142" s="52">
        <v>5</v>
      </c>
      <c r="B142" s="38"/>
      <c r="C142" s="53">
        <f>ROUND($C$141+(A142*'Sch M'!$P$183),2)</f>
        <v>129.30000000000001</v>
      </c>
      <c r="D142" s="53"/>
      <c r="E142" s="53">
        <f>ROUND($E$141+(A142*'Sch M'!$U$183),2)</f>
        <v>145.46</v>
      </c>
      <c r="F142" s="53"/>
      <c r="G142" s="54">
        <f t="shared" ref="G142:G162" si="12">+E142-C142</f>
        <v>16.159999999999997</v>
      </c>
      <c r="H142" s="42"/>
      <c r="I142" s="50">
        <f t="shared" ref="I142:I162" si="13">+G142/C142</f>
        <v>0.12498066511987622</v>
      </c>
    </row>
    <row r="143" spans="1:10" x14ac:dyDescent="0.3">
      <c r="A143" s="52">
        <v>10</v>
      </c>
      <c r="B143" s="38"/>
      <c r="C143" s="53">
        <f>ROUND($C$141+(A143*'Sch M'!$P$183),2)</f>
        <v>149.57</v>
      </c>
      <c r="D143" s="53"/>
      <c r="E143" s="53">
        <f>ROUND($E$141+(A143*'Sch M'!$U$183),2)</f>
        <v>171.41</v>
      </c>
      <c r="F143" s="53"/>
      <c r="G143" s="54">
        <f t="shared" si="12"/>
        <v>21.840000000000003</v>
      </c>
      <c r="H143" s="42"/>
      <c r="I143" s="50">
        <f t="shared" si="13"/>
        <v>0.14601858661496292</v>
      </c>
    </row>
    <row r="144" spans="1:10" x14ac:dyDescent="0.3">
      <c r="A144" s="52">
        <v>15</v>
      </c>
      <c r="B144" s="38"/>
      <c r="C144" s="53">
        <f>ROUND($C$141+(A144*'Sch M'!$P$183),2)</f>
        <v>169.83</v>
      </c>
      <c r="D144" s="53"/>
      <c r="E144" s="53">
        <f>ROUND($E$141+(A144*'Sch M'!$U$183),2)</f>
        <v>197.37</v>
      </c>
      <c r="F144" s="53"/>
      <c r="G144" s="54">
        <f t="shared" si="12"/>
        <v>27.539999999999992</v>
      </c>
      <c r="H144" s="42"/>
      <c r="I144" s="50">
        <f t="shared" si="13"/>
        <v>0.16216216216216212</v>
      </c>
    </row>
    <row r="145" spans="1:9" x14ac:dyDescent="0.3">
      <c r="A145" s="47">
        <v>25</v>
      </c>
      <c r="B145" s="55"/>
      <c r="C145" s="53">
        <f>ROUND($C$141+(A145*'Sch M'!$P$183),2)</f>
        <v>210.36</v>
      </c>
      <c r="D145" s="56"/>
      <c r="E145" s="53">
        <f>ROUND($E$141+(A145*'Sch M'!$U$183),2)</f>
        <v>249.28</v>
      </c>
      <c r="F145" s="56"/>
      <c r="G145" s="54">
        <f t="shared" si="12"/>
        <v>38.919999999999987</v>
      </c>
      <c r="H145" s="46"/>
      <c r="I145" s="50">
        <f t="shared" si="13"/>
        <v>0.18501616276858712</v>
      </c>
    </row>
    <row r="146" spans="1:9" x14ac:dyDescent="0.3">
      <c r="A146" s="47">
        <v>50</v>
      </c>
      <c r="B146" s="55"/>
      <c r="C146" s="53">
        <f>ROUND($C$141+(A146*'Sch M'!$P$183),2)</f>
        <v>311.69</v>
      </c>
      <c r="D146" s="56"/>
      <c r="E146" s="53">
        <f>ROUND($E$141+(A146*'Sch M'!$U$183),2)</f>
        <v>379.05</v>
      </c>
      <c r="F146" s="56"/>
      <c r="G146" s="54">
        <f t="shared" si="12"/>
        <v>67.360000000000014</v>
      </c>
      <c r="H146" s="46"/>
      <c r="I146" s="50">
        <f t="shared" si="13"/>
        <v>0.21611216272578529</v>
      </c>
    </row>
    <row r="147" spans="1:9" x14ac:dyDescent="0.3">
      <c r="A147" s="47">
        <v>75</v>
      </c>
      <c r="B147" s="55"/>
      <c r="C147" s="53">
        <f>ROUND($C$141+(A147*'Sch M'!$P$183),2)</f>
        <v>413.01</v>
      </c>
      <c r="D147" s="56"/>
      <c r="E147" s="53">
        <f>ROUND($E$141+(A147*'Sch M'!$U$183),2)</f>
        <v>508.83</v>
      </c>
      <c r="F147" s="56"/>
      <c r="G147" s="54">
        <f t="shared" si="12"/>
        <v>95.82</v>
      </c>
      <c r="H147" s="46"/>
      <c r="I147" s="50">
        <f t="shared" si="13"/>
        <v>0.23200406769811868</v>
      </c>
    </row>
    <row r="148" spans="1:9" x14ac:dyDescent="0.3">
      <c r="A148" s="47">
        <v>100</v>
      </c>
      <c r="B148" s="55"/>
      <c r="C148" s="53">
        <f>ROUND($C$141+(A148*'Sch M'!$P$183),2)</f>
        <v>514.34</v>
      </c>
      <c r="D148" s="56"/>
      <c r="E148" s="53">
        <f>ROUND($E$141+(A148*'Sch M'!$U$183),2)</f>
        <v>638.6</v>
      </c>
      <c r="F148" s="56"/>
      <c r="G148" s="54">
        <f t="shared" si="12"/>
        <v>124.25999999999999</v>
      </c>
      <c r="H148" s="46"/>
      <c r="I148" s="50">
        <f t="shared" si="13"/>
        <v>0.24159116537698797</v>
      </c>
    </row>
    <row r="149" spans="1:9" x14ac:dyDescent="0.3">
      <c r="A149" s="47">
        <v>125</v>
      </c>
      <c r="B149" s="55"/>
      <c r="C149" s="53">
        <f>ROUND($C$141+(A149*'Sch M'!$P$183),2)</f>
        <v>615.66</v>
      </c>
      <c r="D149" s="56"/>
      <c r="E149" s="53">
        <f>ROUND($E$141+(A149*'Sch M'!$U$183),2)</f>
        <v>768.38</v>
      </c>
      <c r="F149" s="56"/>
      <c r="G149" s="54">
        <f t="shared" si="12"/>
        <v>152.72000000000003</v>
      </c>
      <c r="H149" s="46"/>
      <c r="I149" s="50">
        <f t="shared" si="13"/>
        <v>0.2480589936003639</v>
      </c>
    </row>
    <row r="150" spans="1:9" x14ac:dyDescent="0.3">
      <c r="A150" s="47">
        <v>150</v>
      </c>
      <c r="B150" s="55"/>
      <c r="C150" s="53">
        <f>ROUND($C$141+(A150*'Sch M'!$P$183),2)</f>
        <v>716.99</v>
      </c>
      <c r="D150" s="56"/>
      <c r="E150" s="53">
        <f>ROUND($E$141+(A150*'Sch M'!$U$183),2)</f>
        <v>898.15</v>
      </c>
      <c r="F150" s="56"/>
      <c r="G150" s="54">
        <f t="shared" si="12"/>
        <v>181.15999999999997</v>
      </c>
      <c r="H150" s="46"/>
      <c r="I150" s="50">
        <f t="shared" si="13"/>
        <v>0.2526674012189849</v>
      </c>
    </row>
    <row r="151" spans="1:9" x14ac:dyDescent="0.3">
      <c r="A151" s="47">
        <v>175</v>
      </c>
      <c r="B151" s="55"/>
      <c r="C151" s="53">
        <f>ROUND($C$141+(A151*'Sch M'!$P$183),2)</f>
        <v>818.31</v>
      </c>
      <c r="D151" s="56"/>
      <c r="E151" s="53">
        <f>ROUND($E$141+(A151*'Sch M'!$U$183),2)</f>
        <v>1027.93</v>
      </c>
      <c r="F151" s="56"/>
      <c r="G151" s="54">
        <f t="shared" si="12"/>
        <v>209.62000000000012</v>
      </c>
      <c r="H151" s="46"/>
      <c r="I151" s="50">
        <f t="shared" si="13"/>
        <v>0.25616209016143043</v>
      </c>
    </row>
    <row r="152" spans="1:9" x14ac:dyDescent="0.3">
      <c r="A152" s="52">
        <v>184.2</v>
      </c>
      <c r="B152" s="38"/>
      <c r="C152" s="53">
        <f>ROUND($C$141+(A152*'Sch M'!$P$183),2)</f>
        <v>855.6</v>
      </c>
      <c r="D152" s="53"/>
      <c r="E152" s="53">
        <f>ROUND($E$141+(A152*'Sch M'!$U$183),2)</f>
        <v>1075.68</v>
      </c>
      <c r="F152" s="53"/>
      <c r="G152" s="54">
        <f>+E152-C152</f>
        <v>220.08000000000004</v>
      </c>
      <c r="H152" s="42"/>
      <c r="I152" s="50">
        <f>+G152/C152</f>
        <v>0.25722300140252458</v>
      </c>
    </row>
    <row r="153" spans="1:9" x14ac:dyDescent="0.3">
      <c r="A153" s="47">
        <v>212</v>
      </c>
      <c r="B153" s="55"/>
      <c r="C153" s="56">
        <f>ROUND($C$141+(A153*'Sch M'!$P$183),2)</f>
        <v>968.28</v>
      </c>
      <c r="D153" s="56"/>
      <c r="E153" s="56">
        <f>ROUND($E$141+(A153*'Sch M'!$U$183),2)</f>
        <v>1219.99</v>
      </c>
      <c r="F153" s="56"/>
      <c r="G153" s="54">
        <f t="shared" si="12"/>
        <v>251.71000000000004</v>
      </c>
      <c r="H153" s="46"/>
      <c r="I153" s="50">
        <f t="shared" si="13"/>
        <v>0.25995579790969559</v>
      </c>
    </row>
    <row r="154" spans="1:9" x14ac:dyDescent="0.3">
      <c r="A154" s="52">
        <v>250</v>
      </c>
      <c r="B154" s="38"/>
      <c r="C154" s="53">
        <f>ROUND($C$141+(A154*'Sch M'!$P$183),2)</f>
        <v>1122.29</v>
      </c>
      <c r="D154" s="53"/>
      <c r="E154" s="53">
        <f>ROUND($E$141+(A154*'Sch M'!$U$183),2)</f>
        <v>1417.25</v>
      </c>
      <c r="F154" s="53"/>
      <c r="G154" s="54">
        <f t="shared" si="12"/>
        <v>294.96000000000004</v>
      </c>
      <c r="H154" s="42"/>
      <c r="I154" s="50">
        <f t="shared" si="13"/>
        <v>0.26281977029110126</v>
      </c>
    </row>
    <row r="155" spans="1:9" x14ac:dyDescent="0.3">
      <c r="A155" s="52">
        <v>300</v>
      </c>
      <c r="B155" s="38"/>
      <c r="C155" s="53">
        <f>ROUND($C$141+(A155*'Sch M'!$P$183),2)</f>
        <v>1324.94</v>
      </c>
      <c r="D155" s="53"/>
      <c r="E155" s="53">
        <f>ROUND($E$141+(A155*'Sch M'!$U$183),2)</f>
        <v>1676.8</v>
      </c>
      <c r="F155" s="53"/>
      <c r="G155" s="54">
        <f t="shared" si="12"/>
        <v>351.8599999999999</v>
      </c>
      <c r="H155" s="42"/>
      <c r="I155" s="50">
        <f t="shared" si="13"/>
        <v>0.26556674264494989</v>
      </c>
    </row>
    <row r="156" spans="1:9" x14ac:dyDescent="0.3">
      <c r="A156" s="52">
        <v>350</v>
      </c>
      <c r="B156" s="38"/>
      <c r="C156" s="53">
        <f>ROUND($C$141+(A156*'Sch M'!$P$183),2)</f>
        <v>1527.59</v>
      </c>
      <c r="D156" s="53"/>
      <c r="E156" s="53">
        <f>ROUND($E$141+(A156*'Sch M'!$U$183),2)</f>
        <v>1936.35</v>
      </c>
      <c r="F156" s="53"/>
      <c r="G156" s="54">
        <f t="shared" si="12"/>
        <v>408.76</v>
      </c>
      <c r="H156" s="42"/>
      <c r="I156" s="50">
        <f t="shared" si="13"/>
        <v>0.26758488861540075</v>
      </c>
    </row>
    <row r="157" spans="1:9" x14ac:dyDescent="0.3">
      <c r="A157" s="52">
        <v>400</v>
      </c>
      <c r="B157" s="38"/>
      <c r="C157" s="53">
        <f>ROUND($C$141+(A157*'Sch M'!$P$183),2)</f>
        <v>1730.24</v>
      </c>
      <c r="D157" s="53"/>
      <c r="E157" s="53">
        <f>ROUND($E$141+(A157*'Sch M'!$U$183),2)</f>
        <v>2195.9</v>
      </c>
      <c r="F157" s="53"/>
      <c r="G157" s="54">
        <f t="shared" si="12"/>
        <v>465.66000000000008</v>
      </c>
      <c r="H157" s="42"/>
      <c r="I157" s="50">
        <f t="shared" si="13"/>
        <v>0.2691302940632514</v>
      </c>
    </row>
    <row r="158" spans="1:9" x14ac:dyDescent="0.3">
      <c r="A158" s="52">
        <v>500</v>
      </c>
      <c r="B158" s="38"/>
      <c r="C158" s="53">
        <f>ROUND($C$141+(A158*'Sch M'!$P$183),2)</f>
        <v>2135.54</v>
      </c>
      <c r="D158" s="53"/>
      <c r="E158" s="53">
        <f>ROUND($E$141+(A158*'Sch M'!$U$183),2)</f>
        <v>2715</v>
      </c>
      <c r="F158" s="53"/>
      <c r="G158" s="54">
        <f t="shared" si="12"/>
        <v>579.46</v>
      </c>
      <c r="H158" s="42"/>
      <c r="I158" s="50">
        <f t="shared" si="13"/>
        <v>0.27134120643958909</v>
      </c>
    </row>
    <row r="159" spans="1:9" x14ac:dyDescent="0.3">
      <c r="A159" s="52">
        <v>750</v>
      </c>
      <c r="B159" s="38"/>
      <c r="C159" s="53">
        <f>ROUND($C$141+(A159*'Sch M'!$P$183),2)</f>
        <v>3148.79</v>
      </c>
      <c r="D159" s="53"/>
      <c r="E159" s="53">
        <f>ROUND($E$141+(A159*'Sch M'!$U$183),2)</f>
        <v>4012.75</v>
      </c>
      <c r="F159" s="53"/>
      <c r="G159" s="54">
        <f t="shared" si="12"/>
        <v>863.96</v>
      </c>
      <c r="H159" s="42"/>
      <c r="I159" s="50">
        <f t="shared" si="13"/>
        <v>0.27437841202493657</v>
      </c>
    </row>
    <row r="160" spans="1:9" x14ac:dyDescent="0.3">
      <c r="A160" s="52">
        <v>1000</v>
      </c>
      <c r="B160" s="38"/>
      <c r="C160" s="53">
        <f>ROUND($C$141+(A160*'Sch M'!$P$183),2)</f>
        <v>4162.04</v>
      </c>
      <c r="D160" s="53"/>
      <c r="E160" s="53">
        <f>ROUND($E$141+(A160*'Sch M'!$U$183),2)</f>
        <v>5310.5</v>
      </c>
      <c r="F160" s="53"/>
      <c r="G160" s="54">
        <f t="shared" si="12"/>
        <v>1148.46</v>
      </c>
      <c r="H160" s="42"/>
      <c r="I160" s="50">
        <f t="shared" si="13"/>
        <v>0.27593680022296757</v>
      </c>
    </row>
    <row r="161" spans="1:10" x14ac:dyDescent="0.3">
      <c r="A161" s="52">
        <v>2500</v>
      </c>
      <c r="B161" s="38"/>
      <c r="C161" s="53">
        <f>ROUND($C$141+(A161*'Sch M'!$P$183),2)</f>
        <v>10241.540000000001</v>
      </c>
      <c r="D161" s="53"/>
      <c r="E161" s="53">
        <f>ROUND($E$141+(A161*'Sch M'!$U$183),2)</f>
        <v>13097</v>
      </c>
      <c r="F161" s="53"/>
      <c r="G161" s="54">
        <f t="shared" si="12"/>
        <v>2855.4599999999991</v>
      </c>
      <c r="H161" s="42"/>
      <c r="I161" s="50">
        <f t="shared" si="13"/>
        <v>0.27881158497647801</v>
      </c>
    </row>
    <row r="162" spans="1:10" x14ac:dyDescent="0.3">
      <c r="A162" s="52">
        <v>5000</v>
      </c>
      <c r="B162" s="38"/>
      <c r="C162" s="53">
        <f>ROUND($C$141+(A162*'Sch M'!$P$183),2)</f>
        <v>20374.04</v>
      </c>
      <c r="D162" s="53"/>
      <c r="E162" s="53">
        <f>ROUND($E$141+(A162*'Sch M'!$U$183),2)</f>
        <v>26074.5</v>
      </c>
      <c r="F162" s="53"/>
      <c r="G162" s="54">
        <f t="shared" si="12"/>
        <v>5700.4599999999991</v>
      </c>
      <c r="H162" s="42"/>
      <c r="I162" s="50">
        <f t="shared" si="13"/>
        <v>0.2797903606746624</v>
      </c>
    </row>
    <row r="163" spans="1:10" x14ac:dyDescent="0.3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10" x14ac:dyDescent="0.3">
      <c r="A164" s="38" t="s">
        <v>127</v>
      </c>
      <c r="B164" s="38"/>
      <c r="C164" s="38"/>
      <c r="D164" s="38"/>
      <c r="E164" s="38"/>
      <c r="F164" s="38"/>
      <c r="G164" s="38"/>
      <c r="H164" s="38"/>
      <c r="I164" s="38"/>
    </row>
    <row r="165" spans="1:10" x14ac:dyDescent="0.3">
      <c r="A165" s="52">
        <f>+'Link in'!P29/'Link in'!P21</f>
        <v>120.54090760270195</v>
      </c>
      <c r="B165" s="38"/>
      <c r="C165" s="56">
        <f>ROUND($C$141+(A165*'Sch M'!$P$183),2)</f>
        <v>597.59</v>
      </c>
      <c r="D165" s="57"/>
      <c r="E165" s="56">
        <f>ROUND($E$141+(A165*'Sch M'!$U$183),2)</f>
        <v>745.23</v>
      </c>
      <c r="F165" s="57"/>
      <c r="G165" s="54">
        <f t="shared" ref="G165" si="14">+E165-C165</f>
        <v>147.63999999999999</v>
      </c>
      <c r="H165" s="42"/>
      <c r="I165" s="50">
        <f t="shared" ref="I165" si="15">+G165/C165</f>
        <v>0.247059020398601</v>
      </c>
    </row>
    <row r="167" spans="1:10" x14ac:dyDescent="0.3">
      <c r="E167" s="82"/>
      <c r="F167" s="82"/>
      <c r="G167" s="82"/>
      <c r="H167" s="82"/>
      <c r="I167" s="82"/>
      <c r="J167" s="82"/>
    </row>
    <row r="168" spans="1:10" hidden="1" x14ac:dyDescent="0.3">
      <c r="E168" s="82"/>
      <c r="F168" s="82"/>
      <c r="G168" s="82"/>
      <c r="H168" s="82"/>
      <c r="I168" s="83"/>
      <c r="J168" s="82"/>
    </row>
    <row r="169" spans="1:10" hidden="1" x14ac:dyDescent="0.3">
      <c r="A169" s="84"/>
      <c r="G169" s="82"/>
      <c r="H169" s="82"/>
      <c r="J169" s="82"/>
    </row>
    <row r="170" spans="1:10" x14ac:dyDescent="0.3">
      <c r="A170" s="84"/>
      <c r="G170" s="82"/>
      <c r="H170" s="82"/>
      <c r="J170" s="82"/>
    </row>
    <row r="172" spans="1:10" x14ac:dyDescent="0.3">
      <c r="A172" s="338" t="str">
        <f>A130</f>
        <v>Kentucky American Water Company</v>
      </c>
      <c r="B172" s="338"/>
      <c r="C172" s="338"/>
      <c r="D172" s="338"/>
      <c r="E172" s="338"/>
      <c r="F172" s="338"/>
      <c r="G172" s="338"/>
      <c r="H172" s="338"/>
      <c r="I172" s="338"/>
    </row>
    <row r="173" spans="1:10" x14ac:dyDescent="0.3">
      <c r="A173" s="338" t="str">
        <f t="shared" ref="A173:A174" si="16">A131</f>
        <v>Case No. 2018-00358</v>
      </c>
      <c r="B173" s="338"/>
      <c r="C173" s="338"/>
      <c r="D173" s="338"/>
      <c r="E173" s="338"/>
      <c r="F173" s="338"/>
      <c r="G173" s="338"/>
      <c r="H173" s="338"/>
      <c r="I173" s="338"/>
    </row>
    <row r="174" spans="1:10" x14ac:dyDescent="0.3">
      <c r="A174" s="338" t="str">
        <f t="shared" si="16"/>
        <v>Forecast Year for the 12 Months Ended June 30, 2020</v>
      </c>
      <c r="B174" s="338"/>
      <c r="C174" s="338"/>
      <c r="D174" s="338"/>
      <c r="E174" s="338"/>
      <c r="F174" s="338"/>
      <c r="G174" s="338"/>
      <c r="H174" s="338"/>
      <c r="I174" s="338"/>
    </row>
    <row r="175" spans="1:10" ht="31.95" customHeight="1" x14ac:dyDescent="0.3">
      <c r="A175" s="339" t="s">
        <v>211</v>
      </c>
      <c r="B175" s="338"/>
      <c r="C175" s="338"/>
      <c r="D175" s="338"/>
      <c r="E175" s="338"/>
      <c r="F175" s="338"/>
      <c r="G175" s="338"/>
      <c r="H175" s="338"/>
      <c r="I175" s="338"/>
    </row>
    <row r="176" spans="1:10" x14ac:dyDescent="0.3">
      <c r="A176" s="340" t="s">
        <v>132</v>
      </c>
      <c r="B176" s="340"/>
      <c r="C176" s="340"/>
      <c r="D176" s="340"/>
      <c r="E176" s="340"/>
      <c r="F176" s="340"/>
      <c r="G176" s="340"/>
      <c r="H176" s="340"/>
      <c r="I176" s="340"/>
    </row>
    <row r="178" spans="1:9" x14ac:dyDescent="0.3">
      <c r="A178" s="87" t="str">
        <f>A136</f>
        <v>Witness Responsible:   Melissa Schwarzell</v>
      </c>
      <c r="B178" s="87"/>
      <c r="C178" s="87"/>
      <c r="D178" s="87"/>
      <c r="E178" s="87"/>
      <c r="F178" s="87"/>
      <c r="G178" s="87"/>
      <c r="H178" s="87"/>
      <c r="I178" s="85" t="s">
        <v>186</v>
      </c>
    </row>
    <row r="179" spans="1:9" x14ac:dyDescent="0.3">
      <c r="A179" s="87" t="str">
        <f>'Link in'!$A$95</f>
        <v/>
      </c>
      <c r="B179" s="42"/>
      <c r="C179" s="42"/>
      <c r="D179" s="42"/>
      <c r="E179" s="42"/>
      <c r="F179" s="42"/>
      <c r="G179" s="42"/>
      <c r="H179" s="42"/>
      <c r="I179" s="90" t="str">
        <f ca="1">RIGHT(CELL("filename",$A$1),LEN(CELL("filename",$A$1))-SEARCH("\Revenues",CELL("filename",$A$1),1))</f>
        <v>Revenues\[KAWC 2018 Rate Case - Revenue.xlsx]Sch N</v>
      </c>
    </row>
    <row r="180" spans="1:9" x14ac:dyDescent="0.3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x14ac:dyDescent="0.3">
      <c r="A181" s="43" t="s">
        <v>18</v>
      </c>
      <c r="B181" s="42"/>
      <c r="C181" s="44" t="s">
        <v>79</v>
      </c>
      <c r="D181" s="44"/>
      <c r="E181" s="44" t="s">
        <v>73</v>
      </c>
      <c r="F181" s="44"/>
      <c r="G181" s="44"/>
      <c r="H181" s="44"/>
      <c r="I181" s="44" t="s">
        <v>53</v>
      </c>
    </row>
    <row r="182" spans="1:9" x14ac:dyDescent="0.3">
      <c r="A182" s="45" t="s">
        <v>128</v>
      </c>
      <c r="B182" s="42"/>
      <c r="C182" s="45" t="s">
        <v>46</v>
      </c>
      <c r="D182" s="44"/>
      <c r="E182" s="45" t="s">
        <v>46</v>
      </c>
      <c r="F182" s="44"/>
      <c r="G182" s="45" t="s">
        <v>126</v>
      </c>
      <c r="H182" s="44"/>
      <c r="I182" s="45" t="s">
        <v>126</v>
      </c>
    </row>
    <row r="183" spans="1:9" x14ac:dyDescent="0.3">
      <c r="A183" s="47">
        <v>0</v>
      </c>
      <c r="B183" s="42"/>
      <c r="C183" s="61">
        <f>'Sch M'!P215</f>
        <v>681.5</v>
      </c>
      <c r="D183" s="48"/>
      <c r="E183" s="61">
        <f>'Sch M'!U215</f>
        <v>746.7</v>
      </c>
      <c r="F183" s="48"/>
      <c r="G183" s="61">
        <f>+E183-C183</f>
        <v>65.200000000000045</v>
      </c>
      <c r="H183" s="42"/>
      <c r="I183" s="50">
        <f>+G183/C183</f>
        <v>9.5671313279530518E-2</v>
      </c>
    </row>
    <row r="184" spans="1:9" x14ac:dyDescent="0.3">
      <c r="A184" s="52">
        <v>25</v>
      </c>
      <c r="B184" s="38"/>
      <c r="C184" s="53">
        <f>ROUND($C$183+(A184*'Sch M'!$P$222),2)</f>
        <v>779.06</v>
      </c>
      <c r="D184" s="53"/>
      <c r="E184" s="53">
        <f>ROUND($E$183+(A184*'Sch M'!$U$222),2)</f>
        <v>865.7</v>
      </c>
      <c r="F184" s="53"/>
      <c r="G184" s="54">
        <f t="shared" ref="G184:G204" si="17">+E184-C184</f>
        <v>86.6400000000001</v>
      </c>
      <c r="H184" s="42"/>
      <c r="I184" s="50">
        <f t="shared" ref="I184:I204" si="18">+G184/C184</f>
        <v>0.11121094652529985</v>
      </c>
    </row>
    <row r="185" spans="1:9" x14ac:dyDescent="0.3">
      <c r="A185" s="52">
        <v>50</v>
      </c>
      <c r="B185" s="38"/>
      <c r="C185" s="53">
        <f>ROUND($C$183+(A185*'Sch M'!$P$222),2)</f>
        <v>876.61</v>
      </c>
      <c r="D185" s="53"/>
      <c r="E185" s="53">
        <f>ROUND($E$183+(A185*'Sch M'!$U$222),2)</f>
        <v>984.7</v>
      </c>
      <c r="F185" s="53"/>
      <c r="G185" s="54">
        <f t="shared" si="17"/>
        <v>108.09000000000003</v>
      </c>
      <c r="H185" s="42"/>
      <c r="I185" s="50">
        <f t="shared" si="18"/>
        <v>0.12330454820273558</v>
      </c>
    </row>
    <row r="186" spans="1:9" x14ac:dyDescent="0.3">
      <c r="A186" s="52">
        <v>75</v>
      </c>
      <c r="B186" s="38"/>
      <c r="C186" s="53">
        <f>ROUND($C$183+(A186*'Sch M'!$P$222),2)</f>
        <v>974.17</v>
      </c>
      <c r="D186" s="53"/>
      <c r="E186" s="53">
        <f>ROUND($E$183+(A186*'Sch M'!$U$222),2)</f>
        <v>1103.7</v>
      </c>
      <c r="F186" s="53"/>
      <c r="G186" s="54">
        <f t="shared" si="17"/>
        <v>129.53000000000009</v>
      </c>
      <c r="H186" s="42"/>
      <c r="I186" s="50">
        <f t="shared" si="18"/>
        <v>0.13296447232002637</v>
      </c>
    </row>
    <row r="187" spans="1:9" x14ac:dyDescent="0.3">
      <c r="A187" s="47">
        <v>100</v>
      </c>
      <c r="B187" s="55"/>
      <c r="C187" s="53">
        <f>ROUND($C$183+(A187*'Sch M'!$P$222),2)</f>
        <v>1071.73</v>
      </c>
      <c r="D187" s="56"/>
      <c r="E187" s="53">
        <f>ROUND($E$183+(A187*'Sch M'!$U$222),2)</f>
        <v>1222.7</v>
      </c>
      <c r="F187" s="56"/>
      <c r="G187" s="54">
        <f t="shared" si="17"/>
        <v>150.97000000000003</v>
      </c>
      <c r="H187" s="46"/>
      <c r="I187" s="50">
        <f t="shared" si="18"/>
        <v>0.14086570311552352</v>
      </c>
    </row>
    <row r="188" spans="1:9" x14ac:dyDescent="0.3">
      <c r="A188" s="47">
        <v>150</v>
      </c>
      <c r="B188" s="55"/>
      <c r="C188" s="53">
        <f>ROUND($C$183+(A188*'Sch M'!$P$222),2)</f>
        <v>1266.8399999999999</v>
      </c>
      <c r="D188" s="56"/>
      <c r="E188" s="53">
        <f>ROUND($E$183+(A188*'Sch M'!$U$222),2)</f>
        <v>1460.7</v>
      </c>
      <c r="F188" s="56"/>
      <c r="G188" s="54">
        <f t="shared" si="17"/>
        <v>193.86000000000013</v>
      </c>
      <c r="H188" s="46"/>
      <c r="I188" s="50">
        <f t="shared" si="18"/>
        <v>0.15302642796248944</v>
      </c>
    </row>
    <row r="189" spans="1:9" x14ac:dyDescent="0.3">
      <c r="A189" s="47">
        <v>200</v>
      </c>
      <c r="B189" s="55"/>
      <c r="C189" s="53">
        <f>ROUND($C$183+(A189*'Sch M'!$P$222),2)</f>
        <v>1461.95</v>
      </c>
      <c r="D189" s="56"/>
      <c r="E189" s="53">
        <f>ROUND($E$183+(A189*'Sch M'!$U$222),2)</f>
        <v>1698.7</v>
      </c>
      <c r="F189" s="56"/>
      <c r="G189" s="54">
        <f t="shared" si="17"/>
        <v>236.75</v>
      </c>
      <c r="H189" s="46"/>
      <c r="I189" s="50">
        <f t="shared" si="18"/>
        <v>0.16194124286056294</v>
      </c>
    </row>
    <row r="190" spans="1:9" x14ac:dyDescent="0.3">
      <c r="A190" s="47">
        <v>250</v>
      </c>
      <c r="B190" s="55"/>
      <c r="C190" s="53">
        <f>ROUND($C$183+(A190*'Sch M'!$P$222),2)</f>
        <v>1657.07</v>
      </c>
      <c r="D190" s="56"/>
      <c r="E190" s="53">
        <f>ROUND($E$183+(A190*'Sch M'!$U$222),2)</f>
        <v>1936.7</v>
      </c>
      <c r="F190" s="56"/>
      <c r="G190" s="54">
        <f t="shared" si="17"/>
        <v>279.63000000000011</v>
      </c>
      <c r="H190" s="46"/>
      <c r="I190" s="50">
        <f t="shared" si="18"/>
        <v>0.16874966054542059</v>
      </c>
    </row>
    <row r="191" spans="1:9" x14ac:dyDescent="0.3">
      <c r="A191" s="47">
        <v>500</v>
      </c>
      <c r="B191" s="55"/>
      <c r="C191" s="53">
        <f>ROUND($C$183+(A191*'Sch M'!$P$222),2)</f>
        <v>2632.64</v>
      </c>
      <c r="D191" s="56"/>
      <c r="E191" s="53">
        <f>ROUND($E$183+(A191*'Sch M'!$U$222),2)</f>
        <v>3126.7</v>
      </c>
      <c r="F191" s="56"/>
      <c r="G191" s="54">
        <f t="shared" si="17"/>
        <v>494.05999999999995</v>
      </c>
      <c r="H191" s="46"/>
      <c r="I191" s="50">
        <f t="shared" si="18"/>
        <v>0.18766713261213078</v>
      </c>
    </row>
    <row r="192" spans="1:9" x14ac:dyDescent="0.3">
      <c r="A192" s="47">
        <v>750</v>
      </c>
      <c r="B192" s="55"/>
      <c r="C192" s="53">
        <f>ROUND($C$183+(A192*'Sch M'!$P$222),2)</f>
        <v>3608.21</v>
      </c>
      <c r="D192" s="56"/>
      <c r="E192" s="53">
        <f>ROUND($E$183+(A192*'Sch M'!$U$222),2)</f>
        <v>4316.7</v>
      </c>
      <c r="F192" s="56"/>
      <c r="G192" s="54">
        <f t="shared" si="17"/>
        <v>708.48999999999978</v>
      </c>
      <c r="H192" s="46"/>
      <c r="I192" s="50">
        <f t="shared" si="18"/>
        <v>0.19635497933878565</v>
      </c>
    </row>
    <row r="193" spans="1:9" x14ac:dyDescent="0.3">
      <c r="A193" s="47">
        <v>1000</v>
      </c>
      <c r="B193" s="55"/>
      <c r="C193" s="53">
        <f>ROUND($C$183+(A193*'Sch M'!$P$222),2)</f>
        <v>4583.7700000000004</v>
      </c>
      <c r="D193" s="56"/>
      <c r="E193" s="53">
        <f>ROUND($E$183+(A193*'Sch M'!$U$222),2)</f>
        <v>5506.7</v>
      </c>
      <c r="F193" s="56"/>
      <c r="G193" s="54">
        <f t="shared" si="17"/>
        <v>922.92999999999938</v>
      </c>
      <c r="H193" s="46"/>
      <c r="I193" s="50">
        <f t="shared" si="18"/>
        <v>0.20134736254218674</v>
      </c>
    </row>
    <row r="194" spans="1:9" x14ac:dyDescent="0.3">
      <c r="A194" s="52">
        <v>1500</v>
      </c>
      <c r="B194" s="38"/>
      <c r="C194" s="53">
        <f>ROUND($C$183+(A194*'Sch M'!$P$222),2)</f>
        <v>6534.91</v>
      </c>
      <c r="D194" s="53"/>
      <c r="E194" s="53">
        <f>ROUND($E$183+(A194*'Sch M'!$U$222),2)</f>
        <v>7886.7</v>
      </c>
      <c r="F194" s="53"/>
      <c r="G194" s="54">
        <f t="shared" si="17"/>
        <v>1351.79</v>
      </c>
      <c r="H194" s="42"/>
      <c r="I194" s="50">
        <f t="shared" si="18"/>
        <v>0.20685671264026589</v>
      </c>
    </row>
    <row r="195" spans="1:9" x14ac:dyDescent="0.3">
      <c r="A195" s="47">
        <v>2241.6999999999998</v>
      </c>
      <c r="B195" s="55"/>
      <c r="C195" s="56">
        <f>ROUND($C$183+(A195*'Sch M'!$P$222),2)</f>
        <v>9429.23</v>
      </c>
      <c r="D195" s="56"/>
      <c r="E195" s="56">
        <f>ROUND($E$183+(A195*'Sch M'!$U$222),2)</f>
        <v>11417.19</v>
      </c>
      <c r="F195" s="56"/>
      <c r="G195" s="54">
        <f t="shared" si="17"/>
        <v>1987.9600000000009</v>
      </c>
      <c r="H195" s="46"/>
      <c r="I195" s="50">
        <f>+G195/C195</f>
        <v>0.2108295163019675</v>
      </c>
    </row>
    <row r="196" spans="1:9" x14ac:dyDescent="0.3">
      <c r="A196" s="52">
        <v>2500</v>
      </c>
      <c r="B196" s="38"/>
      <c r="C196" s="53">
        <f>ROUND($C$183+(A196*'Sch M'!$P$222),2)</f>
        <v>10437.18</v>
      </c>
      <c r="D196" s="53"/>
      <c r="E196" s="53">
        <f>ROUND($E$183+(A196*'Sch M'!$U$222),2)</f>
        <v>12646.7</v>
      </c>
      <c r="F196" s="53"/>
      <c r="G196" s="54">
        <f t="shared" si="17"/>
        <v>2209.5200000000004</v>
      </c>
      <c r="H196" s="42"/>
      <c r="I196" s="50">
        <f t="shared" si="18"/>
        <v>0.21169702927419096</v>
      </c>
    </row>
    <row r="197" spans="1:9" x14ac:dyDescent="0.3">
      <c r="A197" s="47">
        <v>2930</v>
      </c>
      <c r="B197" s="55"/>
      <c r="C197" s="56">
        <f>ROUND($C$183+(A197*'Sch M'!$P$222),2)</f>
        <v>12115.16</v>
      </c>
      <c r="D197" s="56"/>
      <c r="E197" s="56">
        <f>ROUND($E$183+(A197*'Sch M'!$U$222),2)</f>
        <v>14693.5</v>
      </c>
      <c r="F197" s="56"/>
      <c r="G197" s="54">
        <f t="shared" si="17"/>
        <v>2578.34</v>
      </c>
      <c r="H197" s="46"/>
      <c r="I197" s="50">
        <f t="shared" si="18"/>
        <v>0.21281931068182344</v>
      </c>
    </row>
    <row r="198" spans="1:9" x14ac:dyDescent="0.3">
      <c r="A198" s="52">
        <v>3000</v>
      </c>
      <c r="B198" s="38"/>
      <c r="C198" s="53">
        <f>ROUND($C$183+(A198*'Sch M'!$P$222),2)</f>
        <v>12388.32</v>
      </c>
      <c r="D198" s="53"/>
      <c r="E198" s="53">
        <f>ROUND($E$183+(A198*'Sch M'!$U$222),2)</f>
        <v>15026.7</v>
      </c>
      <c r="F198" s="53"/>
      <c r="G198" s="54">
        <f t="shared" si="17"/>
        <v>2638.380000000001</v>
      </c>
      <c r="H198" s="42"/>
      <c r="I198" s="50">
        <f t="shared" si="18"/>
        <v>0.21297318764771989</v>
      </c>
    </row>
    <row r="199" spans="1:9" x14ac:dyDescent="0.3">
      <c r="A199" s="52">
        <v>5000</v>
      </c>
      <c r="B199" s="38"/>
      <c r="C199" s="53">
        <f>ROUND($C$183+(A199*'Sch M'!$P$222),2)</f>
        <v>20192.87</v>
      </c>
      <c r="D199" s="53"/>
      <c r="E199" s="53">
        <f>ROUND($E$183+(A199*'Sch M'!$U$222),2)</f>
        <v>24546.7</v>
      </c>
      <c r="F199" s="53"/>
      <c r="G199" s="54">
        <f t="shared" si="17"/>
        <v>4353.8300000000017</v>
      </c>
      <c r="H199" s="42"/>
      <c r="I199" s="50">
        <f t="shared" si="18"/>
        <v>0.21561224333143342</v>
      </c>
    </row>
    <row r="200" spans="1:9" x14ac:dyDescent="0.3">
      <c r="A200" s="52">
        <v>7500</v>
      </c>
      <c r="B200" s="38"/>
      <c r="C200" s="53">
        <f>ROUND($C$183+(A200*'Sch M'!$P$222),2)</f>
        <v>29948.55</v>
      </c>
      <c r="D200" s="53"/>
      <c r="E200" s="53">
        <f>ROUND($E$183+(A200*'Sch M'!$U$222),2)</f>
        <v>36446.699999999997</v>
      </c>
      <c r="F200" s="53"/>
      <c r="G200" s="54">
        <f t="shared" si="17"/>
        <v>6498.1499999999978</v>
      </c>
      <c r="H200" s="42"/>
      <c r="I200" s="50">
        <f t="shared" si="18"/>
        <v>0.21697711575351722</v>
      </c>
    </row>
    <row r="201" spans="1:9" x14ac:dyDescent="0.3">
      <c r="A201" s="52">
        <v>10000</v>
      </c>
      <c r="B201" s="38"/>
      <c r="C201" s="53">
        <f>ROUND($C$183+(A201*'Sch M'!$P$222),2)</f>
        <v>39704.239999999998</v>
      </c>
      <c r="D201" s="53"/>
      <c r="E201" s="53">
        <f>ROUND($E$183+(A201*'Sch M'!$U$222),2)</f>
        <v>48346.7</v>
      </c>
      <c r="F201" s="53"/>
      <c r="G201" s="54">
        <f t="shared" si="17"/>
        <v>8642.4599999999991</v>
      </c>
      <c r="H201" s="42"/>
      <c r="I201" s="50">
        <f t="shared" si="18"/>
        <v>0.21767095907137374</v>
      </c>
    </row>
    <row r="202" spans="1:9" x14ac:dyDescent="0.3">
      <c r="A202" s="52">
        <v>15000</v>
      </c>
      <c r="B202" s="38"/>
      <c r="C202" s="53">
        <f>ROUND($C$183+(A202*'Sch M'!$P$222),2)</f>
        <v>59215.6</v>
      </c>
      <c r="D202" s="53"/>
      <c r="E202" s="53">
        <f>ROUND($E$183+(A202*'Sch M'!$U$222),2)</f>
        <v>72146.7</v>
      </c>
      <c r="F202" s="53"/>
      <c r="G202" s="54">
        <f t="shared" si="17"/>
        <v>12931.099999999999</v>
      </c>
      <c r="H202" s="42"/>
      <c r="I202" s="50">
        <f t="shared" si="18"/>
        <v>0.21837319895432958</v>
      </c>
    </row>
    <row r="203" spans="1:9" x14ac:dyDescent="0.3">
      <c r="A203" s="52">
        <v>25000</v>
      </c>
      <c r="B203" s="38"/>
      <c r="C203" s="53">
        <f>ROUND($C$183+(A203*'Sch M'!$P$222),2)</f>
        <v>98238.34</v>
      </c>
      <c r="D203" s="53"/>
      <c r="E203" s="53">
        <f>ROUND($E$183+(A203*'Sch M'!$U$222),2)</f>
        <v>119746.7</v>
      </c>
      <c r="F203" s="53"/>
      <c r="G203" s="54">
        <f t="shared" si="17"/>
        <v>21508.36</v>
      </c>
      <c r="H203" s="42"/>
      <c r="I203" s="50">
        <f t="shared" si="18"/>
        <v>0.21894058877623546</v>
      </c>
    </row>
    <row r="204" spans="1:9" x14ac:dyDescent="0.3">
      <c r="A204" s="52">
        <v>50000</v>
      </c>
      <c r="B204" s="38"/>
      <c r="C204" s="53">
        <f>ROUND($C$183+(A204*'Sch M'!$P$222),2)</f>
        <v>195795.18</v>
      </c>
      <c r="D204" s="53"/>
      <c r="E204" s="53">
        <f>ROUND($E$183+(A204*'Sch M'!$U$222),2)</f>
        <v>238746.7</v>
      </c>
      <c r="F204" s="53"/>
      <c r="G204" s="54">
        <f t="shared" si="17"/>
        <v>42951.520000000019</v>
      </c>
      <c r="H204" s="42"/>
      <c r="I204" s="50">
        <f t="shared" si="18"/>
        <v>0.21936964944693746</v>
      </c>
    </row>
    <row r="205" spans="1:9" x14ac:dyDescent="0.3">
      <c r="A205" s="38"/>
      <c r="B205" s="38"/>
      <c r="C205" s="38"/>
      <c r="D205" s="38"/>
      <c r="E205" s="38"/>
      <c r="F205" s="38"/>
      <c r="G205" s="38"/>
      <c r="H205" s="38"/>
      <c r="I205" s="38"/>
    </row>
    <row r="206" spans="1:9" x14ac:dyDescent="0.3">
      <c r="A206" s="38" t="s">
        <v>127</v>
      </c>
      <c r="B206" s="38"/>
      <c r="C206" s="38"/>
      <c r="D206" s="38"/>
      <c r="E206" s="38"/>
      <c r="F206" s="38"/>
      <c r="G206" s="38"/>
      <c r="H206" s="38"/>
      <c r="I206" s="38"/>
    </row>
    <row r="207" spans="1:9" x14ac:dyDescent="0.3">
      <c r="A207" s="52">
        <f>+'Link in'!Q29/'Link in'!Q21</f>
        <v>1872.0498333333335</v>
      </c>
      <c r="B207" s="38"/>
      <c r="C207" s="56">
        <f>ROUND($C$183+(A207*'Sch M'!$P$222),2)</f>
        <v>7986.75</v>
      </c>
      <c r="D207" s="57"/>
      <c r="E207" s="56">
        <f>ROUND($E$183+(A207*'Sch M'!$U$222),2)</f>
        <v>9657.66</v>
      </c>
      <c r="F207" s="57"/>
      <c r="G207" s="54">
        <f>+E207-C207</f>
        <v>1670.9099999999999</v>
      </c>
      <c r="H207" s="42"/>
      <c r="I207" s="50">
        <f t="shared" ref="I207" si="19">+G207/C207</f>
        <v>0.20921025448398908</v>
      </c>
    </row>
    <row r="210" spans="1:10" x14ac:dyDescent="0.3">
      <c r="A210" s="82"/>
      <c r="B210" s="82"/>
      <c r="C210" s="82"/>
      <c r="D210" s="82"/>
      <c r="E210" s="82"/>
      <c r="F210" s="82"/>
      <c r="G210" s="82"/>
      <c r="H210" s="82"/>
      <c r="I210" s="83"/>
      <c r="J210" s="82"/>
    </row>
    <row r="211" spans="1:10" hidden="1" x14ac:dyDescent="0.3">
      <c r="A211" s="84"/>
      <c r="G211" s="82"/>
      <c r="H211" s="82"/>
      <c r="J211" s="82"/>
    </row>
    <row r="212" spans="1:10" hidden="1" x14ac:dyDescent="0.3">
      <c r="A212" s="84"/>
      <c r="G212" s="82"/>
      <c r="H212" s="82"/>
      <c r="J212" s="82"/>
    </row>
    <row r="213" spans="1:10" x14ac:dyDescent="0.3">
      <c r="A213" s="82"/>
      <c r="B213" s="82"/>
      <c r="C213" s="82"/>
      <c r="D213" s="82"/>
      <c r="E213" s="82"/>
      <c r="F213" s="82"/>
      <c r="G213" s="82"/>
      <c r="H213" s="82"/>
      <c r="I213" s="82"/>
      <c r="J213" s="82"/>
    </row>
    <row r="214" spans="1:10" x14ac:dyDescent="0.3">
      <c r="A214" s="340" t="str">
        <f>A172</f>
        <v>Kentucky American Water Company</v>
      </c>
      <c r="B214" s="340"/>
      <c r="C214" s="340"/>
      <c r="D214" s="340"/>
      <c r="E214" s="340"/>
      <c r="F214" s="340"/>
      <c r="G214" s="340"/>
      <c r="H214" s="340"/>
      <c r="I214" s="340"/>
      <c r="J214" s="82"/>
    </row>
    <row r="215" spans="1:10" x14ac:dyDescent="0.3">
      <c r="A215" s="338" t="str">
        <f t="shared" ref="A215:A216" si="20">A173</f>
        <v>Case No. 2018-00358</v>
      </c>
      <c r="B215" s="338"/>
      <c r="C215" s="338"/>
      <c r="D215" s="338"/>
      <c r="E215" s="338"/>
      <c r="F215" s="338"/>
      <c r="G215" s="338"/>
      <c r="H215" s="338"/>
      <c r="I215" s="338"/>
    </row>
    <row r="216" spans="1:10" x14ac:dyDescent="0.3">
      <c r="A216" s="338" t="str">
        <f t="shared" si="20"/>
        <v>Forecast Year for the 12 Months Ended June 30, 2020</v>
      </c>
      <c r="B216" s="338"/>
      <c r="C216" s="338"/>
      <c r="D216" s="338"/>
      <c r="E216" s="338"/>
      <c r="F216" s="338"/>
      <c r="G216" s="338"/>
      <c r="H216" s="338"/>
      <c r="I216" s="338"/>
    </row>
    <row r="217" spans="1:10" ht="30.45" customHeight="1" x14ac:dyDescent="0.3">
      <c r="A217" s="339" t="s">
        <v>211</v>
      </c>
      <c r="B217" s="338"/>
      <c r="C217" s="338"/>
      <c r="D217" s="338"/>
      <c r="E217" s="338"/>
      <c r="F217" s="338"/>
      <c r="G217" s="338"/>
      <c r="H217" s="338"/>
      <c r="I217" s="338"/>
    </row>
    <row r="218" spans="1:10" x14ac:dyDescent="0.3">
      <c r="A218" s="340" t="s">
        <v>133</v>
      </c>
      <c r="B218" s="340"/>
      <c r="C218" s="340"/>
      <c r="D218" s="340"/>
      <c r="E218" s="340"/>
      <c r="F218" s="340"/>
      <c r="G218" s="340"/>
      <c r="H218" s="340"/>
      <c r="I218" s="340"/>
    </row>
    <row r="220" spans="1:10" x14ac:dyDescent="0.3">
      <c r="A220" s="87" t="str">
        <f>A178</f>
        <v>Witness Responsible:   Melissa Schwarzell</v>
      </c>
      <c r="I220" s="85" t="s">
        <v>186</v>
      </c>
    </row>
    <row r="221" spans="1:10" x14ac:dyDescent="0.3">
      <c r="A221" s="87" t="str">
        <f>'Link in'!$A$95</f>
        <v/>
      </c>
      <c r="B221" s="87"/>
      <c r="C221" s="87"/>
      <c r="D221" s="87"/>
      <c r="E221" s="87"/>
      <c r="F221" s="87"/>
      <c r="G221" s="87"/>
      <c r="H221" s="87"/>
      <c r="I221" s="90" t="str">
        <f ca="1">RIGHT(CELL("filename",$A$1),LEN(CELL("filename",$A$1))-SEARCH("\Revenues",CELL("filename",$A$1),1))</f>
        <v>Revenues\[KAWC 2018 Rate Case - Revenue.xlsx]Sch N</v>
      </c>
    </row>
    <row r="222" spans="1:10" x14ac:dyDescent="0.3">
      <c r="A222" s="64"/>
      <c r="B222" s="64"/>
      <c r="C222" s="64"/>
      <c r="D222" s="64"/>
      <c r="E222" s="64"/>
      <c r="F222" s="64"/>
      <c r="G222" s="64"/>
      <c r="H222" s="64"/>
      <c r="I222" s="64"/>
    </row>
    <row r="223" spans="1:10" x14ac:dyDescent="0.3">
      <c r="A223" s="65" t="s">
        <v>18</v>
      </c>
      <c r="B223" s="63"/>
      <c r="C223" s="66" t="s">
        <v>79</v>
      </c>
      <c r="D223" s="66"/>
      <c r="E223" s="66" t="s">
        <v>73</v>
      </c>
      <c r="F223" s="66"/>
      <c r="G223" s="66"/>
      <c r="H223" s="66"/>
      <c r="I223" s="66" t="s">
        <v>53</v>
      </c>
    </row>
    <row r="224" spans="1:10" x14ac:dyDescent="0.3">
      <c r="A224" s="67" t="s">
        <v>128</v>
      </c>
      <c r="B224" s="63"/>
      <c r="C224" s="67" t="s">
        <v>46</v>
      </c>
      <c r="D224" s="66"/>
      <c r="E224" s="67" t="s">
        <v>46</v>
      </c>
      <c r="F224" s="66"/>
      <c r="G224" s="67" t="s">
        <v>126</v>
      </c>
      <c r="H224" s="66"/>
      <c r="I224" s="67" t="s">
        <v>126</v>
      </c>
    </row>
    <row r="225" spans="1:9" x14ac:dyDescent="0.3">
      <c r="A225" s="86" t="s">
        <v>8</v>
      </c>
      <c r="B225" s="63"/>
      <c r="C225" s="68"/>
      <c r="D225" s="69"/>
      <c r="E225" s="68"/>
      <c r="F225" s="69"/>
      <c r="G225" s="70"/>
      <c r="H225" s="63"/>
      <c r="I225" s="71"/>
    </row>
    <row r="226" spans="1:9" x14ac:dyDescent="0.3">
      <c r="A226" s="79" t="s">
        <v>151</v>
      </c>
      <c r="B226" s="64"/>
      <c r="C226" s="68">
        <f>'Sch M'!P247</f>
        <v>70.900000000000006</v>
      </c>
      <c r="D226" s="72"/>
      <c r="E226" s="68">
        <f>'Sch M'!U247</f>
        <v>80.12</v>
      </c>
      <c r="F226" s="72"/>
      <c r="G226" s="68">
        <f t="shared" ref="G226:G237" si="21">+E226-C226</f>
        <v>9.2199999999999989</v>
      </c>
      <c r="H226" s="63"/>
      <c r="I226" s="71">
        <f t="shared" ref="I226:I237" si="22">+G226/C226</f>
        <v>0.13004231311706627</v>
      </c>
    </row>
    <row r="227" spans="1:9" x14ac:dyDescent="0.3">
      <c r="A227" s="79" t="s">
        <v>13</v>
      </c>
      <c r="B227" s="64"/>
      <c r="C227" s="72">
        <f>'Sch M'!P248</f>
        <v>8.11</v>
      </c>
      <c r="D227" s="72"/>
      <c r="E227" s="72">
        <f>'Sch M'!U248</f>
        <v>9.16</v>
      </c>
      <c r="F227" s="72"/>
      <c r="G227" s="54">
        <f t="shared" si="21"/>
        <v>1.0500000000000007</v>
      </c>
      <c r="H227" s="63"/>
      <c r="I227" s="71">
        <f t="shared" si="22"/>
        <v>0.12946979038224424</v>
      </c>
    </row>
    <row r="228" spans="1:9" x14ac:dyDescent="0.3">
      <c r="A228" s="79" t="s">
        <v>16</v>
      </c>
      <c r="B228" s="64"/>
      <c r="C228" s="72">
        <f>'Sch M'!P249</f>
        <v>32.67</v>
      </c>
      <c r="D228" s="72"/>
      <c r="E228" s="72">
        <f>'Sch M'!U249</f>
        <v>36.92</v>
      </c>
      <c r="F228" s="72"/>
      <c r="G228" s="54">
        <f t="shared" si="21"/>
        <v>4.25</v>
      </c>
      <c r="H228" s="63"/>
      <c r="I228" s="71">
        <f t="shared" si="22"/>
        <v>0.1300887664524028</v>
      </c>
    </row>
    <row r="229" spans="1:9" x14ac:dyDescent="0.3">
      <c r="A229" s="79" t="s">
        <v>60</v>
      </c>
      <c r="B229" s="74"/>
      <c r="C229" s="72">
        <f>'Sch M'!P250</f>
        <v>73.489999999999995</v>
      </c>
      <c r="D229" s="75"/>
      <c r="E229" s="72">
        <f>'Sch M'!U250</f>
        <v>83.04</v>
      </c>
      <c r="F229" s="75"/>
      <c r="G229" s="54">
        <f t="shared" si="21"/>
        <v>9.5500000000000114</v>
      </c>
      <c r="H229" s="76"/>
      <c r="I229" s="71">
        <f t="shared" si="22"/>
        <v>0.12994965301401568</v>
      </c>
    </row>
    <row r="230" spans="1:9" x14ac:dyDescent="0.3">
      <c r="A230" s="79" t="s">
        <v>61</v>
      </c>
      <c r="B230" s="74"/>
      <c r="C230" s="72">
        <f>'Sch M'!P251</f>
        <v>130.63999999999999</v>
      </c>
      <c r="D230" s="75"/>
      <c r="E230" s="72">
        <f>'Sch M'!U251</f>
        <v>147.62</v>
      </c>
      <c r="F230" s="75"/>
      <c r="G230" s="54">
        <f t="shared" si="21"/>
        <v>16.980000000000018</v>
      </c>
      <c r="H230" s="76"/>
      <c r="I230" s="71">
        <f t="shared" si="22"/>
        <v>0.12997550520514406</v>
      </c>
    </row>
    <row r="231" spans="1:9" x14ac:dyDescent="0.3">
      <c r="A231" s="79" t="s">
        <v>62</v>
      </c>
      <c r="B231" s="74"/>
      <c r="C231" s="72">
        <f>'Sch M'!P252</f>
        <v>204.18</v>
      </c>
      <c r="D231" s="75"/>
      <c r="E231" s="72">
        <f>'Sch M'!U252</f>
        <v>230.72</v>
      </c>
      <c r="F231" s="75"/>
      <c r="G231" s="54">
        <f t="shared" si="21"/>
        <v>26.539999999999992</v>
      </c>
      <c r="H231" s="76"/>
      <c r="I231" s="71">
        <f t="shared" si="22"/>
        <v>0.12998334802625131</v>
      </c>
    </row>
    <row r="232" spans="1:9" x14ac:dyDescent="0.3">
      <c r="A232" s="79" t="s">
        <v>63</v>
      </c>
      <c r="B232" s="74"/>
      <c r="C232" s="72">
        <f>'Sch M'!P253</f>
        <v>294.43</v>
      </c>
      <c r="D232" s="75"/>
      <c r="E232" s="72">
        <f>'Sch M'!U253</f>
        <v>332.71</v>
      </c>
      <c r="F232" s="75"/>
      <c r="G232" s="54">
        <f t="shared" si="21"/>
        <v>38.279999999999973</v>
      </c>
      <c r="H232" s="76"/>
      <c r="I232" s="71">
        <f t="shared" si="22"/>
        <v>0.13001392521142538</v>
      </c>
    </row>
    <row r="233" spans="1:9" x14ac:dyDescent="0.3">
      <c r="A233" s="79" t="s">
        <v>134</v>
      </c>
      <c r="B233" s="74"/>
      <c r="C233" s="72">
        <f>'Sch M'!P254</f>
        <v>423.96</v>
      </c>
      <c r="D233" s="75"/>
      <c r="E233" s="72">
        <f>'Sch M'!U254</f>
        <v>479.07</v>
      </c>
      <c r="F233" s="75"/>
      <c r="G233" s="54">
        <f t="shared" si="21"/>
        <v>55.110000000000014</v>
      </c>
      <c r="H233" s="76"/>
      <c r="I233" s="71">
        <f t="shared" si="22"/>
        <v>0.12998867817718657</v>
      </c>
    </row>
    <row r="234" spans="1:9" x14ac:dyDescent="0.3">
      <c r="A234" s="79" t="s">
        <v>135</v>
      </c>
      <c r="B234" s="74"/>
      <c r="C234" s="72">
        <f>'Sch M'!P255</f>
        <v>522.80999999999995</v>
      </c>
      <c r="D234" s="75"/>
      <c r="E234" s="72">
        <f>'Sch M'!U255</f>
        <v>590.78</v>
      </c>
      <c r="F234" s="75"/>
      <c r="G234" s="54">
        <f t="shared" si="21"/>
        <v>67.970000000000027</v>
      </c>
      <c r="H234" s="76"/>
      <c r="I234" s="71">
        <f t="shared" si="22"/>
        <v>0.13000898988160142</v>
      </c>
    </row>
    <row r="235" spans="1:9" x14ac:dyDescent="0.3">
      <c r="A235" s="80"/>
      <c r="B235" s="74"/>
      <c r="C235" s="72"/>
      <c r="D235" s="75"/>
      <c r="E235" s="72"/>
      <c r="F235" s="75"/>
      <c r="G235" s="73"/>
      <c r="H235" s="76"/>
      <c r="I235" s="71"/>
    </row>
    <row r="236" spans="1:9" x14ac:dyDescent="0.3">
      <c r="A236" s="86" t="s">
        <v>150</v>
      </c>
      <c r="B236" s="64"/>
      <c r="C236" s="72"/>
      <c r="D236" s="72"/>
      <c r="E236" s="72"/>
      <c r="F236" s="72"/>
      <c r="G236" s="73"/>
      <c r="H236" s="63"/>
      <c r="I236" s="71"/>
    </row>
    <row r="237" spans="1:9" x14ac:dyDescent="0.3">
      <c r="A237" s="79" t="s">
        <v>152</v>
      </c>
      <c r="B237" s="64"/>
      <c r="C237" s="68">
        <f>'Sch M'!P266</f>
        <v>39.9</v>
      </c>
      <c r="D237" s="72"/>
      <c r="E237" s="68">
        <f>'Sch M'!U266</f>
        <v>49.16</v>
      </c>
      <c r="F237" s="72"/>
      <c r="G237" s="49">
        <f t="shared" si="21"/>
        <v>9.259999999999998</v>
      </c>
      <c r="H237" s="63"/>
      <c r="I237" s="71">
        <f t="shared" si="22"/>
        <v>0.23208020050125308</v>
      </c>
    </row>
    <row r="238" spans="1:9" x14ac:dyDescent="0.3">
      <c r="A238" s="79"/>
      <c r="B238" s="64"/>
      <c r="C238" s="53"/>
      <c r="D238" s="72"/>
      <c r="E238" s="53"/>
      <c r="F238" s="72"/>
      <c r="G238" s="54"/>
      <c r="H238" s="63"/>
      <c r="I238" s="71"/>
    </row>
    <row r="239" spans="1:9" x14ac:dyDescent="0.3">
      <c r="A239" s="62"/>
      <c r="B239" s="64"/>
      <c r="C239" s="72"/>
      <c r="D239" s="72"/>
      <c r="E239" s="72"/>
      <c r="F239" s="72"/>
      <c r="G239" s="73"/>
      <c r="H239" s="63"/>
      <c r="I239" s="71"/>
    </row>
    <row r="240" spans="1:9" x14ac:dyDescent="0.3">
      <c r="A240" s="77"/>
      <c r="B240" s="64"/>
      <c r="C240" s="72"/>
      <c r="D240" s="72"/>
      <c r="E240" s="72"/>
      <c r="F240" s="72"/>
      <c r="G240" s="73"/>
      <c r="H240" s="63"/>
      <c r="I240" s="71"/>
    </row>
    <row r="241" spans="1:9" x14ac:dyDescent="0.3">
      <c r="A241" s="77"/>
      <c r="B241" s="64"/>
      <c r="C241" s="72"/>
      <c r="D241" s="72"/>
      <c r="E241" s="72"/>
      <c r="F241" s="72"/>
      <c r="G241" s="73"/>
      <c r="H241" s="63"/>
      <c r="I241" s="71"/>
    </row>
    <row r="242" spans="1:9" x14ac:dyDescent="0.3">
      <c r="A242" s="77"/>
      <c r="B242" s="64"/>
      <c r="C242" s="72"/>
      <c r="D242" s="72"/>
      <c r="E242" s="72"/>
      <c r="F242" s="72"/>
      <c r="G242" s="73"/>
      <c r="H242" s="63"/>
      <c r="I242" s="71"/>
    </row>
    <row r="243" spans="1:9" x14ac:dyDescent="0.3">
      <c r="A243" s="77"/>
      <c r="B243" s="64"/>
      <c r="C243" s="72"/>
      <c r="D243" s="72"/>
      <c r="E243" s="72"/>
      <c r="F243" s="72"/>
      <c r="G243" s="73"/>
      <c r="H243" s="63"/>
      <c r="I243" s="71"/>
    </row>
    <row r="244" spans="1:9" x14ac:dyDescent="0.3">
      <c r="A244" s="77"/>
      <c r="B244" s="64"/>
      <c r="C244" s="72"/>
      <c r="D244" s="72"/>
      <c r="E244" s="72"/>
      <c r="F244" s="72"/>
      <c r="G244" s="73"/>
      <c r="H244" s="63"/>
      <c r="I244" s="71"/>
    </row>
    <row r="245" spans="1:9" x14ac:dyDescent="0.3">
      <c r="A245" s="77"/>
      <c r="B245" s="64"/>
      <c r="C245" s="72"/>
      <c r="D245" s="72"/>
      <c r="E245" s="72"/>
      <c r="F245" s="72"/>
      <c r="G245" s="73"/>
      <c r="H245" s="63"/>
      <c r="I245" s="71"/>
    </row>
    <row r="246" spans="1:9" x14ac:dyDescent="0.3">
      <c r="A246" s="77"/>
      <c r="B246" s="64"/>
      <c r="C246" s="72"/>
      <c r="D246" s="72"/>
      <c r="E246" s="72"/>
      <c r="F246" s="72"/>
      <c r="G246" s="73"/>
      <c r="H246" s="63"/>
      <c r="I246" s="71"/>
    </row>
    <row r="247" spans="1:9" x14ac:dyDescent="0.3">
      <c r="A247" s="64"/>
      <c r="B247" s="64"/>
      <c r="C247" s="64"/>
      <c r="D247" s="64"/>
      <c r="E247" s="64"/>
      <c r="F247" s="64"/>
      <c r="G247" s="64"/>
      <c r="H247" s="64"/>
      <c r="I247" s="64"/>
    </row>
    <row r="248" spans="1:9" x14ac:dyDescent="0.3">
      <c r="A248" s="64"/>
      <c r="B248" s="64"/>
      <c r="C248" s="64"/>
      <c r="D248" s="64"/>
      <c r="E248" s="64"/>
      <c r="F248" s="64"/>
      <c r="G248" s="64"/>
      <c r="H248" s="64"/>
      <c r="I248" s="64"/>
    </row>
    <row r="249" spans="1:9" x14ac:dyDescent="0.3">
      <c r="A249" s="64"/>
      <c r="B249" s="64"/>
      <c r="C249" s="78"/>
      <c r="D249" s="78"/>
      <c r="E249" s="78"/>
      <c r="F249" s="78"/>
      <c r="G249" s="70"/>
      <c r="H249" s="76"/>
      <c r="I249" s="71"/>
    </row>
  </sheetData>
  <mergeCells count="30">
    <mergeCell ref="A9:I9"/>
    <mergeCell ref="A5:I5"/>
    <mergeCell ref="A6:I6"/>
    <mergeCell ref="A7:I7"/>
    <mergeCell ref="A8:I8"/>
    <mergeCell ref="A92:I92"/>
    <mergeCell ref="A46:I46"/>
    <mergeCell ref="A47:I47"/>
    <mergeCell ref="A48:I48"/>
    <mergeCell ref="A49:I49"/>
    <mergeCell ref="A50:I50"/>
    <mergeCell ref="A88:I88"/>
    <mergeCell ref="A89:I89"/>
    <mergeCell ref="A90:I90"/>
    <mergeCell ref="A91:I91"/>
    <mergeCell ref="A172:I172"/>
    <mergeCell ref="A173:I173"/>
    <mergeCell ref="A130:I130"/>
    <mergeCell ref="A131:I131"/>
    <mergeCell ref="A132:I132"/>
    <mergeCell ref="A133:I133"/>
    <mergeCell ref="A134:I134"/>
    <mergeCell ref="A216:I216"/>
    <mergeCell ref="A217:I217"/>
    <mergeCell ref="A218:I218"/>
    <mergeCell ref="A174:I174"/>
    <mergeCell ref="A175:I175"/>
    <mergeCell ref="A176:I176"/>
    <mergeCell ref="A214:I214"/>
    <mergeCell ref="A215:I215"/>
  </mergeCells>
  <printOptions horizontalCentered="1"/>
  <pageMargins left="0.75" right="0.75" top="0.75" bottom="0.75" header="0.3" footer="0.3"/>
  <pageSetup scale="82" orientation="landscape" r:id="rId1"/>
  <rowBreaks count="5" manualBreakCount="5">
    <brk id="41" max="8" man="1"/>
    <brk id="82" max="8" man="1"/>
    <brk id="123" max="8" man="1"/>
    <brk id="167" max="8" man="1"/>
    <brk id="209" max="8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Link out</vt:lpstr>
      <vt:lpstr>Link in</vt:lpstr>
      <vt:lpstr>Sch M</vt:lpstr>
      <vt:lpstr>Sch N</vt:lpstr>
      <vt:lpstr>'Link in'!Print_Area</vt:lpstr>
      <vt:lpstr>'Link out'!Print_Area</vt:lpstr>
      <vt:lpstr>'Sch M'!Print_Area</vt:lpstr>
      <vt:lpstr>'Sch N'!Print_Area</vt:lpstr>
    </vt:vector>
  </TitlesOfParts>
  <Company>MAWC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Grubb</dc:creator>
  <cp:lastModifiedBy>Lori N O'Malley</cp:lastModifiedBy>
  <cp:lastPrinted>2018-11-22T17:04:53Z</cp:lastPrinted>
  <dcterms:created xsi:type="dcterms:W3CDTF">2000-12-08T14:45:46Z</dcterms:created>
  <dcterms:modified xsi:type="dcterms:W3CDTF">2019-04-11T13:48:28Z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