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omments1.xml" ContentType="application/vnd.openxmlformats-officedocument.spreadsheetml.comments+xml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4-5\Exhibits\Capital Structure\"/>
    </mc:Choice>
  </mc:AlternateContent>
  <bookViews>
    <workbookView xWindow="4032" yWindow="1092" windowWidth="11052" windowHeight="7956" tabRatio="861" activeTab="3"/>
  </bookViews>
  <sheets>
    <sheet name="Linkout" sheetId="1" r:id="rId1"/>
    <sheet name="Linkin" sheetId="5" r:id="rId2"/>
    <sheet name="Link In BS Projection" sheetId="40" r:id="rId3"/>
    <sheet name="Sch J-1" sheetId="35" r:id="rId4"/>
    <sheet name="Sch J-2" sheetId="4" r:id="rId5"/>
    <sheet name="Sch J-3" sheetId="32" r:id="rId6"/>
    <sheet name="Sch J-4" sheetId="33" r:id="rId7"/>
    <sheet name="Sch J-5" sheetId="34" r:id="rId8"/>
    <sheet name="Sch J WPs" sheetId="26" r:id="rId9"/>
    <sheet name="STD 2018 WP" sheetId="36" r:id="rId10"/>
    <sheet name="Unamort ITCs 2018 WP" sheetId="37" r:id="rId11"/>
    <sheet name="LTD Discount" sheetId="39" r:id="rId12"/>
    <sheet name="Notes" sheetId="38" r:id="rId13"/>
  </sheets>
  <externalReferences>
    <externalReference r:id="rId14"/>
    <externalReference r:id="rId15"/>
  </externalReferences>
  <definedNames>
    <definedName name="_xlnm.Print_Area" localSheetId="2">'Link In BS Projection'!$A$1:$X$26</definedName>
    <definedName name="_xlnm.Print_Area" localSheetId="1">Linkin!$A$1:$G$49</definedName>
    <definedName name="_xlnm.Print_Area" localSheetId="0">Linkout!$B$1:$I$45</definedName>
    <definedName name="_xlnm.Print_Area" localSheetId="8">'Sch J WPs'!$D$1:$AF$543,'Sch J WPs'!$AH$1:$AX$46,'Sch J WPs'!$AH$277:$AV$314</definedName>
    <definedName name="_xlnm.Print_Area" localSheetId="3">'Sch J-1'!$A$1:$R$32</definedName>
    <definedName name="_xlnm.Print_Area" localSheetId="4">'Sch J-2'!$A$1:$R$78</definedName>
    <definedName name="_xlnm.Print_Area" localSheetId="5">'Sch J-3'!$A$1:$M$60</definedName>
    <definedName name="_xlnm.Print_Area" localSheetId="6">'Sch J-4'!$A$1:$AC$97</definedName>
    <definedName name="_xlnm.Print_Area" localSheetId="7">'Sch J-5'!$A$1:$W$78</definedName>
    <definedName name="_xlnm.Print_Area" localSheetId="10">'Unamort ITCs 2018 WP'!$A$1:$F$46</definedName>
    <definedName name="_xlnm.Print_Titles" localSheetId="2">'Link In BS Projection'!$A:$B</definedName>
    <definedName name="_xlnm.Print_Titles" localSheetId="8">'Sch J WPs'!$A:$C</definedName>
    <definedName name="wrn.Wkp._.Capital._.Structure." localSheetId="1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1" hidden="1">{"Wkp ComEquity",#N/A,FALSE,"Cap Struct WPs"}</definedName>
    <definedName name="wrn.Wkp._.ComEquity." hidden="1">{"Wkp ComEquity",#N/A,FALSE,"Cap Struct WPs"}</definedName>
    <definedName name="wrn.Wkp._.JDITC." localSheetId="1" hidden="1">{"Wkp JDITC",#N/A,FALSE,"Cap Struct WPs"}</definedName>
    <definedName name="wrn.Wkp._.JDITC." hidden="1">{"Wkp JDITC",#N/A,FALSE,"Cap Struct WPs"}</definedName>
    <definedName name="wrn.Wkp._.LTerm._.Debt." localSheetId="1" hidden="1">{"Wkp LTerm Debt",#N/A,FALSE,"Cap Struct WPs"}</definedName>
    <definedName name="wrn.Wkp._.LTerm._.Debt." hidden="1">{"Wkp LTerm Debt",#N/A,FALSE,"Cap Struct WPs"}</definedName>
    <definedName name="wrn.Wkp._.LTerm._.Debt._.13Mo._.Avg." localSheetId="1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1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1" hidden="1">{"Wkp LTerm Debt Int",#N/A,FALSE,"Cap Struct WPs"}</definedName>
    <definedName name="wrn.Wkp._.LTerm._.Debt._.Int." hidden="1">{"Wkp LTerm Debt Int",#N/A,FALSE,"Cap Struct WPs"}</definedName>
    <definedName name="wrn.Wkp._.PreStock." localSheetId="1" hidden="1">{"Wkp PreStock",#N/A,FALSE,"Cap Struct WPs"}</definedName>
    <definedName name="wrn.Wkp._.PreStock." hidden="1">{"Wkp PreStock",#N/A,FALSE,"Cap Struct WPs"}</definedName>
    <definedName name="wrn.Wkp._.PreStock._.13MoAvg." localSheetId="1" hidden="1">{"Wkp PreStock 13MoAvg",#N/A,FALSE,"Cap Struct WPs"}</definedName>
    <definedName name="wrn.Wkp._.PreStock._.13MoAvg." hidden="1">{"Wkp PreStock 13MoAvg",#N/A,FALSE,"Cap Struct WPs"}</definedName>
    <definedName name="wrn.Wkp._.PreStock._.Amort." localSheetId="1" hidden="1">{"Wkp PreStock Amort",#N/A,FALSE,"Cap Struct WPs"}</definedName>
    <definedName name="wrn.Wkp._.PreStock._.Amort." hidden="1">{"Wkp PreStock Amort",#N/A,FALSE,"Cap Struct WPs"}</definedName>
    <definedName name="wrn.Wkp._.PreStock._.Dividend." localSheetId="1" hidden="1">{"Wkp PreStock Dividend",#N/A,FALSE,"Cap Struct WPs"}</definedName>
    <definedName name="wrn.Wkp._.PreStock._.Dividend." hidden="1">{"Wkp PreStock Dividend",#N/A,FALSE,"Cap Struct WPs"}</definedName>
    <definedName name="wrn.Wkp._.STerm._.Debt." localSheetId="1" hidden="1">{"Wkp STerm Debt",#N/A,FALSE,"Cap Struct WPs"}</definedName>
    <definedName name="wrn.Wkp._.STerm._.Debt." hidden="1">{"Wkp STerm Debt",#N/A,FALSE,"Cap Struct WPs"}</definedName>
    <definedName name="wrn.Wkp._.Unamort._.Debt._.Exp." localSheetId="1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1" hidden="1">{"Wkp Unamort PreStock Exp",#N/A,FALSE,"Cap Struct WPs"}</definedName>
    <definedName name="wrn.Wkp._.Unamort._.PreStock._.Exp." hidden="1">{"Wkp Unamort PreStock Exp",#N/A,FALSE,"Cap Struct WPs"}</definedName>
    <definedName name="Z_3504B94A_F634_11D2_9451_0008C780B76A_.wvu.PrintArea" localSheetId="4" hidden="1">'Sch J-2'!#REF!</definedName>
    <definedName name="Z_3504B94A_F634_11D2_9451_0008C780B76A_.wvu.PrintArea" localSheetId="5" hidden="1">'Sch J-3'!$A$87:$Q$88</definedName>
    <definedName name="Z_3504B94A_F634_11D2_9451_0008C780B76A_.wvu.PrintArea" localSheetId="6" hidden="1">'Sch J-4'!#REF!</definedName>
    <definedName name="Z_3504B94A_F634_11D2_9451_0008C780B76A_.wvu.PrintArea" localSheetId="7" hidden="1">'Sch J-5'!$A$3:$Y$78</definedName>
    <definedName name="Z_3504B94B_F634_11D2_9451_0008C780B76A_.wvu.PrintArea" localSheetId="4" hidden="1">'Sch J-2'!#REF!</definedName>
    <definedName name="Z_3504B94B_F634_11D2_9451_0008C780B76A_.wvu.PrintArea" localSheetId="5" hidden="1">'Sch J-3'!$A$87:$Q$88</definedName>
    <definedName name="Z_3504B94B_F634_11D2_9451_0008C780B76A_.wvu.PrintArea" localSheetId="6" hidden="1">'Sch J-4'!#REF!</definedName>
    <definedName name="Z_3504B94B_F634_11D2_9451_0008C780B76A_.wvu.PrintArea" localSheetId="7" hidden="1">'Sch J-5'!$A$3:$Y$78</definedName>
    <definedName name="Z_3504B94C_F634_11D2_9451_0008C780B76A_.wvu.PrintArea" localSheetId="4" hidden="1">'Sch J-2'!#REF!</definedName>
    <definedName name="Z_3504B94C_F634_11D2_9451_0008C780B76A_.wvu.PrintArea" localSheetId="5" hidden="1">'Sch J-3'!$A$87:$Q$88</definedName>
    <definedName name="Z_3504B94C_F634_11D2_9451_0008C780B76A_.wvu.PrintArea" localSheetId="6" hidden="1">'Sch J-4'!#REF!</definedName>
    <definedName name="Z_3504B94C_F634_11D2_9451_0008C780B76A_.wvu.PrintArea" localSheetId="7" hidden="1">'Sch J-5'!$A$3:$Y$78</definedName>
    <definedName name="Z_3504B94D_F634_11D2_9451_0008C780B76A_.wvu.PrintArea" localSheetId="4" hidden="1">'Sch J-2'!#REF!</definedName>
    <definedName name="Z_3504B94D_F634_11D2_9451_0008C780B76A_.wvu.PrintArea" localSheetId="5" hidden="1">'Sch J-3'!$A$87:$Q$88</definedName>
    <definedName name="Z_3504B94D_F634_11D2_9451_0008C780B76A_.wvu.PrintArea" localSheetId="6" hidden="1">'Sch J-4'!#REF!</definedName>
    <definedName name="Z_3504B94D_F634_11D2_9451_0008C780B76A_.wvu.PrintArea" localSheetId="7" hidden="1">'Sch J-5'!$A$3:$Y$78</definedName>
    <definedName name="Z_3504B94E_F634_11D2_9451_0008C780B76A_.wvu.PrintArea" localSheetId="4" hidden="1">'Sch J-2'!#REF!</definedName>
    <definedName name="Z_3504B94E_F634_11D2_9451_0008C780B76A_.wvu.PrintArea" localSheetId="5" hidden="1">'Sch J-3'!$A$87:$Q$88</definedName>
    <definedName name="Z_3504B94E_F634_11D2_9451_0008C780B76A_.wvu.PrintArea" localSheetId="6" hidden="1">'Sch J-4'!#REF!</definedName>
    <definedName name="Z_3504B94E_F634_11D2_9451_0008C780B76A_.wvu.PrintArea" localSheetId="7" hidden="1">'Sch J-5'!$A$3:$Y$78</definedName>
    <definedName name="Z_3504B950_F634_11D2_9451_0008C780B76A_.wvu.PrintArea" localSheetId="4" hidden="1">'Sch J-2'!#REF!</definedName>
    <definedName name="Z_3504B950_F634_11D2_9451_0008C780B76A_.wvu.PrintArea" localSheetId="5" hidden="1">'Sch J-3'!$A$87:$Q$88</definedName>
    <definedName name="Z_3504B950_F634_11D2_9451_0008C780B76A_.wvu.PrintArea" localSheetId="6" hidden="1">'Sch J-4'!#REF!</definedName>
    <definedName name="Z_3504B950_F634_11D2_9451_0008C780B76A_.wvu.PrintArea" localSheetId="7" hidden="1">'Sch J-5'!$A$3:$Y$78</definedName>
    <definedName name="Z_3504B951_F634_11D2_9451_0008C780B76A_.wvu.PrintArea" localSheetId="4" hidden="1">'Sch J-2'!#REF!</definedName>
    <definedName name="Z_3504B951_F634_11D2_9451_0008C780B76A_.wvu.PrintArea" localSheetId="5" hidden="1">'Sch J-3'!$A$87:$Q$88</definedName>
    <definedName name="Z_3504B951_F634_11D2_9451_0008C780B76A_.wvu.PrintArea" localSheetId="6" hidden="1">'Sch J-4'!#REF!</definedName>
    <definedName name="Z_3504B951_F634_11D2_9451_0008C780B76A_.wvu.PrintArea" localSheetId="7" hidden="1">'Sch J-5'!$A$3:$Y$78</definedName>
    <definedName name="Z_3504B952_F634_11D2_9451_0008C780B76A_.wvu.PrintArea" localSheetId="4" hidden="1">'Sch J-2'!#REF!</definedName>
    <definedName name="Z_3504B952_F634_11D2_9451_0008C780B76A_.wvu.PrintArea" localSheetId="5" hidden="1">'Sch J-3'!$A$87:$Q$88</definedName>
    <definedName name="Z_3504B952_F634_11D2_9451_0008C780B76A_.wvu.PrintArea" localSheetId="6" hidden="1">'Sch J-4'!#REF!</definedName>
    <definedName name="Z_3504B952_F634_11D2_9451_0008C780B76A_.wvu.PrintArea" localSheetId="7" hidden="1">'Sch J-5'!$A$3:$Y$78</definedName>
    <definedName name="Z_3504B953_F634_11D2_9451_0008C780B76A_.wvu.PrintArea" localSheetId="4" hidden="1">'Sch J-2'!#REF!</definedName>
    <definedName name="Z_3504B953_F634_11D2_9451_0008C780B76A_.wvu.PrintArea" localSheetId="5" hidden="1">'Sch J-3'!$A$87:$Q$88</definedName>
    <definedName name="Z_3504B953_F634_11D2_9451_0008C780B76A_.wvu.PrintArea" localSheetId="6" hidden="1">'Sch J-4'!#REF!</definedName>
    <definedName name="Z_3504B953_F634_11D2_9451_0008C780B76A_.wvu.PrintArea" localSheetId="7" hidden="1">'Sch J-5'!$A$3:$Y$78</definedName>
    <definedName name="Z_3504B954_F634_11D2_9451_0008C780B76A_.wvu.PrintArea" localSheetId="4" hidden="1">'Sch J-2'!#REF!</definedName>
    <definedName name="Z_3504B954_F634_11D2_9451_0008C780B76A_.wvu.PrintArea" localSheetId="5" hidden="1">'Sch J-3'!$A$87:$Q$88</definedName>
    <definedName name="Z_3504B954_F634_11D2_9451_0008C780B76A_.wvu.PrintArea" localSheetId="6" hidden="1">'Sch J-4'!#REF!</definedName>
    <definedName name="Z_3504B954_F634_11D2_9451_0008C780B76A_.wvu.PrintArea" localSheetId="7" hidden="1">'Sch J-5'!$A$3:$Y$78</definedName>
    <definedName name="Z_3504B955_F634_11D2_9451_0008C780B76A_.wvu.PrintArea" localSheetId="4" hidden="1">'Sch J-2'!#REF!</definedName>
    <definedName name="Z_3504B955_F634_11D2_9451_0008C780B76A_.wvu.PrintArea" localSheetId="5" hidden="1">'Sch J-3'!$A$87:$Q$88</definedName>
    <definedName name="Z_3504B955_F634_11D2_9451_0008C780B76A_.wvu.PrintArea" localSheetId="6" hidden="1">'Sch J-4'!#REF!</definedName>
    <definedName name="Z_3504B955_F634_11D2_9451_0008C780B76A_.wvu.PrintArea" localSheetId="7" hidden="1">'Sch J-5'!$A$3:$Y$78</definedName>
    <definedName name="Z_3504B956_F634_11D2_9451_0008C780B76A_.wvu.PrintArea" localSheetId="4" hidden="1">'Sch J-2'!#REF!</definedName>
    <definedName name="Z_3504B956_F634_11D2_9451_0008C780B76A_.wvu.PrintArea" localSheetId="5" hidden="1">'Sch J-3'!$A$87:$Q$88</definedName>
    <definedName name="Z_3504B956_F634_11D2_9451_0008C780B76A_.wvu.PrintArea" localSheetId="6" hidden="1">'Sch J-4'!#REF!</definedName>
    <definedName name="Z_3504B956_F634_11D2_9451_0008C780B76A_.wvu.PrintArea" localSheetId="7" hidden="1">'Sch J-5'!$A$3:$Y$78</definedName>
    <definedName name="Z_3504B966_F634_11D2_9451_0008C780B76A_.wvu.PrintArea" localSheetId="4" hidden="1">'Sch J-2'!#REF!</definedName>
    <definedName name="Z_3504B966_F634_11D2_9451_0008C780B76A_.wvu.PrintArea" localSheetId="5" hidden="1">'Sch J-3'!$A$87:$Q$88</definedName>
    <definedName name="Z_3504B966_F634_11D2_9451_0008C780B76A_.wvu.PrintArea" localSheetId="6" hidden="1">'Sch J-4'!#REF!</definedName>
    <definedName name="Z_3504B966_F634_11D2_9451_0008C780B76A_.wvu.PrintArea" localSheetId="7" hidden="1">'Sch J-5'!$A$3:$Y$78</definedName>
    <definedName name="Z_42E2132E_130A_11D4_8702_444553540000_.wvu.PrintArea" localSheetId="1" hidden="1">Linkin!$A$1:$G$40</definedName>
    <definedName name="Z_42E2132E_130A_11D4_8702_444553540000_.wvu.PrintArea" localSheetId="4" hidden="1">'Sch J-2'!$A$2:$T$90</definedName>
    <definedName name="Z_42E2132E_130A_11D4_8702_444553540000_.wvu.PrintArea" localSheetId="5" hidden="1">'Sch J-3'!$A$1:$P$88</definedName>
    <definedName name="Z_42E2132E_130A_11D4_8702_444553540000_.wvu.PrintArea" localSheetId="6" hidden="1">'Sch J-4'!$A$1:$AC$103</definedName>
    <definedName name="Z_42E2132E_130A_11D4_8702_444553540000_.wvu.PrintArea" localSheetId="7" hidden="1">'Sch J-5'!$A$1:$X$78</definedName>
  </definedNames>
  <calcPr calcId="162913"/>
  <customWorkbookViews>
    <customWorkbookView name="Print All Sch J Exhibits" guid="{42E2132E-130A-11D4-8702-444553540000}" maximized="1" windowWidth="763" windowHeight="466" tabRatio="602" activeSheetId="4"/>
    <customWorkbookView name="Wkp Unamort Debt Exp" guid="{3504B94A-F634-11D2-9451-0008C780B76A}" maximized="1" windowWidth="796" windowHeight="427" tabRatio="602" activeSheetId="3"/>
    <customWorkbookView name="Wkp LTerm Debt" guid="{3504B94B-F634-11D2-9451-0008C780B76A}" maximized="1" windowWidth="796" windowHeight="427" tabRatio="602" activeSheetId="3"/>
    <customWorkbookView name="Wkp Lterm Debt Amort" guid="{3504B94C-F634-11D2-9451-0008C780B76A}" maximized="1" windowWidth="796" windowHeight="427" tabRatio="602" activeSheetId="3"/>
    <customWorkbookView name="Wkp LTerm Debt Int" guid="{3504B94D-F634-11D2-9451-0008C780B76A}" maximized="1" windowWidth="796" windowHeight="427" tabRatio="602" activeSheetId="3"/>
    <customWorkbookView name="Wkp PreStock" guid="{3504B94E-F634-11D2-9451-0008C780B76A}" maximized="1" windowWidth="796" windowHeight="427" tabRatio="602" activeSheetId="3"/>
    <customWorkbookView name="Wkp PreStock Amort" guid="{3504B950-F634-11D2-9451-0008C780B76A}" maximized="1" windowWidth="796" windowHeight="427" tabRatio="602" activeSheetId="3"/>
    <customWorkbookView name="Wkp PreStock Dividend" guid="{3504B951-F634-11D2-9451-0008C780B76A}" maximized="1" windowWidth="796" windowHeight="427" tabRatio="602" activeSheetId="3"/>
    <customWorkbookView name="Wkp STerm Debt" guid="{3504B952-F634-11D2-9451-0008C780B76A}" maximized="1" windowWidth="796" windowHeight="427" tabRatio="602" activeSheetId="3"/>
    <customWorkbookView name="Wkp ComEquity" guid="{3504B953-F634-11D2-9451-0008C780B76A}" maximized="1" windowWidth="796" windowHeight="427" tabRatio="602" activeSheetId="3"/>
    <customWorkbookView name="Wkp JDITC" guid="{3504B954-F634-11D2-9451-0008C780B76A}" maximized="1" windowWidth="796" windowHeight="427" tabRatio="602" activeSheetId="3"/>
    <customWorkbookView name="Wkp LTerm Debt 13MoAvg" guid="{3504B955-F634-11D2-9451-0008C780B76A}" maximized="1" windowWidth="796" windowHeight="427" tabRatio="602" activeSheetId="3"/>
    <customWorkbookView name="Wkp PreStock 13MoAvg" guid="{3504B956-F634-11D2-9451-0008C780B76A}" maximized="1" windowWidth="796" windowHeight="427" tabRatio="602" activeSheetId="3"/>
    <customWorkbookView name="Wkp Unamort PreStock Exp" guid="{3504B966-F634-11D2-9451-0008C780B76A}" maximized="1" windowWidth="796" windowHeight="427" tabRatio="602" activeSheetId="3"/>
  </customWorkbookViews>
</workbook>
</file>

<file path=xl/calcChain.xml><?xml version="1.0" encoding="utf-8"?>
<calcChain xmlns="http://schemas.openxmlformats.org/spreadsheetml/2006/main">
  <c r="AF453" i="26" l="1"/>
  <c r="C30" i="5" l="1"/>
  <c r="A30" i="5"/>
  <c r="C29" i="5"/>
  <c r="A29" i="5"/>
  <c r="C28" i="5"/>
  <c r="A28" i="5"/>
  <c r="C27" i="5"/>
  <c r="A27" i="5"/>
  <c r="C26" i="5"/>
  <c r="A26" i="5"/>
  <c r="C25" i="5"/>
  <c r="A25" i="5"/>
  <c r="C24" i="5"/>
  <c r="A24" i="5"/>
  <c r="G38" i="5"/>
  <c r="A19" i="5"/>
  <c r="A18" i="5"/>
  <c r="A17" i="5"/>
  <c r="A16" i="5"/>
  <c r="C13" i="5"/>
  <c r="C10" i="5"/>
  <c r="C7" i="5"/>
  <c r="C5" i="5"/>
  <c r="A3" i="5"/>
  <c r="A2" i="5"/>
  <c r="A1" i="5"/>
  <c r="X18" i="40" l="1"/>
  <c r="W18" i="40"/>
  <c r="V18" i="40"/>
  <c r="U18" i="40"/>
  <c r="T18" i="40"/>
  <c r="S18" i="40"/>
  <c r="R18" i="40"/>
  <c r="Q18" i="40"/>
  <c r="P18" i="40"/>
  <c r="O18" i="40"/>
  <c r="N18" i="40"/>
  <c r="M18" i="40"/>
  <c r="L18" i="40"/>
  <c r="K18" i="40"/>
  <c r="J18" i="40"/>
  <c r="I18" i="40"/>
  <c r="G18" i="40"/>
  <c r="F18" i="40"/>
  <c r="E18" i="40"/>
  <c r="D18" i="40"/>
  <c r="C18" i="40"/>
  <c r="Q2" i="40" l="1"/>
  <c r="X2" i="40"/>
  <c r="J2" i="40"/>
  <c r="J2" i="38" l="1"/>
  <c r="K2" i="39" l="1"/>
  <c r="C26" i="1" l="1"/>
  <c r="R25" i="26" l="1"/>
  <c r="K20" i="40" s="1"/>
  <c r="R210" i="26" l="1"/>
  <c r="R164" i="26" s="1"/>
  <c r="AT15" i="26"/>
  <c r="AT16" i="26"/>
  <c r="AT17" i="26"/>
  <c r="AT18" i="26"/>
  <c r="AT19" i="26"/>
  <c r="AT20" i="26"/>
  <c r="AT21" i="26"/>
  <c r="AT22" i="26"/>
  <c r="AT14" i="26"/>
  <c r="D168" i="26"/>
  <c r="C14" i="39"/>
  <c r="D14" i="39" s="1"/>
  <c r="E14" i="39" s="1"/>
  <c r="F14" i="39" s="1"/>
  <c r="G14" i="39" s="1"/>
  <c r="H14" i="39" s="1"/>
  <c r="I14" i="39" s="1"/>
  <c r="E164" i="26"/>
  <c r="F164" i="26" s="1"/>
  <c r="G164" i="26" s="1"/>
  <c r="E209" i="26"/>
  <c r="E208" i="26"/>
  <c r="E162" i="26" s="1"/>
  <c r="D220" i="26"/>
  <c r="B212" i="26"/>
  <c r="C200" i="26"/>
  <c r="C201" i="26"/>
  <c r="C202" i="26"/>
  <c r="C203" i="26"/>
  <c r="C204" i="26"/>
  <c r="C205" i="26"/>
  <c r="C206" i="26"/>
  <c r="C207" i="26"/>
  <c r="C208" i="26"/>
  <c r="C209" i="26"/>
  <c r="C210" i="26"/>
  <c r="B200" i="26"/>
  <c r="B201" i="26"/>
  <c r="B202" i="26"/>
  <c r="B203" i="26"/>
  <c r="B204" i="26"/>
  <c r="B205" i="26"/>
  <c r="B206" i="26"/>
  <c r="B207" i="26"/>
  <c r="B208" i="26"/>
  <c r="B209" i="26"/>
  <c r="B210" i="26"/>
  <c r="C199" i="26"/>
  <c r="B199" i="26"/>
  <c r="C154" i="26"/>
  <c r="C155" i="26"/>
  <c r="C156" i="26"/>
  <c r="C157" i="26"/>
  <c r="C158" i="26"/>
  <c r="C159" i="26"/>
  <c r="C160" i="26"/>
  <c r="C161" i="26"/>
  <c r="C162" i="26"/>
  <c r="C163" i="26"/>
  <c r="C164" i="26"/>
  <c r="AE193" i="26"/>
  <c r="AD193" i="26"/>
  <c r="AC193" i="26"/>
  <c r="AB193" i="26"/>
  <c r="AA193" i="26"/>
  <c r="Z193" i="26"/>
  <c r="Y193" i="26"/>
  <c r="X193" i="26"/>
  <c r="W193" i="26"/>
  <c r="V193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D193" i="26"/>
  <c r="AF186" i="26"/>
  <c r="AA186" i="26"/>
  <c r="O186" i="26"/>
  <c r="A195" i="26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F140" i="26"/>
  <c r="AA140" i="26"/>
  <c r="AE147" i="26"/>
  <c r="AD147" i="26"/>
  <c r="AC147" i="26"/>
  <c r="AB147" i="26"/>
  <c r="AA147" i="26"/>
  <c r="Z147" i="26"/>
  <c r="Y147" i="26"/>
  <c r="X147" i="26"/>
  <c r="W147" i="26"/>
  <c r="V147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D147" i="26"/>
  <c r="O140" i="26"/>
  <c r="B166" i="26"/>
  <c r="B154" i="26"/>
  <c r="B155" i="26"/>
  <c r="B156" i="26"/>
  <c r="B157" i="26"/>
  <c r="B158" i="26"/>
  <c r="B159" i="26"/>
  <c r="B160" i="26"/>
  <c r="B161" i="26"/>
  <c r="B162" i="26"/>
  <c r="B163" i="26"/>
  <c r="B164" i="26"/>
  <c r="A149" i="26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03" i="26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C153" i="26"/>
  <c r="B153" i="26"/>
  <c r="Q23" i="26"/>
  <c r="C75" i="33"/>
  <c r="E220" i="26" l="1"/>
  <c r="C15" i="39"/>
  <c r="D15" i="39" s="1"/>
  <c r="E15" i="39" s="1"/>
  <c r="F15" i="39" s="1"/>
  <c r="G15" i="39" s="1"/>
  <c r="H15" i="39" s="1"/>
  <c r="I15" i="39" s="1"/>
  <c r="I16" i="39" s="1"/>
  <c r="E163" i="26"/>
  <c r="F209" i="26"/>
  <c r="G209" i="26" s="1"/>
  <c r="H209" i="26" s="1"/>
  <c r="I209" i="26" s="1"/>
  <c r="J209" i="26" s="1"/>
  <c r="K209" i="26" s="1"/>
  <c r="L209" i="26" s="1"/>
  <c r="M209" i="26" s="1"/>
  <c r="N209" i="26" s="1"/>
  <c r="O209" i="26" s="1"/>
  <c r="P209" i="26" s="1"/>
  <c r="Q209" i="26" s="1"/>
  <c r="R209" i="26" s="1"/>
  <c r="S209" i="26" s="1"/>
  <c r="T209" i="26" s="1"/>
  <c r="F208" i="26"/>
  <c r="H164" i="26"/>
  <c r="F163" i="26" l="1"/>
  <c r="G163" i="26" s="1"/>
  <c r="H163" i="26" s="1"/>
  <c r="I163" i="26" s="1"/>
  <c r="J163" i="26" s="1"/>
  <c r="K163" i="26" s="1"/>
  <c r="L163" i="26" s="1"/>
  <c r="M163" i="26" s="1"/>
  <c r="N163" i="26" s="1"/>
  <c r="O163" i="26" s="1"/>
  <c r="P163" i="26" s="1"/>
  <c r="Q163" i="26" s="1"/>
  <c r="R163" i="26" s="1"/>
  <c r="S163" i="26" s="1"/>
  <c r="E168" i="26"/>
  <c r="G208" i="26"/>
  <c r="F220" i="26"/>
  <c r="F162" i="26"/>
  <c r="U209" i="26"/>
  <c r="V209" i="26" s="1"/>
  <c r="W209" i="26" s="1"/>
  <c r="X209" i="26" s="1"/>
  <c r="Y209" i="26" s="1"/>
  <c r="Z209" i="26" s="1"/>
  <c r="AA209" i="26" s="1"/>
  <c r="AB209" i="26" s="1"/>
  <c r="AC209" i="26" s="1"/>
  <c r="AD209" i="26" s="1"/>
  <c r="AE209" i="26" s="1"/>
  <c r="I164" i="26"/>
  <c r="W84" i="33" l="1"/>
  <c r="AF209" i="26"/>
  <c r="H208" i="26"/>
  <c r="G220" i="26"/>
  <c r="G162" i="26"/>
  <c r="F168" i="26"/>
  <c r="T163" i="26"/>
  <c r="U163" i="26" s="1"/>
  <c r="V163" i="26" s="1"/>
  <c r="W163" i="26" s="1"/>
  <c r="X163" i="26" s="1"/>
  <c r="Y163" i="26" s="1"/>
  <c r="Z163" i="26" s="1"/>
  <c r="AA163" i="26" s="1"/>
  <c r="AB163" i="26" s="1"/>
  <c r="AC163" i="26" s="1"/>
  <c r="AD163" i="26" s="1"/>
  <c r="AE163" i="26" s="1"/>
  <c r="W35" i="33" s="1"/>
  <c r="J164" i="26"/>
  <c r="AF163" i="26" l="1"/>
  <c r="AT24" i="26" s="1"/>
  <c r="H162" i="26"/>
  <c r="G168" i="26"/>
  <c r="H220" i="26"/>
  <c r="I208" i="26"/>
  <c r="K164" i="26"/>
  <c r="I220" i="26" l="1"/>
  <c r="J208" i="26"/>
  <c r="I162" i="26"/>
  <c r="H168" i="26"/>
  <c r="L164" i="26"/>
  <c r="J162" i="26" l="1"/>
  <c r="I168" i="26"/>
  <c r="J220" i="26"/>
  <c r="K208" i="26"/>
  <c r="M164" i="26"/>
  <c r="K220" i="26" l="1"/>
  <c r="L208" i="26"/>
  <c r="K162" i="26"/>
  <c r="J168" i="26"/>
  <c r="N164" i="26"/>
  <c r="L162" i="26" l="1"/>
  <c r="K168" i="26"/>
  <c r="L220" i="26"/>
  <c r="M208" i="26"/>
  <c r="O164" i="26"/>
  <c r="N208" i="26" l="1"/>
  <c r="M220" i="26"/>
  <c r="M162" i="26"/>
  <c r="L168" i="26"/>
  <c r="P164" i="26"/>
  <c r="N162" i="26" l="1"/>
  <c r="M168" i="26"/>
  <c r="O208" i="26"/>
  <c r="N220" i="26"/>
  <c r="Q164" i="26"/>
  <c r="O220" i="26" l="1"/>
  <c r="P208" i="26"/>
  <c r="O162" i="26"/>
  <c r="N168" i="26"/>
  <c r="P162" i="26" l="1"/>
  <c r="W83" i="33"/>
  <c r="O168" i="26"/>
  <c r="Q208" i="26"/>
  <c r="P220" i="26"/>
  <c r="Q220" i="26" l="1"/>
  <c r="R208" i="26"/>
  <c r="Q162" i="26"/>
  <c r="P168" i="26"/>
  <c r="R162" i="26" l="1"/>
  <c r="Q168" i="26"/>
  <c r="S208" i="26"/>
  <c r="R220" i="26"/>
  <c r="T208" i="26" l="1"/>
  <c r="R168" i="26"/>
  <c r="S162" i="26"/>
  <c r="T162" i="26" l="1"/>
  <c r="U208" i="26"/>
  <c r="U162" i="26" l="1"/>
  <c r="V208" i="26"/>
  <c r="W208" i="26" l="1"/>
  <c r="V162" i="26"/>
  <c r="W162" i="26" l="1"/>
  <c r="X208" i="26"/>
  <c r="Y208" i="26" l="1"/>
  <c r="X162" i="26"/>
  <c r="Y162" i="26" l="1"/>
  <c r="Z208" i="26"/>
  <c r="AA208" i="26" l="1"/>
  <c r="Z162" i="26"/>
  <c r="AA162" i="26" l="1"/>
  <c r="AB208" i="26"/>
  <c r="AC208" i="26" l="1"/>
  <c r="AB162" i="26"/>
  <c r="AC162" i="26" l="1"/>
  <c r="AD208" i="26"/>
  <c r="AE208" i="26" l="1"/>
  <c r="AD162" i="26"/>
  <c r="AE162" i="26" l="1"/>
  <c r="AF208" i="26"/>
  <c r="W34" i="33" l="1"/>
  <c r="AF162" i="26"/>
  <c r="AT23" i="26" s="1"/>
  <c r="K36" i="33" l="1"/>
  <c r="C36" i="33"/>
  <c r="AL25" i="26"/>
  <c r="AH25" i="26"/>
  <c r="R256" i="26"/>
  <c r="B256" i="26"/>
  <c r="R118" i="26"/>
  <c r="R72" i="26" s="1"/>
  <c r="C118" i="26"/>
  <c r="B118" i="26"/>
  <c r="B72" i="26"/>
  <c r="E84" i="33" l="1"/>
  <c r="G84" i="33"/>
  <c r="E25" i="26"/>
  <c r="F25" i="26" s="1"/>
  <c r="G25" i="26" s="1"/>
  <c r="H25" i="26" s="1"/>
  <c r="I25" i="26" s="1"/>
  <c r="J25" i="26" s="1"/>
  <c r="K25" i="26" s="1"/>
  <c r="L25" i="26" s="1"/>
  <c r="M25" i="26" s="1"/>
  <c r="N25" i="26" s="1"/>
  <c r="O25" i="26" s="1"/>
  <c r="P25" i="26" s="1"/>
  <c r="Q25" i="26" s="1"/>
  <c r="S25" i="26"/>
  <c r="S210" i="26" s="1"/>
  <c r="T25" i="26" l="1"/>
  <c r="U25" i="26" s="1"/>
  <c r="S256" i="26"/>
  <c r="S118" i="26"/>
  <c r="T256" i="26" l="1"/>
  <c r="T210" i="26"/>
  <c r="S164" i="26"/>
  <c r="S220" i="26"/>
  <c r="S72" i="26"/>
  <c r="T118" i="26"/>
  <c r="V25" i="26"/>
  <c r="U256" i="26"/>
  <c r="T164" i="26" l="1"/>
  <c r="S168" i="26"/>
  <c r="U210" i="26"/>
  <c r="T220" i="26"/>
  <c r="W25" i="26"/>
  <c r="V256" i="26"/>
  <c r="U118" i="26"/>
  <c r="V118" i="26" s="1"/>
  <c r="W118" i="26" s="1"/>
  <c r="X118" i="26" s="1"/>
  <c r="Y118" i="26" s="1"/>
  <c r="Z118" i="26" s="1"/>
  <c r="AA118" i="26" s="1"/>
  <c r="AB118" i="26" s="1"/>
  <c r="AC118" i="26" s="1"/>
  <c r="AD118" i="26" s="1"/>
  <c r="AE118" i="26" s="1"/>
  <c r="T72" i="26"/>
  <c r="V210" i="26" l="1"/>
  <c r="U220" i="26"/>
  <c r="U164" i="26"/>
  <c r="T168" i="26"/>
  <c r="AF118" i="26"/>
  <c r="U72" i="26"/>
  <c r="V72" i="26" s="1"/>
  <c r="W72" i="26" s="1"/>
  <c r="X72" i="26" s="1"/>
  <c r="Y72" i="26" s="1"/>
  <c r="Z72" i="26" s="1"/>
  <c r="AA72" i="26" s="1"/>
  <c r="AB72" i="26" s="1"/>
  <c r="AC72" i="26" s="1"/>
  <c r="AD72" i="26" s="1"/>
  <c r="AE72" i="26" s="1"/>
  <c r="Y36" i="33" s="1"/>
  <c r="X25" i="26"/>
  <c r="W256" i="26"/>
  <c r="V164" i="26" l="1"/>
  <c r="U168" i="26"/>
  <c r="AF72" i="26"/>
  <c r="AV25" i="26" s="1"/>
  <c r="W210" i="26"/>
  <c r="V220" i="26"/>
  <c r="Y25" i="26"/>
  <c r="X256" i="26"/>
  <c r="X210" i="26" l="1"/>
  <c r="W220" i="26"/>
  <c r="W164" i="26"/>
  <c r="V168" i="26"/>
  <c r="Z25" i="26"/>
  <c r="Y256" i="26"/>
  <c r="X164" i="26" l="1"/>
  <c r="W168" i="26"/>
  <c r="Y210" i="26"/>
  <c r="X220" i="26"/>
  <c r="AA25" i="26"/>
  <c r="Z256" i="26"/>
  <c r="Z210" i="26" l="1"/>
  <c r="Y220" i="26"/>
  <c r="Y164" i="26"/>
  <c r="X168" i="26"/>
  <c r="AB25" i="26"/>
  <c r="AA256" i="26"/>
  <c r="Z164" i="26" l="1"/>
  <c r="Y168" i="26"/>
  <c r="AA210" i="26"/>
  <c r="Z220" i="26"/>
  <c r="AC25" i="26"/>
  <c r="AB256" i="26"/>
  <c r="AB210" i="26" l="1"/>
  <c r="AA220" i="26"/>
  <c r="AA164" i="26"/>
  <c r="Z168" i="26"/>
  <c r="AD25" i="26"/>
  <c r="AC256" i="26"/>
  <c r="AB164" i="26" l="1"/>
  <c r="AA168" i="26"/>
  <c r="AC210" i="26"/>
  <c r="AB220" i="26"/>
  <c r="AE25" i="26"/>
  <c r="AD256" i="26"/>
  <c r="AD210" i="26" l="1"/>
  <c r="AC220" i="26"/>
  <c r="AC164" i="26"/>
  <c r="AB168" i="26"/>
  <c r="I36" i="33"/>
  <c r="AE256" i="26"/>
  <c r="AF256" i="26" s="1"/>
  <c r="AF25" i="26"/>
  <c r="AJ25" i="26" s="1"/>
  <c r="AD164" i="26" l="1"/>
  <c r="AC168" i="26"/>
  <c r="AE210" i="26"/>
  <c r="AD220" i="26"/>
  <c r="S36" i="33"/>
  <c r="AE220" i="26" l="1"/>
  <c r="AF210" i="26"/>
  <c r="AP25" i="26" s="1"/>
  <c r="AN25" i="26" s="1"/>
  <c r="AR25" i="26" s="1"/>
  <c r="AE164" i="26"/>
  <c r="AD168" i="26"/>
  <c r="W36" i="33" l="1"/>
  <c r="AC36" i="33" s="1"/>
  <c r="AE168" i="26"/>
  <c r="AF164" i="26"/>
  <c r="AF220" i="26"/>
  <c r="U36" i="33"/>
  <c r="M36" i="33" s="1"/>
  <c r="Q36" i="33" s="1"/>
  <c r="AF168" i="26" l="1"/>
  <c r="AT25" i="26"/>
  <c r="D541" i="26"/>
  <c r="D542" i="26"/>
  <c r="D543" i="26"/>
  <c r="D526" i="26"/>
  <c r="AT35" i="26" l="1"/>
  <c r="AX25" i="26"/>
  <c r="AH281" i="26"/>
  <c r="G39" i="5"/>
  <c r="G40" i="5" s="1"/>
  <c r="G41" i="5" s="1"/>
  <c r="G42" i="5" s="1"/>
  <c r="G43" i="5" s="1"/>
  <c r="G44" i="5" s="1"/>
  <c r="G45" i="5" s="1"/>
  <c r="G46" i="5" s="1"/>
  <c r="F1" i="37"/>
  <c r="K1" i="39"/>
  <c r="E38" i="37" l="1"/>
  <c r="E39" i="37" s="1"/>
  <c r="E40" i="37" s="1"/>
  <c r="E18" i="37"/>
  <c r="E19" i="37" s="1"/>
  <c r="G491" i="26"/>
  <c r="F491" i="26"/>
  <c r="D491" i="26"/>
  <c r="E491" i="26"/>
  <c r="E41" i="37" l="1"/>
  <c r="E42" i="37" s="1"/>
  <c r="E43" i="37" s="1"/>
  <c r="E44" i="37" s="1"/>
  <c r="E45" i="37" s="1"/>
  <c r="D523" i="26"/>
  <c r="I444" i="26"/>
  <c r="H444" i="26"/>
  <c r="G444" i="26"/>
  <c r="F444" i="26"/>
  <c r="E444" i="26"/>
  <c r="D444" i="26"/>
  <c r="K84" i="33" l="1"/>
  <c r="K35" i="33"/>
  <c r="C35" i="33"/>
  <c r="C84" i="33" s="1"/>
  <c r="AL24" i="26"/>
  <c r="AH24" i="26"/>
  <c r="D255" i="26"/>
  <c r="D254" i="26"/>
  <c r="D253" i="26"/>
  <c r="E117" i="26" l="1"/>
  <c r="E116" i="26"/>
  <c r="F116" i="26" s="1"/>
  <c r="G116" i="26" s="1"/>
  <c r="H116" i="26" s="1"/>
  <c r="I116" i="26" s="1"/>
  <c r="J116" i="26" s="1"/>
  <c r="K116" i="26" s="1"/>
  <c r="L116" i="26" s="1"/>
  <c r="M116" i="26" s="1"/>
  <c r="N116" i="26" s="1"/>
  <c r="O116" i="26" s="1"/>
  <c r="C117" i="26"/>
  <c r="C116" i="26"/>
  <c r="C115" i="26"/>
  <c r="C114" i="26"/>
  <c r="C113" i="26"/>
  <c r="C112" i="26"/>
  <c r="C111" i="26"/>
  <c r="C110" i="26"/>
  <c r="C109" i="26"/>
  <c r="C108" i="26"/>
  <c r="C107" i="26"/>
  <c r="B255" i="26"/>
  <c r="B117" i="26"/>
  <c r="B71" i="26"/>
  <c r="E24" i="26"/>
  <c r="E23" i="26"/>
  <c r="E254" i="26" s="1"/>
  <c r="P116" i="26" l="1"/>
  <c r="Q116" i="26" s="1"/>
  <c r="R116" i="26" s="1"/>
  <c r="S116" i="26" s="1"/>
  <c r="T116" i="26" s="1"/>
  <c r="U116" i="26" s="1"/>
  <c r="V116" i="26" s="1"/>
  <c r="W116" i="26" s="1"/>
  <c r="X116" i="26" s="1"/>
  <c r="Y116" i="26" s="1"/>
  <c r="Z116" i="26" s="1"/>
  <c r="AA116" i="26" s="1"/>
  <c r="AB116" i="26" s="1"/>
  <c r="AC116" i="26" s="1"/>
  <c r="AD116" i="26" s="1"/>
  <c r="AE116" i="26" s="1"/>
  <c r="U83" i="33"/>
  <c r="F117" i="26"/>
  <c r="G117" i="26" s="1"/>
  <c r="H117" i="26" s="1"/>
  <c r="I117" i="26" s="1"/>
  <c r="J117" i="26" s="1"/>
  <c r="K117" i="26" s="1"/>
  <c r="L117" i="26" s="1"/>
  <c r="M117" i="26" s="1"/>
  <c r="N117" i="26" s="1"/>
  <c r="O117" i="26" s="1"/>
  <c r="U84" i="33" s="1"/>
  <c r="E71" i="26"/>
  <c r="F23" i="26"/>
  <c r="F254" i="26" s="1"/>
  <c r="G254" i="26" s="1"/>
  <c r="H254" i="26" s="1"/>
  <c r="I254" i="26" s="1"/>
  <c r="J254" i="26" s="1"/>
  <c r="K254" i="26" s="1"/>
  <c r="L254" i="26" s="1"/>
  <c r="M254" i="26" s="1"/>
  <c r="N254" i="26" s="1"/>
  <c r="O254" i="26" s="1"/>
  <c r="P254" i="26" s="1"/>
  <c r="Q254" i="26" s="1"/>
  <c r="R254" i="26" s="1"/>
  <c r="S254" i="26" s="1"/>
  <c r="T254" i="26" s="1"/>
  <c r="U254" i="26" s="1"/>
  <c r="V254" i="26" s="1"/>
  <c r="W254" i="26" s="1"/>
  <c r="X254" i="26" s="1"/>
  <c r="Y254" i="26" s="1"/>
  <c r="Z254" i="26" s="1"/>
  <c r="AA254" i="26" s="1"/>
  <c r="AB254" i="26" s="1"/>
  <c r="AC254" i="26" s="1"/>
  <c r="AD254" i="26" s="1"/>
  <c r="AE254" i="26" s="1"/>
  <c r="F24" i="26"/>
  <c r="E255" i="26"/>
  <c r="E70" i="26"/>
  <c r="F70" i="26" s="1"/>
  <c r="G70" i="26" s="1"/>
  <c r="H70" i="26" s="1"/>
  <c r="I70" i="26" s="1"/>
  <c r="J70" i="26" s="1"/>
  <c r="K70" i="26" s="1"/>
  <c r="L70" i="26" s="1"/>
  <c r="M70" i="26" s="1"/>
  <c r="N70" i="26" s="1"/>
  <c r="O70" i="26" s="1"/>
  <c r="F71" i="26" l="1"/>
  <c r="G71" i="26" s="1"/>
  <c r="H71" i="26" s="1"/>
  <c r="I71" i="26" s="1"/>
  <c r="J71" i="26" s="1"/>
  <c r="K71" i="26" s="1"/>
  <c r="L71" i="26" s="1"/>
  <c r="M71" i="26" s="1"/>
  <c r="N71" i="26" s="1"/>
  <c r="O71" i="26" s="1"/>
  <c r="U34" i="33"/>
  <c r="G23" i="26"/>
  <c r="H23" i="26" s="1"/>
  <c r="I23" i="26" s="1"/>
  <c r="J23" i="26" s="1"/>
  <c r="K23" i="26" s="1"/>
  <c r="L23" i="26" s="1"/>
  <c r="M23" i="26" s="1"/>
  <c r="N23" i="26" s="1"/>
  <c r="O23" i="26" s="1"/>
  <c r="P23" i="26" s="1"/>
  <c r="P117" i="26"/>
  <c r="Q117" i="26" s="1"/>
  <c r="R117" i="26" s="1"/>
  <c r="S117" i="26" s="1"/>
  <c r="T117" i="26" s="1"/>
  <c r="G24" i="26"/>
  <c r="F255" i="26"/>
  <c r="AF116" i="26"/>
  <c r="AP23" i="26" s="1"/>
  <c r="Y84" i="33" l="1"/>
  <c r="P71" i="26"/>
  <c r="Q71" i="26" s="1"/>
  <c r="R71" i="26" s="1"/>
  <c r="S71" i="26" s="1"/>
  <c r="H24" i="26"/>
  <c r="G255" i="26"/>
  <c r="U117" i="26"/>
  <c r="V117" i="26" s="1"/>
  <c r="W117" i="26" s="1"/>
  <c r="X117" i="26" s="1"/>
  <c r="Y117" i="26" s="1"/>
  <c r="Z117" i="26" s="1"/>
  <c r="AA117" i="26" s="1"/>
  <c r="AB117" i="26" s="1"/>
  <c r="AC117" i="26" s="1"/>
  <c r="AD117" i="26" s="1"/>
  <c r="AE117" i="26" s="1"/>
  <c r="U35" i="33" l="1"/>
  <c r="I24" i="26"/>
  <c r="H255" i="26"/>
  <c r="AF117" i="26"/>
  <c r="AP24" i="26" s="1"/>
  <c r="T71" i="26"/>
  <c r="U71" i="26" s="1"/>
  <c r="V71" i="26" s="1"/>
  <c r="W71" i="26" s="1"/>
  <c r="X71" i="26" s="1"/>
  <c r="Y71" i="26" s="1"/>
  <c r="Z71" i="26" s="1"/>
  <c r="AA71" i="26" s="1"/>
  <c r="AB71" i="26" s="1"/>
  <c r="AC71" i="26" s="1"/>
  <c r="AD71" i="26" s="1"/>
  <c r="AE71" i="26" s="1"/>
  <c r="Y35" i="33" s="1"/>
  <c r="AF71" i="26" l="1"/>
  <c r="AV24" i="26" s="1"/>
  <c r="J24" i="26"/>
  <c r="I255" i="26"/>
  <c r="F109" i="26"/>
  <c r="E107" i="26"/>
  <c r="E108" i="26"/>
  <c r="E110" i="26"/>
  <c r="E111" i="26"/>
  <c r="E112" i="26"/>
  <c r="E113" i="26"/>
  <c r="K24" i="26" l="1"/>
  <c r="J255" i="26"/>
  <c r="Q70" i="26"/>
  <c r="R23" i="26"/>
  <c r="L24" i="26" l="1"/>
  <c r="K255" i="26"/>
  <c r="S23" i="26"/>
  <c r="R70" i="26"/>
  <c r="O24" i="4"/>
  <c r="M24" i="26" l="1"/>
  <c r="L255" i="26"/>
  <c r="S70" i="26"/>
  <c r="T70" i="26" s="1"/>
  <c r="N24" i="26" l="1"/>
  <c r="M255" i="26"/>
  <c r="O24" i="26" l="1"/>
  <c r="N255" i="26"/>
  <c r="W46" i="34"/>
  <c r="W7" i="34"/>
  <c r="AC56" i="33"/>
  <c r="AC7" i="33"/>
  <c r="M37" i="32"/>
  <c r="M7" i="32"/>
  <c r="Q45" i="4"/>
  <c r="Q7" i="4"/>
  <c r="Q7" i="35"/>
  <c r="C39" i="1" s="1"/>
  <c r="P24" i="26" l="1"/>
  <c r="O255" i="26"/>
  <c r="I84" i="33"/>
  <c r="AC84" i="33" s="1"/>
  <c r="P255" i="26" l="1"/>
  <c r="Q24" i="26"/>
  <c r="S84" i="33"/>
  <c r="M84" i="33"/>
  <c r="Q84" i="33" s="1"/>
  <c r="E26" i="1"/>
  <c r="R24" i="26" l="1"/>
  <c r="Q255" i="26"/>
  <c r="F2" i="37"/>
  <c r="F2" i="36"/>
  <c r="S24" i="26" l="1"/>
  <c r="R255" i="26"/>
  <c r="D493" i="26"/>
  <c r="E493" i="26"/>
  <c r="F493" i="26"/>
  <c r="G493" i="26"/>
  <c r="H493" i="26"/>
  <c r="A42" i="34"/>
  <c r="A3" i="34"/>
  <c r="A52" i="33"/>
  <c r="A3" i="33"/>
  <c r="A33" i="32"/>
  <c r="A3" i="32"/>
  <c r="W47" i="34"/>
  <c r="W8" i="34"/>
  <c r="Q46" i="4"/>
  <c r="Q8" i="4"/>
  <c r="A41" i="4"/>
  <c r="A3" i="4"/>
  <c r="Q8" i="35"/>
  <c r="I51" i="32"/>
  <c r="G54" i="32" s="1"/>
  <c r="O56" i="4" s="1"/>
  <c r="C36" i="1" s="1"/>
  <c r="I21" i="32"/>
  <c r="G24" i="32" s="1"/>
  <c r="O18" i="4" s="1"/>
  <c r="AF448" i="26"/>
  <c r="O18" i="35" s="1"/>
  <c r="D36" i="1" s="1"/>
  <c r="E14" i="26"/>
  <c r="F14" i="26" s="1"/>
  <c r="F107" i="26"/>
  <c r="G107" i="26" s="1"/>
  <c r="E120" i="26"/>
  <c r="E74" i="26" s="1"/>
  <c r="E15" i="26"/>
  <c r="F15" i="26" s="1"/>
  <c r="E16" i="26"/>
  <c r="E63" i="26"/>
  <c r="F63" i="26" s="1"/>
  <c r="G63" i="26" s="1"/>
  <c r="H109" i="26"/>
  <c r="I109" i="26" s="1"/>
  <c r="J109" i="26" s="1"/>
  <c r="K109" i="26" s="1"/>
  <c r="L109" i="26" s="1"/>
  <c r="M109" i="26" s="1"/>
  <c r="N109" i="26" s="1"/>
  <c r="O109" i="26" s="1"/>
  <c r="P109" i="26" s="1"/>
  <c r="Q109" i="26" s="1"/>
  <c r="R109" i="26" s="1"/>
  <c r="S109" i="26" s="1"/>
  <c r="T109" i="26" s="1"/>
  <c r="U109" i="26" s="1"/>
  <c r="V109" i="26" s="1"/>
  <c r="W109" i="26" s="1"/>
  <c r="X109" i="26" s="1"/>
  <c r="Y109" i="26" s="1"/>
  <c r="Z109" i="26" s="1"/>
  <c r="AA109" i="26" s="1"/>
  <c r="AB109" i="26" s="1"/>
  <c r="AC109" i="26" s="1"/>
  <c r="AD109" i="26" s="1"/>
  <c r="AE109" i="26" s="1"/>
  <c r="E17" i="26"/>
  <c r="F17" i="26" s="1"/>
  <c r="E64" i="26"/>
  <c r="E18" i="26"/>
  <c r="F111" i="26"/>
  <c r="G111" i="26" s="1"/>
  <c r="H111" i="26" s="1"/>
  <c r="I111" i="26" s="1"/>
  <c r="J111" i="26" s="1"/>
  <c r="K111" i="26" s="1"/>
  <c r="L111" i="26" s="1"/>
  <c r="M111" i="26" s="1"/>
  <c r="N111" i="26" s="1"/>
  <c r="O111" i="26" s="1"/>
  <c r="P111" i="26" s="1"/>
  <c r="Q111" i="26" s="1"/>
  <c r="R111" i="26" s="1"/>
  <c r="S111" i="26" s="1"/>
  <c r="T111" i="26" s="1"/>
  <c r="U111" i="26" s="1"/>
  <c r="V111" i="26" s="1"/>
  <c r="W111" i="26" s="1"/>
  <c r="X111" i="26" s="1"/>
  <c r="Y111" i="26" s="1"/>
  <c r="Z111" i="26" s="1"/>
  <c r="AA111" i="26" s="1"/>
  <c r="AB111" i="26" s="1"/>
  <c r="AC111" i="26" s="1"/>
  <c r="AD111" i="26" s="1"/>
  <c r="AE111" i="26" s="1"/>
  <c r="T19" i="26"/>
  <c r="U19" i="26" s="1"/>
  <c r="V19" i="26" s="1"/>
  <c r="F112" i="26"/>
  <c r="G112" i="26" s="1"/>
  <c r="H112" i="26" s="1"/>
  <c r="I112" i="26" s="1"/>
  <c r="J112" i="26" s="1"/>
  <c r="K112" i="26" s="1"/>
  <c r="L112" i="26" s="1"/>
  <c r="M112" i="26" s="1"/>
  <c r="N112" i="26" s="1"/>
  <c r="O112" i="26" s="1"/>
  <c r="P112" i="26" s="1"/>
  <c r="Q112" i="26" s="1"/>
  <c r="R112" i="26" s="1"/>
  <c r="S112" i="26" s="1"/>
  <c r="T112" i="26" s="1"/>
  <c r="E20" i="26"/>
  <c r="E251" i="26" s="1"/>
  <c r="F113" i="26"/>
  <c r="G113" i="26" s="1"/>
  <c r="H113" i="26" s="1"/>
  <c r="I113" i="26" s="1"/>
  <c r="J113" i="26" s="1"/>
  <c r="K113" i="26" s="1"/>
  <c r="L113" i="26" s="1"/>
  <c r="M113" i="26" s="1"/>
  <c r="N113" i="26" s="1"/>
  <c r="O113" i="26" s="1"/>
  <c r="E21" i="26"/>
  <c r="E114" i="26"/>
  <c r="E68" i="26" s="1"/>
  <c r="E22" i="26"/>
  <c r="E115" i="26"/>
  <c r="F115" i="26" s="1"/>
  <c r="G115" i="26" s="1"/>
  <c r="H115" i="26" s="1"/>
  <c r="I115" i="26" s="1"/>
  <c r="J115" i="26" s="1"/>
  <c r="K115" i="26" s="1"/>
  <c r="L115" i="26" s="1"/>
  <c r="M115" i="26" s="1"/>
  <c r="N115" i="26" s="1"/>
  <c r="O115" i="26" s="1"/>
  <c r="P115" i="26" s="1"/>
  <c r="Q115" i="26" s="1"/>
  <c r="R115" i="26" s="1"/>
  <c r="S115" i="26" s="1"/>
  <c r="T115" i="26" s="1"/>
  <c r="T23" i="26"/>
  <c r="U23" i="26" s="1"/>
  <c r="E290" i="26"/>
  <c r="F290" i="26" s="1"/>
  <c r="E366" i="26"/>
  <c r="E542" i="26"/>
  <c r="F542" i="26" s="1"/>
  <c r="G542" i="26" s="1"/>
  <c r="E543" i="26"/>
  <c r="F543" i="26" s="1"/>
  <c r="E541" i="26"/>
  <c r="G82" i="33"/>
  <c r="E82" i="33"/>
  <c r="C33" i="33"/>
  <c r="C82" i="33" s="1"/>
  <c r="S22" i="34"/>
  <c r="S61" i="34" s="1"/>
  <c r="Y83" i="33"/>
  <c r="K73" i="33"/>
  <c r="K77" i="33"/>
  <c r="K78" i="33"/>
  <c r="K79" i="33"/>
  <c r="K80" i="33"/>
  <c r="K81" i="33"/>
  <c r="K82" i="33"/>
  <c r="K83" i="33"/>
  <c r="K72" i="33"/>
  <c r="K71" i="33"/>
  <c r="E19" i="26"/>
  <c r="F19" i="26" s="1"/>
  <c r="G19" i="26" s="1"/>
  <c r="I83" i="33"/>
  <c r="AC83" i="33" s="1"/>
  <c r="K23" i="33"/>
  <c r="K24" i="33"/>
  <c r="K28" i="33"/>
  <c r="K29" i="33"/>
  <c r="K30" i="33"/>
  <c r="K31" i="33"/>
  <c r="K32" i="33"/>
  <c r="K33" i="33"/>
  <c r="K34" i="33"/>
  <c r="AL290" i="26"/>
  <c r="AH290" i="26"/>
  <c r="AV278" i="26"/>
  <c r="C31" i="5"/>
  <c r="S250" i="26"/>
  <c r="D252" i="26"/>
  <c r="D251" i="26"/>
  <c r="D250" i="26"/>
  <c r="D249" i="26"/>
  <c r="D248" i="26"/>
  <c r="D247" i="26"/>
  <c r="D246" i="26"/>
  <c r="D259" i="26"/>
  <c r="E259" i="26" s="1"/>
  <c r="F259" i="26" s="1"/>
  <c r="G259" i="26" s="1"/>
  <c r="H259" i="26" s="1"/>
  <c r="I259" i="26" s="1"/>
  <c r="J259" i="26" s="1"/>
  <c r="K259" i="26" s="1"/>
  <c r="L259" i="26" s="1"/>
  <c r="M259" i="26" s="1"/>
  <c r="N259" i="26" s="1"/>
  <c r="O259" i="26" s="1"/>
  <c r="P259" i="26" s="1"/>
  <c r="Q259" i="26" s="1"/>
  <c r="R259" i="26" s="1"/>
  <c r="S259" i="26" s="1"/>
  <c r="T259" i="26" s="1"/>
  <c r="D245" i="26"/>
  <c r="D404" i="26"/>
  <c r="D409" i="26" s="1"/>
  <c r="AX2" i="26"/>
  <c r="AE513" i="26"/>
  <c r="AD513" i="26"/>
  <c r="AC513" i="26"/>
  <c r="AB513" i="26"/>
  <c r="AA513" i="26"/>
  <c r="AE480" i="26"/>
  <c r="AD480" i="26"/>
  <c r="AC480" i="26"/>
  <c r="AB480" i="26"/>
  <c r="AA480" i="26"/>
  <c r="AE437" i="26"/>
  <c r="AD437" i="26"/>
  <c r="AC437" i="26"/>
  <c r="AB437" i="26"/>
  <c r="AA437" i="26"/>
  <c r="AE399" i="26"/>
  <c r="AD399" i="26"/>
  <c r="AC399" i="26"/>
  <c r="AB399" i="26"/>
  <c r="AA399" i="26"/>
  <c r="AE361" i="26"/>
  <c r="AD361" i="26"/>
  <c r="AC361" i="26"/>
  <c r="AB361" i="26"/>
  <c r="AA361" i="26"/>
  <c r="AF506" i="26"/>
  <c r="AF473" i="26"/>
  <c r="AF430" i="26"/>
  <c r="AF392" i="26"/>
  <c r="AF354" i="26"/>
  <c r="AF316" i="26"/>
  <c r="AF278" i="26"/>
  <c r="AF232" i="26"/>
  <c r="AF94" i="26"/>
  <c r="AF48" i="26"/>
  <c r="AF2" i="26"/>
  <c r="AA506" i="26"/>
  <c r="AA473" i="26"/>
  <c r="AA430" i="26"/>
  <c r="AA392" i="26"/>
  <c r="AA354" i="26"/>
  <c r="AA316" i="26"/>
  <c r="AA278" i="26"/>
  <c r="AA232" i="26"/>
  <c r="AA94" i="26"/>
  <c r="AA48" i="26"/>
  <c r="AA2" i="26"/>
  <c r="O506" i="26"/>
  <c r="O473" i="26"/>
  <c r="O430" i="26"/>
  <c r="O392" i="26"/>
  <c r="O354" i="26"/>
  <c r="O316" i="26"/>
  <c r="O278" i="26"/>
  <c r="O232" i="26"/>
  <c r="O94" i="26"/>
  <c r="O48" i="26"/>
  <c r="O2" i="26"/>
  <c r="AC8" i="33"/>
  <c r="AC57" i="33"/>
  <c r="M38" i="32"/>
  <c r="M8" i="32"/>
  <c r="E19" i="1"/>
  <c r="AL14" i="26"/>
  <c r="AL15" i="26"/>
  <c r="AL16" i="26"/>
  <c r="AL17" i="26"/>
  <c r="AL18" i="26"/>
  <c r="AL19" i="26"/>
  <c r="AL20" i="26"/>
  <c r="AL21" i="26"/>
  <c r="AL22" i="26"/>
  <c r="AL23" i="26"/>
  <c r="A4" i="35"/>
  <c r="A3" i="35"/>
  <c r="A2" i="34"/>
  <c r="A41" i="34" s="1"/>
  <c r="A18" i="35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E323" i="26"/>
  <c r="AD323" i="26"/>
  <c r="AC323" i="26"/>
  <c r="AB323" i="26"/>
  <c r="AA323" i="26"/>
  <c r="AE285" i="26"/>
  <c r="AD285" i="26"/>
  <c r="AC285" i="26"/>
  <c r="AB285" i="26"/>
  <c r="AA285" i="26"/>
  <c r="AE239" i="26"/>
  <c r="AD239" i="26"/>
  <c r="AC239" i="26"/>
  <c r="AB239" i="26"/>
  <c r="AA239" i="26"/>
  <c r="AE101" i="26"/>
  <c r="AD101" i="26"/>
  <c r="AC101" i="26"/>
  <c r="AB101" i="26"/>
  <c r="AA101" i="26"/>
  <c r="AE55" i="26"/>
  <c r="AD55" i="26"/>
  <c r="AC55" i="26"/>
  <c r="AB55" i="26"/>
  <c r="AA55" i="26"/>
  <c r="Z55" i="26"/>
  <c r="O62" i="4"/>
  <c r="K22" i="33"/>
  <c r="A56" i="4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49" i="32"/>
  <c r="A50" i="32" s="1"/>
  <c r="A51" i="32" s="1"/>
  <c r="A52" i="32" s="1"/>
  <c r="A53" i="32" s="1"/>
  <c r="A54" i="32" s="1"/>
  <c r="A19" i="32"/>
  <c r="A20" i="32" s="1"/>
  <c r="A21" i="32" s="1"/>
  <c r="A22" i="32" s="1"/>
  <c r="A23" i="32" s="1"/>
  <c r="A24" i="32" s="1"/>
  <c r="A58" i="34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19" i="34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68" i="33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19" i="33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22" i="5"/>
  <c r="A42" i="4"/>
  <c r="A4" i="4"/>
  <c r="A43" i="34"/>
  <c r="A4" i="34"/>
  <c r="A53" i="33"/>
  <c r="A4" i="33"/>
  <c r="A34" i="32"/>
  <c r="M66" i="34"/>
  <c r="I66" i="34"/>
  <c r="E61" i="34"/>
  <c r="M27" i="34"/>
  <c r="I27" i="34"/>
  <c r="E22" i="34"/>
  <c r="AA87" i="33"/>
  <c r="W87" i="33"/>
  <c r="G83" i="33"/>
  <c r="E83" i="33"/>
  <c r="C34" i="33"/>
  <c r="C83" i="33" s="1"/>
  <c r="G81" i="33"/>
  <c r="E81" i="33"/>
  <c r="C32" i="33"/>
  <c r="C81" i="33" s="1"/>
  <c r="G80" i="33"/>
  <c r="E80" i="33"/>
  <c r="C31" i="33"/>
  <c r="C80" i="33" s="1"/>
  <c r="G79" i="33"/>
  <c r="E79" i="33"/>
  <c r="C30" i="33"/>
  <c r="C79" i="33" s="1"/>
  <c r="G78" i="33"/>
  <c r="E78" i="33"/>
  <c r="C29" i="33"/>
  <c r="C78" i="33" s="1"/>
  <c r="G77" i="33"/>
  <c r="E77" i="33"/>
  <c r="C28" i="33"/>
  <c r="C77" i="33" s="1"/>
  <c r="G24" i="33"/>
  <c r="G73" i="33" s="1"/>
  <c r="E73" i="33"/>
  <c r="C24" i="33"/>
  <c r="C73" i="33" s="1"/>
  <c r="G23" i="33"/>
  <c r="G72" i="33" s="1"/>
  <c r="E72" i="33"/>
  <c r="C23" i="33"/>
  <c r="C72" i="33" s="1"/>
  <c r="G22" i="33"/>
  <c r="G71" i="33" s="1"/>
  <c r="E71" i="33"/>
  <c r="C22" i="33"/>
  <c r="C71" i="33" s="1"/>
  <c r="AA39" i="33"/>
  <c r="W39" i="33"/>
  <c r="A4" i="32"/>
  <c r="I493" i="26"/>
  <c r="B253" i="26"/>
  <c r="B254" i="26"/>
  <c r="B120" i="26"/>
  <c r="B115" i="26"/>
  <c r="B116" i="26"/>
  <c r="B69" i="26"/>
  <c r="B70" i="26"/>
  <c r="AH22" i="26"/>
  <c r="AH23" i="26"/>
  <c r="D513" i="26"/>
  <c r="D480" i="26"/>
  <c r="D437" i="26"/>
  <c r="B404" i="26"/>
  <c r="D399" i="26"/>
  <c r="B366" i="26"/>
  <c r="D361" i="26"/>
  <c r="B326" i="26"/>
  <c r="B252" i="26"/>
  <c r="B251" i="26"/>
  <c r="B250" i="26"/>
  <c r="B249" i="26"/>
  <c r="B248" i="26"/>
  <c r="B247" i="26"/>
  <c r="B246" i="26"/>
  <c r="B245" i="26"/>
  <c r="D239" i="26"/>
  <c r="D285" i="26" s="1"/>
  <c r="D323" i="26" s="1"/>
  <c r="B114" i="26"/>
  <c r="B113" i="26"/>
  <c r="B112" i="26"/>
  <c r="B111" i="26"/>
  <c r="B110" i="26"/>
  <c r="B109" i="26"/>
  <c r="B108" i="26"/>
  <c r="B107" i="26"/>
  <c r="D101" i="26"/>
  <c r="B68" i="26"/>
  <c r="B67" i="26"/>
  <c r="B66" i="26"/>
  <c r="B65" i="26"/>
  <c r="B64" i="26"/>
  <c r="B63" i="26"/>
  <c r="B62" i="26"/>
  <c r="B61" i="26"/>
  <c r="D55" i="26"/>
  <c r="AH21" i="26"/>
  <c r="AH20" i="26"/>
  <c r="AH19" i="26"/>
  <c r="AH18" i="26"/>
  <c r="AH17" i="26"/>
  <c r="AH16" i="26"/>
  <c r="AH15" i="26"/>
  <c r="AH14" i="26"/>
  <c r="E323" i="26"/>
  <c r="CK26" i="4"/>
  <c r="CL26" i="4" s="1"/>
  <c r="CK27" i="4"/>
  <c r="CL27" i="4" s="1"/>
  <c r="CK28" i="4"/>
  <c r="CL28" i="4" s="1"/>
  <c r="CK29" i="4"/>
  <c r="CL29" i="4" s="1"/>
  <c r="CK30" i="4"/>
  <c r="CL30" i="4" s="1"/>
  <c r="CK31" i="4"/>
  <c r="CL31" i="4" s="1"/>
  <c r="CK32" i="4"/>
  <c r="CL32" i="4" s="1"/>
  <c r="CK33" i="4"/>
  <c r="CL33" i="4" s="1"/>
  <c r="CK34" i="4"/>
  <c r="CL34" i="4" s="1"/>
  <c r="CK35" i="4"/>
  <c r="CL35" i="4" s="1"/>
  <c r="CK36" i="4"/>
  <c r="CL36" i="4" s="1"/>
  <c r="CK37" i="4"/>
  <c r="CL37" i="4" s="1"/>
  <c r="CK38" i="4"/>
  <c r="CL38" i="4" s="1"/>
  <c r="D371" i="26"/>
  <c r="D295" i="26"/>
  <c r="D333" i="26"/>
  <c r="F55" i="26"/>
  <c r="E239" i="26"/>
  <c r="E361" i="26"/>
  <c r="E101" i="26"/>
  <c r="E513" i="26"/>
  <c r="E285" i="26"/>
  <c r="F285" i="26"/>
  <c r="E480" i="26"/>
  <c r="E437" i="26"/>
  <c r="G399" i="26"/>
  <c r="G361" i="26"/>
  <c r="F437" i="26"/>
  <c r="F239" i="26"/>
  <c r="E55" i="26"/>
  <c r="E399" i="26"/>
  <c r="F399" i="26"/>
  <c r="F323" i="26"/>
  <c r="F480" i="26"/>
  <c r="G513" i="26"/>
  <c r="F361" i="26"/>
  <c r="F101" i="26"/>
  <c r="F513" i="26"/>
  <c r="G101" i="26"/>
  <c r="G285" i="26"/>
  <c r="G55" i="26"/>
  <c r="G239" i="26"/>
  <c r="G323" i="26"/>
  <c r="G480" i="26"/>
  <c r="G437" i="26"/>
  <c r="H361" i="26"/>
  <c r="H55" i="26"/>
  <c r="H285" i="26"/>
  <c r="H437" i="26"/>
  <c r="H480" i="26"/>
  <c r="H399" i="26"/>
  <c r="H101" i="26"/>
  <c r="H513" i="26"/>
  <c r="H323" i="26"/>
  <c r="H239" i="26"/>
  <c r="I513" i="26"/>
  <c r="I285" i="26"/>
  <c r="I437" i="26"/>
  <c r="I101" i="26"/>
  <c r="I399" i="26"/>
  <c r="I323" i="26"/>
  <c r="I480" i="26"/>
  <c r="I361" i="26"/>
  <c r="I55" i="26"/>
  <c r="I239" i="26"/>
  <c r="J239" i="26"/>
  <c r="J480" i="26"/>
  <c r="J513" i="26"/>
  <c r="J285" i="26"/>
  <c r="J55" i="26"/>
  <c r="J101" i="26"/>
  <c r="J399" i="26"/>
  <c r="J323" i="26"/>
  <c r="J361" i="26"/>
  <c r="J437" i="26"/>
  <c r="K285" i="26"/>
  <c r="K323" i="26"/>
  <c r="K437" i="26"/>
  <c r="K55" i="26"/>
  <c r="K399" i="26"/>
  <c r="K480" i="26"/>
  <c r="K513" i="26"/>
  <c r="K361" i="26"/>
  <c r="K101" i="26"/>
  <c r="K239" i="26"/>
  <c r="L285" i="26"/>
  <c r="L101" i="26"/>
  <c r="L399" i="26"/>
  <c r="L480" i="26"/>
  <c r="L239" i="26"/>
  <c r="L323" i="26"/>
  <c r="L513" i="26"/>
  <c r="L361" i="26"/>
  <c r="L55" i="26"/>
  <c r="L437" i="26"/>
  <c r="M101" i="26"/>
  <c r="M399" i="26"/>
  <c r="M323" i="26"/>
  <c r="M437" i="26"/>
  <c r="M361" i="26"/>
  <c r="M55" i="26"/>
  <c r="M480" i="26"/>
  <c r="M285" i="26"/>
  <c r="M513" i="26"/>
  <c r="M239" i="26"/>
  <c r="N361" i="26"/>
  <c r="N480" i="26"/>
  <c r="N399" i="26"/>
  <c r="N437" i="26"/>
  <c r="N239" i="26"/>
  <c r="N513" i="26"/>
  <c r="N285" i="26"/>
  <c r="N323" i="26"/>
  <c r="N101" i="26"/>
  <c r="N55" i="26"/>
  <c r="O55" i="26"/>
  <c r="O399" i="26"/>
  <c r="O323" i="26"/>
  <c r="O480" i="26"/>
  <c r="O361" i="26"/>
  <c r="O285" i="26"/>
  <c r="O437" i="26"/>
  <c r="O239" i="26"/>
  <c r="O513" i="26"/>
  <c r="O101" i="26"/>
  <c r="P323" i="26"/>
  <c r="P399" i="26"/>
  <c r="P285" i="26"/>
  <c r="P480" i="26"/>
  <c r="P361" i="26"/>
  <c r="P437" i="26"/>
  <c r="P513" i="26"/>
  <c r="P239" i="26"/>
  <c r="P55" i="26"/>
  <c r="P101" i="26"/>
  <c r="Q513" i="26"/>
  <c r="Q323" i="26"/>
  <c r="Q55" i="26"/>
  <c r="Q285" i="26"/>
  <c r="Q101" i="26"/>
  <c r="Q361" i="26"/>
  <c r="Q239" i="26"/>
  <c r="Q437" i="26"/>
  <c r="Q399" i="26"/>
  <c r="Q480" i="26"/>
  <c r="R480" i="26"/>
  <c r="R101" i="26"/>
  <c r="R323" i="26"/>
  <c r="R399" i="26"/>
  <c r="R513" i="26"/>
  <c r="R285" i="26"/>
  <c r="R55" i="26"/>
  <c r="R239" i="26"/>
  <c r="R361" i="26"/>
  <c r="R437" i="26"/>
  <c r="S101" i="26"/>
  <c r="S239" i="26"/>
  <c r="S513" i="26"/>
  <c r="S399" i="26"/>
  <c r="S361" i="26"/>
  <c r="S55" i="26"/>
  <c r="S285" i="26"/>
  <c r="S323" i="26"/>
  <c r="S480" i="26"/>
  <c r="S437" i="26"/>
  <c r="T55" i="26"/>
  <c r="T437" i="26"/>
  <c r="T323" i="26"/>
  <c r="T513" i="26"/>
  <c r="T239" i="26"/>
  <c r="T285" i="26"/>
  <c r="T480" i="26"/>
  <c r="T361" i="26"/>
  <c r="T101" i="26"/>
  <c r="T399" i="26"/>
  <c r="D128" i="26"/>
  <c r="U239" i="26"/>
  <c r="U285" i="26"/>
  <c r="U437" i="26"/>
  <c r="U399" i="26"/>
  <c r="U323" i="26"/>
  <c r="U361" i="26"/>
  <c r="U101" i="26"/>
  <c r="U55" i="26"/>
  <c r="U513" i="26"/>
  <c r="U480" i="26"/>
  <c r="D76" i="26"/>
  <c r="V101" i="26"/>
  <c r="V480" i="26"/>
  <c r="V361" i="26"/>
  <c r="V323" i="26"/>
  <c r="V55" i="26"/>
  <c r="V239" i="26"/>
  <c r="V285" i="26"/>
  <c r="V437" i="26"/>
  <c r="V513" i="26"/>
  <c r="V399" i="26"/>
  <c r="D35" i="26"/>
  <c r="W101" i="26"/>
  <c r="W361" i="26"/>
  <c r="W323" i="26"/>
  <c r="W437" i="26"/>
  <c r="W399" i="26"/>
  <c r="W239" i="26"/>
  <c r="W55" i="26"/>
  <c r="W480" i="26"/>
  <c r="W513" i="26"/>
  <c r="W285" i="26"/>
  <c r="X399" i="26"/>
  <c r="X55" i="26"/>
  <c r="X285" i="26"/>
  <c r="X480" i="26"/>
  <c r="X437" i="26"/>
  <c r="X239" i="26"/>
  <c r="X361" i="26"/>
  <c r="X101" i="26"/>
  <c r="X323" i="26"/>
  <c r="X513" i="26"/>
  <c r="Y285" i="26"/>
  <c r="Y399" i="26"/>
  <c r="Y361" i="26"/>
  <c r="Y513" i="26"/>
  <c r="Y437" i="26"/>
  <c r="Y480" i="26"/>
  <c r="Y323" i="26"/>
  <c r="Y55" i="26"/>
  <c r="Y239" i="26"/>
  <c r="Y101" i="26"/>
  <c r="Z323" i="26"/>
  <c r="Z513" i="26"/>
  <c r="Z361" i="26"/>
  <c r="Z437" i="26"/>
  <c r="Z101" i="26"/>
  <c r="Z399" i="26"/>
  <c r="Z239" i="26"/>
  <c r="Z285" i="26"/>
  <c r="Z480" i="26"/>
  <c r="F22" i="26" l="1"/>
  <c r="G22" i="26" s="1"/>
  <c r="E253" i="26"/>
  <c r="F21" i="26"/>
  <c r="F252" i="26" s="1"/>
  <c r="E252" i="26"/>
  <c r="T24" i="26"/>
  <c r="S255" i="26"/>
  <c r="F114" i="26"/>
  <c r="G114" i="26" s="1"/>
  <c r="H114" i="26" s="1"/>
  <c r="I114" i="26" s="1"/>
  <c r="J114" i="26" s="1"/>
  <c r="K114" i="26" s="1"/>
  <c r="L114" i="26" s="1"/>
  <c r="M114" i="26" s="1"/>
  <c r="N114" i="26" s="1"/>
  <c r="O114" i="26" s="1"/>
  <c r="U81" i="33" s="1"/>
  <c r="F1" i="36"/>
  <c r="E21" i="32"/>
  <c r="O429" i="26"/>
  <c r="E51" i="32"/>
  <c r="E18" i="35"/>
  <c r="E22" i="35"/>
  <c r="O277" i="26"/>
  <c r="O391" i="26"/>
  <c r="A47" i="34"/>
  <c r="A8" i="34"/>
  <c r="O315" i="26"/>
  <c r="O353" i="26"/>
  <c r="A1" i="34"/>
  <c r="A40" i="34" s="1"/>
  <c r="A1" i="35"/>
  <c r="A2" i="32"/>
  <c r="A32" i="32" s="1"/>
  <c r="O1" i="26"/>
  <c r="A57" i="33"/>
  <c r="E20" i="35"/>
  <c r="A8" i="33"/>
  <c r="A46" i="34"/>
  <c r="A7" i="4"/>
  <c r="E62" i="4"/>
  <c r="E24" i="35"/>
  <c r="O472" i="26"/>
  <c r="E24" i="4"/>
  <c r="E70" i="4"/>
  <c r="E32" i="4"/>
  <c r="E32" i="35"/>
  <c r="O505" i="26"/>
  <c r="A7" i="35"/>
  <c r="A2" i="35"/>
  <c r="A7" i="32"/>
  <c r="A1" i="4"/>
  <c r="A39" i="4" s="1"/>
  <c r="A1" i="32"/>
  <c r="A31" i="32" s="1"/>
  <c r="A2" i="33"/>
  <c r="A51" i="33" s="1"/>
  <c r="A2" i="4"/>
  <c r="A40" i="4" s="1"/>
  <c r="A45" i="4"/>
  <c r="A7" i="33"/>
  <c r="A7" i="34"/>
  <c r="A1" i="33"/>
  <c r="A50" i="33" s="1"/>
  <c r="A37" i="32"/>
  <c r="A56" i="33"/>
  <c r="T250" i="26"/>
  <c r="U78" i="33"/>
  <c r="AF111" i="26"/>
  <c r="AP18" i="26" s="1"/>
  <c r="G290" i="26"/>
  <c r="H290" i="26" s="1"/>
  <c r="H295" i="26" s="1"/>
  <c r="F404" i="26"/>
  <c r="F409" i="26" s="1"/>
  <c r="F295" i="26"/>
  <c r="E295" i="26"/>
  <c r="D263" i="26"/>
  <c r="U70" i="26"/>
  <c r="E69" i="26"/>
  <c r="F69" i="26" s="1"/>
  <c r="G69" i="26" s="1"/>
  <c r="H69" i="26" s="1"/>
  <c r="I69" i="26" s="1"/>
  <c r="J69" i="26" s="1"/>
  <c r="K69" i="26" s="1"/>
  <c r="L69" i="26" s="1"/>
  <c r="M69" i="26" s="1"/>
  <c r="N69" i="26" s="1"/>
  <c r="O69" i="26" s="1"/>
  <c r="E404" i="26"/>
  <c r="E409" i="26" s="1"/>
  <c r="U29" i="33"/>
  <c r="F120" i="26"/>
  <c r="G120" i="26" s="1"/>
  <c r="H120" i="26" s="1"/>
  <c r="I120" i="26" s="1"/>
  <c r="J120" i="26" s="1"/>
  <c r="K120" i="26" s="1"/>
  <c r="L120" i="26" s="1"/>
  <c r="M120" i="26" s="1"/>
  <c r="N120" i="26" s="1"/>
  <c r="O120" i="26" s="1"/>
  <c r="P120" i="26" s="1"/>
  <c r="Q120" i="26" s="1"/>
  <c r="R120" i="26" s="1"/>
  <c r="S120" i="26" s="1"/>
  <c r="T120" i="26" s="1"/>
  <c r="E61" i="26"/>
  <c r="F61" i="26" s="1"/>
  <c r="G61" i="26" s="1"/>
  <c r="U79" i="33"/>
  <c r="E128" i="26"/>
  <c r="AF109" i="26"/>
  <c r="AP16" i="26" s="1"/>
  <c r="U250" i="26"/>
  <c r="U24" i="33"/>
  <c r="E67" i="26"/>
  <c r="F67" i="26" s="1"/>
  <c r="G67" i="26" s="1"/>
  <c r="H67" i="26" s="1"/>
  <c r="I67" i="26" s="1"/>
  <c r="J67" i="26" s="1"/>
  <c r="K67" i="26" s="1"/>
  <c r="L67" i="26" s="1"/>
  <c r="M67" i="26" s="1"/>
  <c r="N67" i="26" s="1"/>
  <c r="O67" i="26" s="1"/>
  <c r="Y80" i="33" s="1"/>
  <c r="F110" i="26"/>
  <c r="G110" i="26" s="1"/>
  <c r="H110" i="26" s="1"/>
  <c r="I110" i="26" s="1"/>
  <c r="J110" i="26" s="1"/>
  <c r="K110" i="26" s="1"/>
  <c r="L110" i="26" s="1"/>
  <c r="M110" i="26" s="1"/>
  <c r="N110" i="26" s="1"/>
  <c r="O110" i="26" s="1"/>
  <c r="P110" i="26" s="1"/>
  <c r="Q110" i="26" s="1"/>
  <c r="R110" i="26" s="1"/>
  <c r="S110" i="26" s="1"/>
  <c r="T110" i="26" s="1"/>
  <c r="H63" i="26"/>
  <c r="I63" i="26" s="1"/>
  <c r="J63" i="26" s="1"/>
  <c r="K63" i="26" s="1"/>
  <c r="L63" i="26" s="1"/>
  <c r="M63" i="26" s="1"/>
  <c r="N63" i="26" s="1"/>
  <c r="O63" i="26" s="1"/>
  <c r="P63" i="26" s="1"/>
  <c r="Q63" i="26" s="1"/>
  <c r="R63" i="26" s="1"/>
  <c r="S63" i="26" s="1"/>
  <c r="T63" i="26" s="1"/>
  <c r="U63" i="26" s="1"/>
  <c r="V63" i="26" s="1"/>
  <c r="W63" i="26" s="1"/>
  <c r="X63" i="26" s="1"/>
  <c r="Y63" i="26" s="1"/>
  <c r="Z63" i="26" s="1"/>
  <c r="AA63" i="26" s="1"/>
  <c r="AB63" i="26" s="1"/>
  <c r="AC63" i="26" s="1"/>
  <c r="AD63" i="26" s="1"/>
  <c r="AE63" i="26" s="1"/>
  <c r="Y24" i="33" s="1"/>
  <c r="E250" i="26"/>
  <c r="E248" i="26"/>
  <c r="E66" i="26"/>
  <c r="F66" i="26" s="1"/>
  <c r="G66" i="26" s="1"/>
  <c r="H66" i="26" s="1"/>
  <c r="I66" i="26" s="1"/>
  <c r="J66" i="26" s="1"/>
  <c r="K66" i="26" s="1"/>
  <c r="L66" i="26" s="1"/>
  <c r="M66" i="26" s="1"/>
  <c r="N66" i="26" s="1"/>
  <c r="O66" i="26" s="1"/>
  <c r="E65" i="26"/>
  <c r="F65" i="26" s="1"/>
  <c r="G65" i="26" s="1"/>
  <c r="H65" i="26" s="1"/>
  <c r="I65" i="26" s="1"/>
  <c r="J65" i="26" s="1"/>
  <c r="K65" i="26" s="1"/>
  <c r="L65" i="26" s="1"/>
  <c r="M65" i="26" s="1"/>
  <c r="N65" i="26" s="1"/>
  <c r="O65" i="26" s="1"/>
  <c r="E246" i="26"/>
  <c r="U82" i="33"/>
  <c r="F20" i="26"/>
  <c r="U259" i="26"/>
  <c r="V259" i="26" s="1"/>
  <c r="W259" i="26" s="1"/>
  <c r="X259" i="26" s="1"/>
  <c r="Y259" i="26" s="1"/>
  <c r="Z259" i="26" s="1"/>
  <c r="AA259" i="26" s="1"/>
  <c r="AB259" i="26" s="1"/>
  <c r="AC259" i="26" s="1"/>
  <c r="AD259" i="26" s="1"/>
  <c r="AE259" i="26" s="1"/>
  <c r="E326" i="26"/>
  <c r="E371" i="26"/>
  <c r="V23" i="26"/>
  <c r="U115" i="26"/>
  <c r="U112" i="26"/>
  <c r="V112" i="26" s="1"/>
  <c r="W112" i="26" s="1"/>
  <c r="X112" i="26" s="1"/>
  <c r="Y112" i="26" s="1"/>
  <c r="Z112" i="26" s="1"/>
  <c r="AA112" i="26" s="1"/>
  <c r="AB112" i="26" s="1"/>
  <c r="AC112" i="26" s="1"/>
  <c r="AD112" i="26" s="1"/>
  <c r="AE112" i="26" s="1"/>
  <c r="H107" i="26"/>
  <c r="G250" i="26"/>
  <c r="H19" i="26"/>
  <c r="I19" i="26" s="1"/>
  <c r="F366" i="26"/>
  <c r="F16" i="26"/>
  <c r="G16" i="26" s="1"/>
  <c r="E247" i="26"/>
  <c r="G17" i="26"/>
  <c r="H17" i="26" s="1"/>
  <c r="F248" i="26"/>
  <c r="E62" i="26"/>
  <c r="F108" i="26"/>
  <c r="P113" i="26"/>
  <c r="U80" i="33"/>
  <c r="U73" i="33"/>
  <c r="F245" i="26"/>
  <c r="G14" i="26"/>
  <c r="E35" i="26"/>
  <c r="F250" i="26"/>
  <c r="E245" i="26"/>
  <c r="F18" i="26"/>
  <c r="E249" i="26"/>
  <c r="G15" i="26"/>
  <c r="F246" i="26"/>
  <c r="W19" i="26"/>
  <c r="V250" i="26"/>
  <c r="M83" i="33"/>
  <c r="Q83" i="33" s="1"/>
  <c r="S83" i="33"/>
  <c r="E526" i="26"/>
  <c r="E523" i="26"/>
  <c r="F523" i="26" s="1"/>
  <c r="F541" i="26"/>
  <c r="G541" i="26" s="1"/>
  <c r="H541" i="26" s="1"/>
  <c r="I541" i="26" s="1"/>
  <c r="J541" i="26" s="1"/>
  <c r="K541" i="26" s="1"/>
  <c r="L541" i="26" s="1"/>
  <c r="M541" i="26" s="1"/>
  <c r="N541" i="26" s="1"/>
  <c r="O541" i="26" s="1"/>
  <c r="P541" i="26" s="1"/>
  <c r="Q541" i="26" s="1"/>
  <c r="R541" i="26" s="1"/>
  <c r="S541" i="26" s="1"/>
  <c r="T541" i="26" s="1"/>
  <c r="U541" i="26" s="1"/>
  <c r="V541" i="26" s="1"/>
  <c r="W541" i="26" s="1"/>
  <c r="X541" i="26" s="1"/>
  <c r="Y541" i="26" s="1"/>
  <c r="Z541" i="26" s="1"/>
  <c r="AA541" i="26" s="1"/>
  <c r="AB541" i="26" s="1"/>
  <c r="AC541" i="26" s="1"/>
  <c r="AD541" i="26" s="1"/>
  <c r="AE541" i="26" s="1"/>
  <c r="G543" i="26"/>
  <c r="H543" i="26" s="1"/>
  <c r="I543" i="26" s="1"/>
  <c r="J543" i="26" s="1"/>
  <c r="K543" i="26" s="1"/>
  <c r="L543" i="26" s="1"/>
  <c r="M543" i="26" s="1"/>
  <c r="N543" i="26" s="1"/>
  <c r="O543" i="26" s="1"/>
  <c r="P543" i="26" s="1"/>
  <c r="Q543" i="26" s="1"/>
  <c r="R543" i="26" s="1"/>
  <c r="S543" i="26" s="1"/>
  <c r="T543" i="26" s="1"/>
  <c r="U543" i="26" s="1"/>
  <c r="V543" i="26" s="1"/>
  <c r="W543" i="26" s="1"/>
  <c r="X543" i="26" s="1"/>
  <c r="Y543" i="26" s="1"/>
  <c r="Z543" i="26" s="1"/>
  <c r="AA543" i="26" s="1"/>
  <c r="AB543" i="26" s="1"/>
  <c r="AC543" i="26" s="1"/>
  <c r="AD543" i="26" s="1"/>
  <c r="AE543" i="26" s="1"/>
  <c r="H542" i="26"/>
  <c r="I542" i="26" s="1"/>
  <c r="J542" i="26" s="1"/>
  <c r="K542" i="26" s="1"/>
  <c r="L542" i="26" s="1"/>
  <c r="M542" i="26" s="1"/>
  <c r="N542" i="26" s="1"/>
  <c r="O542" i="26" s="1"/>
  <c r="P542" i="26" s="1"/>
  <c r="Q542" i="26" s="1"/>
  <c r="R542" i="26" s="1"/>
  <c r="S542" i="26" s="1"/>
  <c r="T542" i="26" s="1"/>
  <c r="U542" i="26" s="1"/>
  <c r="V542" i="26" s="1"/>
  <c r="W542" i="26" s="1"/>
  <c r="X542" i="26" s="1"/>
  <c r="Y542" i="26" s="1"/>
  <c r="Z542" i="26" s="1"/>
  <c r="AA542" i="26" s="1"/>
  <c r="AB542" i="26" s="1"/>
  <c r="AC542" i="26" s="1"/>
  <c r="AD542" i="26" s="1"/>
  <c r="AE542" i="26" s="1"/>
  <c r="F253" i="26" l="1"/>
  <c r="AX1" i="26"/>
  <c r="O139" i="26"/>
  <c r="O185" i="26"/>
  <c r="G21" i="26"/>
  <c r="H21" i="26" s="1"/>
  <c r="P114" i="26"/>
  <c r="Q114" i="26" s="1"/>
  <c r="R114" i="26" s="1"/>
  <c r="S114" i="26" s="1"/>
  <c r="T114" i="26" s="1"/>
  <c r="U114" i="26" s="1"/>
  <c r="I290" i="26"/>
  <c r="I295" i="26" s="1"/>
  <c r="F68" i="26"/>
  <c r="G68" i="26" s="1"/>
  <c r="H68" i="26" s="1"/>
  <c r="I68" i="26" s="1"/>
  <c r="J68" i="26" s="1"/>
  <c r="K68" i="26" s="1"/>
  <c r="L68" i="26" s="1"/>
  <c r="M68" i="26" s="1"/>
  <c r="N68" i="26" s="1"/>
  <c r="O68" i="26" s="1"/>
  <c r="Y81" i="33" s="1"/>
  <c r="U24" i="26"/>
  <c r="T255" i="26"/>
  <c r="G404" i="26"/>
  <c r="G409" i="26" s="1"/>
  <c r="G295" i="26"/>
  <c r="H404" i="26"/>
  <c r="H409" i="26" s="1"/>
  <c r="F74" i="26"/>
  <c r="G74" i="26" s="1"/>
  <c r="H74" i="26" s="1"/>
  <c r="I74" i="26" s="1"/>
  <c r="J74" i="26" s="1"/>
  <c r="K74" i="26" s="1"/>
  <c r="L74" i="26" s="1"/>
  <c r="M74" i="26" s="1"/>
  <c r="N74" i="26" s="1"/>
  <c r="O74" i="26" s="1"/>
  <c r="P74" i="26" s="1"/>
  <c r="Q74" i="26" s="1"/>
  <c r="R74" i="26" s="1"/>
  <c r="S74" i="26" s="1"/>
  <c r="T74" i="26" s="1"/>
  <c r="AA353" i="26"/>
  <c r="AF353" i="26"/>
  <c r="AF391" i="26"/>
  <c r="AA391" i="26"/>
  <c r="O231" i="26"/>
  <c r="AA315" i="26"/>
  <c r="AF315" i="26"/>
  <c r="AV277" i="26"/>
  <c r="AF277" i="26"/>
  <c r="AA277" i="26"/>
  <c r="AA429" i="26"/>
  <c r="AF429" i="26"/>
  <c r="AA505" i="26"/>
  <c r="AF505" i="26"/>
  <c r="AA472" i="26"/>
  <c r="AF472" i="26"/>
  <c r="AA1" i="26"/>
  <c r="AF1" i="26"/>
  <c r="O47" i="26"/>
  <c r="O93" i="26"/>
  <c r="Y73" i="33"/>
  <c r="U120" i="26"/>
  <c r="V120" i="26" s="1"/>
  <c r="W120" i="26" s="1"/>
  <c r="X120" i="26" s="1"/>
  <c r="Y120" i="26" s="1"/>
  <c r="Z120" i="26" s="1"/>
  <c r="AA120" i="26" s="1"/>
  <c r="AB120" i="26" s="1"/>
  <c r="AC120" i="26" s="1"/>
  <c r="AD120" i="26" s="1"/>
  <c r="AE120" i="26" s="1"/>
  <c r="U77" i="33"/>
  <c r="F64" i="26"/>
  <c r="G64" i="26" s="1"/>
  <c r="H64" i="26" s="1"/>
  <c r="I64" i="26" s="1"/>
  <c r="J64" i="26" s="1"/>
  <c r="K64" i="26" s="1"/>
  <c r="L64" i="26" s="1"/>
  <c r="M64" i="26" s="1"/>
  <c r="N64" i="26" s="1"/>
  <c r="O64" i="26" s="1"/>
  <c r="P64" i="26" s="1"/>
  <c r="Q64" i="26" s="1"/>
  <c r="R64" i="26" s="1"/>
  <c r="S64" i="26" s="1"/>
  <c r="H250" i="26"/>
  <c r="F247" i="26"/>
  <c r="G20" i="26"/>
  <c r="F251" i="26"/>
  <c r="G248" i="26"/>
  <c r="AF63" i="26"/>
  <c r="AV16" i="26" s="1"/>
  <c r="F62" i="26"/>
  <c r="E76" i="26"/>
  <c r="I17" i="26"/>
  <c r="H248" i="26"/>
  <c r="P66" i="26"/>
  <c r="Q66" i="26" s="1"/>
  <c r="R66" i="26" s="1"/>
  <c r="S66" i="26" s="1"/>
  <c r="Y79" i="33"/>
  <c r="I107" i="26"/>
  <c r="U30" i="33"/>
  <c r="Q113" i="26"/>
  <c r="R113" i="26" s="1"/>
  <c r="S113" i="26" s="1"/>
  <c r="T113" i="26" s="1"/>
  <c r="G108" i="26"/>
  <c r="F128" i="26"/>
  <c r="H61" i="26"/>
  <c r="V115" i="26"/>
  <c r="Y82" i="33"/>
  <c r="P69" i="26"/>
  <c r="Q69" i="26" s="1"/>
  <c r="R69" i="26" s="1"/>
  <c r="S69" i="26" s="1"/>
  <c r="U110" i="26"/>
  <c r="V110" i="26" s="1"/>
  <c r="W110" i="26" s="1"/>
  <c r="X110" i="26" s="1"/>
  <c r="Y110" i="26" s="1"/>
  <c r="Z110" i="26" s="1"/>
  <c r="AA110" i="26" s="1"/>
  <c r="AB110" i="26" s="1"/>
  <c r="AC110" i="26" s="1"/>
  <c r="AD110" i="26" s="1"/>
  <c r="AE110" i="26" s="1"/>
  <c r="AF259" i="26"/>
  <c r="Y78" i="33"/>
  <c r="P65" i="26"/>
  <c r="Q65" i="26" s="1"/>
  <c r="R65" i="26" s="1"/>
  <c r="S65" i="26" s="1"/>
  <c r="G366" i="26"/>
  <c r="F371" i="26"/>
  <c r="AF112" i="26"/>
  <c r="AP19" i="26" s="1"/>
  <c r="W23" i="26"/>
  <c r="F326" i="26"/>
  <c r="E333" i="26"/>
  <c r="P67" i="26"/>
  <c r="E263" i="26"/>
  <c r="G246" i="26"/>
  <c r="H15" i="26"/>
  <c r="G18" i="26"/>
  <c r="F249" i="26"/>
  <c r="G253" i="26"/>
  <c r="H22" i="26"/>
  <c r="I250" i="26"/>
  <c r="J19" i="26"/>
  <c r="W250" i="26"/>
  <c r="X19" i="26"/>
  <c r="H14" i="26"/>
  <c r="G245" i="26"/>
  <c r="F35" i="26"/>
  <c r="H16" i="26"/>
  <c r="G247" i="26"/>
  <c r="G523" i="26"/>
  <c r="H523" i="26" s="1"/>
  <c r="I523" i="26" s="1"/>
  <c r="J523" i="26" s="1"/>
  <c r="D533" i="26"/>
  <c r="D529" i="26"/>
  <c r="F526" i="26"/>
  <c r="D531" i="26"/>
  <c r="I404" i="26" l="1"/>
  <c r="I409" i="26" s="1"/>
  <c r="J290" i="26"/>
  <c r="K290" i="26" s="1"/>
  <c r="P68" i="26"/>
  <c r="Q68" i="26" s="1"/>
  <c r="R68" i="26" s="1"/>
  <c r="S68" i="26" s="1"/>
  <c r="T68" i="26" s="1"/>
  <c r="U68" i="26" s="1"/>
  <c r="G252" i="26"/>
  <c r="AA185" i="26"/>
  <c r="AF185" i="26"/>
  <c r="AF139" i="26"/>
  <c r="AA139" i="26"/>
  <c r="V24" i="26"/>
  <c r="U255" i="26"/>
  <c r="G526" i="26"/>
  <c r="H526" i="26" s="1"/>
  <c r="I526" i="26" s="1"/>
  <c r="J526" i="26" s="1"/>
  <c r="U74" i="26"/>
  <c r="V74" i="26" s="1"/>
  <c r="W74" i="26" s="1"/>
  <c r="X74" i="26" s="1"/>
  <c r="Y74" i="26" s="1"/>
  <c r="Z74" i="26" s="1"/>
  <c r="AA74" i="26" s="1"/>
  <c r="AB74" i="26" s="1"/>
  <c r="AC74" i="26" s="1"/>
  <c r="AD74" i="26" s="1"/>
  <c r="AE74" i="26" s="1"/>
  <c r="V70" i="26"/>
  <c r="W70" i="26" s="1"/>
  <c r="X70" i="26" s="1"/>
  <c r="Y70" i="26" s="1"/>
  <c r="Z70" i="26" s="1"/>
  <c r="AA70" i="26" s="1"/>
  <c r="AB70" i="26" s="1"/>
  <c r="AC70" i="26" s="1"/>
  <c r="AD70" i="26" s="1"/>
  <c r="AE70" i="26" s="1"/>
  <c r="Q67" i="26"/>
  <c r="R67" i="26" s="1"/>
  <c r="S67" i="26" s="1"/>
  <c r="T67" i="26" s="1"/>
  <c r="AA93" i="26"/>
  <c r="AF93" i="26"/>
  <c r="AA47" i="26"/>
  <c r="AF47" i="26"/>
  <c r="AF231" i="26"/>
  <c r="AA231" i="26"/>
  <c r="Y77" i="33"/>
  <c r="AF120" i="26"/>
  <c r="F263" i="26"/>
  <c r="G251" i="26"/>
  <c r="H20" i="26"/>
  <c r="V114" i="26"/>
  <c r="AF110" i="26"/>
  <c r="AP17" i="26" s="1"/>
  <c r="J107" i="26"/>
  <c r="J17" i="26"/>
  <c r="I248" i="26"/>
  <c r="T66" i="26"/>
  <c r="U66" i="26" s="1"/>
  <c r="V66" i="26" s="1"/>
  <c r="W66" i="26" s="1"/>
  <c r="X66" i="26" s="1"/>
  <c r="Y66" i="26" s="1"/>
  <c r="Z66" i="26" s="1"/>
  <c r="AA66" i="26" s="1"/>
  <c r="AB66" i="26" s="1"/>
  <c r="AC66" i="26" s="1"/>
  <c r="AD66" i="26" s="1"/>
  <c r="AE66" i="26" s="1"/>
  <c r="Y30" i="33" s="1"/>
  <c r="X23" i="26"/>
  <c r="T65" i="26"/>
  <c r="U65" i="26" s="1"/>
  <c r="V65" i="26" s="1"/>
  <c r="W65" i="26" s="1"/>
  <c r="X65" i="26" s="1"/>
  <c r="Y65" i="26" s="1"/>
  <c r="Z65" i="26" s="1"/>
  <c r="AA65" i="26" s="1"/>
  <c r="AB65" i="26" s="1"/>
  <c r="AC65" i="26" s="1"/>
  <c r="AD65" i="26" s="1"/>
  <c r="AE65" i="26" s="1"/>
  <c r="Y29" i="33" s="1"/>
  <c r="U28" i="33"/>
  <c r="W115" i="26"/>
  <c r="I61" i="26"/>
  <c r="U113" i="26"/>
  <c r="V113" i="26" s="1"/>
  <c r="W113" i="26" s="1"/>
  <c r="X113" i="26" s="1"/>
  <c r="Y113" i="26" s="1"/>
  <c r="Z113" i="26" s="1"/>
  <c r="AA113" i="26" s="1"/>
  <c r="AB113" i="26" s="1"/>
  <c r="AC113" i="26" s="1"/>
  <c r="AD113" i="26" s="1"/>
  <c r="AE113" i="26" s="1"/>
  <c r="T64" i="26"/>
  <c r="U64" i="26" s="1"/>
  <c r="V64" i="26" s="1"/>
  <c r="W64" i="26" s="1"/>
  <c r="X64" i="26" s="1"/>
  <c r="Y64" i="26" s="1"/>
  <c r="Z64" i="26" s="1"/>
  <c r="AA64" i="26" s="1"/>
  <c r="AB64" i="26" s="1"/>
  <c r="AC64" i="26" s="1"/>
  <c r="AD64" i="26" s="1"/>
  <c r="AE64" i="26" s="1"/>
  <c r="Y28" i="33" s="1"/>
  <c r="G62" i="26"/>
  <c r="F76" i="26"/>
  <c r="F333" i="26"/>
  <c r="G326" i="26"/>
  <c r="H366" i="26"/>
  <c r="G371" i="26"/>
  <c r="T69" i="26"/>
  <c r="U69" i="26" s="1"/>
  <c r="V69" i="26" s="1"/>
  <c r="H108" i="26"/>
  <c r="G128" i="26"/>
  <c r="K19" i="26"/>
  <c r="J250" i="26"/>
  <c r="I14" i="26"/>
  <c r="H245" i="26"/>
  <c r="I16" i="26"/>
  <c r="H247" i="26"/>
  <c r="Y19" i="26"/>
  <c r="X250" i="26"/>
  <c r="I22" i="26"/>
  <c r="H253" i="26"/>
  <c r="H18" i="26"/>
  <c r="G249" i="26"/>
  <c r="I21" i="26"/>
  <c r="H252" i="26"/>
  <c r="G35" i="26"/>
  <c r="I15" i="26"/>
  <c r="H246" i="26"/>
  <c r="C5" i="1"/>
  <c r="K523" i="26"/>
  <c r="L523" i="26" s="1"/>
  <c r="M523" i="26" s="1"/>
  <c r="N523" i="26" s="1"/>
  <c r="O523" i="26" s="1"/>
  <c r="G70" i="4" s="1"/>
  <c r="J295" i="26" l="1"/>
  <c r="J404" i="26"/>
  <c r="J409" i="26" s="1"/>
  <c r="W24" i="26"/>
  <c r="V255" i="26"/>
  <c r="K526" i="26"/>
  <c r="L526" i="26" s="1"/>
  <c r="M526" i="26" s="1"/>
  <c r="N526" i="26" s="1"/>
  <c r="O526" i="26" s="1"/>
  <c r="P526" i="26" s="1"/>
  <c r="Q526" i="26" s="1"/>
  <c r="R526" i="26" s="1"/>
  <c r="S526" i="26" s="1"/>
  <c r="T526" i="26" s="1"/>
  <c r="U526" i="26" s="1"/>
  <c r="V526" i="26" s="1"/>
  <c r="W526" i="26" s="1"/>
  <c r="X526" i="26" s="1"/>
  <c r="Y526" i="26" s="1"/>
  <c r="Z526" i="26" s="1"/>
  <c r="AA526" i="26" s="1"/>
  <c r="AB526" i="26" s="1"/>
  <c r="AC526" i="26" s="1"/>
  <c r="AD526" i="26" s="1"/>
  <c r="AE526" i="26" s="1"/>
  <c r="C4" i="1"/>
  <c r="AF74" i="26"/>
  <c r="G263" i="26"/>
  <c r="AF64" i="26"/>
  <c r="AV17" i="26" s="1"/>
  <c r="AF65" i="26"/>
  <c r="AV18" i="26" s="1"/>
  <c r="I20" i="26"/>
  <c r="H251" i="26"/>
  <c r="I108" i="26"/>
  <c r="H128" i="26"/>
  <c r="X115" i="26"/>
  <c r="Y115" i="26" s="1"/>
  <c r="Z115" i="26" s="1"/>
  <c r="AA115" i="26" s="1"/>
  <c r="AB115" i="26" s="1"/>
  <c r="AC115" i="26" s="1"/>
  <c r="AD115" i="26" s="1"/>
  <c r="AE115" i="26" s="1"/>
  <c r="AF115" i="26" s="1"/>
  <c r="W114" i="26"/>
  <c r="X114" i="26" s="1"/>
  <c r="Y114" i="26" s="1"/>
  <c r="Z114" i="26" s="1"/>
  <c r="AA114" i="26" s="1"/>
  <c r="AB114" i="26" s="1"/>
  <c r="AC114" i="26" s="1"/>
  <c r="AD114" i="26" s="1"/>
  <c r="AE114" i="26" s="1"/>
  <c r="AF114" i="26" s="1"/>
  <c r="V68" i="26"/>
  <c r="J61" i="26"/>
  <c r="K17" i="26"/>
  <c r="J248" i="26"/>
  <c r="U67" i="26"/>
  <c r="K404" i="26"/>
  <c r="K409" i="26" s="1"/>
  <c r="L290" i="26"/>
  <c r="K295" i="26"/>
  <c r="H371" i="26"/>
  <c r="I366" i="26"/>
  <c r="U31" i="33"/>
  <c r="Y34" i="33"/>
  <c r="W69" i="26"/>
  <c r="H326" i="26"/>
  <c r="G333" i="26"/>
  <c r="H62" i="26"/>
  <c r="G76" i="26"/>
  <c r="AF113" i="26"/>
  <c r="AP20" i="26" s="1"/>
  <c r="Y23" i="26"/>
  <c r="AF66" i="26"/>
  <c r="AV19" i="26" s="1"/>
  <c r="K107" i="26"/>
  <c r="I18" i="26"/>
  <c r="H249" i="26"/>
  <c r="Z19" i="26"/>
  <c r="Y250" i="26"/>
  <c r="J14" i="26"/>
  <c r="I245" i="26"/>
  <c r="J15" i="26"/>
  <c r="I246" i="26"/>
  <c r="L19" i="26"/>
  <c r="K250" i="26"/>
  <c r="J21" i="26"/>
  <c r="I252" i="26"/>
  <c r="I253" i="26"/>
  <c r="J22" i="26"/>
  <c r="J16" i="26"/>
  <c r="I247" i="26"/>
  <c r="H35" i="26"/>
  <c r="P523" i="26"/>
  <c r="Q523" i="26" s="1"/>
  <c r="R523" i="26" s="1"/>
  <c r="S523" i="26" s="1"/>
  <c r="X24" i="26" l="1"/>
  <c r="W255" i="26"/>
  <c r="E4" i="1"/>
  <c r="U33" i="33"/>
  <c r="H263" i="26"/>
  <c r="AP22" i="26"/>
  <c r="I251" i="26"/>
  <c r="J20" i="26"/>
  <c r="I326" i="26"/>
  <c r="H333" i="26"/>
  <c r="M290" i="26"/>
  <c r="L404" i="26"/>
  <c r="L409" i="26" s="1"/>
  <c r="L295" i="26"/>
  <c r="K61" i="26"/>
  <c r="Z23" i="26"/>
  <c r="I62" i="26"/>
  <c r="H76" i="26"/>
  <c r="AF70" i="26"/>
  <c r="AV23" i="26" s="1"/>
  <c r="V67" i="26"/>
  <c r="W67" i="26" s="1"/>
  <c r="X67" i="26" s="1"/>
  <c r="Y67" i="26" s="1"/>
  <c r="Z67" i="26" s="1"/>
  <c r="AA67" i="26" s="1"/>
  <c r="AB67" i="26" s="1"/>
  <c r="AC67" i="26" s="1"/>
  <c r="AD67" i="26" s="1"/>
  <c r="AE67" i="26" s="1"/>
  <c r="Y31" i="33" s="1"/>
  <c r="AP21" i="26"/>
  <c r="L17" i="26"/>
  <c r="K248" i="26"/>
  <c r="L107" i="26"/>
  <c r="U32" i="33"/>
  <c r="X69" i="26"/>
  <c r="Y69" i="26" s="1"/>
  <c r="Z69" i="26" s="1"/>
  <c r="AA69" i="26" s="1"/>
  <c r="AB69" i="26" s="1"/>
  <c r="AC69" i="26" s="1"/>
  <c r="AD69" i="26" s="1"/>
  <c r="AE69" i="26" s="1"/>
  <c r="Y33" i="33" s="1"/>
  <c r="I371" i="26"/>
  <c r="J366" i="26"/>
  <c r="W68" i="26"/>
  <c r="X68" i="26" s="1"/>
  <c r="Y68" i="26" s="1"/>
  <c r="Z68" i="26" s="1"/>
  <c r="AA68" i="26" s="1"/>
  <c r="AB68" i="26" s="1"/>
  <c r="AC68" i="26" s="1"/>
  <c r="AD68" i="26" s="1"/>
  <c r="AE68" i="26" s="1"/>
  <c r="Y32" i="33" s="1"/>
  <c r="J108" i="26"/>
  <c r="I128" i="26"/>
  <c r="K15" i="26"/>
  <c r="J246" i="26"/>
  <c r="J18" i="26"/>
  <c r="I249" i="26"/>
  <c r="K16" i="26"/>
  <c r="J247" i="26"/>
  <c r="K21" i="26"/>
  <c r="J252" i="26"/>
  <c r="I35" i="26"/>
  <c r="K22" i="26"/>
  <c r="J253" i="26"/>
  <c r="AA19" i="26"/>
  <c r="Z250" i="26"/>
  <c r="M19" i="26"/>
  <c r="L250" i="26"/>
  <c r="J245" i="26"/>
  <c r="K14" i="26"/>
  <c r="AF526" i="26"/>
  <c r="D4" i="1" s="1"/>
  <c r="T523" i="26"/>
  <c r="U523" i="26" s="1"/>
  <c r="V523" i="26" s="1"/>
  <c r="W523" i="26" s="1"/>
  <c r="X523" i="26" s="1"/>
  <c r="Y523" i="26" s="1"/>
  <c r="Z523" i="26" s="1"/>
  <c r="Y24" i="26" l="1"/>
  <c r="X255" i="26"/>
  <c r="I263" i="26"/>
  <c r="J35" i="26"/>
  <c r="J251" i="26"/>
  <c r="K20" i="26"/>
  <c r="AF67" i="26"/>
  <c r="AV20" i="26" s="1"/>
  <c r="J62" i="26"/>
  <c r="I76" i="26"/>
  <c r="L248" i="26"/>
  <c r="M17" i="26"/>
  <c r="K108" i="26"/>
  <c r="J128" i="26"/>
  <c r="L61" i="26"/>
  <c r="AF69" i="26"/>
  <c r="AV22" i="26" s="1"/>
  <c r="N290" i="26"/>
  <c r="M295" i="26"/>
  <c r="M404" i="26"/>
  <c r="M409" i="26" s="1"/>
  <c r="M107" i="26"/>
  <c r="AF68" i="26"/>
  <c r="AV21" i="26" s="1"/>
  <c r="K366" i="26"/>
  <c r="L366" i="26" s="1"/>
  <c r="M366" i="26" s="1"/>
  <c r="N366" i="26" s="1"/>
  <c r="O366" i="26" s="1"/>
  <c r="J371" i="26"/>
  <c r="AA23" i="26"/>
  <c r="J326" i="26"/>
  <c r="K326" i="26" s="1"/>
  <c r="I333" i="26"/>
  <c r="M250" i="26"/>
  <c r="N19" i="26"/>
  <c r="K253" i="26"/>
  <c r="L22" i="26"/>
  <c r="K247" i="26"/>
  <c r="L16" i="26"/>
  <c r="K246" i="26"/>
  <c r="L15" i="26"/>
  <c r="L14" i="26"/>
  <c r="K245" i="26"/>
  <c r="AB19" i="26"/>
  <c r="AA250" i="26"/>
  <c r="L21" i="26"/>
  <c r="K252" i="26"/>
  <c r="K18" i="26"/>
  <c r="J249" i="26"/>
  <c r="E5" i="1"/>
  <c r="AA523" i="26"/>
  <c r="Z24" i="26" l="1"/>
  <c r="Y255" i="26"/>
  <c r="K35" i="26"/>
  <c r="J263" i="26"/>
  <c r="L20" i="26"/>
  <c r="K251" i="26"/>
  <c r="N107" i="26"/>
  <c r="AB23" i="26"/>
  <c r="L108" i="26"/>
  <c r="K128" i="26"/>
  <c r="K62" i="26"/>
  <c r="J76" i="26"/>
  <c r="N404" i="26"/>
  <c r="N409" i="26" s="1"/>
  <c r="N295" i="26"/>
  <c r="O290" i="26"/>
  <c r="N17" i="26"/>
  <c r="M248" i="26"/>
  <c r="M61" i="26"/>
  <c r="J333" i="26"/>
  <c r="K371" i="26"/>
  <c r="AC19" i="26"/>
  <c r="AB250" i="26"/>
  <c r="M16" i="26"/>
  <c r="L247" i="26"/>
  <c r="O19" i="26"/>
  <c r="N250" i="26"/>
  <c r="M21" i="26"/>
  <c r="L252" i="26"/>
  <c r="L245" i="26"/>
  <c r="M14" i="26"/>
  <c r="M15" i="26"/>
  <c r="L246" i="26"/>
  <c r="M22" i="26"/>
  <c r="L253" i="26"/>
  <c r="L18" i="26"/>
  <c r="K249" i="26"/>
  <c r="AB523" i="26"/>
  <c r="AC523" i="26" s="1"/>
  <c r="AD523" i="26" s="1"/>
  <c r="AE523" i="26" s="1"/>
  <c r="G32" i="4" s="1"/>
  <c r="AA24" i="26" l="1"/>
  <c r="Z255" i="26"/>
  <c r="K263" i="26"/>
  <c r="M20" i="26"/>
  <c r="L251" i="26"/>
  <c r="L326" i="26"/>
  <c r="K333" i="26"/>
  <c r="M108" i="26"/>
  <c r="L128" i="26"/>
  <c r="L371" i="26"/>
  <c r="AC23" i="26"/>
  <c r="O17" i="26"/>
  <c r="N248" i="26"/>
  <c r="N61" i="26"/>
  <c r="G61" i="34"/>
  <c r="P290" i="26"/>
  <c r="O295" i="26"/>
  <c r="O404" i="26"/>
  <c r="O409" i="26" s="1"/>
  <c r="C25" i="1" s="1"/>
  <c r="L62" i="26"/>
  <c r="K76" i="26"/>
  <c r="O107" i="26"/>
  <c r="L249" i="26"/>
  <c r="M18" i="26"/>
  <c r="N22" i="26"/>
  <c r="M253" i="26"/>
  <c r="L35" i="26"/>
  <c r="N21" i="26"/>
  <c r="M252" i="26"/>
  <c r="N14" i="26"/>
  <c r="M245" i="26"/>
  <c r="O250" i="26"/>
  <c r="I79" i="33"/>
  <c r="AC79" i="33" s="1"/>
  <c r="P19" i="26"/>
  <c r="AD19" i="26"/>
  <c r="AC250" i="26"/>
  <c r="N15" i="26"/>
  <c r="M246" i="26"/>
  <c r="N16" i="26"/>
  <c r="M247" i="26"/>
  <c r="AF523" i="26"/>
  <c r="G32" i="35" s="1"/>
  <c r="AB24" i="26" l="1"/>
  <c r="AA255" i="26"/>
  <c r="L263" i="26"/>
  <c r="N20" i="26"/>
  <c r="M251" i="26"/>
  <c r="AD23" i="26"/>
  <c r="O61" i="26"/>
  <c r="N108" i="26"/>
  <c r="M128" i="26"/>
  <c r="Q290" i="26"/>
  <c r="P404" i="26"/>
  <c r="P409" i="26" s="1"/>
  <c r="P295" i="26"/>
  <c r="M371" i="26"/>
  <c r="P107" i="26"/>
  <c r="U71" i="33"/>
  <c r="M62" i="26"/>
  <c r="L76" i="26"/>
  <c r="G66" i="34"/>
  <c r="P17" i="26"/>
  <c r="O248" i="26"/>
  <c r="I77" i="33"/>
  <c r="AC77" i="33" s="1"/>
  <c r="M326" i="26"/>
  <c r="L333" i="26"/>
  <c r="N18" i="26"/>
  <c r="M249" i="26"/>
  <c r="O16" i="26"/>
  <c r="N247" i="26"/>
  <c r="P250" i="26"/>
  <c r="Q19" i="26"/>
  <c r="S79" i="33"/>
  <c r="M79" i="33"/>
  <c r="Q79" i="33" s="1"/>
  <c r="N245" i="26"/>
  <c r="O14" i="26"/>
  <c r="O22" i="26"/>
  <c r="N253" i="26"/>
  <c r="O21" i="26"/>
  <c r="N252" i="26"/>
  <c r="O15" i="26"/>
  <c r="N246" i="26"/>
  <c r="AE19" i="26"/>
  <c r="AD250" i="26"/>
  <c r="M35" i="26"/>
  <c r="D5" i="1"/>
  <c r="AC24" i="26" l="1"/>
  <c r="AB255" i="26"/>
  <c r="M263" i="26"/>
  <c r="N35" i="26"/>
  <c r="N251" i="26"/>
  <c r="O20" i="26"/>
  <c r="P248" i="26"/>
  <c r="Q17" i="26"/>
  <c r="O108" i="26"/>
  <c r="N128" i="26"/>
  <c r="AE23" i="26"/>
  <c r="N326" i="26"/>
  <c r="M333" i="26"/>
  <c r="N62" i="26"/>
  <c r="M76" i="26"/>
  <c r="Q107" i="26"/>
  <c r="M77" i="33"/>
  <c r="Q77" i="33" s="1"/>
  <c r="S77" i="33"/>
  <c r="N371" i="26"/>
  <c r="Q295" i="26"/>
  <c r="Q404" i="26"/>
  <c r="Q409" i="26" s="1"/>
  <c r="R290" i="26"/>
  <c r="P61" i="26"/>
  <c r="Y71" i="33"/>
  <c r="P16" i="26"/>
  <c r="I73" i="33"/>
  <c r="AC73" i="33" s="1"/>
  <c r="O247" i="26"/>
  <c r="N249" i="26"/>
  <c r="O18" i="26"/>
  <c r="I72" i="33"/>
  <c r="O246" i="26"/>
  <c r="P15" i="26"/>
  <c r="I82" i="33"/>
  <c r="AC82" i="33" s="1"/>
  <c r="O253" i="26"/>
  <c r="P22" i="26"/>
  <c r="Q250" i="26"/>
  <c r="R19" i="26"/>
  <c r="R250" i="26" s="1"/>
  <c r="I30" i="33"/>
  <c r="AE250" i="26"/>
  <c r="AF250" i="26" s="1"/>
  <c r="AF19" i="26"/>
  <c r="AJ19" i="26" s="1"/>
  <c r="AX19" i="26" s="1"/>
  <c r="O252" i="26"/>
  <c r="P21" i="26"/>
  <c r="I81" i="33"/>
  <c r="AC81" i="33" s="1"/>
  <c r="P14" i="26"/>
  <c r="O245" i="26"/>
  <c r="I71" i="33"/>
  <c r="AC71" i="33" l="1"/>
  <c r="AD24" i="26"/>
  <c r="AC255" i="26"/>
  <c r="O35" i="26"/>
  <c r="N263" i="26"/>
  <c r="I80" i="33"/>
  <c r="AC80" i="33" s="1"/>
  <c r="P20" i="26"/>
  <c r="O251" i="26"/>
  <c r="O62" i="26"/>
  <c r="N76" i="26"/>
  <c r="Q61" i="26"/>
  <c r="P366" i="26"/>
  <c r="Q61" i="34"/>
  <c r="O371" i="26"/>
  <c r="S290" i="26"/>
  <c r="R295" i="26"/>
  <c r="R404" i="26"/>
  <c r="R409" i="26" s="1"/>
  <c r="R107" i="26"/>
  <c r="N333" i="26"/>
  <c r="O326" i="26"/>
  <c r="P108" i="26"/>
  <c r="U72" i="33"/>
  <c r="U87" i="33" s="1"/>
  <c r="O128" i="26"/>
  <c r="I34" i="33"/>
  <c r="AF254" i="26"/>
  <c r="AF23" i="26"/>
  <c r="AJ23" i="26" s="1"/>
  <c r="AX23" i="26" s="1"/>
  <c r="Q248" i="26"/>
  <c r="R17" i="26"/>
  <c r="Q22" i="26"/>
  <c r="P253" i="26"/>
  <c r="S72" i="33"/>
  <c r="Q16" i="26"/>
  <c r="P247" i="26"/>
  <c r="S82" i="33"/>
  <c r="M82" i="33"/>
  <c r="Q82" i="33" s="1"/>
  <c r="P18" i="26"/>
  <c r="I78" i="33"/>
  <c r="O249" i="26"/>
  <c r="S81" i="33"/>
  <c r="M81" i="33"/>
  <c r="Q81" i="33" s="1"/>
  <c r="S73" i="33"/>
  <c r="M73" i="33"/>
  <c r="Q73" i="33" s="1"/>
  <c r="S71" i="33"/>
  <c r="M71" i="33"/>
  <c r="Q71" i="33" s="1"/>
  <c r="Q21" i="26"/>
  <c r="P252" i="26"/>
  <c r="S30" i="33"/>
  <c r="AC30" i="33"/>
  <c r="M30" i="33"/>
  <c r="Q30" i="33" s="1"/>
  <c r="Q14" i="26"/>
  <c r="P245" i="26"/>
  <c r="AN19" i="26"/>
  <c r="AR19" i="26" s="1"/>
  <c r="Q15" i="26"/>
  <c r="P246" i="26"/>
  <c r="I87" i="33" l="1"/>
  <c r="AC78" i="33"/>
  <c r="AE24" i="26"/>
  <c r="AD255" i="26"/>
  <c r="P35" i="26"/>
  <c r="O263" i="26"/>
  <c r="C10" i="1" s="1"/>
  <c r="P251" i="26"/>
  <c r="Q20" i="26"/>
  <c r="S80" i="33"/>
  <c r="M80" i="33"/>
  <c r="Q80" i="33" s="1"/>
  <c r="P326" i="26"/>
  <c r="O333" i="26"/>
  <c r="K61" i="34"/>
  <c r="S107" i="26"/>
  <c r="R61" i="26"/>
  <c r="M72" i="33"/>
  <c r="Q72" i="33" s="1"/>
  <c r="AN23" i="26"/>
  <c r="AR23" i="26" s="1"/>
  <c r="Q66" i="34"/>
  <c r="Q366" i="26"/>
  <c r="P371" i="26"/>
  <c r="P62" i="26"/>
  <c r="Y72" i="33"/>
  <c r="AC72" i="33" s="1"/>
  <c r="O76" i="26"/>
  <c r="S17" i="26"/>
  <c r="R248" i="26"/>
  <c r="S34" i="33"/>
  <c r="M34" i="33"/>
  <c r="Q34" i="33" s="1"/>
  <c r="AC34" i="33"/>
  <c r="Q108" i="26"/>
  <c r="P128" i="26"/>
  <c r="S404" i="26"/>
  <c r="S409" i="26" s="1"/>
  <c r="S295" i="26"/>
  <c r="T290" i="26"/>
  <c r="R15" i="26"/>
  <c r="Q246" i="26"/>
  <c r="Q252" i="26"/>
  <c r="R21" i="26"/>
  <c r="R14" i="26"/>
  <c r="Q245" i="26"/>
  <c r="M78" i="33"/>
  <c r="Q78" i="33" s="1"/>
  <c r="S78" i="33"/>
  <c r="R16" i="26"/>
  <c r="Q247" i="26"/>
  <c r="Q18" i="26"/>
  <c r="P249" i="26"/>
  <c r="R22" i="26"/>
  <c r="Q253" i="26"/>
  <c r="AE255" i="26" l="1"/>
  <c r="AF255" i="26" s="1"/>
  <c r="I35" i="33"/>
  <c r="AF24" i="26"/>
  <c r="AJ24" i="26" s="1"/>
  <c r="AX24" i="26" s="1"/>
  <c r="S87" i="33"/>
  <c r="P263" i="26"/>
  <c r="Q87" i="33"/>
  <c r="Q251" i="26"/>
  <c r="R20" i="26"/>
  <c r="Q371" i="26"/>
  <c r="R366" i="26"/>
  <c r="T107" i="26"/>
  <c r="U290" i="26"/>
  <c r="T404" i="26"/>
  <c r="T295" i="26"/>
  <c r="K66" i="34"/>
  <c r="O61" i="34"/>
  <c r="R108" i="26"/>
  <c r="Q128" i="26"/>
  <c r="Q62" i="26"/>
  <c r="P76" i="26"/>
  <c r="S61" i="26"/>
  <c r="AC87" i="33"/>
  <c r="Y87" i="33"/>
  <c r="T17" i="26"/>
  <c r="S248" i="26"/>
  <c r="Q326" i="26"/>
  <c r="P333" i="26"/>
  <c r="R18" i="26"/>
  <c r="R35" i="26" s="1"/>
  <c r="Q249" i="26"/>
  <c r="R245" i="26"/>
  <c r="S14" i="26"/>
  <c r="S22" i="26"/>
  <c r="R253" i="26"/>
  <c r="S16" i="26"/>
  <c r="R247" i="26"/>
  <c r="S21" i="26"/>
  <c r="R252" i="26"/>
  <c r="S15" i="26"/>
  <c r="R246" i="26"/>
  <c r="Q35" i="26"/>
  <c r="AN24" i="26" l="1"/>
  <c r="AR24" i="26" s="1"/>
  <c r="S35" i="33"/>
  <c r="M35" i="33"/>
  <c r="Q35" i="33" s="1"/>
  <c r="AC35" i="33"/>
  <c r="Q263" i="26"/>
  <c r="S20" i="26"/>
  <c r="R251" i="26"/>
  <c r="G58" i="4"/>
  <c r="I90" i="33"/>
  <c r="O58" i="4" s="1"/>
  <c r="C16" i="1" s="1"/>
  <c r="T61" i="26"/>
  <c r="R62" i="26"/>
  <c r="Q76" i="26"/>
  <c r="T409" i="26"/>
  <c r="S366" i="26"/>
  <c r="R371" i="26"/>
  <c r="U17" i="26"/>
  <c r="T248" i="26"/>
  <c r="O66" i="34"/>
  <c r="G60" i="4" s="1"/>
  <c r="C7" i="1" s="1"/>
  <c r="U61" i="34"/>
  <c r="W61" i="34" s="1"/>
  <c r="W66" i="34" s="1"/>
  <c r="U295" i="26"/>
  <c r="V290" i="26"/>
  <c r="U404" i="26"/>
  <c r="U409" i="26" s="1"/>
  <c r="R326" i="26"/>
  <c r="Q333" i="26"/>
  <c r="S108" i="26"/>
  <c r="R128" i="26"/>
  <c r="U107" i="26"/>
  <c r="T15" i="26"/>
  <c r="S246" i="26"/>
  <c r="T16" i="26"/>
  <c r="S247" i="26"/>
  <c r="T14" i="26"/>
  <c r="S245" i="26"/>
  <c r="T21" i="26"/>
  <c r="S252" i="26"/>
  <c r="T22" i="26"/>
  <c r="S253" i="26"/>
  <c r="S18" i="26"/>
  <c r="R249" i="26"/>
  <c r="R263" i="26" s="1"/>
  <c r="G69" i="34" l="1"/>
  <c r="O60" i="4" s="1"/>
  <c r="C17" i="1" s="1"/>
  <c r="S251" i="26"/>
  <c r="T20" i="26"/>
  <c r="S62" i="26"/>
  <c r="R76" i="26"/>
  <c r="T366" i="26"/>
  <c r="S371" i="26"/>
  <c r="U61" i="26"/>
  <c r="V17" i="26"/>
  <c r="U248" i="26"/>
  <c r="T108" i="26"/>
  <c r="S128" i="26"/>
  <c r="V404" i="26"/>
  <c r="V409" i="26" s="1"/>
  <c r="W290" i="26"/>
  <c r="V295" i="26"/>
  <c r="V107" i="26"/>
  <c r="R333" i="26"/>
  <c r="S326" i="26"/>
  <c r="C8" i="1"/>
  <c r="T18" i="26"/>
  <c r="S249" i="26"/>
  <c r="U14" i="26"/>
  <c r="T245" i="26"/>
  <c r="U15" i="26"/>
  <c r="T246" i="26"/>
  <c r="U21" i="26"/>
  <c r="T252" i="26"/>
  <c r="S35" i="26"/>
  <c r="U16" i="26"/>
  <c r="T247" i="26"/>
  <c r="U22" i="26"/>
  <c r="T253" i="26"/>
  <c r="S263" i="26" l="1"/>
  <c r="U20" i="26"/>
  <c r="T251" i="26"/>
  <c r="T326" i="26"/>
  <c r="S333" i="26"/>
  <c r="U366" i="26"/>
  <c r="T371" i="26"/>
  <c r="V61" i="26"/>
  <c r="T62" i="26"/>
  <c r="S76" i="26"/>
  <c r="W107" i="26"/>
  <c r="X290" i="26"/>
  <c r="W295" i="26"/>
  <c r="W404" i="26"/>
  <c r="W409" i="26" s="1"/>
  <c r="U108" i="26"/>
  <c r="T128" i="26"/>
  <c r="V248" i="26"/>
  <c r="W17" i="26"/>
  <c r="U247" i="26"/>
  <c r="V16" i="26"/>
  <c r="V22" i="26"/>
  <c r="U253" i="26"/>
  <c r="U246" i="26"/>
  <c r="V15" i="26"/>
  <c r="V14" i="26"/>
  <c r="U245" i="26"/>
  <c r="T249" i="26"/>
  <c r="U18" i="26"/>
  <c r="V21" i="26"/>
  <c r="U252" i="26"/>
  <c r="T35" i="26"/>
  <c r="T263" i="26" l="1"/>
  <c r="U35" i="26"/>
  <c r="U251" i="26"/>
  <c r="V20" i="26"/>
  <c r="X17" i="26"/>
  <c r="W248" i="26"/>
  <c r="V108" i="26"/>
  <c r="U128" i="26"/>
  <c r="Y290" i="26"/>
  <c r="X404" i="26"/>
  <c r="X409" i="26" s="1"/>
  <c r="X295" i="26"/>
  <c r="X107" i="26"/>
  <c r="U62" i="26"/>
  <c r="T76" i="26"/>
  <c r="V366" i="26"/>
  <c r="U371" i="26"/>
  <c r="W61" i="26"/>
  <c r="U326" i="26"/>
  <c r="T333" i="26"/>
  <c r="W15" i="26"/>
  <c r="V246" i="26"/>
  <c r="W22" i="26"/>
  <c r="V253" i="26"/>
  <c r="V18" i="26"/>
  <c r="U249" i="26"/>
  <c r="V245" i="26"/>
  <c r="W14" i="26"/>
  <c r="W21" i="26"/>
  <c r="V252" i="26"/>
  <c r="W16" i="26"/>
  <c r="V247" i="26"/>
  <c r="U263" i="26" l="1"/>
  <c r="V35" i="26"/>
  <c r="W20" i="26"/>
  <c r="V251" i="26"/>
  <c r="W366" i="26"/>
  <c r="V371" i="26"/>
  <c r="Y107" i="26"/>
  <c r="V326" i="26"/>
  <c r="U333" i="26"/>
  <c r="V62" i="26"/>
  <c r="U76" i="26"/>
  <c r="W108" i="26"/>
  <c r="V128" i="26"/>
  <c r="X61" i="26"/>
  <c r="Y404" i="26"/>
  <c r="Y295" i="26"/>
  <c r="Z290" i="26"/>
  <c r="X248" i="26"/>
  <c r="Y17" i="26"/>
  <c r="W253" i="26"/>
  <c r="X22" i="26"/>
  <c r="W18" i="26"/>
  <c r="V249" i="26"/>
  <c r="X15" i="26"/>
  <c r="W246" i="26"/>
  <c r="X16" i="26"/>
  <c r="W247" i="26"/>
  <c r="X21" i="26"/>
  <c r="W252" i="26"/>
  <c r="X14" i="26"/>
  <c r="W245" i="26"/>
  <c r="V263" i="26" l="1"/>
  <c r="X20" i="26"/>
  <c r="W251" i="26"/>
  <c r="Z295" i="26"/>
  <c r="AA290" i="26"/>
  <c r="Z404" i="26"/>
  <c r="Z409" i="26" s="1"/>
  <c r="Z107" i="26"/>
  <c r="Y409" i="26"/>
  <c r="Y61" i="26"/>
  <c r="X366" i="26"/>
  <c r="W371" i="26"/>
  <c r="X108" i="26"/>
  <c r="W128" i="26"/>
  <c r="Y248" i="26"/>
  <c r="Z17" i="26"/>
  <c r="W62" i="26"/>
  <c r="V76" i="26"/>
  <c r="V333" i="26"/>
  <c r="W326" i="26"/>
  <c r="Y21" i="26"/>
  <c r="X252" i="26"/>
  <c r="Y16" i="26"/>
  <c r="X247" i="26"/>
  <c r="Y22" i="26"/>
  <c r="X253" i="26"/>
  <c r="Y15" i="26"/>
  <c r="X246" i="26"/>
  <c r="Y14" i="26"/>
  <c r="X245" i="26"/>
  <c r="X18" i="26"/>
  <c r="X35" i="26" s="1"/>
  <c r="W249" i="26"/>
  <c r="W35" i="26"/>
  <c r="W263" i="26" l="1"/>
  <c r="Y20" i="26"/>
  <c r="X251" i="26"/>
  <c r="AA295" i="26"/>
  <c r="AA404" i="26"/>
  <c r="AA409" i="26" s="1"/>
  <c r="AB290" i="26"/>
  <c r="AA107" i="26"/>
  <c r="X326" i="26"/>
  <c r="W333" i="26"/>
  <c r="X62" i="26"/>
  <c r="W76" i="26"/>
  <c r="X371" i="26"/>
  <c r="Y366" i="26"/>
  <c r="Z248" i="26"/>
  <c r="AA17" i="26"/>
  <c r="Y108" i="26"/>
  <c r="X128" i="26"/>
  <c r="Z61" i="26"/>
  <c r="Z14" i="26"/>
  <c r="Y245" i="26"/>
  <c r="Y252" i="26"/>
  <c r="Z21" i="26"/>
  <c r="X249" i="26"/>
  <c r="Y18" i="26"/>
  <c r="Z15" i="26"/>
  <c r="Y246" i="26"/>
  <c r="Z22" i="26"/>
  <c r="Y253" i="26"/>
  <c r="Z16" i="26"/>
  <c r="Y247" i="26"/>
  <c r="Y35" i="26" l="1"/>
  <c r="X263" i="26"/>
  <c r="Y251" i="26"/>
  <c r="Z20" i="26"/>
  <c r="Z108" i="26"/>
  <c r="Y128" i="26"/>
  <c r="Y326" i="26"/>
  <c r="X333" i="26"/>
  <c r="AC290" i="26"/>
  <c r="AB404" i="26"/>
  <c r="AB409" i="26" s="1"/>
  <c r="AB295" i="26"/>
  <c r="Y62" i="26"/>
  <c r="X76" i="26"/>
  <c r="AA61" i="26"/>
  <c r="AB17" i="26"/>
  <c r="AA248" i="26"/>
  <c r="Z366" i="26"/>
  <c r="Y371" i="26"/>
  <c r="AB107" i="26"/>
  <c r="AA16" i="26"/>
  <c r="Z247" i="26"/>
  <c r="AA21" i="26"/>
  <c r="Z252" i="26"/>
  <c r="AA15" i="26"/>
  <c r="Z246" i="26"/>
  <c r="AA22" i="26"/>
  <c r="Z253" i="26"/>
  <c r="Z18" i="26"/>
  <c r="Y249" i="26"/>
  <c r="Z245" i="26"/>
  <c r="AA14" i="26"/>
  <c r="Y263" i="26" l="1"/>
  <c r="AA20" i="26"/>
  <c r="Z251" i="26"/>
  <c r="Z35" i="26"/>
  <c r="AC17" i="26"/>
  <c r="AB248" i="26"/>
  <c r="AD290" i="26"/>
  <c r="AC295" i="26"/>
  <c r="AC404" i="26"/>
  <c r="AC409" i="26" s="1"/>
  <c r="AC107" i="26"/>
  <c r="AA366" i="26"/>
  <c r="AA371" i="26" s="1"/>
  <c r="Z371" i="26"/>
  <c r="AB61" i="26"/>
  <c r="Z326" i="26"/>
  <c r="Y333" i="26"/>
  <c r="Z62" i="26"/>
  <c r="Y76" i="26"/>
  <c r="AA108" i="26"/>
  <c r="Z128" i="26"/>
  <c r="AB14" i="26"/>
  <c r="AA245" i="26"/>
  <c r="AA246" i="26"/>
  <c r="AB15" i="26"/>
  <c r="AB22" i="26"/>
  <c r="AA253" i="26"/>
  <c r="AB21" i="26"/>
  <c r="AA252" i="26"/>
  <c r="AA18" i="26"/>
  <c r="Z249" i="26"/>
  <c r="AA247" i="26"/>
  <c r="AB16" i="26"/>
  <c r="AA35" i="26" l="1"/>
  <c r="Z263" i="26"/>
  <c r="E10" i="1" s="1"/>
  <c r="AA251" i="26"/>
  <c r="AB20" i="26"/>
  <c r="AB108" i="26"/>
  <c r="AA128" i="26"/>
  <c r="AC61" i="26"/>
  <c r="AD107" i="26"/>
  <c r="AD404" i="26"/>
  <c r="AD409" i="26" s="1"/>
  <c r="AD295" i="26"/>
  <c r="AE290" i="26"/>
  <c r="AA62" i="26"/>
  <c r="Z76" i="26"/>
  <c r="Z333" i="26"/>
  <c r="AA326" i="26"/>
  <c r="AB366" i="26"/>
  <c r="AD17" i="26"/>
  <c r="AC248" i="26"/>
  <c r="AB245" i="26"/>
  <c r="AC14" i="26"/>
  <c r="AC16" i="26"/>
  <c r="AB247" i="26"/>
  <c r="AC15" i="26"/>
  <c r="AB246" i="26"/>
  <c r="AC21" i="26"/>
  <c r="AB252" i="26"/>
  <c r="AB18" i="26"/>
  <c r="AA249" i="26"/>
  <c r="AC22" i="26"/>
  <c r="AB253" i="26"/>
  <c r="AC366" i="26" l="1"/>
  <c r="AB371" i="26"/>
  <c r="AB35" i="26"/>
  <c r="AA263" i="26"/>
  <c r="AC20" i="26"/>
  <c r="AB251" i="26"/>
  <c r="AD61" i="26"/>
  <c r="AB326" i="26"/>
  <c r="AA333" i="26"/>
  <c r="AB62" i="26"/>
  <c r="AA76" i="26"/>
  <c r="AE17" i="26"/>
  <c r="AF17" i="26" s="1"/>
  <c r="AJ17" i="26" s="1"/>
  <c r="AX17" i="26" s="1"/>
  <c r="AD248" i="26"/>
  <c r="G22" i="34"/>
  <c r="AE295" i="26"/>
  <c r="AE404" i="26"/>
  <c r="AF290" i="26"/>
  <c r="AE107" i="26"/>
  <c r="AF106" i="26" s="1"/>
  <c r="AC108" i="26"/>
  <c r="AB128" i="26"/>
  <c r="AD16" i="26"/>
  <c r="AC247" i="26"/>
  <c r="AB249" i="26"/>
  <c r="AC18" i="26"/>
  <c r="AC252" i="26"/>
  <c r="AD21" i="26"/>
  <c r="AD14" i="26"/>
  <c r="AC245" i="26"/>
  <c r="AC246" i="26"/>
  <c r="AD15" i="26"/>
  <c r="AD22" i="26"/>
  <c r="AC253" i="26"/>
  <c r="AF404" i="26" l="1"/>
  <c r="AF409" i="26" s="1"/>
  <c r="D25" i="1" s="1"/>
  <c r="AE409" i="26"/>
  <c r="AD366" i="26"/>
  <c r="AC371" i="26"/>
  <c r="AB263" i="26"/>
  <c r="AC251" i="26"/>
  <c r="AD20" i="26"/>
  <c r="AN17" i="26"/>
  <c r="AR17" i="26" s="1"/>
  <c r="U22" i="33"/>
  <c r="AF107" i="26"/>
  <c r="AP14" i="26" s="1"/>
  <c r="G27" i="34"/>
  <c r="AJ290" i="26"/>
  <c r="AF295" i="26"/>
  <c r="AC62" i="26"/>
  <c r="AB76" i="26"/>
  <c r="AE61" i="26"/>
  <c r="AD108" i="26"/>
  <c r="AC128" i="26"/>
  <c r="AE248" i="26"/>
  <c r="AF248" i="26" s="1"/>
  <c r="I28" i="33"/>
  <c r="AC326" i="26"/>
  <c r="AB333" i="26"/>
  <c r="AE22" i="26"/>
  <c r="AD253" i="26"/>
  <c r="AD18" i="26"/>
  <c r="AC249" i="26"/>
  <c r="AE15" i="26"/>
  <c r="AD246" i="26"/>
  <c r="AD245" i="26"/>
  <c r="AE14" i="26"/>
  <c r="AE21" i="26"/>
  <c r="AD252" i="26"/>
  <c r="AC35" i="26"/>
  <c r="AE16" i="26"/>
  <c r="AD247" i="26"/>
  <c r="AE366" i="26" l="1"/>
  <c r="AF366" i="26" s="1"/>
  <c r="AD371" i="26"/>
  <c r="AD35" i="26"/>
  <c r="AC263" i="26"/>
  <c r="AD251" i="26"/>
  <c r="AE20" i="26"/>
  <c r="S28" i="33"/>
  <c r="M28" i="33"/>
  <c r="Q28" i="33" s="1"/>
  <c r="AC28" i="33"/>
  <c r="AD326" i="26"/>
  <c r="AC333" i="26"/>
  <c r="AE108" i="26"/>
  <c r="AD128" i="26"/>
  <c r="AD62" i="26"/>
  <c r="AC76" i="26"/>
  <c r="Y22" i="33"/>
  <c r="AF61" i="26"/>
  <c r="AJ295" i="26"/>
  <c r="I32" i="33"/>
  <c r="AE252" i="26"/>
  <c r="AF252" i="26" s="1"/>
  <c r="AF21" i="26"/>
  <c r="AJ21" i="26" s="1"/>
  <c r="AX21" i="26" s="1"/>
  <c r="I24" i="33"/>
  <c r="AE247" i="26"/>
  <c r="AF247" i="26" s="1"/>
  <c r="AF16" i="26"/>
  <c r="AJ16" i="26" s="1"/>
  <c r="AX16" i="26" s="1"/>
  <c r="I23" i="33"/>
  <c r="AE246" i="26"/>
  <c r="AF246" i="26" s="1"/>
  <c r="AF15" i="26"/>
  <c r="AJ15" i="26" s="1"/>
  <c r="AD249" i="26"/>
  <c r="AE18" i="26"/>
  <c r="I22" i="33"/>
  <c r="AE245" i="26"/>
  <c r="AF14" i="26"/>
  <c r="I33" i="33"/>
  <c r="AE253" i="26"/>
  <c r="AF253" i="26" s="1"/>
  <c r="AF22" i="26"/>
  <c r="AJ22" i="26" s="1"/>
  <c r="AX22" i="26" s="1"/>
  <c r="AD263" i="26" l="1"/>
  <c r="AF371" i="26"/>
  <c r="AP290" i="26"/>
  <c r="Q22" i="34"/>
  <c r="Q27" i="34" s="1"/>
  <c r="AE371" i="26"/>
  <c r="AE251" i="26"/>
  <c r="AF251" i="26" s="1"/>
  <c r="I31" i="33"/>
  <c r="AF20" i="26"/>
  <c r="AJ20" i="26" s="1"/>
  <c r="AX20" i="26" s="1"/>
  <c r="AE62" i="26"/>
  <c r="AD76" i="26"/>
  <c r="AD333" i="26"/>
  <c r="AE326" i="26"/>
  <c r="AF108" i="26"/>
  <c r="U23" i="33"/>
  <c r="U39" i="33" s="1"/>
  <c r="AE128" i="26"/>
  <c r="AV14" i="26"/>
  <c r="I29" i="33"/>
  <c r="AE249" i="26"/>
  <c r="AF249" i="26" s="1"/>
  <c r="AF18" i="26"/>
  <c r="AJ18" i="26" s="1"/>
  <c r="AX18" i="26" s="1"/>
  <c r="AN21" i="26"/>
  <c r="AR21" i="26" s="1"/>
  <c r="AE35" i="26"/>
  <c r="AF245" i="26"/>
  <c r="S32" i="33"/>
  <c r="AC32" i="33"/>
  <c r="M32" i="33"/>
  <c r="Q32" i="33" s="1"/>
  <c r="AJ14" i="26"/>
  <c r="S23" i="33"/>
  <c r="AN22" i="26"/>
  <c r="AR22" i="26" s="1"/>
  <c r="AN16" i="26"/>
  <c r="AR16" i="26" s="1"/>
  <c r="S33" i="33"/>
  <c r="AC33" i="33"/>
  <c r="M33" i="33"/>
  <c r="Q33" i="33" s="1"/>
  <c r="M22" i="33"/>
  <c r="Q22" i="33" s="1"/>
  <c r="S22" i="33"/>
  <c r="AC22" i="33"/>
  <c r="S24" i="33"/>
  <c r="M24" i="33"/>
  <c r="Q24" i="33" s="1"/>
  <c r="AC24" i="33"/>
  <c r="AX14" i="26" l="1"/>
  <c r="AF128" i="26"/>
  <c r="D11" i="1" s="1"/>
  <c r="AP15" i="26"/>
  <c r="AP295" i="26"/>
  <c r="AN290" i="26"/>
  <c r="AR290" i="26" s="1"/>
  <c r="AR295" i="26" s="1"/>
  <c r="I39" i="33"/>
  <c r="AE263" i="26"/>
  <c r="AF35" i="26"/>
  <c r="M23" i="33"/>
  <c r="Q23" i="33" s="1"/>
  <c r="AF263" i="26"/>
  <c r="D10" i="1" s="1"/>
  <c r="AN20" i="26"/>
  <c r="AR20" i="26" s="1"/>
  <c r="M31" i="33"/>
  <c r="Q31" i="33" s="1"/>
  <c r="S31" i="33"/>
  <c r="AC31" i="33"/>
  <c r="Y23" i="33"/>
  <c r="AF62" i="26"/>
  <c r="AE76" i="26"/>
  <c r="K22" i="34"/>
  <c r="AE333" i="26"/>
  <c r="AF326" i="26"/>
  <c r="AF333" i="26" s="1"/>
  <c r="AT290" i="26" s="1"/>
  <c r="AN18" i="26"/>
  <c r="AR18" i="26" s="1"/>
  <c r="AN14" i="26"/>
  <c r="AR14" i="26" s="1"/>
  <c r="AJ35" i="26"/>
  <c r="M29" i="33"/>
  <c r="Q29" i="33" s="1"/>
  <c r="S29" i="33"/>
  <c r="AC29" i="33"/>
  <c r="AP35" i="26" l="1"/>
  <c r="AN15" i="26"/>
  <c r="AR15" i="26" s="1"/>
  <c r="AR35" i="26" s="1"/>
  <c r="D23" i="1"/>
  <c r="Q39" i="33"/>
  <c r="S39" i="33"/>
  <c r="AT295" i="26"/>
  <c r="AV290" i="26"/>
  <c r="AV295" i="26" s="1"/>
  <c r="AV15" i="26"/>
  <c r="AX15" i="26" s="1"/>
  <c r="AX35" i="26" s="1"/>
  <c r="AF76" i="26"/>
  <c r="K27" i="34"/>
  <c r="O22" i="34"/>
  <c r="Y39" i="33"/>
  <c r="AC23" i="33"/>
  <c r="AC39" i="33" s="1"/>
  <c r="G20" i="4" s="1"/>
  <c r="E8" i="1" s="1"/>
  <c r="I42" i="33" l="1"/>
  <c r="O20" i="4" s="1"/>
  <c r="E16" i="1" s="1"/>
  <c r="AV35" i="26"/>
  <c r="G22" i="35"/>
  <c r="D7" i="1" s="1"/>
  <c r="AL299" i="26"/>
  <c r="O22" i="35" s="1"/>
  <c r="D17" i="1" s="1"/>
  <c r="O27" i="34"/>
  <c r="G22" i="4" s="1"/>
  <c r="E7" i="1" s="1"/>
  <c r="U22" i="34"/>
  <c r="W22" i="34" s="1"/>
  <c r="W27" i="34" s="1"/>
  <c r="G30" i="34" l="1"/>
  <c r="O22" i="4" s="1"/>
  <c r="E17" i="1" s="1"/>
  <c r="G20" i="35"/>
  <c r="AL40" i="26"/>
  <c r="O20" i="35" s="1"/>
  <c r="D16" i="1" l="1"/>
  <c r="D8" i="1"/>
  <c r="O497" i="26" l="1"/>
  <c r="S497" i="26"/>
  <c r="W497" i="26"/>
  <c r="AA497" i="26"/>
  <c r="AE497" i="26"/>
  <c r="N498" i="26"/>
  <c r="R498" i="26"/>
  <c r="K21" i="40" s="1"/>
  <c r="V498" i="26"/>
  <c r="Z498" i="26"/>
  <c r="AD498" i="26"/>
  <c r="Q499" i="26"/>
  <c r="U499" i="26"/>
  <c r="Y499" i="26"/>
  <c r="AC499" i="26"/>
  <c r="N497" i="26"/>
  <c r="R497" i="26"/>
  <c r="V497" i="26"/>
  <c r="Z497" i="26"/>
  <c r="AD497" i="26"/>
  <c r="Q498" i="26"/>
  <c r="U498" i="26"/>
  <c r="Y498" i="26"/>
  <c r="AC498" i="26"/>
  <c r="P499" i="26"/>
  <c r="T499" i="26"/>
  <c r="X499" i="26"/>
  <c r="K497" i="26"/>
  <c r="J497" i="26"/>
  <c r="J489" i="26" s="1"/>
  <c r="P497" i="26"/>
  <c r="T497" i="26"/>
  <c r="X497" i="26"/>
  <c r="AB497" i="26"/>
  <c r="O498" i="26"/>
  <c r="S498" i="26"/>
  <c r="W498" i="26"/>
  <c r="AA498" i="26"/>
  <c r="AE498" i="26"/>
  <c r="N499" i="26"/>
  <c r="R499" i="26"/>
  <c r="V499" i="26"/>
  <c r="Z499" i="26"/>
  <c r="AD499" i="26"/>
  <c r="J498" i="26"/>
  <c r="J490" i="26" s="1"/>
  <c r="Q497" i="26"/>
  <c r="U497" i="26"/>
  <c r="Y497" i="26"/>
  <c r="AC497" i="26"/>
  <c r="P498" i="26"/>
  <c r="T498" i="26"/>
  <c r="X498" i="26"/>
  <c r="AB498" i="26"/>
  <c r="O499" i="26"/>
  <c r="S499" i="26"/>
  <c r="W499" i="26"/>
  <c r="AA499" i="26"/>
  <c r="AE499" i="26"/>
  <c r="AB499" i="26"/>
  <c r="C22" i="40" l="1"/>
  <c r="J446" i="26" s="1"/>
  <c r="R22" i="40"/>
  <c r="Y446" i="26" s="1"/>
  <c r="L22" i="40"/>
  <c r="S446" i="26" s="1"/>
  <c r="U22" i="40"/>
  <c r="AB446" i="26" s="1"/>
  <c r="G22" i="40"/>
  <c r="N446" i="26" s="1"/>
  <c r="N22" i="40"/>
  <c r="U446" i="26" s="1"/>
  <c r="J22" i="40"/>
  <c r="Q446" i="26" s="1"/>
  <c r="D22" i="40"/>
  <c r="K446" i="26" s="1"/>
  <c r="T22" i="40"/>
  <c r="AA446" i="26" s="1"/>
  <c r="M22" i="40"/>
  <c r="T446" i="26" s="1"/>
  <c r="O22" i="40"/>
  <c r="V446" i="26" s="1"/>
  <c r="W22" i="40"/>
  <c r="AD446" i="26" s="1"/>
  <c r="X22" i="40"/>
  <c r="AE446" i="26" s="1"/>
  <c r="Q22" i="40"/>
  <c r="X446" i="26" s="1"/>
  <c r="S22" i="40"/>
  <c r="Z446" i="26" s="1"/>
  <c r="V22" i="40"/>
  <c r="AC446" i="26" s="1"/>
  <c r="P22" i="40"/>
  <c r="W446" i="26" s="1"/>
  <c r="I22" i="40"/>
  <c r="P446" i="26" s="1"/>
  <c r="J444" i="26"/>
  <c r="K22" i="40"/>
  <c r="R446" i="26" s="1"/>
  <c r="K489" i="26"/>
  <c r="L497" i="26"/>
  <c r="K499" i="26"/>
  <c r="J499" i="26"/>
  <c r="J491" i="26" s="1"/>
  <c r="K498" i="26"/>
  <c r="K490" i="26" s="1"/>
  <c r="K444" i="26" l="1"/>
  <c r="K491" i="26"/>
  <c r="K493" i="26" s="1"/>
  <c r="J493" i="26"/>
  <c r="L489" i="26"/>
  <c r="M497" i="26"/>
  <c r="M498" i="26"/>
  <c r="L498" i="26"/>
  <c r="L490" i="26" s="1"/>
  <c r="E22" i="40" l="1"/>
  <c r="L446" i="26" s="1"/>
  <c r="F22" i="40"/>
  <c r="M446" i="26" s="1"/>
  <c r="M490" i="26"/>
  <c r="N490" i="26" s="1"/>
  <c r="O490" i="26" s="1"/>
  <c r="P490" i="26" s="1"/>
  <c r="Q490" i="26" s="1"/>
  <c r="R490" i="26" s="1"/>
  <c r="S490" i="26" s="1"/>
  <c r="T490" i="26" s="1"/>
  <c r="U490" i="26" s="1"/>
  <c r="V490" i="26" s="1"/>
  <c r="W490" i="26" s="1"/>
  <c r="X490" i="26" s="1"/>
  <c r="Y490" i="26" s="1"/>
  <c r="Z490" i="26" s="1"/>
  <c r="AA490" i="26" s="1"/>
  <c r="AB490" i="26" s="1"/>
  <c r="AC490" i="26" s="1"/>
  <c r="AD490" i="26" s="1"/>
  <c r="AE490" i="26" s="1"/>
  <c r="M489" i="26"/>
  <c r="M499" i="26"/>
  <c r="L499" i="26"/>
  <c r="L491" i="26" s="1"/>
  <c r="L444" i="26" l="1"/>
  <c r="M444" i="26" s="1"/>
  <c r="N444" i="26" s="1"/>
  <c r="M491" i="26"/>
  <c r="N491" i="26" s="1"/>
  <c r="O491" i="26" s="1"/>
  <c r="P491" i="26" s="1"/>
  <c r="Q491" i="26" s="1"/>
  <c r="R491" i="26" s="1"/>
  <c r="S491" i="26" s="1"/>
  <c r="T491" i="26" s="1"/>
  <c r="U491" i="26" s="1"/>
  <c r="V491" i="26" s="1"/>
  <c r="W491" i="26" s="1"/>
  <c r="X491" i="26" s="1"/>
  <c r="Y491" i="26" s="1"/>
  <c r="Z491" i="26" s="1"/>
  <c r="AA491" i="26" s="1"/>
  <c r="AB491" i="26" s="1"/>
  <c r="AC491" i="26" s="1"/>
  <c r="AD491" i="26" s="1"/>
  <c r="AE491" i="26" s="1"/>
  <c r="N489" i="26"/>
  <c r="L493" i="26"/>
  <c r="AF490" i="26"/>
  <c r="M493" i="26" l="1"/>
  <c r="O489" i="26"/>
  <c r="N493" i="26"/>
  <c r="AF491" i="26"/>
  <c r="P489" i="26" l="1"/>
  <c r="O493" i="26"/>
  <c r="G62" i="4" s="1"/>
  <c r="C6" i="1" l="1"/>
  <c r="C34" i="1"/>
  <c r="Q489" i="26"/>
  <c r="P493" i="26"/>
  <c r="R489" i="26" l="1"/>
  <c r="Q493" i="26"/>
  <c r="S489" i="26" l="1"/>
  <c r="R493" i="26"/>
  <c r="T489" i="26" l="1"/>
  <c r="S493" i="26"/>
  <c r="U489" i="26" l="1"/>
  <c r="T493" i="26"/>
  <c r="V489" i="26" l="1"/>
  <c r="U493" i="26"/>
  <c r="W489" i="26" l="1"/>
  <c r="V493" i="26"/>
  <c r="X489" i="26" l="1"/>
  <c r="W493" i="26"/>
  <c r="Y489" i="26" l="1"/>
  <c r="X493" i="26"/>
  <c r="Z489" i="26" l="1"/>
  <c r="Y493" i="26"/>
  <c r="AA489" i="26" l="1"/>
  <c r="Z493" i="26"/>
  <c r="AB489" i="26" l="1"/>
  <c r="AA493" i="26"/>
  <c r="AC489" i="26" l="1"/>
  <c r="AB493" i="26"/>
  <c r="AD489" i="26" l="1"/>
  <c r="AC493" i="26"/>
  <c r="AE489" i="26" l="1"/>
  <c r="AD493" i="26"/>
  <c r="AE493" i="26" l="1"/>
  <c r="G24" i="4" s="1"/>
  <c r="AF489" i="26"/>
  <c r="AF493" i="26" s="1"/>
  <c r="G24" i="35" s="1"/>
  <c r="D34" i="1" l="1"/>
  <c r="D28" i="1"/>
  <c r="D6" i="1"/>
  <c r="E6" i="1"/>
  <c r="E34" i="1"/>
  <c r="H18" i="40" l="1"/>
  <c r="H22" i="40" s="1"/>
  <c r="O446" i="26" s="1"/>
  <c r="O444" i="26" s="1"/>
  <c r="G51" i="32" l="1"/>
  <c r="P444" i="26"/>
  <c r="Q444" i="26" s="1"/>
  <c r="R444" i="26" s="1"/>
  <c r="S444" i="26" s="1"/>
  <c r="T444" i="26" l="1"/>
  <c r="K51" i="32"/>
  <c r="G56" i="4"/>
  <c r="C9" i="1" l="1"/>
  <c r="G64" i="4"/>
  <c r="I56" i="4" s="1"/>
  <c r="U444" i="26"/>
  <c r="T450" i="26"/>
  <c r="Q56" i="4" l="1"/>
  <c r="K56" i="4"/>
  <c r="I58" i="4"/>
  <c r="I60" i="4"/>
  <c r="I62" i="4"/>
  <c r="Q62" i="4" s="1"/>
  <c r="C14" i="1" s="1"/>
  <c r="V444" i="26"/>
  <c r="U450" i="26"/>
  <c r="C41" i="1"/>
  <c r="I64" i="4" l="1"/>
  <c r="W444" i="26"/>
  <c r="V450" i="26"/>
  <c r="M56" i="4"/>
  <c r="Q58" i="4"/>
  <c r="C13" i="1" s="1"/>
  <c r="K58" i="4"/>
  <c r="M58" i="4" s="1"/>
  <c r="K60" i="4"/>
  <c r="M60" i="4" s="1"/>
  <c r="Q60" i="4"/>
  <c r="C15" i="1" s="1"/>
  <c r="C12" i="1"/>
  <c r="Q64" i="4" l="1"/>
  <c r="C3" i="1" s="1"/>
  <c r="K62" i="4"/>
  <c r="M62" i="4" s="1"/>
  <c r="M64" i="4" s="1"/>
  <c r="C44" i="1" s="1"/>
  <c r="X444" i="26"/>
  <c r="W450" i="26"/>
  <c r="X450" i="26" l="1"/>
  <c r="Y444" i="26"/>
  <c r="K64" i="4"/>
  <c r="Y450" i="26" l="1"/>
  <c r="Z444" i="26"/>
  <c r="AA444" i="26" l="1"/>
  <c r="Z450" i="26"/>
  <c r="AB444" i="26" l="1"/>
  <c r="AA450" i="26"/>
  <c r="AB450" i="26" l="1"/>
  <c r="AC444" i="26"/>
  <c r="AD444" i="26" l="1"/>
  <c r="AC450" i="26"/>
  <c r="AD450" i="26" l="1"/>
  <c r="AE444" i="26"/>
  <c r="AE450" i="26" l="1"/>
  <c r="AF450" i="26" s="1"/>
  <c r="D24" i="1" s="1"/>
  <c r="G21" i="32"/>
  <c r="K21" i="32" l="1"/>
  <c r="G18" i="4"/>
  <c r="E9" i="1" l="1"/>
  <c r="E41" i="1" s="1"/>
  <c r="G26" i="4"/>
  <c r="I18" i="4" s="1"/>
  <c r="K18" i="4" l="1"/>
  <c r="Q18" i="4"/>
  <c r="I22" i="4"/>
  <c r="I20" i="4"/>
  <c r="M18" i="4" l="1"/>
  <c r="K20" i="4"/>
  <c r="M20" i="4" s="1"/>
  <c r="Q20" i="4"/>
  <c r="K22" i="4"/>
  <c r="M22" i="4" s="1"/>
  <c r="Q22" i="4"/>
  <c r="I24" i="4"/>
  <c r="Q24" i="4" s="1"/>
  <c r="Q26" i="4" l="1"/>
  <c r="E3" i="1" s="1"/>
  <c r="I26" i="4"/>
  <c r="K24" i="4"/>
  <c r="M24" i="4" s="1"/>
  <c r="M26" i="4" s="1"/>
  <c r="E44" i="1" s="1"/>
  <c r="K26" i="4" l="1"/>
  <c r="AF454" i="26" l="1"/>
  <c r="AF456" i="26" s="1"/>
  <c r="AF444" i="26" s="1"/>
  <c r="G18" i="35" s="1"/>
  <c r="D9" i="1" l="1"/>
  <c r="G26" i="35"/>
  <c r="I22" i="35" l="1"/>
  <c r="I20" i="35"/>
  <c r="I18" i="35"/>
  <c r="D41" i="1"/>
  <c r="D42" i="1" s="1"/>
  <c r="K18" i="35" l="1"/>
  <c r="I24" i="35"/>
  <c r="Q18" i="35"/>
  <c r="Q20" i="35"/>
  <c r="K20" i="35"/>
  <c r="M20" i="35" s="1"/>
  <c r="D21" i="1" s="1"/>
  <c r="K22" i="35"/>
  <c r="M22" i="35" s="1"/>
  <c r="D20" i="1" s="1"/>
  <c r="Q22" i="35"/>
  <c r="E22" i="1" l="1"/>
  <c r="W23" i="35"/>
  <c r="D33" i="1"/>
  <c r="D12" i="1"/>
  <c r="K24" i="35"/>
  <c r="M24" i="35" s="1"/>
  <c r="D19" i="1" s="1"/>
  <c r="Q24" i="35"/>
  <c r="D14" i="1" s="1"/>
  <c r="E20" i="1"/>
  <c r="D15" i="1"/>
  <c r="K26" i="35"/>
  <c r="M18" i="35"/>
  <c r="E21" i="1"/>
  <c r="D13" i="1"/>
  <c r="I26" i="35"/>
  <c r="Q26" i="35" l="1"/>
  <c r="W21" i="35" s="1"/>
  <c r="D3" i="1"/>
  <c r="D22" i="1"/>
  <c r="M26" i="35"/>
  <c r="D44" i="1" l="1"/>
  <c r="D45" i="1" s="1"/>
  <c r="D18" i="1"/>
</calcChain>
</file>

<file path=xl/comments1.xml><?xml version="1.0" encoding="utf-8"?>
<comments xmlns="http://schemas.openxmlformats.org/spreadsheetml/2006/main">
  <authors>
    <author>rungresw</author>
    <author>RUNGRESW</author>
  </authors>
  <commentList>
    <comment ref="R256" authorId="0" shapeId="0">
      <text>
        <r>
          <rPr>
            <b/>
            <sz val="9"/>
            <color indexed="81"/>
            <rFont val="Tahoma"/>
            <family val="2"/>
          </rPr>
          <t>rungresw:</t>
        </r>
        <r>
          <rPr>
            <sz val="9"/>
            <color indexed="81"/>
            <rFont val="Tahoma"/>
            <family val="2"/>
          </rPr>
          <t xml:space="preserve">
Assumed issuance in mid-May.
</t>
        </r>
      </text>
    </comment>
    <comment ref="D444" authorId="0" shapeId="0">
      <text>
        <r>
          <rPr>
            <b/>
            <sz val="8"/>
            <color indexed="81"/>
            <rFont val="Tahoma"/>
            <family val="2"/>
          </rPr>
          <t>rungresw:</t>
        </r>
        <r>
          <rPr>
            <sz val="8"/>
            <color indexed="81"/>
            <rFont val="Tahoma"/>
            <family val="2"/>
          </rPr>
          <t xml:space="preserve">
Actual balances for Mar thru Aug exclude loan and check clearing.</t>
        </r>
      </text>
    </comment>
    <comment ref="J448" authorId="1" shapeId="0">
      <text>
        <r>
          <rPr>
            <b/>
            <sz val="9"/>
            <color indexed="81"/>
            <rFont val="Tahoma"/>
            <family val="2"/>
          </rPr>
          <t>RUNGRESW:</t>
        </r>
        <r>
          <rPr>
            <sz val="9"/>
            <color indexed="81"/>
            <rFont val="Tahoma"/>
            <family val="2"/>
          </rPr>
          <t xml:space="preserve">
Actual rate.</t>
        </r>
      </text>
    </comment>
  </commentList>
</comments>
</file>

<file path=xl/sharedStrings.xml><?xml version="1.0" encoding="utf-8"?>
<sst xmlns="http://schemas.openxmlformats.org/spreadsheetml/2006/main" count="1218" uniqueCount="295">
  <si>
    <t>Information Leaving this File</t>
  </si>
  <si>
    <t>Weighted Cost of Capital</t>
  </si>
  <si>
    <t>ITC</t>
  </si>
  <si>
    <t>Deferred ITC (JDITC - 4 &amp;10%)</t>
  </si>
  <si>
    <t>Common Equity</t>
  </si>
  <si>
    <t>Preferred Stock</t>
  </si>
  <si>
    <t>LTD</t>
  </si>
  <si>
    <t>STD</t>
  </si>
  <si>
    <t>Interest on LTD</t>
  </si>
  <si>
    <t>Amort of Debt Expense</t>
  </si>
  <si>
    <t>Short-Term Debt - 13 Mo. Avg</t>
  </si>
  <si>
    <t>Long-Term Debt - 13 Mo. Avg</t>
  </si>
  <si>
    <t>Common Equity - 13 Mo. Avg</t>
  </si>
  <si>
    <t>Preferred Equity - 13.Mo. Avg</t>
  </si>
  <si>
    <t>Adjusted Capital  - Forecasted</t>
  </si>
  <si>
    <t>Interest Exp. - LTD</t>
  </si>
  <si>
    <t>Interest Exp. - STD</t>
  </si>
  <si>
    <t>Common Equity 13 Mo Avg.</t>
  </si>
  <si>
    <t>KENTUCKY-AMERICAN WATER COMPANY</t>
  </si>
  <si>
    <t>RETURN ON RATE BASE</t>
  </si>
  <si>
    <t>DEBT COST</t>
  </si>
  <si>
    <t>Net</t>
  </si>
  <si>
    <t>Line</t>
  </si>
  <si>
    <t>Class of</t>
  </si>
  <si>
    <t>Carrying</t>
  </si>
  <si>
    <t>Adjusted</t>
  </si>
  <si>
    <t>Average</t>
  </si>
  <si>
    <t>No.</t>
  </si>
  <si>
    <t>Capital</t>
  </si>
  <si>
    <t>Reference</t>
  </si>
  <si>
    <t>Amount</t>
  </si>
  <si>
    <t>% of Total</t>
  </si>
  <si>
    <t>Add (1)</t>
  </si>
  <si>
    <t>Cost Rate</t>
  </si>
  <si>
    <t>Cost</t>
  </si>
  <si>
    <t>Weighted Cost</t>
  </si>
  <si>
    <t>Short-Term Debt</t>
  </si>
  <si>
    <t>J-2, Page 1</t>
  </si>
  <si>
    <t>Long-Term Debt</t>
  </si>
  <si>
    <t>J-3, Page 1</t>
  </si>
  <si>
    <t>J-4, Page 1</t>
  </si>
  <si>
    <t xml:space="preserve">    Total Capital</t>
  </si>
  <si>
    <t>(1) JDITC</t>
  </si>
  <si>
    <t>J-2, Page 2</t>
  </si>
  <si>
    <t>J-3, Page 2</t>
  </si>
  <si>
    <t>J-4, Page 2</t>
  </si>
  <si>
    <t>(1) JDITC:</t>
  </si>
  <si>
    <t>Interest</t>
  </si>
  <si>
    <t>Issue</t>
  </si>
  <si>
    <t>Outstanding</t>
  </si>
  <si>
    <t>Rate</t>
  </si>
  <si>
    <t>Requirement</t>
  </si>
  <si>
    <t>Promissory  Note</t>
  </si>
  <si>
    <t>Weighted Cost of Short-Term Debt</t>
  </si>
  <si>
    <t>Annual Amort.</t>
  </si>
  <si>
    <t>Unamortized</t>
  </si>
  <si>
    <t>Debt Issue</t>
  </si>
  <si>
    <t>Maturity</t>
  </si>
  <si>
    <t>Bond Rating</t>
  </si>
  <si>
    <t>Annualized</t>
  </si>
  <si>
    <t>Principal</t>
  </si>
  <si>
    <t>of Issue</t>
  </si>
  <si>
    <t>Type &amp; Rate</t>
  </si>
  <si>
    <t>Date</t>
  </si>
  <si>
    <t>at Issue</t>
  </si>
  <si>
    <t>at Maturity</t>
  </si>
  <si>
    <t>Expense</t>
  </si>
  <si>
    <t>Debt Expense</t>
  </si>
  <si>
    <t>Gain/Loss</t>
  </si>
  <si>
    <t>Value</t>
  </si>
  <si>
    <t>General Mortgage Bonds:</t>
  </si>
  <si>
    <t>N/A</t>
  </si>
  <si>
    <t>Total Long-Term Debt and Annualized Cost</t>
  </si>
  <si>
    <t>Annualized Cost Rate</t>
  </si>
  <si>
    <t>Gain or Loss</t>
  </si>
  <si>
    <t>Dividend Rate,</t>
  </si>
  <si>
    <t>Premium or</t>
  </si>
  <si>
    <t>on Reaquired</t>
  </si>
  <si>
    <t>Type &amp; Par Value</t>
  </si>
  <si>
    <t>Date Issued</t>
  </si>
  <si>
    <t>Discount</t>
  </si>
  <si>
    <t>Stock</t>
  </si>
  <si>
    <t>Proceeds</t>
  </si>
  <si>
    <t>Dividends</t>
  </si>
  <si>
    <t>8.47% Series, $100 Par</t>
  </si>
  <si>
    <t>Total</t>
  </si>
  <si>
    <t>Forecasted</t>
  </si>
  <si>
    <t>Type &amp;</t>
  </si>
  <si>
    <t>Balance @</t>
  </si>
  <si>
    <t xml:space="preserve">Amort of </t>
  </si>
  <si>
    <t>At Issue</t>
  </si>
  <si>
    <t>@ Maturity</t>
  </si>
  <si>
    <t>Issuance Exp</t>
  </si>
  <si>
    <t>Issue Exp</t>
  </si>
  <si>
    <t xml:space="preserve">  TOTAL</t>
  </si>
  <si>
    <t>UNAMORTIZED DEBT EXPENSE</t>
  </si>
  <si>
    <t>Amount @</t>
  </si>
  <si>
    <t>Test Period</t>
  </si>
  <si>
    <t>PREFERRED STOCK</t>
  </si>
  <si>
    <t>UNAMORTIZED PREFERRED STOCK EXPENSE</t>
  </si>
  <si>
    <t>PREFERRED STOCK EXPENSE AMORTIZATION</t>
  </si>
  <si>
    <t>PREFERRED STOCK DIVIDENDS</t>
  </si>
  <si>
    <t>SHORT TERM DEBT</t>
  </si>
  <si>
    <t>COMMON EQUITY</t>
  </si>
  <si>
    <t>JDITC</t>
  </si>
  <si>
    <t>DEFERRED ITC (JDITC - 4% AND 10%)</t>
  </si>
  <si>
    <t>DEFERRED ITC - 3%</t>
  </si>
  <si>
    <t>Terminal</t>
  </si>
  <si>
    <t>Weighted cost of Debt</t>
  </si>
  <si>
    <t>Going to Itaxes_StatAdj</t>
  </si>
  <si>
    <t>Base</t>
  </si>
  <si>
    <t>13 Mo Avg</t>
  </si>
  <si>
    <t>ANNUAL AMORTIZATION OF 3% ITC</t>
  </si>
  <si>
    <t>ANNUAL AMORTIZATION OF 4% ITC</t>
  </si>
  <si>
    <t>ANNUAL AMORTIZATION OF 10% ITC</t>
  </si>
  <si>
    <t>J-1</t>
  </si>
  <si>
    <t>J-2</t>
  </si>
  <si>
    <t>J-3</t>
  </si>
  <si>
    <t>J-4</t>
  </si>
  <si>
    <t>BASE PERIOD:</t>
  </si>
  <si>
    <t>FORECASTED PERIOD:</t>
  </si>
  <si>
    <t xml:space="preserve">    Series 8.5% w/o over life of 6.96% issue</t>
  </si>
  <si>
    <t xml:space="preserve"> </t>
  </si>
  <si>
    <t xml:space="preserve"> Going to K_FINDAT.xls</t>
  </si>
  <si>
    <t xml:space="preserve"> Going to Fil_Req.xls</t>
  </si>
  <si>
    <t>BD120016</t>
  </si>
  <si>
    <t>BD120018</t>
  </si>
  <si>
    <t>BD120019</t>
  </si>
  <si>
    <t>BD120026</t>
  </si>
  <si>
    <t>BD120027</t>
  </si>
  <si>
    <t>BD120028</t>
  </si>
  <si>
    <t>BD120029</t>
  </si>
  <si>
    <t>BD120023</t>
  </si>
  <si>
    <t>BD120030</t>
  </si>
  <si>
    <t>120105.860040</t>
  </si>
  <si>
    <t>120105.755201</t>
  </si>
  <si>
    <t xml:space="preserve">    Amortize Gain on Loan Payoff (Outside)</t>
  </si>
  <si>
    <t/>
  </si>
  <si>
    <t>Common Dividends</t>
  </si>
  <si>
    <t>Paid in Capital</t>
  </si>
  <si>
    <t>Retained Earnings</t>
  </si>
  <si>
    <t>Equity</t>
  </si>
  <si>
    <t>Net Income</t>
  </si>
  <si>
    <t>120105.205440.AW02</t>
  </si>
  <si>
    <t>120205.860220.AW02</t>
  </si>
  <si>
    <t>GENERAL MORTGAGE BONDS &amp; NOTES PAYABLE</t>
  </si>
  <si>
    <t xml:space="preserve">    Series 6.593%  Note</t>
  </si>
  <si>
    <t xml:space="preserve">    Series 5.625%  Note</t>
  </si>
  <si>
    <t xml:space="preserve">    Series 5.375%  Note</t>
  </si>
  <si>
    <t xml:space="preserve">    Series 5.05%    Note</t>
  </si>
  <si>
    <t xml:space="preserve">    Series 6.25%    Note</t>
  </si>
  <si>
    <t xml:space="preserve">    Series 6.96%   GMB</t>
  </si>
  <si>
    <t xml:space="preserve">    Series 7.15%   GMB</t>
  </si>
  <si>
    <t xml:space="preserve">    Series 6.99%   GMB</t>
  </si>
  <si>
    <t>Actual</t>
  </si>
  <si>
    <t>Budget</t>
  </si>
  <si>
    <t>Common Stock</t>
  </si>
  <si>
    <t>Long-Term Debt - Embedded Cost</t>
  </si>
  <si>
    <t>Preferred Equity - Embedded Cost</t>
  </si>
  <si>
    <t>Preferred Stock Dividends</t>
  </si>
  <si>
    <t>Short term Debt Cost</t>
  </si>
  <si>
    <t>Exhibit</t>
  </si>
  <si>
    <t>Page #</t>
  </si>
  <si>
    <t>Description</t>
  </si>
  <si>
    <t xml:space="preserve">Witness Responsible:  </t>
  </si>
  <si>
    <t>Exhibit 37, Schedule J-1</t>
  </si>
  <si>
    <t>Filename</t>
  </si>
  <si>
    <t>Average Net</t>
  </si>
  <si>
    <t>Carrying Amount</t>
  </si>
  <si>
    <t>Workpaper #:</t>
  </si>
  <si>
    <t>Excel Reference:</t>
  </si>
  <si>
    <t>Cost of Capital Summary</t>
  </si>
  <si>
    <t>Embedded Cost of Short-Term Debt</t>
  </si>
  <si>
    <t>Embedded Cost of Long-Term Debt</t>
  </si>
  <si>
    <t>Embedded Cost of Preferred Stock</t>
  </si>
  <si>
    <t>13-Month</t>
  </si>
  <si>
    <t>Page 1 of 2</t>
  </si>
  <si>
    <t>Page 2 of 2</t>
  </si>
  <si>
    <t>Page 1 of 1</t>
  </si>
  <si>
    <t>13-MONTH AVERAGE COST RATE</t>
  </si>
  <si>
    <t xml:space="preserve">    Series 4.00%    Note</t>
  </si>
  <si>
    <t>BD120031</t>
  </si>
  <si>
    <t>Period</t>
  </si>
  <si>
    <t>Debit</t>
  </si>
  <si>
    <t>Credit</t>
  </si>
  <si>
    <t>Balance</t>
  </si>
  <si>
    <t>Cumulative balance</t>
  </si>
  <si>
    <t>Bal.Carryforward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</si>
  <si>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</si>
  <si>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</si>
  <si>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</si>
  <si>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</si>
  <si>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</si>
  <si>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</si>
  <si>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</si>
  <si>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</si>
  <si>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</si>
  <si>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</si>
  <si>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</si>
  <si>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</si>
  <si>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 xml:space="preserve">Account 25510100 </t>
  </si>
  <si>
    <t>Unamortized ITC - 3%</t>
  </si>
  <si>
    <t xml:space="preserve">Account 25510200 </t>
  </si>
  <si>
    <t>Unamortized ITC - 4%</t>
  </si>
  <si>
    <t>Unamortized ITC - 10%</t>
  </si>
  <si>
    <t xml:space="preserve">Account 25510300 </t>
  </si>
  <si>
    <t>SHORT-TERM DEBT (23121000)</t>
  </si>
  <si>
    <t>J-5</t>
  </si>
  <si>
    <t>Paid In Capital</t>
  </si>
  <si>
    <t>Budgeted Monthly Change</t>
  </si>
  <si>
    <t>Forecast</t>
  </si>
  <si>
    <t>ITC Restored-3%</t>
  </si>
  <si>
    <t>ITC Restored-4%</t>
  </si>
  <si>
    <t>ITC Restored-10%</t>
  </si>
  <si>
    <t>Data:  ___ Base Period _X_ Forecasted Period</t>
  </si>
  <si>
    <t>Exhibit 37, Schedule J-2</t>
  </si>
  <si>
    <t>Data:  _X_ Base Period ___ Forecasted Period</t>
  </si>
  <si>
    <t>Exhibit 37, Schedule J-3</t>
  </si>
  <si>
    <t>Exhibit 37, Schedule J-4</t>
  </si>
  <si>
    <t>Exhibit 37, Schedule J-5</t>
  </si>
  <si>
    <t>DO NOT DELETE:</t>
  </si>
  <si>
    <t xml:space="preserve"> Going to Exhibit 37K</t>
  </si>
  <si>
    <t xml:space="preserve"> Going to Exhibit 37K &amp; 37B</t>
  </si>
  <si>
    <t xml:space="preserve"> Going to Exhibit 37B</t>
  </si>
  <si>
    <t>Kentucky-American Water Company Capital Structure Workpaper Notes</t>
  </si>
  <si>
    <t>The Non Leading Ledger was used for SAP reports for actual data.</t>
  </si>
  <si>
    <t xml:space="preserve">The interest account 81010000 on the GL includes a ($10,875.79) credit each month to 'Amortize Gain on Loan Payoff' that </t>
  </si>
  <si>
    <t xml:space="preserve">       reduces the interest expense.</t>
  </si>
  <si>
    <t>This adj is included in the file as the annualized amount of $130,509 (or $10,875.79 x 12).</t>
  </si>
  <si>
    <t>The Prf Stk dividend accrual on the 8.47% $2.25 M balance is $15,881.25 per month.  See the 'Sch J WPS' tab for details.</t>
  </si>
  <si>
    <t>Note that the following Notes Payable Series are tax exempt per Corp Treasury 6.25%, 5.625%, 5.375%.</t>
  </si>
  <si>
    <t>Note that there is an ongoing amortization of the Unamortized Debt for the 6.96% Series (BD120023).</t>
  </si>
  <si>
    <t>Def ITC Accts in SAP:</t>
  </si>
  <si>
    <t xml:space="preserve">Unamort. </t>
  </si>
  <si>
    <t>Amort</t>
  </si>
  <si>
    <t>Instrument</t>
  </si>
  <si>
    <t>Subledger</t>
  </si>
  <si>
    <t>Liability Account</t>
  </si>
  <si>
    <t>LT Debt</t>
  </si>
  <si>
    <t>22110000</t>
  </si>
  <si>
    <t>outside</t>
  </si>
  <si>
    <t>22115000</t>
  </si>
  <si>
    <t>inside</t>
  </si>
  <si>
    <t>Retired Series 8.5% amortized over life of 6.96% issue</t>
  </si>
  <si>
    <t>Pref. Stock</t>
  </si>
  <si>
    <t>PS120007</t>
  </si>
  <si>
    <t>21510000</t>
  </si>
  <si>
    <t>LTD + STD</t>
  </si>
  <si>
    <t>BD120032</t>
  </si>
  <si>
    <t>BD120033</t>
  </si>
  <si>
    <t>Short-Term Debt Balances for Mar-Aug, 2018</t>
  </si>
  <si>
    <t>Unamortized ITC Balances for March-August, 2018</t>
  </si>
  <si>
    <t xml:space="preserve">  13 mo. Going to K_COS.xls  &amp; KA_CWIP.xls and Capital File</t>
  </si>
  <si>
    <t>Going to K_cos.xls &amp; Exh K and Capital File</t>
  </si>
  <si>
    <t>Going to K_cos.xls  and Rate Base KY Capital through 06.30.18 file</t>
  </si>
  <si>
    <t>LONG-TERM DEBT FACE AMOUNT OUTSTANDING</t>
  </si>
  <si>
    <t>LONG-TERM DEBT EXPENSE AMORTIZATION</t>
  </si>
  <si>
    <t>INTEREST ON LONG-TERM DEBT</t>
  </si>
  <si>
    <t>As of February 28, 2019</t>
  </si>
  <si>
    <t>As of June 30, 2020</t>
  </si>
  <si>
    <t>13-Month Average For Forecast Period Ending June 30 , 2020</t>
  </si>
  <si>
    <t>13-MONTH AVERAGE FOR FORECASTED PERIOD ENDING 6/30/2020</t>
  </si>
  <si>
    <t>MONTHLY AMORTIZATION OF 4% ITC</t>
  </si>
  <si>
    <t>MONTHLY AMORTIZATION OF 10% ITC</t>
  </si>
  <si>
    <t>MONTHLY AMORTIZATION OF 3% ITC</t>
  </si>
  <si>
    <t>Interest Rate (actual rates through Sept 2018)</t>
  </si>
  <si>
    <t xml:space="preserve">    Series 3.75%    Note</t>
  </si>
  <si>
    <t xml:space="preserve">    Proposed 4.55%    Note</t>
  </si>
  <si>
    <t>BD120034</t>
  </si>
  <si>
    <t>AWCC Inter-Company Notes:</t>
  </si>
  <si>
    <t>UNAMORTIZED LONG-TERM DEBT DISCOUNT</t>
  </si>
  <si>
    <t>LONG-TERM DEBT DISCOUNT AMORTIZATION</t>
  </si>
  <si>
    <t>Ties to GL</t>
  </si>
  <si>
    <t>Total Capitalization</t>
  </si>
  <si>
    <t>Incremental Equity Infusion</t>
  </si>
  <si>
    <t>Incremental LT Debt</t>
  </si>
  <si>
    <t>Short-Term Debt Adjustments</t>
  </si>
  <si>
    <t>Common Equity Adjustments</t>
  </si>
  <si>
    <t>Total Short-Term Debt Adjustment</t>
  </si>
  <si>
    <t>Other Items *</t>
  </si>
  <si>
    <t>*  Other items include deferred taxes, North Middletown acquisition, and CAPEX additions.</t>
  </si>
  <si>
    <t>GL Balance</t>
  </si>
  <si>
    <t>Montly Amortizations</t>
  </si>
  <si>
    <t>Long-term Debt Discount Balances and Amortizations</t>
  </si>
  <si>
    <t>Balances</t>
  </si>
  <si>
    <t>Proj.</t>
  </si>
  <si>
    <t>All lines on the 'Sch J WPs' tab were updated with historical data; i.e., March 20185-Aug 2018.</t>
  </si>
  <si>
    <t>Note that account 23121000 is the in-house bank balance with AWCC (i.e., ST borrowings).</t>
  </si>
  <si>
    <t>assumed to be 1.0% of the face amount.</t>
  </si>
  <si>
    <t>The interest rate on new long-term debt to be issued in 2019 was projected at 4.55%.  Issuance costs for this debt were</t>
  </si>
  <si>
    <t>W/P - 7</t>
  </si>
  <si>
    <t>Slippage Link In</t>
  </si>
  <si>
    <t>Rate Base Per Filing</t>
  </si>
  <si>
    <t>Rate Base with Slippage</t>
  </si>
  <si>
    <t>Rate Base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</si>
</sst>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mm/dd/yy"/>
    <numFmt numFmtId="167" formatCode="&quot;$&quot;#,##0.00"/>
    <numFmt numFmtId="168" formatCode="0.00000%"/>
    <numFmt numFmtId="169" formatCode="_(&quot;$&quot;* #,##0_);_(&quot;$&quot;* \(#,##0\);_(&quot;$&quot;* &quot;-&quot;??_);_(@_)"/>
    <numFmt numFmtId="170" formatCode="mmm\-yyyy"/>
    <numFmt numFmtId="171" formatCode="[$-409]mmmm\ d\,\ yyyy;@"/>
    <numFmt numFmtId="172" formatCode="#,##0.000_);\(#,##0.000\)"/>
    <numFmt numFmtId="173" formatCode="_(* #,##0_);_(* \(#,##0\);_(* &quot;-&quot;??_);_(@_)"/>
    <numFmt numFmtId="174" formatCode="###,000"/>
    <numFmt numFmtId="175" formatCode="_(&quot;$&quot;* #,##0.000_);_(&quot;$&quot;* \(#,##0.000\);_(&quot;$&quot;* &quot;-&quot;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2"/>
      <name val="Tahoma"/>
      <family val="2"/>
    </font>
    <font>
      <b/>
      <sz val="12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name val="Arial"/>
      <family val="2"/>
    </font>
    <font>
      <u/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0" fontId="16" fillId="0" borderId="0"/>
    <xf numFmtId="0" fontId="6" fillId="0" borderId="0"/>
    <xf numFmtId="9" fontId="2" fillId="0" borderId="0" applyFont="0" applyFill="0" applyBorder="0" applyAlignment="0" applyProtection="0"/>
    <xf numFmtId="174" fontId="17" fillId="0" borderId="7" applyNumberFormat="0" applyProtection="0">
      <alignment horizontal="right" vertical="center"/>
    </xf>
    <xf numFmtId="174" fontId="18" fillId="0" borderId="8" applyNumberFormat="0" applyProtection="0">
      <alignment horizontal="right" vertical="center"/>
    </xf>
    <xf numFmtId="0" fontId="18" fillId="6" borderId="9" applyNumberFormat="0" applyAlignment="0" applyProtection="0">
      <alignment horizontal="left" vertical="center" indent="1"/>
    </xf>
    <xf numFmtId="0" fontId="19" fillId="0" borderId="10" applyNumberFormat="0" applyFill="0" applyBorder="0" applyAlignment="0" applyProtection="0"/>
    <xf numFmtId="0" fontId="20" fillId="7" borderId="9" applyNumberFormat="0" applyAlignment="0" applyProtection="0">
      <alignment horizontal="left" vertical="center" indent="1"/>
    </xf>
    <xf numFmtId="0" fontId="20" fillId="8" borderId="9" applyNumberFormat="0" applyAlignment="0" applyProtection="0">
      <alignment horizontal="left" vertical="center" indent="1"/>
    </xf>
    <xf numFmtId="0" fontId="20" fillId="9" borderId="9" applyNumberFormat="0" applyAlignment="0" applyProtection="0">
      <alignment horizontal="left" vertical="center" indent="1"/>
    </xf>
    <xf numFmtId="0" fontId="20" fillId="10" borderId="9" applyNumberFormat="0" applyAlignment="0" applyProtection="0">
      <alignment horizontal="left" vertical="center" indent="1"/>
    </xf>
    <xf numFmtId="0" fontId="20" fillId="11" borderId="8" applyNumberFormat="0" applyAlignment="0" applyProtection="0">
      <alignment horizontal="left" vertical="center" indent="1"/>
    </xf>
    <xf numFmtId="174" fontId="17" fillId="12" borderId="9" applyNumberFormat="0" applyAlignment="0" applyProtection="0">
      <alignment horizontal="left" vertical="center" indent="1"/>
    </xf>
    <xf numFmtId="0" fontId="18" fillId="6" borderId="8" applyNumberFormat="0" applyAlignment="0" applyProtection="0">
      <alignment horizontal="left" vertical="center" indent="1"/>
    </xf>
    <xf numFmtId="43" fontId="2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/>
    <xf numFmtId="3" fontId="0" fillId="0" borderId="0" xfId="0" applyNumberFormat="1" applyFont="1" applyAlignment="1"/>
    <xf numFmtId="3" fontId="0" fillId="2" borderId="0" xfId="0" applyNumberFormat="1" applyFont="1" applyFill="1" applyAlignment="1"/>
    <xf numFmtId="3" fontId="0" fillId="0" borderId="0" xfId="0" applyNumberFormat="1"/>
    <xf numFmtId="164" fontId="0" fillId="0" borderId="0" xfId="0" applyNumberFormat="1" applyFont="1" applyAlignment="1"/>
    <xf numFmtId="3" fontId="3" fillId="3" borderId="0" xfId="0" applyNumberFormat="1" applyFont="1" applyFill="1" applyAlignment="1"/>
    <xf numFmtId="3" fontId="4" fillId="3" borderId="0" xfId="0" applyNumberFormat="1" applyFont="1" applyFill="1" applyAlignment="1"/>
    <xf numFmtId="3" fontId="7" fillId="3" borderId="1" xfId="0" applyNumberFormat="1" applyFont="1" applyFill="1" applyBorder="1" applyAlignment="1">
      <alignment horizontal="center"/>
    </xf>
    <xf numFmtId="10" fontId="0" fillId="3" borderId="0" xfId="0" applyNumberFormat="1" applyFont="1" applyFill="1" applyAlignment="1"/>
    <xf numFmtId="3" fontId="0" fillId="3" borderId="0" xfId="0" applyNumberFormat="1" applyFont="1" applyFill="1" applyAlignment="1"/>
    <xf numFmtId="0" fontId="0" fillId="3" borderId="0" xfId="0" applyFill="1" applyAlignment="1"/>
    <xf numFmtId="10" fontId="0" fillId="3" borderId="0" xfId="0" applyNumberFormat="1" applyFill="1"/>
    <xf numFmtId="0" fontId="7" fillId="0" borderId="0" xfId="0" applyFont="1" applyAlignment="1" applyProtection="1">
      <alignment horizontal="left"/>
    </xf>
    <xf numFmtId="0" fontId="0" fillId="0" borderId="0" xfId="0" applyProtection="1"/>
    <xf numFmtId="0" fontId="11" fillId="4" borderId="0" xfId="0" applyFont="1" applyFill="1" applyProtection="1"/>
    <xf numFmtId="0" fontId="0" fillId="0" borderId="0" xfId="0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9" fillId="0" borderId="0" xfId="0" applyFont="1" applyProtection="1"/>
    <xf numFmtId="0" fontId="0" fillId="0" borderId="0" xfId="0" applyAlignment="1" applyProtection="1">
      <alignment horizontal="center"/>
    </xf>
    <xf numFmtId="0" fontId="0" fillId="4" borderId="0" xfId="0" applyFill="1" applyProtection="1"/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37" fontId="0" fillId="0" borderId="0" xfId="0" applyNumberFormat="1" applyAlignme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171" fontId="8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0" borderId="0" xfId="0" applyNumberFormat="1" applyAlignment="1"/>
    <xf numFmtId="3" fontId="2" fillId="3" borderId="0" xfId="0" applyNumberFormat="1" applyFont="1" applyFill="1" applyAlignment="1"/>
    <xf numFmtId="3" fontId="2" fillId="0" borderId="0" xfId="0" applyNumberFormat="1" applyFont="1" applyAlignment="1"/>
    <xf numFmtId="10" fontId="0" fillId="3" borderId="0" xfId="4" applyNumberFormat="1" applyFont="1" applyFill="1" applyAlignment="1"/>
    <xf numFmtId="0" fontId="0" fillId="5" borderId="2" xfId="0" applyFill="1" applyBorder="1" applyAlignment="1">
      <alignment vertical="top"/>
    </xf>
    <xf numFmtId="0" fontId="0" fillId="0" borderId="0" xfId="0" applyAlignment="1">
      <alignment vertical="top"/>
    </xf>
    <xf numFmtId="37" fontId="0" fillId="3" borderId="0" xfId="0" applyNumberFormat="1" applyFill="1" applyAlignment="1"/>
    <xf numFmtId="10" fontId="15" fillId="13" borderId="0" xfId="4" applyNumberFormat="1" applyFont="1" applyFill="1" applyAlignment="1"/>
    <xf numFmtId="0" fontId="23" fillId="0" borderId="5" xfId="0" applyFont="1" applyBorder="1"/>
    <xf numFmtId="0" fontId="24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Alignment="1" applyProtection="1">
      <alignment horizontal="left"/>
      <protection locked="0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Protection="1"/>
    <xf numFmtId="3" fontId="24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5" fillId="5" borderId="1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5" borderId="12" xfId="0" applyFont="1" applyFill="1" applyBorder="1" applyAlignment="1" applyProtection="1">
      <alignment horizontal="center"/>
    </xf>
    <xf numFmtId="0" fontId="22" fillId="5" borderId="12" xfId="0" applyFont="1" applyFill="1" applyBorder="1" applyAlignment="1">
      <alignment horizontal="left"/>
    </xf>
    <xf numFmtId="0" fontId="24" fillId="0" borderId="0" xfId="0" applyFont="1" applyAlignment="1" applyProtection="1">
      <alignment horizontal="left"/>
      <protection locked="0"/>
    </xf>
    <xf numFmtId="171" fontId="24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71" fontId="6" fillId="0" borderId="0" xfId="0" applyNumberFormat="1" applyFont="1" applyAlignment="1" applyProtection="1">
      <alignment horizontal="left"/>
      <protection locked="0"/>
    </xf>
    <xf numFmtId="0" fontId="27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horizontal="center"/>
    </xf>
    <xf numFmtId="3" fontId="22" fillId="0" borderId="0" xfId="0" applyNumberFormat="1" applyFont="1" applyFill="1" applyAlignment="1">
      <alignment horizontal="centerContinuous"/>
    </xf>
    <xf numFmtId="3" fontId="27" fillId="0" borderId="0" xfId="0" applyNumberFormat="1" applyFont="1" applyFill="1" applyAlignment="1">
      <alignment horizontal="centerContinuous"/>
    </xf>
    <xf numFmtId="3" fontId="27" fillId="0" borderId="0" xfId="0" applyNumberFormat="1" applyFont="1" applyFill="1" applyAlignment="1"/>
    <xf numFmtId="171" fontId="22" fillId="0" borderId="0" xfId="0" applyNumberFormat="1" applyFont="1" applyFill="1" applyAlignment="1">
      <alignment horizontal="centerContinuous"/>
    </xf>
    <xf numFmtId="0" fontId="28" fillId="0" borderId="0" xfId="0" applyFont="1" applyFill="1"/>
    <xf numFmtId="3" fontId="27" fillId="0" borderId="0" xfId="0" applyNumberFormat="1" applyFont="1" applyFill="1" applyAlignment="1">
      <alignment horizontal="right"/>
    </xf>
    <xf numFmtId="3" fontId="28" fillId="0" borderId="0" xfId="0" applyNumberFormat="1" applyFont="1" applyFill="1"/>
    <xf numFmtId="3" fontId="28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/>
    <xf numFmtId="10" fontId="28" fillId="0" borderId="0" xfId="0" applyNumberFormat="1" applyFont="1" applyFill="1"/>
    <xf numFmtId="3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3" fontId="27" fillId="0" borderId="1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/>
    <xf numFmtId="3" fontId="27" fillId="0" borderId="0" xfId="0" applyNumberFormat="1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42" fontId="27" fillId="0" borderId="0" xfId="0" applyNumberFormat="1" applyFont="1" applyFill="1" applyAlignment="1"/>
    <xf numFmtId="42" fontId="27" fillId="0" borderId="0" xfId="0" applyNumberFormat="1" applyFont="1" applyFill="1" applyBorder="1" applyAlignment="1"/>
    <xf numFmtId="165" fontId="27" fillId="0" borderId="0" xfId="0" applyNumberFormat="1" applyFont="1" applyFill="1"/>
    <xf numFmtId="0" fontId="27" fillId="0" borderId="0" xfId="0" applyFont="1" applyFill="1" applyBorder="1" applyAlignment="1"/>
    <xf numFmtId="165" fontId="27" fillId="0" borderId="0" xfId="0" applyNumberFormat="1" applyFont="1" applyFill="1" applyAlignment="1"/>
    <xf numFmtId="37" fontId="27" fillId="0" borderId="0" xfId="0" applyNumberFormat="1" applyFont="1" applyFill="1" applyAlignment="1"/>
    <xf numFmtId="37" fontId="27" fillId="0" borderId="0" xfId="0" applyNumberFormat="1" applyFont="1" applyFill="1" applyBorder="1" applyAlignment="1"/>
    <xf numFmtId="37" fontId="27" fillId="0" borderId="0" xfId="0" applyNumberFormat="1" applyFont="1" applyFill="1"/>
    <xf numFmtId="37" fontId="27" fillId="0" borderId="5" xfId="0" applyNumberFormat="1" applyFont="1" applyFill="1" applyBorder="1" applyAlignment="1"/>
    <xf numFmtId="165" fontId="27" fillId="0" borderId="5" xfId="0" applyNumberFormat="1" applyFont="1" applyFill="1" applyBorder="1" applyAlignment="1"/>
    <xf numFmtId="165" fontId="27" fillId="0" borderId="0" xfId="0" applyNumberFormat="1" applyFont="1" applyFill="1" applyBorder="1" applyAlignment="1"/>
    <xf numFmtId="165" fontId="27" fillId="0" borderId="0" xfId="0" applyNumberFormat="1" applyFont="1" applyFill="1" applyBorder="1"/>
    <xf numFmtId="165" fontId="27" fillId="0" borderId="3" xfId="0" applyNumberFormat="1" applyFont="1" applyFill="1" applyBorder="1" applyAlignment="1"/>
    <xf numFmtId="5" fontId="27" fillId="0" borderId="0" xfId="0" applyNumberFormat="1" applyFont="1" applyFill="1" applyAlignment="1"/>
    <xf numFmtId="3" fontId="22" fillId="0" borderId="0" xfId="0" applyNumberFormat="1" applyFont="1" applyFill="1" applyAlignment="1"/>
    <xf numFmtId="37" fontId="27" fillId="0" borderId="0" xfId="0" applyNumberFormat="1" applyFont="1" applyFill="1" applyBorder="1"/>
    <xf numFmtId="167" fontId="28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Continuous"/>
    </xf>
    <xf numFmtId="0" fontId="28" fillId="0" borderId="0" xfId="0" applyFont="1" applyFill="1" applyBorder="1" applyAlignment="1"/>
    <xf numFmtId="3" fontId="27" fillId="0" borderId="0" xfId="0" applyNumberFormat="1" applyFont="1" applyFill="1" applyBorder="1" applyAlignment="1">
      <alignment horizontal="centerContinuous"/>
    </xf>
    <xf numFmtId="3" fontId="29" fillId="0" borderId="0" xfId="0" applyNumberFormat="1" applyFont="1" applyFill="1" applyAlignment="1"/>
    <xf numFmtId="166" fontId="27" fillId="0" borderId="0" xfId="0" applyNumberFormat="1" applyFont="1" applyFill="1" applyAlignment="1">
      <alignment horizontal="center"/>
    </xf>
    <xf numFmtId="37" fontId="28" fillId="0" borderId="0" xfId="0" applyNumberFormat="1" applyFont="1" applyFill="1"/>
    <xf numFmtId="14" fontId="27" fillId="0" borderId="0" xfId="0" applyNumberFormat="1" applyFont="1" applyFill="1" applyAlignment="1">
      <alignment horizontal="center"/>
    </xf>
    <xf numFmtId="37" fontId="27" fillId="0" borderId="5" xfId="0" applyNumberFormat="1" applyFont="1" applyFill="1" applyBorder="1"/>
    <xf numFmtId="5" fontId="27" fillId="0" borderId="3" xfId="0" applyNumberFormat="1" applyFont="1" applyFill="1" applyBorder="1" applyAlignment="1"/>
    <xf numFmtId="5" fontId="27" fillId="0" borderId="0" xfId="0" applyNumberFormat="1" applyFont="1" applyFill="1" applyBorder="1" applyAlignment="1"/>
    <xf numFmtId="166" fontId="27" fillId="0" borderId="0" xfId="0" applyNumberFormat="1" applyFont="1" applyFill="1" applyAlignment="1"/>
    <xf numFmtId="4" fontId="27" fillId="0" borderId="0" xfId="0" applyNumberFormat="1" applyFont="1" applyFill="1" applyAlignment="1">
      <alignment horizontal="right"/>
    </xf>
    <xf numFmtId="5" fontId="27" fillId="0" borderId="0" xfId="0" applyNumberFormat="1" applyFont="1" applyFill="1"/>
    <xf numFmtId="3" fontId="22" fillId="0" borderId="0" xfId="0" applyNumberFormat="1" applyFont="1" applyFill="1" applyAlignment="1">
      <alignment horizontal="center"/>
    </xf>
    <xf numFmtId="0" fontId="21" fillId="0" borderId="0" xfId="0" applyFont="1" applyAlignment="1"/>
    <xf numFmtId="0" fontId="21" fillId="0" borderId="0" xfId="0" applyFont="1" applyAlignment="1">
      <alignment horizontal="right"/>
    </xf>
    <xf numFmtId="3" fontId="27" fillId="0" borderId="5" xfId="0" applyNumberFormat="1" applyFont="1" applyFill="1" applyBorder="1" applyAlignment="1"/>
    <xf numFmtId="164" fontId="27" fillId="0" borderId="0" xfId="0" applyNumberFormat="1" applyFont="1" applyFill="1" applyAlignment="1"/>
    <xf numFmtId="3" fontId="27" fillId="0" borderId="0" xfId="0" applyNumberFormat="1" applyFont="1" applyFill="1"/>
    <xf numFmtId="164" fontId="27" fillId="0" borderId="3" xfId="0" applyNumberFormat="1" applyFont="1" applyFill="1" applyBorder="1" applyAlignment="1"/>
    <xf numFmtId="5" fontId="27" fillId="0" borderId="5" xfId="0" applyNumberFormat="1" applyFont="1" applyFill="1" applyBorder="1"/>
    <xf numFmtId="41" fontId="27" fillId="0" borderId="0" xfId="0" applyNumberFormat="1" applyFont="1" applyFill="1" applyAlignment="1"/>
    <xf numFmtId="41" fontId="27" fillId="0" borderId="0" xfId="0" applyNumberFormat="1" applyFont="1" applyFill="1"/>
    <xf numFmtId="41" fontId="27" fillId="0" borderId="0" xfId="0" applyNumberFormat="1" applyFont="1" applyFill="1" applyAlignment="1">
      <alignment horizontal="center"/>
    </xf>
    <xf numFmtId="164" fontId="27" fillId="0" borderId="0" xfId="0" applyNumberFormat="1" applyFont="1" applyFill="1"/>
    <xf numFmtId="165" fontId="27" fillId="0" borderId="0" xfId="4" applyNumberFormat="1" applyFont="1" applyFill="1"/>
    <xf numFmtId="10" fontId="27" fillId="0" borderId="0" xfId="0" applyNumberFormat="1" applyFont="1" applyFill="1"/>
    <xf numFmtId="43" fontId="0" fillId="0" borderId="0" xfId="1" applyFont="1" applyAlignment="1">
      <alignment horizontal="right" vertical="top"/>
    </xf>
    <xf numFmtId="43" fontId="0" fillId="14" borderId="0" xfId="1" applyFont="1" applyFill="1" applyAlignment="1">
      <alignment horizontal="right" vertical="top"/>
    </xf>
    <xf numFmtId="0" fontId="27" fillId="0" borderId="0" xfId="0" applyFont="1" applyFill="1" applyBorder="1" applyAlignment="1">
      <alignment horizontal="center"/>
    </xf>
    <xf numFmtId="167" fontId="27" fillId="0" borderId="0" xfId="0" applyNumberFormat="1" applyFont="1" applyFill="1" applyAlignment="1"/>
    <xf numFmtId="3" fontId="30" fillId="0" borderId="0" xfId="0" applyNumberFormat="1" applyFont="1" applyFill="1"/>
    <xf numFmtId="0" fontId="30" fillId="0" borderId="0" xfId="0" applyFont="1" applyFill="1" applyAlignment="1"/>
    <xf numFmtId="3" fontId="22" fillId="0" borderId="0" xfId="0" applyNumberFormat="1" applyFont="1" applyFill="1" applyBorder="1" applyAlignment="1"/>
    <xf numFmtId="0" fontId="21" fillId="0" borderId="0" xfId="0" applyFont="1" applyBorder="1" applyAlignment="1">
      <alignment horizontal="right"/>
    </xf>
    <xf numFmtId="3" fontId="22" fillId="0" borderId="5" xfId="0" applyNumberFormat="1" applyFont="1" applyFill="1" applyBorder="1" applyAlignment="1"/>
    <xf numFmtId="3" fontId="27" fillId="0" borderId="4" xfId="0" applyNumberFormat="1" applyFont="1" applyFill="1" applyBorder="1" applyAlignment="1">
      <alignment horizontal="center"/>
    </xf>
    <xf numFmtId="3" fontId="27" fillId="0" borderId="4" xfId="0" applyNumberFormat="1" applyFont="1" applyFill="1" applyBorder="1" applyAlignment="1"/>
    <xf numFmtId="3" fontId="29" fillId="0" borderId="0" xfId="0" applyNumberFormat="1" applyFont="1" applyFill="1" applyBorder="1" applyAlignment="1">
      <alignment horizontal="center"/>
    </xf>
    <xf numFmtId="3" fontId="29" fillId="0" borderId="0" xfId="0" applyNumberFormat="1" applyFont="1" applyFill="1" applyBorder="1" applyAlignment="1"/>
    <xf numFmtId="3" fontId="29" fillId="0" borderId="0" xfId="0" applyNumberFormat="1" applyFont="1" applyFill="1" applyAlignment="1">
      <alignment horizontal="center"/>
    </xf>
    <xf numFmtId="3" fontId="27" fillId="0" borderId="5" xfId="0" applyNumberFormat="1" applyFont="1" applyFill="1" applyBorder="1" applyAlignment="1">
      <alignment horizontal="center"/>
    </xf>
    <xf numFmtId="170" fontId="27" fillId="0" borderId="5" xfId="0" applyNumberFormat="1" applyFont="1" applyFill="1" applyBorder="1" applyAlignment="1">
      <alignment horizontal="center"/>
    </xf>
    <xf numFmtId="17" fontId="27" fillId="0" borderId="5" xfId="0" applyNumberFormat="1" applyFont="1" applyFill="1" applyBorder="1" applyAlignment="1">
      <alignment horizontal="center"/>
    </xf>
    <xf numFmtId="17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/>
    <xf numFmtId="0" fontId="27" fillId="0" borderId="0" xfId="0" applyNumberFormat="1" applyFont="1" applyFill="1" applyBorder="1"/>
    <xf numFmtId="168" fontId="27" fillId="0" borderId="0" xfId="0" applyNumberFormat="1" applyFont="1" applyFill="1"/>
    <xf numFmtId="3" fontId="27" fillId="0" borderId="0" xfId="0" applyNumberFormat="1" applyFont="1" applyFill="1" applyAlignment="1">
      <alignment horizontal="left" indent="1"/>
    </xf>
    <xf numFmtId="165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left" indent="1"/>
    </xf>
    <xf numFmtId="5" fontId="27" fillId="0" borderId="0" xfId="0" applyNumberFormat="1" applyFont="1" applyFill="1" applyBorder="1"/>
    <xf numFmtId="0" fontId="27" fillId="0" borderId="0" xfId="0" quotePrefix="1" applyFont="1" applyFill="1" applyBorder="1"/>
    <xf numFmtId="165" fontId="27" fillId="0" borderId="0" xfId="0" applyNumberFormat="1" applyFont="1" applyFill="1" applyBorder="1" applyAlignment="1">
      <alignment horizontal="center"/>
    </xf>
    <xf numFmtId="10" fontId="27" fillId="0" borderId="0" xfId="0" applyNumberFormat="1" applyFont="1" applyFill="1" applyAlignment="1">
      <alignment horizontal="center"/>
    </xf>
    <xf numFmtId="5" fontId="27" fillId="0" borderId="6" xfId="0" applyNumberFormat="1" applyFont="1" applyFill="1" applyBorder="1" applyAlignment="1"/>
    <xf numFmtId="164" fontId="27" fillId="0" borderId="0" xfId="0" applyNumberFormat="1" applyFont="1" applyFill="1" applyBorder="1" applyAlignment="1"/>
    <xf numFmtId="10" fontId="27" fillId="0" borderId="6" xfId="0" applyNumberFormat="1" applyFont="1" applyFill="1" applyBorder="1" applyAlignment="1"/>
    <xf numFmtId="10" fontId="27" fillId="0" borderId="0" xfId="0" applyNumberFormat="1" applyFont="1" applyFill="1" applyBorder="1" applyAlignment="1"/>
    <xf numFmtId="42" fontId="27" fillId="0" borderId="0" xfId="0" applyNumberFormat="1" applyFont="1" applyFill="1"/>
    <xf numFmtId="0" fontId="27" fillId="0" borderId="0" xfId="0" applyNumberFormat="1" applyFont="1" applyFill="1"/>
    <xf numFmtId="0" fontId="30" fillId="0" borderId="0" xfId="0" applyFont="1" applyFill="1" applyAlignment="1">
      <alignment horizontal="center"/>
    </xf>
    <xf numFmtId="37" fontId="29" fillId="0" borderId="0" xfId="0" applyNumberFormat="1" applyFont="1" applyFill="1" applyAlignment="1"/>
    <xf numFmtId="173" fontId="27" fillId="0" borderId="0" xfId="1" applyNumberFormat="1" applyFont="1" applyFill="1" applyAlignment="1"/>
    <xf numFmtId="0" fontId="27" fillId="0" borderId="0" xfId="0" applyFont="1" applyFill="1" applyAlignment="1">
      <alignment horizontal="left"/>
    </xf>
    <xf numFmtId="39" fontId="27" fillId="0" borderId="0" xfId="0" applyNumberFormat="1" applyFont="1" applyFill="1" applyAlignment="1"/>
    <xf numFmtId="169" fontId="27" fillId="0" borderId="0" xfId="0" applyNumberFormat="1" applyFont="1" applyFill="1" applyAlignment="1"/>
    <xf numFmtId="164" fontId="27" fillId="0" borderId="6" xfId="0" applyNumberFormat="1" applyFont="1" applyFill="1" applyBorder="1" applyAlignment="1"/>
    <xf numFmtId="165" fontId="27" fillId="0" borderId="6" xfId="0" applyNumberFormat="1" applyFont="1" applyFill="1" applyBorder="1" applyAlignment="1"/>
    <xf numFmtId="0" fontId="27" fillId="0" borderId="0" xfId="0" quotePrefix="1" applyFont="1" applyFill="1" applyAlignment="1"/>
    <xf numFmtId="44" fontId="27" fillId="0" borderId="0" xfId="0" applyNumberFormat="1" applyFont="1" applyFill="1" applyAlignment="1">
      <alignment horizontal="right"/>
    </xf>
    <xf numFmtId="43" fontId="27" fillId="0" borderId="0" xfId="1" applyFont="1" applyFill="1" applyAlignment="1"/>
    <xf numFmtId="10" fontId="27" fillId="0" borderId="0" xfId="4" applyNumberFormat="1" applyFont="1" applyFill="1" applyAlignment="1"/>
    <xf numFmtId="43" fontId="27" fillId="0" borderId="0" xfId="0" applyNumberFormat="1" applyFont="1" applyFill="1" applyAlignment="1"/>
    <xf numFmtId="173" fontId="27" fillId="0" borderId="0" xfId="0" applyNumberFormat="1" applyFont="1" applyFill="1" applyAlignment="1">
      <alignment horizontal="right"/>
    </xf>
    <xf numFmtId="44" fontId="27" fillId="0" borderId="0" xfId="0" applyNumberFormat="1" applyFont="1" applyFill="1" applyBorder="1" applyAlignment="1"/>
    <xf numFmtId="0" fontId="27" fillId="0" borderId="13" xfId="0" applyFont="1" applyFill="1" applyBorder="1" applyAlignment="1">
      <alignment horizontal="center"/>
    </xf>
    <xf numFmtId="44" fontId="27" fillId="0" borderId="0" xfId="0" applyNumberFormat="1" applyFont="1" applyFill="1" applyAlignment="1"/>
    <xf numFmtId="38" fontId="27" fillId="0" borderId="0" xfId="0" applyNumberFormat="1" applyFont="1" applyFill="1" applyAlignment="1"/>
    <xf numFmtId="38" fontId="27" fillId="0" borderId="0" xfId="0" applyNumberFormat="1" applyFont="1" applyFill="1" applyAlignment="1">
      <alignment horizontal="center"/>
    </xf>
    <xf numFmtId="0" fontId="27" fillId="0" borderId="5" xfId="0" applyFont="1" applyFill="1" applyBorder="1" applyAlignment="1"/>
    <xf numFmtId="172" fontId="27" fillId="0" borderId="0" xfId="0" applyNumberFormat="1" applyFont="1" applyFill="1" applyAlignment="1"/>
    <xf numFmtId="175" fontId="27" fillId="0" borderId="0" xfId="0" applyNumberFormat="1" applyFont="1" applyFill="1" applyAlignment="1"/>
    <xf numFmtId="173" fontId="27" fillId="0" borderId="0" xfId="1" applyNumberFormat="1" applyFont="1" applyFill="1"/>
    <xf numFmtId="9" fontId="27" fillId="0" borderId="0" xfId="0" applyNumberFormat="1" applyFont="1" applyFill="1" applyAlignment="1"/>
    <xf numFmtId="0" fontId="27" fillId="0" borderId="0" xfId="0" applyFont="1"/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0" fontId="27" fillId="5" borderId="2" xfId="0" applyFont="1" applyFill="1" applyBorder="1" applyAlignment="1">
      <alignment vertical="top"/>
    </xf>
    <xf numFmtId="43" fontId="27" fillId="0" borderId="0" xfId="1" applyFont="1" applyAlignment="1">
      <alignment horizontal="right" vertical="top"/>
    </xf>
    <xf numFmtId="43" fontId="27" fillId="14" borderId="0" xfId="1" applyFont="1" applyFill="1" applyAlignment="1">
      <alignment horizontal="right" vertical="top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3" fontId="27" fillId="0" borderId="0" xfId="0" applyNumberFormat="1" applyFont="1" applyAlignment="1" applyProtection="1">
      <protection locked="0"/>
    </xf>
    <xf numFmtId="5" fontId="27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right"/>
    </xf>
    <xf numFmtId="5" fontId="0" fillId="3" borderId="0" xfId="0" applyNumberFormat="1" applyFill="1" applyAlignment="1"/>
    <xf numFmtId="9" fontId="27" fillId="0" borderId="0" xfId="0" applyNumberFormat="1" applyFont="1"/>
    <xf numFmtId="0" fontId="29" fillId="0" borderId="0" xfId="0" applyFont="1"/>
    <xf numFmtId="0" fontId="0" fillId="0" borderId="0" xfId="0" applyFill="1" applyAlignment="1">
      <alignment vertical="top"/>
    </xf>
    <xf numFmtId="43" fontId="0" fillId="0" borderId="0" xfId="1" applyFont="1" applyFill="1" applyAlignment="1">
      <alignment horizontal="right" vertical="top"/>
    </xf>
    <xf numFmtId="43" fontId="27" fillId="0" borderId="0" xfId="1" applyFont="1" applyFill="1" applyBorder="1" applyAlignment="1"/>
    <xf numFmtId="43" fontId="27" fillId="0" borderId="0" xfId="0" applyNumberFormat="1" applyFont="1" applyFill="1" applyBorder="1" applyAlignment="1"/>
    <xf numFmtId="173" fontId="27" fillId="0" borderId="3" xfId="0" applyNumberFormat="1" applyFont="1" applyFill="1" applyBorder="1" applyAlignment="1"/>
    <xf numFmtId="173" fontId="27" fillId="0" borderId="0" xfId="0" applyNumberFormat="1" applyFont="1" applyFill="1"/>
    <xf numFmtId="173" fontId="27" fillId="0" borderId="0" xfId="0" applyNumberFormat="1" applyFont="1" applyFill="1" applyAlignment="1"/>
    <xf numFmtId="0" fontId="0" fillId="0" borderId="0" xfId="0" applyFill="1" applyBorder="1"/>
    <xf numFmtId="0" fontId="5" fillId="0" borderId="0" xfId="0" applyFont="1" applyFill="1" applyBorder="1"/>
    <xf numFmtId="0" fontId="2" fillId="0" borderId="0" xfId="0" applyFont="1" applyAlignment="1"/>
    <xf numFmtId="0" fontId="31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173" fontId="27" fillId="0" borderId="6" xfId="0" applyNumberFormat="1" applyFont="1" applyFill="1" applyBorder="1" applyAlignment="1"/>
    <xf numFmtId="43" fontId="0" fillId="0" borderId="0" xfId="1" applyFont="1"/>
    <xf numFmtId="43" fontId="0" fillId="0" borderId="5" xfId="1" applyFont="1" applyBorder="1"/>
    <xf numFmtId="43" fontId="5" fillId="0" borderId="0" xfId="1" applyFont="1"/>
    <xf numFmtId="173" fontId="0" fillId="0" borderId="0" xfId="1" applyNumberFormat="1" applyFont="1"/>
    <xf numFmtId="1" fontId="27" fillId="0" borderId="0" xfId="0" applyNumberFormat="1" applyFont="1" applyFill="1" applyAlignment="1"/>
    <xf numFmtId="1" fontId="29" fillId="0" borderId="0" xfId="0" applyNumberFormat="1" applyFont="1" applyFill="1" applyAlignment="1"/>
    <xf numFmtId="1" fontId="27" fillId="0" borderId="0" xfId="0" applyNumberFormat="1" applyFont="1" applyFill="1"/>
    <xf numFmtId="17" fontId="32" fillId="0" borderId="0" xfId="0" applyNumberFormat="1" applyFont="1"/>
    <xf numFmtId="37" fontId="0" fillId="0" borderId="0" xfId="0" applyNumberFormat="1"/>
    <xf numFmtId="0" fontId="33" fillId="0" borderId="0" xfId="0" applyFont="1"/>
    <xf numFmtId="0" fontId="0" fillId="0" borderId="5" xfId="0" applyBorder="1"/>
    <xf numFmtId="37" fontId="0" fillId="0" borderId="5" xfId="0" applyNumberFormat="1" applyBorder="1"/>
    <xf numFmtId="17" fontId="34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34" fillId="0" borderId="0" xfId="0" applyFont="1" applyBorder="1"/>
    <xf numFmtId="2" fontId="0" fillId="0" borderId="0" xfId="0" applyNumberFormat="1"/>
    <xf numFmtId="0" fontId="34" fillId="0" borderId="0" xfId="0" applyFont="1"/>
    <xf numFmtId="42" fontId="27" fillId="0" borderId="0" xfId="0" applyNumberFormat="1" applyFont="1" applyFill="1" applyAlignment="1">
      <alignment horizontal="center"/>
    </xf>
    <xf numFmtId="42" fontId="29" fillId="0" borderId="0" xfId="0" applyNumberFormat="1" applyFont="1" applyFill="1" applyAlignment="1">
      <alignment horizontal="center"/>
    </xf>
    <xf numFmtId="0" fontId="0" fillId="0" borderId="0" xfId="0" applyFill="1" applyAlignment="1" applyProtection="1"/>
    <xf numFmtId="5" fontId="0" fillId="0" borderId="0" xfId="0" applyNumberFormat="1" applyFill="1" applyAlignment="1" applyProtection="1"/>
    <xf numFmtId="37" fontId="0" fillId="0" borderId="0" xfId="0" applyNumberFormat="1" applyFill="1" applyAlignment="1" applyProtection="1"/>
    <xf numFmtId="7" fontId="27" fillId="0" borderId="0" xfId="0" applyNumberFormat="1" applyFont="1" applyFill="1" applyAlignment="1"/>
    <xf numFmtId="3" fontId="22" fillId="0" borderId="0" xfId="0" applyNumberFormat="1" applyFont="1" applyFill="1" applyAlignment="1">
      <alignment horizontal="center"/>
    </xf>
    <xf numFmtId="171" fontId="22" fillId="0" borderId="0" xfId="0" applyNumberFormat="1" applyFont="1" applyFill="1" applyAlignment="1">
      <alignment horizontal="center"/>
    </xf>
  </cellXfs>
  <cellStyles count="17">
    <cellStyle name="Comma" xfId="1" builtinId="3"/>
    <cellStyle name="Comma 2" xfId="16"/>
    <cellStyle name="Normal" xfId="0" builtinId="0"/>
    <cellStyle name="Normal 2" xfId="2"/>
    <cellStyle name="Normal 4" xfId="3"/>
    <cellStyle name="Percent" xfId="4" builtinId="5"/>
    <cellStyle name="SAPDataCell" xfId="5"/>
    <cellStyle name="SAPDataTotalCell" xfId="6"/>
    <cellStyle name="SAPDimensionCell" xfId="7"/>
    <cellStyle name="SAPEmphasized" xfId="8"/>
    <cellStyle name="SAPHierarchyCell0" xfId="9"/>
    <cellStyle name="SAPHierarchyCell1" xfId="10"/>
    <cellStyle name="SAPHierarchyCell2" xfId="11"/>
    <cellStyle name="SAPHierarchyCell3" xfId="12"/>
    <cellStyle name="SAPHierarchyCell4" xfId="13"/>
    <cellStyle name="SAPMemberCell" xfId="14"/>
    <cellStyle name="SAPMemberTotalCell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4-5/Exhibits/2018%20KY%20Constants_Financia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WC%202018%20Rate%20Case%20-%20Short%20Term%20Debt%20Adjust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5">
          <cell r="C15" t="str">
            <v>Base Year for the 12 Months Ended February 28, 2019</v>
          </cell>
        </row>
        <row r="17">
          <cell r="C17" t="str">
            <v>Forecast Year for the 12 Months Ended June 30, 2020</v>
          </cell>
        </row>
        <row r="23">
          <cell r="A23" t="str">
            <v>Types of Filing: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42">
          <cell r="C42" t="str">
            <v>Witness Responsible:   Scott Rungren</v>
          </cell>
        </row>
      </sheetData>
      <sheetData sheetId="1">
        <row r="21">
          <cell r="F21" t="str">
            <v>W/P - 1-10</v>
          </cell>
        </row>
        <row r="85">
          <cell r="D85" t="str">
            <v>13-Month Average</v>
          </cell>
          <cell r="F85" t="str">
            <v>W/P - 7-1</v>
          </cell>
        </row>
        <row r="86">
          <cell r="D86" t="str">
            <v>Summary</v>
          </cell>
          <cell r="F86" t="str">
            <v>W/P - 7-2</v>
          </cell>
        </row>
        <row r="87">
          <cell r="D87" t="str">
            <v>Short-Term Debt</v>
          </cell>
          <cell r="F87" t="str">
            <v>W/P - 7-3</v>
          </cell>
        </row>
        <row r="88">
          <cell r="D88" t="str">
            <v>Long-Term Debt</v>
          </cell>
          <cell r="F88" t="str">
            <v>W/P - 7-4</v>
          </cell>
        </row>
        <row r="89">
          <cell r="D89" t="str">
            <v>Preferred Stock</v>
          </cell>
          <cell r="F89" t="str">
            <v>W/P - 7-5</v>
          </cell>
        </row>
        <row r="90">
          <cell r="D90" t="str">
            <v>Common Equity</v>
          </cell>
          <cell r="F90" t="str">
            <v>W/P - 7-6</v>
          </cell>
        </row>
        <row r="91">
          <cell r="D91" t="str">
            <v>JDITC</v>
          </cell>
          <cell r="F91" t="str">
            <v>W/P - 7-7</v>
          </cell>
        </row>
      </sheetData>
      <sheetData sheetId="2">
        <row r="5">
          <cell r="A5" t="str">
            <v>Type of Filing: __X__ Original  _____ Updated  _____ Revised</v>
          </cell>
        </row>
      </sheetData>
      <sheetData sheetId="3">
        <row r="6">
          <cell r="A6" t="str">
            <v>Line</v>
          </cell>
        </row>
      </sheetData>
      <sheetData sheetId="4">
        <row r="5">
          <cell r="C5" t="str">
            <v>Account</v>
          </cell>
        </row>
      </sheetData>
      <sheetData sheetId="5"/>
      <sheetData sheetId="6"/>
      <sheetData sheetId="7">
        <row r="16">
          <cell r="E16">
            <v>2520765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Out"/>
      <sheetName val="CAPEX"/>
      <sheetName val="Def Tax"/>
    </sheetNames>
    <sheetDataSet>
      <sheetData sheetId="0">
        <row r="11">
          <cell r="B11">
            <v>939904.57250000536</v>
          </cell>
          <cell r="C11">
            <v>1351769.8324999958</v>
          </cell>
          <cell r="D11">
            <v>1377341.8325000107</v>
          </cell>
          <cell r="E11">
            <v>1147027.8324999958</v>
          </cell>
          <cell r="F11">
            <v>429695.98371821037</v>
          </cell>
          <cell r="G11">
            <v>1510279.8056417075</v>
          </cell>
          <cell r="H11">
            <v>-82121.731935319491</v>
          </cell>
          <cell r="I11">
            <v>322892.35035058297</v>
          </cell>
          <cell r="J11">
            <v>393926.82611216884</v>
          </cell>
          <cell r="K11">
            <v>265021.73419398349</v>
          </cell>
          <cell r="L11">
            <v>279336.60159657337</v>
          </cell>
          <cell r="M11">
            <v>288094.06244358746</v>
          </cell>
          <cell r="N11">
            <v>285172.69461630564</v>
          </cell>
          <cell r="O11">
            <v>257090.19472126057</v>
          </cell>
          <cell r="P11">
            <v>341148.18020959524</v>
          </cell>
          <cell r="Q11">
            <v>475212.12035833066</v>
          </cell>
          <cell r="R11">
            <v>82964.569593846798</v>
          </cell>
          <cell r="S11">
            <v>482342.82959380746</v>
          </cell>
          <cell r="T11">
            <v>374093.84959384799</v>
          </cell>
          <cell r="U11">
            <v>466641.66959382594</v>
          </cell>
          <cell r="V11">
            <v>467700.65959382057</v>
          </cell>
          <cell r="W11">
            <v>465507.66959385574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13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8.bin"/><Relationship Id="rId7" Type="http://schemas.openxmlformats.org/officeDocument/2006/relationships/printerSettings" Target="../printerSettings/printerSettings12.bin"/><Relationship Id="rId12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7.bin"/><Relationship Id="rId16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Relationship Id="rId6" Type="http://schemas.openxmlformats.org/officeDocument/2006/relationships/printerSettings" Target="../printerSettings/printerSettings11.bin"/><Relationship Id="rId1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0.bin"/><Relationship Id="rId15" Type="http://schemas.openxmlformats.org/officeDocument/2006/relationships/printerSettings" Target="../printerSettings/printerSettings20.bin"/><Relationship Id="rId10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9.bin"/><Relationship Id="rId9" Type="http://schemas.openxmlformats.org/officeDocument/2006/relationships/printerSettings" Target="../printerSettings/printerSettings14.bin"/><Relationship Id="rId14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2039"/>
  <sheetViews>
    <sheetView zoomScale="90" zoomScaleNormal="90" workbookViewId="0">
      <selection activeCell="D3" sqref="D3"/>
    </sheetView>
  </sheetViews>
  <sheetFormatPr defaultColWidth="15.44140625" defaultRowHeight="13.2" x14ac:dyDescent="0.25"/>
  <cols>
    <col min="1" max="1" width="6.33203125" style="1" customWidth="1"/>
    <col min="2" max="2" width="37.44140625" style="1" customWidth="1"/>
    <col min="3" max="16384" width="15.44140625" style="1"/>
  </cols>
  <sheetData>
    <row r="1" spans="2:6" ht="15.6" x14ac:dyDescent="0.3">
      <c r="B1" s="6" t="s">
        <v>0</v>
      </c>
      <c r="C1" s="7"/>
      <c r="D1" s="7"/>
      <c r="E1" s="7"/>
    </row>
    <row r="2" spans="2:6" ht="16.2" thickBot="1" x14ac:dyDescent="0.35">
      <c r="C2" s="8" t="s">
        <v>110</v>
      </c>
      <c r="D2" s="8" t="s">
        <v>111</v>
      </c>
      <c r="E2" s="8" t="s">
        <v>210</v>
      </c>
    </row>
    <row r="3" spans="2:6" x14ac:dyDescent="0.25">
      <c r="B3" s="2" t="s">
        <v>1</v>
      </c>
      <c r="C3" s="9">
        <f>'Sch J-2'!Q64</f>
        <v>8.1800000000000012E-2</v>
      </c>
      <c r="D3" s="9">
        <f>'Sch J-1'!Q26</f>
        <v>8.2699999999999996E-2</v>
      </c>
      <c r="E3" s="9">
        <f>'Sch J-2'!Q26</f>
        <v>8.1299999999999997E-2</v>
      </c>
      <c r="F3" s="1" t="s">
        <v>252</v>
      </c>
    </row>
    <row r="4" spans="2:6" x14ac:dyDescent="0.25">
      <c r="B4" s="2" t="s">
        <v>2</v>
      </c>
      <c r="C4" s="10">
        <f>'Sch J WPs'!J526</f>
        <v>19566.540000000012</v>
      </c>
      <c r="D4" s="10">
        <f>'Sch J WPs'!AF526</f>
        <v>10001</v>
      </c>
      <c r="E4" s="10">
        <f>'Sch J WPs'!Z526</f>
        <v>9363.8200000000179</v>
      </c>
      <c r="F4" s="213" t="s">
        <v>223</v>
      </c>
    </row>
    <row r="5" spans="2:6" x14ac:dyDescent="0.25">
      <c r="B5" s="2" t="s">
        <v>3</v>
      </c>
      <c r="C5" s="10">
        <f>'Sch J WPs'!J523</f>
        <v>293297.54999999981</v>
      </c>
      <c r="D5" s="10">
        <f>'Sch J WPs'!AF523</f>
        <v>204748</v>
      </c>
      <c r="E5" s="10">
        <f>'Sch J WPs'!Z523</f>
        <v>198844.26999999987</v>
      </c>
      <c r="F5" s="213" t="s">
        <v>223</v>
      </c>
    </row>
    <row r="6" spans="2:6" x14ac:dyDescent="0.25">
      <c r="B6" s="2" t="s">
        <v>4</v>
      </c>
      <c r="C6" s="10">
        <f>'Sch J-2'!G62</f>
        <v>206833861.29197243</v>
      </c>
      <c r="D6" s="10">
        <f>'Sch J-1'!G24</f>
        <v>217071552.06070197</v>
      </c>
      <c r="E6" s="42">
        <f>'Sch J-2'!G24</f>
        <v>218084143.42169979</v>
      </c>
      <c r="F6" s="213" t="s">
        <v>222</v>
      </c>
    </row>
    <row r="7" spans="2:6" x14ac:dyDescent="0.25">
      <c r="B7" s="2" t="s">
        <v>5</v>
      </c>
      <c r="C7" s="10">
        <f>'Sch J-2'!G60</f>
        <v>2243111.34</v>
      </c>
      <c r="D7" s="10">
        <f>'Sch J-1'!G22</f>
        <v>2243433.2400000002</v>
      </c>
      <c r="E7" s="42">
        <f>'Sch J-2'!G22</f>
        <v>2243626.38</v>
      </c>
      <c r="F7" s="213" t="s">
        <v>222</v>
      </c>
    </row>
    <row r="8" spans="2:6" x14ac:dyDescent="0.25">
      <c r="B8" s="2" t="s">
        <v>6</v>
      </c>
      <c r="C8" s="10">
        <f>'Sch J-2'!G58</f>
        <v>204313965.86999997</v>
      </c>
      <c r="D8" s="10">
        <f>'Sch J-1'!G20</f>
        <v>220061621.47666666</v>
      </c>
      <c r="E8" s="10">
        <f>'Sch J-2'!G20</f>
        <v>220513482.65000004</v>
      </c>
      <c r="F8" s="213" t="s">
        <v>221</v>
      </c>
    </row>
    <row r="9" spans="2:6" x14ac:dyDescent="0.25">
      <c r="B9" s="2" t="s">
        <v>7</v>
      </c>
      <c r="C9" s="10">
        <f>'Sch J-2'!G56</f>
        <v>17047056.517370932</v>
      </c>
      <c r="D9" s="10">
        <f>'Sch J-1'!G18</f>
        <v>4637155.9601647807</v>
      </c>
      <c r="E9" s="42">
        <f>'Sch J-2'!G18</f>
        <v>18696695.555414919</v>
      </c>
      <c r="F9" s="1" t="s">
        <v>123</v>
      </c>
    </row>
    <row r="10" spans="2:6" x14ac:dyDescent="0.25">
      <c r="B10" s="2" t="s">
        <v>8</v>
      </c>
      <c r="C10" s="10">
        <f>SUM('Sch J WPs'!D263:O263)</f>
        <v>12029485.520399995</v>
      </c>
      <c r="D10" s="10">
        <f>'Sch J WPs'!AF263</f>
        <v>12757485.520799998</v>
      </c>
      <c r="E10" s="10">
        <f>'Sch J WPs'!Z263</f>
        <v>1063123.7933999998</v>
      </c>
      <c r="F10" s="1" t="s">
        <v>123</v>
      </c>
    </row>
    <row r="11" spans="2:6" x14ac:dyDescent="0.25">
      <c r="B11" s="2" t="s">
        <v>9</v>
      </c>
      <c r="C11" s="11"/>
      <c r="D11" s="10">
        <f>'Sch J WPs'!AF128</f>
        <v>78752.883333333259</v>
      </c>
      <c r="E11" s="11"/>
      <c r="F11" s="1" t="s">
        <v>123</v>
      </c>
    </row>
    <row r="12" spans="2:6" x14ac:dyDescent="0.25">
      <c r="B12" s="2" t="s">
        <v>10</v>
      </c>
      <c r="C12" s="39">
        <f>'Sch J-2'!Q56</f>
        <v>1.1000000000000001E-3</v>
      </c>
      <c r="D12" s="9">
        <f>'Sch J-1'!Q18</f>
        <v>2.9999999999999997E-4</v>
      </c>
      <c r="E12" s="12"/>
      <c r="F12" s="213" t="s">
        <v>253</v>
      </c>
    </row>
    <row r="13" spans="2:6" x14ac:dyDescent="0.25">
      <c r="B13" s="2" t="s">
        <v>11</v>
      </c>
      <c r="C13" s="39">
        <f>'Sch J-2'!Q58</f>
        <v>2.8400000000000002E-2</v>
      </c>
      <c r="D13" s="9">
        <f>'Sch J-1'!Q20</f>
        <v>2.92E-2</v>
      </c>
      <c r="E13" s="11"/>
      <c r="F13" s="1" t="s">
        <v>254</v>
      </c>
    </row>
    <row r="14" spans="2:6" x14ac:dyDescent="0.25">
      <c r="B14" s="2" t="s">
        <v>12</v>
      </c>
      <c r="C14" s="39">
        <f>'Sch J-2'!Q62</f>
        <v>5.1900000000000002E-2</v>
      </c>
      <c r="D14" s="9">
        <f>'Sch J-1'!Q24</f>
        <v>5.28E-2</v>
      </c>
      <c r="E14" s="11"/>
      <c r="F14" s="1" t="s">
        <v>254</v>
      </c>
    </row>
    <row r="15" spans="2:6" x14ac:dyDescent="0.25">
      <c r="B15" s="2" t="s">
        <v>13</v>
      </c>
      <c r="C15" s="39">
        <f>'Sch J-2'!Q60</f>
        <v>4.0000000000000002E-4</v>
      </c>
      <c r="D15" s="9">
        <f>'Sch J-1'!Q22</f>
        <v>4.0000000000000002E-4</v>
      </c>
      <c r="E15" s="11"/>
      <c r="F15" s="1" t="s">
        <v>254</v>
      </c>
    </row>
    <row r="16" spans="2:6" x14ac:dyDescent="0.25">
      <c r="B16" s="2" t="s">
        <v>157</v>
      </c>
      <c r="C16" s="9">
        <f>'Sch J-2'!O58</f>
        <v>5.9900000000000002E-2</v>
      </c>
      <c r="D16" s="9">
        <f>'Sch J-1'!O20</f>
        <v>5.8999999999999997E-2</v>
      </c>
      <c r="E16" s="39">
        <f>'Sch J-2'!O20</f>
        <v>5.8799999999999998E-2</v>
      </c>
      <c r="F16" s="213" t="s">
        <v>221</v>
      </c>
    </row>
    <row r="17" spans="2:6" x14ac:dyDescent="0.25">
      <c r="B17" s="2" t="s">
        <v>158</v>
      </c>
      <c r="C17" s="9">
        <f>'Sch J-2'!O60</f>
        <v>8.5099999999999995E-2</v>
      </c>
      <c r="D17" s="9">
        <f>'Sch J-1'!O22</f>
        <v>8.5099999999999995E-2</v>
      </c>
      <c r="E17" s="9">
        <f>'Sch J-2'!O22</f>
        <v>8.5099999999999995E-2</v>
      </c>
      <c r="F17" s="213" t="s">
        <v>221</v>
      </c>
    </row>
    <row r="18" spans="2:6" x14ac:dyDescent="0.25">
      <c r="B18" s="2" t="s">
        <v>14</v>
      </c>
      <c r="C18" s="11"/>
      <c r="D18" s="10">
        <f>'Sch J-1'!M26</f>
        <v>444218510.73753345</v>
      </c>
      <c r="E18" s="11"/>
      <c r="F18" s="1" t="s">
        <v>124</v>
      </c>
    </row>
    <row r="19" spans="2:6" x14ac:dyDescent="0.25">
      <c r="B19" s="2" t="s">
        <v>4</v>
      </c>
      <c r="C19" s="11"/>
      <c r="D19" s="10">
        <f>'Sch J-1'!M24</f>
        <v>217171651.31042197</v>
      </c>
      <c r="E19" s="9">
        <f>'Sch J-1'!O24</f>
        <v>0.108</v>
      </c>
    </row>
    <row r="20" spans="2:6" x14ac:dyDescent="0.25">
      <c r="B20" s="2" t="s">
        <v>5</v>
      </c>
      <c r="C20" s="11"/>
      <c r="D20" s="10">
        <f>'Sch J-1'!M22</f>
        <v>2244467.2174000004</v>
      </c>
      <c r="E20" s="9">
        <f>'Sch J-1'!Q22</f>
        <v>4.0000000000000002E-4</v>
      </c>
    </row>
    <row r="21" spans="2:6" x14ac:dyDescent="0.25">
      <c r="B21" s="2" t="s">
        <v>6</v>
      </c>
      <c r="C21" s="11"/>
      <c r="D21" s="10">
        <f>'Sch J-1'!M20</f>
        <v>220163098.68042666</v>
      </c>
      <c r="E21" s="9">
        <f>'Sch J-1'!Q20</f>
        <v>2.92E-2</v>
      </c>
    </row>
    <row r="22" spans="2:6" x14ac:dyDescent="0.25">
      <c r="B22" s="2" t="s">
        <v>7</v>
      </c>
      <c r="C22" s="11"/>
      <c r="D22" s="10">
        <f>'Sch J-1'!M18</f>
        <v>4639293.5292847808</v>
      </c>
      <c r="E22" s="9">
        <f>'Sch J-1'!Q18</f>
        <v>2.9999999999999997E-4</v>
      </c>
    </row>
    <row r="23" spans="2:6" x14ac:dyDescent="0.25">
      <c r="B23" s="3" t="s">
        <v>15</v>
      </c>
      <c r="C23" s="11"/>
      <c r="D23" s="10">
        <f>'Sch J WPs'!AF263</f>
        <v>12757485.520799998</v>
      </c>
      <c r="E23" s="11"/>
    </row>
    <row r="24" spans="2:6" x14ac:dyDescent="0.25">
      <c r="B24" s="3" t="s">
        <v>16</v>
      </c>
      <c r="C24" s="11"/>
      <c r="D24" s="10">
        <f>'Sch J WPs'!AF450</f>
        <v>233298.89937132323</v>
      </c>
      <c r="E24" s="11"/>
    </row>
    <row r="25" spans="2:6" x14ac:dyDescent="0.25">
      <c r="B25" s="2" t="s">
        <v>159</v>
      </c>
      <c r="C25" s="10">
        <f>SUM('Sch J WPs'!D409:O409)</f>
        <v>190575</v>
      </c>
      <c r="D25" s="10">
        <f>'Sch J WPs'!AF409</f>
        <v>190575</v>
      </c>
      <c r="E25" s="11"/>
      <c r="F25" s="213" t="s">
        <v>221</v>
      </c>
    </row>
    <row r="26" spans="2:6" x14ac:dyDescent="0.25">
      <c r="B26" s="36" t="s">
        <v>138</v>
      </c>
      <c r="C26" s="10">
        <f>SUM('Sch J WPs'!D486:M486)</f>
        <v>12359184.120000001</v>
      </c>
      <c r="D26" s="201"/>
      <c r="E26" s="10">
        <f>SUM('Sch J WPs'!T486:AC486)</f>
        <v>0</v>
      </c>
      <c r="F26" s="213" t="s">
        <v>221</v>
      </c>
    </row>
    <row r="27" spans="2:6" x14ac:dyDescent="0.25">
      <c r="B27" s="36"/>
      <c r="C27" s="11"/>
      <c r="D27" s="11"/>
      <c r="E27" s="11"/>
    </row>
    <row r="28" spans="2:6" x14ac:dyDescent="0.25">
      <c r="B28" s="2" t="s">
        <v>17</v>
      </c>
      <c r="C28" s="11"/>
      <c r="D28" s="37">
        <f>'Sch J-1'!G24</f>
        <v>217071552.06070197</v>
      </c>
      <c r="E28" s="11"/>
      <c r="F28" s="213" t="s">
        <v>221</v>
      </c>
    </row>
    <row r="29" spans="2:6" x14ac:dyDescent="0.25">
      <c r="B29" s="38"/>
      <c r="C29" s="11"/>
      <c r="D29" s="11"/>
      <c r="E29" s="11"/>
    </row>
    <row r="30" spans="2:6" x14ac:dyDescent="0.25">
      <c r="B30" s="2"/>
      <c r="C30" s="11"/>
      <c r="D30" s="10"/>
      <c r="E30" s="11"/>
    </row>
    <row r="31" spans="2:6" x14ac:dyDescent="0.25">
      <c r="B31" s="36"/>
      <c r="C31" s="11"/>
      <c r="D31" s="10"/>
      <c r="E31" s="11"/>
    </row>
    <row r="32" spans="2:6" x14ac:dyDescent="0.25">
      <c r="C32" s="11"/>
      <c r="D32" s="11"/>
      <c r="E32" s="11"/>
    </row>
    <row r="33" spans="2:6" x14ac:dyDescent="0.25">
      <c r="B33" s="1" t="s">
        <v>108</v>
      </c>
      <c r="C33" s="11"/>
      <c r="D33" s="9">
        <f>SUM('Sch J-1'!Q18,'Sch J-1'!Q20)</f>
        <v>2.9500000000000002E-2</v>
      </c>
      <c r="E33" s="11"/>
      <c r="F33" s="1" t="s">
        <v>109</v>
      </c>
    </row>
    <row r="34" spans="2:6" x14ac:dyDescent="0.25">
      <c r="C34" s="24">
        <f>'Sch J-2'!G62</f>
        <v>206833861.29197243</v>
      </c>
      <c r="D34" s="24">
        <f>'Sch J-1'!G24</f>
        <v>217071552.06070197</v>
      </c>
      <c r="E34" s="36">
        <f>'Sch J-2'!G24</f>
        <v>218084143.42169979</v>
      </c>
    </row>
    <row r="36" spans="2:6" x14ac:dyDescent="0.25">
      <c r="B36" s="1" t="s">
        <v>160</v>
      </c>
      <c r="C36" s="43">
        <f>'Sch J-2'!O56</f>
        <v>2.8686581219739198E-2</v>
      </c>
      <c r="D36" s="43">
        <f>'Sch J-1'!O18</f>
        <v>3.2738847995791229E-2</v>
      </c>
    </row>
    <row r="39" spans="2:6" x14ac:dyDescent="0.25">
      <c r="B39" s="1" t="s">
        <v>166</v>
      </c>
      <c r="C39" s="36" t="str">
        <f ca="1">'Sch J-1'!Q7</f>
        <v>Capital Structure\[KAWC 2018 Rate Case - Capital Structure.xlsx]Sch J-1</v>
      </c>
    </row>
    <row r="41" spans="2:6" x14ac:dyDescent="0.25">
      <c r="B41" s="213" t="s">
        <v>247</v>
      </c>
      <c r="C41" s="36">
        <f>C8+C9</f>
        <v>221361022.38737091</v>
      </c>
      <c r="D41" s="36">
        <f>D8+D9</f>
        <v>224698777.43683144</v>
      </c>
      <c r="E41" s="36">
        <f>E8+E9</f>
        <v>239210178.20541495</v>
      </c>
    </row>
    <row r="42" spans="2:6" x14ac:dyDescent="0.25">
      <c r="D42" s="36">
        <f>C41-D41</f>
        <v>-3337755.0494605303</v>
      </c>
    </row>
    <row r="44" spans="2:6" x14ac:dyDescent="0.25">
      <c r="B44" s="1" t="s">
        <v>273</v>
      </c>
      <c r="C44" s="36">
        <f>'Sch J-2'!M64</f>
        <v>430701775.91934335</v>
      </c>
      <c r="D44" s="36">
        <f>'Sch J-1'!M26</f>
        <v>444218510.73753345</v>
      </c>
      <c r="E44" s="36">
        <f>'Sch J-2'!M26</f>
        <v>459707275.62711477</v>
      </c>
    </row>
    <row r="45" spans="2:6" x14ac:dyDescent="0.25">
      <c r="C45" s="36"/>
      <c r="D45" s="36">
        <f>E44-D44</f>
        <v>15488764.889581323</v>
      </c>
      <c r="E45" s="36"/>
    </row>
    <row r="1034" spans="1:2" x14ac:dyDescent="0.25">
      <c r="A1034" s="1">
        <v>593</v>
      </c>
      <c r="B1034" s="1">
        <v>61126</v>
      </c>
    </row>
    <row r="1035" spans="1:2" x14ac:dyDescent="0.25">
      <c r="A1035" s="1">
        <v>938</v>
      </c>
      <c r="B1035" s="1">
        <v>91643</v>
      </c>
    </row>
    <row r="1036" spans="1:2" x14ac:dyDescent="0.25">
      <c r="A1036" s="1">
        <v>5241</v>
      </c>
      <c r="B1036" s="1">
        <v>538451</v>
      </c>
    </row>
    <row r="1037" spans="1:2" x14ac:dyDescent="0.25">
      <c r="A1037" s="1">
        <v>179</v>
      </c>
      <c r="B1037" s="1">
        <v>18787</v>
      </c>
    </row>
    <row r="1038" spans="1:2" x14ac:dyDescent="0.25">
      <c r="A1038" s="1">
        <v>187</v>
      </c>
      <c r="B1038" s="1">
        <v>18779</v>
      </c>
    </row>
    <row r="1039" spans="1:2" x14ac:dyDescent="0.25">
      <c r="A1039" s="1">
        <v>481</v>
      </c>
      <c r="B1039" s="1">
        <v>50095</v>
      </c>
    </row>
    <row r="1040" spans="1:2" x14ac:dyDescent="0.25">
      <c r="A1040" s="1">
        <v>1974</v>
      </c>
      <c r="B1040" s="1">
        <v>108126</v>
      </c>
    </row>
    <row r="1041" spans="1:2" x14ac:dyDescent="0.25">
      <c r="A1041" s="4">
        <v>2118</v>
      </c>
      <c r="B1041" s="1">
        <v>34720</v>
      </c>
    </row>
    <row r="1042" spans="1:2" x14ac:dyDescent="0.25">
      <c r="A1042" s="1">
        <v>1889</v>
      </c>
      <c r="B1042" s="1">
        <v>24888</v>
      </c>
    </row>
    <row r="1043" spans="1:2" x14ac:dyDescent="0.25">
      <c r="A1043" s="1">
        <v>2205</v>
      </c>
      <c r="B1043" s="1">
        <v>11779</v>
      </c>
    </row>
    <row r="1044" spans="1:2" x14ac:dyDescent="0.25">
      <c r="A1044" s="1">
        <v>651</v>
      </c>
      <c r="B1044" s="1">
        <v>3533</v>
      </c>
    </row>
    <row r="1045" spans="1:2" x14ac:dyDescent="0.25">
      <c r="A1045" s="4">
        <v>450</v>
      </c>
      <c r="B1045" s="1">
        <v>7375</v>
      </c>
    </row>
    <row r="1046" spans="1:2" x14ac:dyDescent="0.25">
      <c r="A1046" s="4">
        <v>3784</v>
      </c>
      <c r="B1046" s="1">
        <v>40556</v>
      </c>
    </row>
    <row r="1047" spans="1:2" x14ac:dyDescent="0.25">
      <c r="A1047" s="4">
        <v>20159</v>
      </c>
      <c r="B1047" s="1">
        <v>347506</v>
      </c>
    </row>
    <row r="1048" spans="1:2" x14ac:dyDescent="0.25">
      <c r="A1048" s="4">
        <v>6529</v>
      </c>
      <c r="B1048" s="1">
        <v>178911</v>
      </c>
    </row>
    <row r="1049" spans="1:2" x14ac:dyDescent="0.25">
      <c r="A1049" s="4">
        <v>5530</v>
      </c>
      <c r="B1049" s="1">
        <v>125000</v>
      </c>
    </row>
    <row r="1050" spans="1:2" x14ac:dyDescent="0.25">
      <c r="A1050" s="4">
        <v>244</v>
      </c>
      <c r="B1050" s="1">
        <v>3409</v>
      </c>
    </row>
    <row r="1051" spans="1:2" x14ac:dyDescent="0.25">
      <c r="A1051" s="1">
        <v>12137</v>
      </c>
      <c r="B1051" s="1">
        <v>70321</v>
      </c>
    </row>
    <row r="1052" spans="1:2" x14ac:dyDescent="0.25">
      <c r="A1052" s="1">
        <v>27934</v>
      </c>
      <c r="B1052" s="1">
        <v>168340</v>
      </c>
    </row>
    <row r="1053" spans="1:2" x14ac:dyDescent="0.25">
      <c r="A1053" s="1">
        <v>27468</v>
      </c>
      <c r="B1053" s="1">
        <v>147391</v>
      </c>
    </row>
    <row r="1054" spans="1:2" x14ac:dyDescent="0.25">
      <c r="A1054" s="1">
        <v>1575</v>
      </c>
      <c r="B1054" s="1">
        <v>8508</v>
      </c>
    </row>
    <row r="1055" spans="1:2" x14ac:dyDescent="0.25">
      <c r="A1055" s="4">
        <v>1257</v>
      </c>
      <c r="B1055" s="1">
        <v>20610</v>
      </c>
    </row>
    <row r="1056" spans="1:2" x14ac:dyDescent="0.25">
      <c r="A1056" s="1">
        <v>14996</v>
      </c>
      <c r="B1056" s="1">
        <v>545004</v>
      </c>
    </row>
    <row r="1057" spans="1:2" x14ac:dyDescent="0.25">
      <c r="A1057" s="4">
        <v>770</v>
      </c>
      <c r="B1057" s="1">
        <v>12613</v>
      </c>
    </row>
    <row r="1058" spans="1:2" x14ac:dyDescent="0.25">
      <c r="A1058" s="1">
        <v>483</v>
      </c>
      <c r="B1058" s="1">
        <v>2533</v>
      </c>
    </row>
    <row r="1059" spans="1:2" x14ac:dyDescent="0.25">
      <c r="A1059" s="1">
        <v>17541</v>
      </c>
      <c r="B1059" s="1">
        <v>152611</v>
      </c>
    </row>
    <row r="1060" spans="1:2" x14ac:dyDescent="0.25">
      <c r="A1060" s="4">
        <v>130</v>
      </c>
      <c r="B1060" s="1">
        <v>5181</v>
      </c>
    </row>
    <row r="1061" spans="1:2" x14ac:dyDescent="0.25">
      <c r="A1061" s="4">
        <v>130</v>
      </c>
      <c r="B1061" s="1">
        <v>5230</v>
      </c>
    </row>
    <row r="1062" spans="1:2" x14ac:dyDescent="0.25">
      <c r="A1062" s="4">
        <v>300</v>
      </c>
      <c r="B1062" s="1">
        <v>6685</v>
      </c>
    </row>
    <row r="1063" spans="1:2" x14ac:dyDescent="0.25">
      <c r="A1063" s="4">
        <v>233</v>
      </c>
      <c r="B1063" s="1">
        <v>3280</v>
      </c>
    </row>
    <row r="1064" spans="1:2" x14ac:dyDescent="0.25">
      <c r="A1064" s="4">
        <v>59</v>
      </c>
      <c r="B1064" s="1">
        <v>959</v>
      </c>
    </row>
    <row r="1065" spans="1:2" x14ac:dyDescent="0.25">
      <c r="A1065" s="1">
        <v>17760</v>
      </c>
      <c r="B1065" s="1">
        <v>214997</v>
      </c>
    </row>
    <row r="1066" spans="1:2" x14ac:dyDescent="0.25">
      <c r="A1066" s="1">
        <v>7560</v>
      </c>
      <c r="B1066" s="1">
        <v>179847</v>
      </c>
    </row>
    <row r="1067" spans="1:2" x14ac:dyDescent="0.25">
      <c r="A1067" s="1">
        <v>13744</v>
      </c>
      <c r="B1067" s="1">
        <v>231256</v>
      </c>
    </row>
    <row r="1068" spans="1:2" x14ac:dyDescent="0.25">
      <c r="A1068" s="1">
        <v>17800</v>
      </c>
      <c r="B1068" s="1">
        <v>262200</v>
      </c>
    </row>
    <row r="1069" spans="1:2" x14ac:dyDescent="0.25">
      <c r="A1069" s="1">
        <v>10264</v>
      </c>
      <c r="B1069" s="1">
        <v>199736</v>
      </c>
    </row>
    <row r="1070" spans="1:2" x14ac:dyDescent="0.25">
      <c r="A1070" s="1">
        <v>3780</v>
      </c>
      <c r="B1070" s="1">
        <v>20305</v>
      </c>
    </row>
    <row r="1071" spans="1:2" x14ac:dyDescent="0.25">
      <c r="A1071" s="1">
        <v>126</v>
      </c>
      <c r="B1071" s="1">
        <v>625</v>
      </c>
    </row>
    <row r="1072" spans="1:2" x14ac:dyDescent="0.25">
      <c r="A1072" s="4">
        <v>16078</v>
      </c>
      <c r="B1072" s="1">
        <v>263537</v>
      </c>
    </row>
    <row r="1073" spans="1:2" x14ac:dyDescent="0.25">
      <c r="A1073" s="1">
        <v>7561</v>
      </c>
      <c r="B1073" s="1">
        <v>372439</v>
      </c>
    </row>
    <row r="1074" spans="1:2" x14ac:dyDescent="0.25">
      <c r="A1074" s="4">
        <v>137</v>
      </c>
      <c r="B1074" s="1">
        <v>2238</v>
      </c>
    </row>
    <row r="1075" spans="1:2" x14ac:dyDescent="0.25">
      <c r="A1075" s="1">
        <v>5222</v>
      </c>
      <c r="B1075" s="1">
        <v>354778</v>
      </c>
    </row>
    <row r="1076" spans="1:2" x14ac:dyDescent="0.25">
      <c r="A1076" s="1">
        <v>0</v>
      </c>
      <c r="B1076" s="1">
        <v>5000</v>
      </c>
    </row>
    <row r="1077" spans="1:2" x14ac:dyDescent="0.25">
      <c r="A1077" s="1">
        <v>1384</v>
      </c>
      <c r="B1077" s="1">
        <v>278616</v>
      </c>
    </row>
    <row r="1078" spans="1:2" x14ac:dyDescent="0.25">
      <c r="A1078" s="4">
        <v>312</v>
      </c>
      <c r="B1078" s="1">
        <v>5117</v>
      </c>
    </row>
    <row r="1079" spans="1:2" x14ac:dyDescent="0.25">
      <c r="A1079" s="1">
        <v>56</v>
      </c>
      <c r="B1079" s="1">
        <v>34944</v>
      </c>
    </row>
    <row r="1903" spans="1:1" x14ac:dyDescent="0.25">
      <c r="A1903" s="5"/>
    </row>
    <row r="1904" spans="1:1" x14ac:dyDescent="0.25">
      <c r="A1904" s="4"/>
    </row>
    <row r="1905" spans="1:1" x14ac:dyDescent="0.25">
      <c r="A1905" s="4"/>
    </row>
    <row r="1906" spans="1:1" x14ac:dyDescent="0.25">
      <c r="A1906" s="4"/>
    </row>
    <row r="1907" spans="1:1" x14ac:dyDescent="0.25">
      <c r="A1907" s="4"/>
    </row>
    <row r="1908" spans="1:1" x14ac:dyDescent="0.25">
      <c r="A1908" s="4"/>
    </row>
    <row r="1915" spans="1:1" x14ac:dyDescent="0.25">
      <c r="A1915" s="4"/>
    </row>
    <row r="1916" spans="1:1" x14ac:dyDescent="0.25">
      <c r="A1916" s="4"/>
    </row>
    <row r="1917" spans="1:1" x14ac:dyDescent="0.25">
      <c r="A1917" s="4"/>
    </row>
    <row r="1918" spans="1:1" x14ac:dyDescent="0.25">
      <c r="A1918" s="4"/>
    </row>
    <row r="1925" spans="1:1" x14ac:dyDescent="0.25">
      <c r="A1925" s="4"/>
    </row>
    <row r="1926" spans="1:1" x14ac:dyDescent="0.25">
      <c r="A1926" s="4"/>
    </row>
    <row r="1927" spans="1:1" x14ac:dyDescent="0.25">
      <c r="A1927" s="4"/>
    </row>
    <row r="1928" spans="1:1" x14ac:dyDescent="0.25">
      <c r="A1928" s="4"/>
    </row>
    <row r="1929" spans="1:1" x14ac:dyDescent="0.25">
      <c r="A1929" s="4"/>
    </row>
    <row r="1930" spans="1:1" x14ac:dyDescent="0.25">
      <c r="A1930" s="4"/>
    </row>
    <row r="1931" spans="1:1" x14ac:dyDescent="0.25">
      <c r="A1931" s="4"/>
    </row>
    <row r="1932" spans="1:1" x14ac:dyDescent="0.25">
      <c r="A1932" s="4"/>
    </row>
    <row r="1933" spans="1:1" x14ac:dyDescent="0.25">
      <c r="A1933" s="4"/>
    </row>
    <row r="1934" spans="1:1" x14ac:dyDescent="0.25">
      <c r="A1934" s="4"/>
    </row>
    <row r="1935" spans="1:1" x14ac:dyDescent="0.25">
      <c r="A1935" s="4"/>
    </row>
    <row r="1936" spans="1:1" x14ac:dyDescent="0.25">
      <c r="A1936" s="4"/>
    </row>
    <row r="1937" spans="1:1" x14ac:dyDescent="0.25">
      <c r="A1937" s="4"/>
    </row>
    <row r="1938" spans="1:1" x14ac:dyDescent="0.25">
      <c r="A1938" s="4"/>
    </row>
    <row r="1939" spans="1:1" x14ac:dyDescent="0.25">
      <c r="A1939" s="4"/>
    </row>
    <row r="1940" spans="1:1" x14ac:dyDescent="0.25">
      <c r="A1940" s="4"/>
    </row>
    <row r="1947" spans="1:1" x14ac:dyDescent="0.25">
      <c r="A1947" s="4"/>
    </row>
    <row r="1948" spans="1:1" x14ac:dyDescent="0.25">
      <c r="A1948" s="4"/>
    </row>
    <row r="1949" spans="1:1" x14ac:dyDescent="0.25">
      <c r="A1949" s="4"/>
    </row>
    <row r="1950" spans="1:1" x14ac:dyDescent="0.25">
      <c r="A1950" s="4"/>
    </row>
    <row r="1951" spans="1:1" x14ac:dyDescent="0.25">
      <c r="A1951" s="4"/>
    </row>
    <row r="1957" spans="1:1" x14ac:dyDescent="0.25">
      <c r="A1957" s="5"/>
    </row>
    <row r="2039" spans="1:2" x14ac:dyDescent="0.25">
      <c r="A2039" s="5"/>
      <c r="B2039" s="5"/>
    </row>
  </sheetData>
  <customSheetViews>
    <customSheetView guid="{42E2132E-130A-11D4-8702-444553540000}" scale="75" showRuler="0">
      <selection activeCell="A11" sqref="A11"/>
      <pageMargins left="0.75" right="0.75" top="1" bottom="1" header="0.5" footer="0.5"/>
      <headerFooter alignWithMargins="0"/>
    </customSheetView>
    <customSheetView guid="{3504B94A-F634-11D2-9451-0008C780B76A}" scale="75" showRuler="0" topLeftCell="B1">
      <selection activeCell="D10" sqref="D10"/>
      <pageMargins left="0.75" right="0.75" top="1" bottom="1" header="0.5" footer="0.5"/>
      <headerFooter alignWithMargins="0"/>
    </customSheetView>
    <customSheetView guid="{3504B94B-F634-11D2-9451-0008C780B76A}" scale="75" showRuler="0" topLeftCell="B1">
      <selection activeCell="D10" sqref="D10"/>
      <pageMargins left="0.75" right="0.75" top="1" bottom="1" header="0.5" footer="0.5"/>
      <headerFooter alignWithMargins="0"/>
    </customSheetView>
    <customSheetView guid="{3504B94C-F634-11D2-9451-0008C780B76A}" scale="75" showRuler="0" topLeftCell="B1">
      <selection activeCell="D10" sqref="D10"/>
      <pageMargins left="0.75" right="0.75" top="1" bottom="1" header="0.5" footer="0.5"/>
      <headerFooter alignWithMargins="0"/>
    </customSheetView>
    <customSheetView guid="{3504B94D-F634-11D2-9451-0008C780B76A}" scale="75" showRuler="0" topLeftCell="B1">
      <selection activeCell="D10" sqref="D10"/>
      <pageMargins left="0.75" right="0.75" top="1" bottom="1" header="0.5" footer="0.5"/>
      <headerFooter alignWithMargins="0"/>
    </customSheetView>
    <customSheetView guid="{3504B94E-F634-11D2-9451-0008C780B76A}" scale="75" showRuler="0" topLeftCell="B1">
      <selection activeCell="D10" sqref="D10"/>
      <pageMargins left="0.75" right="0.75" top="1" bottom="1" header="0.5" footer="0.5"/>
      <headerFooter alignWithMargins="0"/>
    </customSheetView>
    <customSheetView guid="{3504B950-F634-11D2-9451-0008C780B76A}" scale="75" showRuler="0" topLeftCell="B1">
      <selection activeCell="D10" sqref="D10"/>
      <pageMargins left="0.75" right="0.75" top="1" bottom="1" header="0.5" footer="0.5"/>
      <headerFooter alignWithMargins="0"/>
    </customSheetView>
    <customSheetView guid="{3504B951-F634-11D2-9451-0008C780B76A}" scale="75" showRuler="0" topLeftCell="B1">
      <selection activeCell="D10" sqref="D10"/>
      <pageMargins left="0.75" right="0.75" top="1" bottom="1" header="0.5" footer="0.5"/>
      <headerFooter alignWithMargins="0"/>
    </customSheetView>
    <customSheetView guid="{3504B952-F634-11D2-9451-0008C780B76A}" scale="75" showRuler="0" topLeftCell="B1">
      <selection activeCell="D10" sqref="D10"/>
      <pageMargins left="0.75" right="0.75" top="1" bottom="1" header="0.5" footer="0.5"/>
      <headerFooter alignWithMargins="0"/>
    </customSheetView>
    <customSheetView guid="{3504B953-F634-11D2-9451-0008C780B76A}" scale="75" showRuler="0" topLeftCell="B1">
      <selection activeCell="D10" sqref="D10"/>
      <pageMargins left="0.75" right="0.75" top="1" bottom="1" header="0.5" footer="0.5"/>
      <headerFooter alignWithMargins="0"/>
    </customSheetView>
    <customSheetView guid="{3504B954-F634-11D2-9451-0008C780B76A}" scale="75" showRuler="0" topLeftCell="B1">
      <selection activeCell="D10" sqref="D10"/>
      <pageMargins left="0.75" right="0.75" top="1" bottom="1" header="0.5" footer="0.5"/>
      <headerFooter alignWithMargins="0"/>
    </customSheetView>
    <customSheetView guid="{3504B955-F634-11D2-9451-0008C780B76A}" scale="75" showRuler="0" topLeftCell="B1">
      <selection activeCell="D10" sqref="D10"/>
      <pageMargins left="0.75" right="0.75" top="1" bottom="1" header="0.5" footer="0.5"/>
      <headerFooter alignWithMargins="0"/>
    </customSheetView>
    <customSheetView guid="{3504B956-F634-11D2-9451-0008C780B76A}" scale="75" showRuler="0" topLeftCell="B1">
      <selection activeCell="D10" sqref="D10"/>
      <pageMargins left="0.75" right="0.75" top="1" bottom="1" header="0.5" footer="0.5"/>
      <headerFooter alignWithMargins="0"/>
    </customSheetView>
    <customSheetView guid="{3504B966-F634-11D2-9451-0008C780B76A}" scale="75" showRuler="0" topLeftCell="B1">
      <selection activeCell="D10" sqref="D10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pageSetup scale="62"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/>
  </sheetViews>
  <sheetFormatPr defaultColWidth="9.109375" defaultRowHeight="13.2" x14ac:dyDescent="0.25"/>
  <cols>
    <col min="1" max="1" width="14.6640625" style="41" customWidth="1"/>
    <col min="2" max="2" width="15.33203125" style="41" bestFit="1" customWidth="1"/>
    <col min="3" max="3" width="14.88671875" style="41" bestFit="1" customWidth="1"/>
    <col min="4" max="4" width="14.6640625" style="41" bestFit="1" customWidth="1"/>
    <col min="5" max="5" width="20.33203125" style="41" bestFit="1" customWidth="1"/>
    <col min="6" max="6" width="9.109375" style="41" customWidth="1"/>
    <col min="7" max="16384" width="9.109375" style="41"/>
  </cols>
  <sheetData>
    <row r="1" spans="1:6" ht="14.4" x14ac:dyDescent="0.3">
      <c r="A1" s="118" t="s">
        <v>169</v>
      </c>
      <c r="F1" s="119" t="str">
        <f>Linkin!C26</f>
        <v>W/P - 7-3</v>
      </c>
    </row>
    <row r="2" spans="1:6" ht="14.4" x14ac:dyDescent="0.3">
      <c r="A2" s="118" t="s">
        <v>170</v>
      </c>
      <c r="F2" s="119" t="str">
        <f ca="1">RIGHT(CELL("filename",$A$1),LEN(CELL("filename",$A$1))-SEARCH("\Capital",CELL("filename",$A$1),1))</f>
        <v>Capital Structure\[KAWC 2018 Rate Case - Capital Structure.xlsx]STD 2018 WP</v>
      </c>
    </row>
    <row r="3" spans="1:6" ht="14.4" x14ac:dyDescent="0.3">
      <c r="F3" s="119" t="s">
        <v>178</v>
      </c>
    </row>
    <row r="4" spans="1:6" ht="14.4" x14ac:dyDescent="0.3">
      <c r="F4" s="119"/>
    </row>
    <row r="5" spans="1:6" ht="14.4" x14ac:dyDescent="0.3">
      <c r="A5" s="101" t="s">
        <v>18</v>
      </c>
    </row>
    <row r="6" spans="1:6" x14ac:dyDescent="0.25">
      <c r="A6" s="41" t="s">
        <v>250</v>
      </c>
    </row>
    <row r="9" spans="1:6" x14ac:dyDescent="0.25">
      <c r="A9" s="40" t="s">
        <v>182</v>
      </c>
      <c r="B9" s="40" t="s">
        <v>183</v>
      </c>
      <c r="C9" s="40" t="s">
        <v>184</v>
      </c>
      <c r="D9" s="40" t="s">
        <v>185</v>
      </c>
      <c r="E9" s="40" t="s">
        <v>186</v>
      </c>
    </row>
    <row r="10" spans="1:6" x14ac:dyDescent="0.25">
      <c r="A10" s="41" t="s">
        <v>187</v>
      </c>
      <c r="B10" s="131">
        <v>0</v>
      </c>
      <c r="C10" s="131">
        <v>0</v>
      </c>
      <c r="D10" s="131">
        <v>0</v>
      </c>
      <c r="E10" s="131">
        <v>-11467259.23</v>
      </c>
    </row>
    <row r="11" spans="1:6" x14ac:dyDescent="0.25">
      <c r="A11" s="41" t="s">
        <v>188</v>
      </c>
      <c r="B11" s="131">
        <v>9243584.5700000003</v>
      </c>
      <c r="C11" s="131">
        <v>7473484.1699999999</v>
      </c>
      <c r="D11" s="131">
        <v>1770100.4</v>
      </c>
      <c r="E11" s="131">
        <v>-9697158.8300000001</v>
      </c>
    </row>
    <row r="12" spans="1:6" x14ac:dyDescent="0.25">
      <c r="A12" s="41" t="s">
        <v>189</v>
      </c>
      <c r="B12" s="131">
        <v>8714059.7699999996</v>
      </c>
      <c r="C12" s="131">
        <v>8439500.1500000004</v>
      </c>
      <c r="D12" s="131">
        <v>274559.62</v>
      </c>
      <c r="E12" s="131">
        <v>-9422599.2100000009</v>
      </c>
    </row>
    <row r="13" spans="1:6" x14ac:dyDescent="0.25">
      <c r="A13" s="41" t="s">
        <v>190</v>
      </c>
      <c r="B13" s="131">
        <v>8977303.0199999996</v>
      </c>
      <c r="C13" s="131">
        <v>9942069.9299999997</v>
      </c>
      <c r="D13" s="131">
        <v>-964766.91</v>
      </c>
      <c r="E13" s="132">
        <v>-10387366.119999999</v>
      </c>
    </row>
    <row r="14" spans="1:6" x14ac:dyDescent="0.25">
      <c r="A14" s="41" t="s">
        <v>191</v>
      </c>
      <c r="B14" s="131">
        <v>8279880.54</v>
      </c>
      <c r="C14" s="131">
        <v>15048054.439999999</v>
      </c>
      <c r="D14" s="131">
        <v>-6768173.9000000004</v>
      </c>
      <c r="E14" s="132">
        <v>-17155540.02</v>
      </c>
    </row>
    <row r="15" spans="1:6" x14ac:dyDescent="0.25">
      <c r="A15" s="41" t="s">
        <v>192</v>
      </c>
      <c r="B15" s="131">
        <v>9305025.5099999998</v>
      </c>
      <c r="C15" s="131">
        <v>6298042.3399999999</v>
      </c>
      <c r="D15" s="131">
        <v>3006983.17</v>
      </c>
      <c r="E15" s="132">
        <v>-14148556.85</v>
      </c>
    </row>
    <row r="16" spans="1:6" x14ac:dyDescent="0.25">
      <c r="A16" s="41" t="s">
        <v>193</v>
      </c>
      <c r="B16" s="131">
        <v>11686672.029999999</v>
      </c>
      <c r="C16" s="131">
        <v>12266584.439999999</v>
      </c>
      <c r="D16" s="131">
        <v>-579912.41</v>
      </c>
      <c r="E16" s="132">
        <v>-14728469.26</v>
      </c>
    </row>
    <row r="17" spans="1:7" x14ac:dyDescent="0.25">
      <c r="A17" s="41" t="s">
        <v>194</v>
      </c>
      <c r="B17" s="131">
        <v>10376871.890000001</v>
      </c>
      <c r="C17" s="131">
        <v>12848488.710000001</v>
      </c>
      <c r="D17" s="131">
        <v>-2471616.8199999998</v>
      </c>
      <c r="E17" s="132">
        <v>-17200086.079999998</v>
      </c>
    </row>
    <row r="18" spans="1:7" x14ac:dyDescent="0.25">
      <c r="A18" s="41" t="s">
        <v>195</v>
      </c>
      <c r="B18" s="131">
        <v>10939093.050000001</v>
      </c>
      <c r="C18" s="131">
        <v>8561435.3699999992</v>
      </c>
      <c r="D18" s="131">
        <v>2377657.6800000002</v>
      </c>
      <c r="E18" s="132">
        <v>-14822428.4</v>
      </c>
    </row>
    <row r="19" spans="1:7" x14ac:dyDescent="0.25">
      <c r="A19" s="41" t="s">
        <v>196</v>
      </c>
      <c r="B19" s="131">
        <v>9871470.3200000003</v>
      </c>
      <c r="C19" s="131">
        <v>12349333.939999999</v>
      </c>
      <c r="D19" s="131">
        <v>-2477863.62</v>
      </c>
      <c r="E19" s="205">
        <v>-17300292.02</v>
      </c>
    </row>
    <row r="20" spans="1:7" x14ac:dyDescent="0.25">
      <c r="A20" s="41" t="s">
        <v>197</v>
      </c>
      <c r="B20" s="131">
        <v>1075822.69</v>
      </c>
      <c r="C20" s="131">
        <v>370730.72</v>
      </c>
      <c r="D20" s="131">
        <v>705091.97</v>
      </c>
      <c r="E20" s="205">
        <v>-16595200.050000001</v>
      </c>
    </row>
    <row r="21" spans="1:7" x14ac:dyDescent="0.25">
      <c r="A21" s="41" t="s">
        <v>198</v>
      </c>
      <c r="B21" s="131">
        <v>0</v>
      </c>
      <c r="C21" s="131">
        <v>0</v>
      </c>
      <c r="D21" s="131">
        <v>0</v>
      </c>
      <c r="E21" s="131">
        <v>-16595200.050000001</v>
      </c>
    </row>
    <row r="22" spans="1:7" x14ac:dyDescent="0.25">
      <c r="A22" s="41" t="s">
        <v>199</v>
      </c>
      <c r="B22" s="131">
        <v>0</v>
      </c>
      <c r="C22" s="131">
        <v>0</v>
      </c>
      <c r="D22" s="131">
        <v>0</v>
      </c>
      <c r="E22" s="131">
        <v>-16595200.050000001</v>
      </c>
    </row>
    <row r="23" spans="1:7" x14ac:dyDescent="0.25">
      <c r="A23" s="41" t="s">
        <v>85</v>
      </c>
      <c r="B23" s="131">
        <v>88469783.390000001</v>
      </c>
      <c r="C23" s="131">
        <v>93597724.209999993</v>
      </c>
      <c r="D23" s="131">
        <v>-5127940.82</v>
      </c>
      <c r="E23" s="131">
        <v>-16595200.050000001</v>
      </c>
    </row>
    <row r="25" spans="1:7" x14ac:dyDescent="0.25">
      <c r="A25" s="204"/>
      <c r="B25" s="204"/>
      <c r="C25" s="204"/>
      <c r="D25" s="204"/>
      <c r="E25" s="204"/>
      <c r="F25" s="204"/>
      <c r="G25" s="204"/>
    </row>
    <row r="26" spans="1:7" x14ac:dyDescent="0.25">
      <c r="A26" s="204"/>
      <c r="B26" s="204"/>
      <c r="C26" s="204"/>
      <c r="D26" s="204"/>
      <c r="E26" s="204"/>
      <c r="F26" s="204"/>
      <c r="G26" s="204"/>
    </row>
    <row r="27" spans="1:7" x14ac:dyDescent="0.25">
      <c r="A27" s="204"/>
      <c r="B27" s="204"/>
      <c r="C27" s="204"/>
      <c r="D27" s="204"/>
      <c r="E27" s="204"/>
      <c r="F27" s="204"/>
      <c r="G27" s="204"/>
    </row>
    <row r="28" spans="1:7" x14ac:dyDescent="0.25">
      <c r="A28" s="204"/>
      <c r="B28" s="205"/>
      <c r="C28" s="205"/>
      <c r="D28" s="205"/>
      <c r="E28" s="205"/>
      <c r="F28" s="204"/>
      <c r="G28" s="204"/>
    </row>
    <row r="29" spans="1:7" x14ac:dyDescent="0.25">
      <c r="A29" s="204"/>
      <c r="B29" s="205"/>
      <c r="C29" s="205"/>
      <c r="D29" s="205"/>
      <c r="E29" s="205"/>
      <c r="F29" s="204"/>
      <c r="G29" s="204"/>
    </row>
    <row r="30" spans="1:7" x14ac:dyDescent="0.25">
      <c r="A30" s="204"/>
      <c r="B30" s="205"/>
      <c r="C30" s="205"/>
      <c r="D30" s="205"/>
      <c r="E30" s="205"/>
      <c r="F30" s="204"/>
      <c r="G30" s="204"/>
    </row>
    <row r="31" spans="1:7" x14ac:dyDescent="0.25">
      <c r="A31" s="204"/>
      <c r="B31" s="205"/>
      <c r="C31" s="205"/>
      <c r="D31" s="205"/>
      <c r="E31" s="205"/>
      <c r="F31" s="204"/>
      <c r="G31" s="204"/>
    </row>
    <row r="32" spans="1:7" x14ac:dyDescent="0.25">
      <c r="A32" s="204"/>
      <c r="B32" s="205"/>
      <c r="C32" s="205"/>
      <c r="D32" s="205"/>
      <c r="E32" s="205"/>
      <c r="F32" s="204"/>
      <c r="G32" s="204"/>
    </row>
    <row r="33" spans="1:7" x14ac:dyDescent="0.25">
      <c r="A33" s="204"/>
      <c r="B33" s="205"/>
      <c r="C33" s="205"/>
      <c r="D33" s="205"/>
      <c r="E33" s="205"/>
      <c r="F33" s="204"/>
      <c r="G33" s="204"/>
    </row>
    <row r="34" spans="1:7" x14ac:dyDescent="0.25">
      <c r="A34" s="204"/>
      <c r="B34" s="205"/>
      <c r="C34" s="205"/>
      <c r="D34" s="205"/>
      <c r="E34" s="205"/>
      <c r="F34" s="204"/>
      <c r="G34" s="204"/>
    </row>
    <row r="35" spans="1:7" x14ac:dyDescent="0.25">
      <c r="A35" s="204"/>
      <c r="B35" s="205"/>
      <c r="C35" s="205"/>
      <c r="D35" s="205"/>
      <c r="E35" s="205"/>
      <c r="F35" s="204"/>
      <c r="G35" s="204"/>
    </row>
    <row r="36" spans="1:7" x14ac:dyDescent="0.25">
      <c r="A36" s="204"/>
      <c r="B36" s="205"/>
      <c r="C36" s="205"/>
      <c r="D36" s="205"/>
      <c r="E36" s="205"/>
      <c r="F36" s="204"/>
      <c r="G36" s="204"/>
    </row>
    <row r="37" spans="1:7" x14ac:dyDescent="0.25">
      <c r="A37" s="204"/>
      <c r="B37" s="205"/>
      <c r="C37" s="205"/>
      <c r="D37" s="205"/>
      <c r="E37" s="205"/>
      <c r="F37" s="204"/>
      <c r="G37" s="204"/>
    </row>
    <row r="38" spans="1:7" x14ac:dyDescent="0.25">
      <c r="A38" s="204"/>
      <c r="B38" s="205"/>
      <c r="C38" s="205"/>
      <c r="D38" s="205"/>
      <c r="E38" s="205"/>
      <c r="F38" s="204"/>
      <c r="G38" s="204"/>
    </row>
    <row r="39" spans="1:7" x14ac:dyDescent="0.25">
      <c r="A39" s="204"/>
      <c r="B39" s="205"/>
      <c r="C39" s="205"/>
      <c r="D39" s="205"/>
      <c r="E39" s="205"/>
      <c r="F39" s="204"/>
      <c r="G39" s="204"/>
    </row>
    <row r="40" spans="1:7" x14ac:dyDescent="0.25">
      <c r="A40" s="204"/>
      <c r="B40" s="205"/>
      <c r="C40" s="205"/>
      <c r="D40" s="205"/>
      <c r="E40" s="205"/>
      <c r="F40" s="204"/>
      <c r="G40" s="204"/>
    </row>
    <row r="41" spans="1:7" x14ac:dyDescent="0.25">
      <c r="A41" s="204"/>
      <c r="B41" s="205"/>
      <c r="C41" s="205"/>
      <c r="D41" s="205"/>
      <c r="E41" s="205"/>
      <c r="F41" s="204"/>
      <c r="G41" s="204"/>
    </row>
    <row r="42" spans="1:7" x14ac:dyDescent="0.25">
      <c r="A42" s="204"/>
      <c r="B42" s="204"/>
      <c r="C42" s="204"/>
      <c r="D42" s="204"/>
      <c r="E42" s="204"/>
      <c r="F42" s="204"/>
      <c r="G42" s="204"/>
    </row>
    <row r="43" spans="1:7" x14ac:dyDescent="0.25">
      <c r="A43" s="204"/>
      <c r="B43" s="204"/>
      <c r="C43" s="204"/>
      <c r="D43" s="204"/>
      <c r="E43" s="204"/>
      <c r="F43" s="204"/>
      <c r="G43" s="204"/>
    </row>
    <row r="44" spans="1:7" x14ac:dyDescent="0.25">
      <c r="A44" s="204"/>
      <c r="B44" s="204"/>
      <c r="C44" s="204"/>
      <c r="D44" s="204"/>
      <c r="E44" s="204"/>
      <c r="F44" s="204"/>
      <c r="G44" s="204"/>
    </row>
    <row r="45" spans="1:7" x14ac:dyDescent="0.25">
      <c r="A45" s="204"/>
      <c r="B45" s="204"/>
      <c r="C45" s="204"/>
      <c r="D45" s="204"/>
      <c r="E45" s="204"/>
      <c r="F45" s="204"/>
      <c r="G45" s="204"/>
    </row>
    <row r="46" spans="1:7" x14ac:dyDescent="0.25">
      <c r="A46" s="204"/>
      <c r="B46" s="204"/>
      <c r="C46" s="204"/>
      <c r="D46" s="204"/>
      <c r="E46" s="204"/>
      <c r="F46" s="204"/>
      <c r="G46" s="204"/>
    </row>
    <row r="47" spans="1:7" x14ac:dyDescent="0.25">
      <c r="A47" s="204"/>
      <c r="B47" s="204"/>
      <c r="C47" s="204"/>
      <c r="D47" s="204"/>
      <c r="E47" s="204"/>
      <c r="F47" s="204"/>
      <c r="G47" s="204"/>
    </row>
  </sheetData>
  <pageMargins left="1" right="0.7" top="0.75" bottom="0.75" header="0.3" footer="0.3"/>
  <pageSetup scale="95" orientation="portrait" verticalDpi="1200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>
      <selection activeCell="F2" sqref="F2"/>
    </sheetView>
  </sheetViews>
  <sheetFormatPr defaultColWidth="9.109375" defaultRowHeight="14.4" x14ac:dyDescent="0.3"/>
  <cols>
    <col min="1" max="1" width="19.44140625" style="189" bestFit="1" customWidth="1"/>
    <col min="2" max="2" width="10.33203125" style="189" bestFit="1" customWidth="1"/>
    <col min="3" max="3" width="8.33203125" style="189" bestFit="1" customWidth="1"/>
    <col min="4" max="4" width="10.33203125" style="189" bestFit="1" customWidth="1"/>
    <col min="5" max="5" width="20.33203125" style="189" bestFit="1" customWidth="1"/>
    <col min="6" max="16384" width="9.109375" style="189"/>
  </cols>
  <sheetData>
    <row r="1" spans="1:7" x14ac:dyDescent="0.3">
      <c r="A1" s="118" t="s">
        <v>169</v>
      </c>
      <c r="F1" s="119" t="str">
        <f>Linkin!C30</f>
        <v>W/P - 7-7</v>
      </c>
    </row>
    <row r="2" spans="1:7" x14ac:dyDescent="0.3">
      <c r="A2" s="118" t="s">
        <v>170</v>
      </c>
      <c r="F2" s="119" t="str">
        <f ca="1">RIGHT(CELL("filename",$A$1),LEN(CELL("filename",$A$1))-SEARCH("\Capital",CELL("filename",$A$1),1))</f>
        <v>Capital Structure\[KAWC 2018 Rate Case - Capital Structure.xlsx]Unamort ITCs 2018 WP</v>
      </c>
    </row>
    <row r="3" spans="1:7" x14ac:dyDescent="0.3">
      <c r="F3" s="119" t="s">
        <v>178</v>
      </c>
      <c r="G3" s="119"/>
    </row>
    <row r="4" spans="1:7" x14ac:dyDescent="0.3">
      <c r="G4" s="119"/>
    </row>
    <row r="5" spans="1:7" x14ac:dyDescent="0.3">
      <c r="A5" s="101" t="s">
        <v>18</v>
      </c>
    </row>
    <row r="6" spans="1:7" x14ac:dyDescent="0.3">
      <c r="A6" s="190" t="s">
        <v>251</v>
      </c>
    </row>
    <row r="7" spans="1:7" x14ac:dyDescent="0.3">
      <c r="A7" s="190"/>
    </row>
    <row r="8" spans="1:7" x14ac:dyDescent="0.3">
      <c r="A8" s="189" t="s">
        <v>200</v>
      </c>
    </row>
    <row r="9" spans="1:7" x14ac:dyDescent="0.3">
      <c r="A9" s="189" t="s">
        <v>201</v>
      </c>
      <c r="C9" s="191"/>
    </row>
    <row r="10" spans="1:7" x14ac:dyDescent="0.3">
      <c r="A10" s="192" t="s">
        <v>182</v>
      </c>
      <c r="B10" s="192" t="s">
        <v>183</v>
      </c>
      <c r="C10" s="192" t="s">
        <v>184</v>
      </c>
      <c r="D10" s="192" t="s">
        <v>185</v>
      </c>
      <c r="E10" s="192" t="s">
        <v>186</v>
      </c>
    </row>
    <row r="11" spans="1:7" x14ac:dyDescent="0.3">
      <c r="A11" s="190" t="s">
        <v>187</v>
      </c>
      <c r="B11" s="193">
        <v>0</v>
      </c>
      <c r="C11" s="193">
        <v>0</v>
      </c>
      <c r="D11" s="193">
        <v>0</v>
      </c>
      <c r="E11" s="193">
        <v>-25305.57</v>
      </c>
    </row>
    <row r="12" spans="1:7" x14ac:dyDescent="0.3">
      <c r="A12" s="190" t="s">
        <v>188</v>
      </c>
      <c r="B12" s="193">
        <v>637.66999999999996</v>
      </c>
      <c r="C12" s="193">
        <v>0</v>
      </c>
      <c r="D12" s="193">
        <v>637.66999999999996</v>
      </c>
      <c r="E12" s="193">
        <v>-24667.9</v>
      </c>
    </row>
    <row r="13" spans="1:7" x14ac:dyDescent="0.3">
      <c r="A13" s="190" t="s">
        <v>189</v>
      </c>
      <c r="B13" s="193">
        <v>637.66999999999996</v>
      </c>
      <c r="C13" s="193">
        <v>0</v>
      </c>
      <c r="D13" s="193">
        <v>637.66999999999996</v>
      </c>
      <c r="E13" s="193">
        <v>-24030.23</v>
      </c>
    </row>
    <row r="14" spans="1:7" x14ac:dyDescent="0.3">
      <c r="A14" s="190" t="s">
        <v>190</v>
      </c>
      <c r="B14" s="193">
        <v>637.66999999999996</v>
      </c>
      <c r="C14" s="193">
        <v>0</v>
      </c>
      <c r="D14" s="194">
        <v>637.66999999999996</v>
      </c>
      <c r="E14" s="194">
        <v>-23392.560000000001</v>
      </c>
    </row>
    <row r="15" spans="1:7" x14ac:dyDescent="0.3">
      <c r="A15" s="190" t="s">
        <v>191</v>
      </c>
      <c r="B15" s="193">
        <v>637.66999999999996</v>
      </c>
      <c r="C15" s="193">
        <v>0</v>
      </c>
      <c r="D15" s="194">
        <v>637.66999999999996</v>
      </c>
      <c r="E15" s="194">
        <v>-22754.89</v>
      </c>
    </row>
    <row r="16" spans="1:7" x14ac:dyDescent="0.3">
      <c r="A16" s="190" t="s">
        <v>192</v>
      </c>
      <c r="B16" s="193">
        <v>637.66999999999996</v>
      </c>
      <c r="C16" s="193">
        <v>0</v>
      </c>
      <c r="D16" s="194">
        <v>637.66999999999996</v>
      </c>
      <c r="E16" s="194">
        <v>-22117.22</v>
      </c>
    </row>
    <row r="17" spans="1:5" x14ac:dyDescent="0.3">
      <c r="A17" s="190" t="s">
        <v>193</v>
      </c>
      <c r="B17" s="193">
        <v>637.66999999999996</v>
      </c>
      <c r="C17" s="193">
        <v>0</v>
      </c>
      <c r="D17" s="194">
        <v>637.66999999999996</v>
      </c>
      <c r="E17" s="194">
        <v>-21479.55</v>
      </c>
    </row>
    <row r="18" spans="1:5" x14ac:dyDescent="0.3">
      <c r="A18" s="190" t="s">
        <v>194</v>
      </c>
      <c r="B18" s="193">
        <v>637.66999999999996</v>
      </c>
      <c r="C18" s="193">
        <v>0</v>
      </c>
      <c r="D18" s="194">
        <v>637.66999999999996</v>
      </c>
      <c r="E18" s="194">
        <f>+E17+D18</f>
        <v>-20841.88</v>
      </c>
    </row>
    <row r="19" spans="1:5" x14ac:dyDescent="0.3">
      <c r="A19" s="190" t="s">
        <v>195</v>
      </c>
      <c r="B19" s="193">
        <v>637.66999999999996</v>
      </c>
      <c r="C19" s="193">
        <v>0</v>
      </c>
      <c r="D19" s="194">
        <v>637.66999999999996</v>
      </c>
      <c r="E19" s="194">
        <f>+E18+D19</f>
        <v>-20204.210000000003</v>
      </c>
    </row>
    <row r="21" spans="1:5" x14ac:dyDescent="0.3">
      <c r="A21" s="189" t="s">
        <v>202</v>
      </c>
    </row>
    <row r="22" spans="1:5" x14ac:dyDescent="0.3">
      <c r="A22" s="189" t="s">
        <v>203</v>
      </c>
      <c r="C22" s="191"/>
    </row>
    <row r="23" spans="1:5" x14ac:dyDescent="0.3">
      <c r="A23" s="192" t="s">
        <v>182</v>
      </c>
      <c r="B23" s="192" t="s">
        <v>183</v>
      </c>
      <c r="C23" s="192" t="s">
        <v>184</v>
      </c>
      <c r="D23" s="192" t="s">
        <v>185</v>
      </c>
      <c r="E23" s="192" t="s">
        <v>186</v>
      </c>
    </row>
    <row r="24" spans="1:5" x14ac:dyDescent="0.3">
      <c r="A24" s="190" t="s">
        <v>187</v>
      </c>
      <c r="B24" s="193">
        <v>0</v>
      </c>
      <c r="C24" s="193">
        <v>0</v>
      </c>
      <c r="D24" s="193">
        <v>0</v>
      </c>
      <c r="E24" s="193">
        <v>-0.85</v>
      </c>
    </row>
    <row r="25" spans="1:5" x14ac:dyDescent="0.3">
      <c r="A25" s="190" t="s">
        <v>188</v>
      </c>
      <c r="B25" s="193">
        <v>0</v>
      </c>
      <c r="C25" s="193">
        <v>0</v>
      </c>
      <c r="D25" s="193">
        <v>0</v>
      </c>
      <c r="E25" s="193">
        <v>-0.85</v>
      </c>
    </row>
    <row r="26" spans="1:5" x14ac:dyDescent="0.3">
      <c r="A26" s="190" t="s">
        <v>189</v>
      </c>
      <c r="B26" s="193">
        <v>0</v>
      </c>
      <c r="C26" s="193">
        <v>0</v>
      </c>
      <c r="D26" s="193">
        <v>0</v>
      </c>
      <c r="E26" s="193">
        <v>-0.85</v>
      </c>
    </row>
    <row r="27" spans="1:5" x14ac:dyDescent="0.3">
      <c r="A27" s="190" t="s">
        <v>190</v>
      </c>
      <c r="B27" s="193">
        <v>0</v>
      </c>
      <c r="C27" s="193">
        <v>0</v>
      </c>
      <c r="D27" s="194">
        <v>0</v>
      </c>
      <c r="E27" s="194">
        <v>-0.85</v>
      </c>
    </row>
    <row r="28" spans="1:5" x14ac:dyDescent="0.3">
      <c r="A28" s="190" t="s">
        <v>191</v>
      </c>
      <c r="B28" s="193">
        <v>0</v>
      </c>
      <c r="C28" s="193">
        <v>0</v>
      </c>
      <c r="D28" s="194">
        <v>0</v>
      </c>
      <c r="E28" s="194">
        <v>-0.85</v>
      </c>
    </row>
    <row r="29" spans="1:5" x14ac:dyDescent="0.3">
      <c r="A29" s="190" t="s">
        <v>192</v>
      </c>
      <c r="B29" s="193">
        <v>0</v>
      </c>
      <c r="C29" s="193">
        <v>0</v>
      </c>
      <c r="D29" s="194">
        <v>0</v>
      </c>
      <c r="E29" s="194">
        <v>-0.85</v>
      </c>
    </row>
    <row r="30" spans="1:5" x14ac:dyDescent="0.3">
      <c r="A30" s="190" t="s">
        <v>193</v>
      </c>
      <c r="B30" s="193">
        <v>0</v>
      </c>
      <c r="C30" s="193">
        <v>0</v>
      </c>
      <c r="D30" s="194">
        <v>0</v>
      </c>
      <c r="E30" s="194">
        <v>-0.85</v>
      </c>
    </row>
    <row r="31" spans="1:5" x14ac:dyDescent="0.3">
      <c r="A31" s="190" t="s">
        <v>194</v>
      </c>
      <c r="B31" s="193">
        <v>0</v>
      </c>
      <c r="C31" s="193">
        <v>0</v>
      </c>
      <c r="D31" s="194">
        <v>0</v>
      </c>
      <c r="E31" s="194">
        <v>-0.85</v>
      </c>
    </row>
    <row r="32" spans="1:5" x14ac:dyDescent="0.3">
      <c r="A32" s="190" t="s">
        <v>195</v>
      </c>
      <c r="B32" s="193">
        <v>0</v>
      </c>
      <c r="C32" s="193">
        <v>0</v>
      </c>
      <c r="D32" s="194">
        <v>0</v>
      </c>
      <c r="E32" s="194">
        <v>-0.85</v>
      </c>
    </row>
    <row r="34" spans="1:5" x14ac:dyDescent="0.3">
      <c r="A34" s="189" t="s">
        <v>205</v>
      </c>
    </row>
    <row r="35" spans="1:5" x14ac:dyDescent="0.3">
      <c r="A35" s="189" t="s">
        <v>204</v>
      </c>
      <c r="C35" s="191"/>
    </row>
    <row r="36" spans="1:5" x14ac:dyDescent="0.3">
      <c r="A36" s="192" t="s">
        <v>182</v>
      </c>
      <c r="B36" s="192" t="s">
        <v>183</v>
      </c>
      <c r="C36" s="192" t="s">
        <v>184</v>
      </c>
      <c r="D36" s="192" t="s">
        <v>185</v>
      </c>
      <c r="E36" s="192" t="s">
        <v>186</v>
      </c>
    </row>
    <row r="37" spans="1:5" x14ac:dyDescent="0.3">
      <c r="A37" s="190" t="s">
        <v>187</v>
      </c>
      <c r="B37" s="193">
        <v>0</v>
      </c>
      <c r="C37" s="193">
        <v>0</v>
      </c>
      <c r="D37" s="193">
        <v>0</v>
      </c>
      <c r="E37" s="193">
        <v>-346426.67</v>
      </c>
    </row>
    <row r="38" spans="1:5" x14ac:dyDescent="0.3">
      <c r="A38" s="190" t="s">
        <v>188</v>
      </c>
      <c r="B38" s="193">
        <v>5903.33</v>
      </c>
      <c r="C38" s="193">
        <v>0</v>
      </c>
      <c r="D38" s="193">
        <v>5903.33</v>
      </c>
      <c r="E38" s="193">
        <f>+E37+D38</f>
        <v>-340523.33999999997</v>
      </c>
    </row>
    <row r="39" spans="1:5" x14ac:dyDescent="0.3">
      <c r="A39" s="190" t="s">
        <v>189</v>
      </c>
      <c r="B39" s="193">
        <v>5903.33</v>
      </c>
      <c r="C39" s="193">
        <v>0</v>
      </c>
      <c r="D39" s="193">
        <v>5903.33</v>
      </c>
      <c r="E39" s="193">
        <f t="shared" ref="E39:E45" si="0">+E38+D39</f>
        <v>-334620.00999999995</v>
      </c>
    </row>
    <row r="40" spans="1:5" x14ac:dyDescent="0.3">
      <c r="A40" s="190" t="s">
        <v>190</v>
      </c>
      <c r="B40" s="193">
        <v>5903.33</v>
      </c>
      <c r="C40" s="193">
        <v>0</v>
      </c>
      <c r="D40" s="194">
        <v>5903.33</v>
      </c>
      <c r="E40" s="194">
        <f t="shared" si="0"/>
        <v>-328716.67999999993</v>
      </c>
    </row>
    <row r="41" spans="1:5" x14ac:dyDescent="0.3">
      <c r="A41" s="190" t="s">
        <v>191</v>
      </c>
      <c r="B41" s="193">
        <v>5903.33</v>
      </c>
      <c r="C41" s="193">
        <v>0</v>
      </c>
      <c r="D41" s="194">
        <v>5903.33</v>
      </c>
      <c r="E41" s="194">
        <f t="shared" si="0"/>
        <v>-322813.34999999992</v>
      </c>
    </row>
    <row r="42" spans="1:5" x14ac:dyDescent="0.3">
      <c r="A42" s="190" t="s">
        <v>192</v>
      </c>
      <c r="B42" s="193">
        <v>5903.33</v>
      </c>
      <c r="C42" s="193">
        <v>0</v>
      </c>
      <c r="D42" s="194">
        <v>5903.33</v>
      </c>
      <c r="E42" s="194">
        <f t="shared" si="0"/>
        <v>-316910.0199999999</v>
      </c>
    </row>
    <row r="43" spans="1:5" x14ac:dyDescent="0.3">
      <c r="A43" s="190" t="s">
        <v>193</v>
      </c>
      <c r="B43" s="193">
        <v>5903.33</v>
      </c>
      <c r="C43" s="193">
        <v>0</v>
      </c>
      <c r="D43" s="194">
        <v>5903.33</v>
      </c>
      <c r="E43" s="194">
        <f t="shared" si="0"/>
        <v>-311006.68999999989</v>
      </c>
    </row>
    <row r="44" spans="1:5" x14ac:dyDescent="0.3">
      <c r="A44" s="190" t="s">
        <v>194</v>
      </c>
      <c r="B44" s="193">
        <v>5903.33</v>
      </c>
      <c r="C44" s="193">
        <v>0</v>
      </c>
      <c r="D44" s="194">
        <v>5903.33</v>
      </c>
      <c r="E44" s="194">
        <f t="shared" si="0"/>
        <v>-305103.35999999987</v>
      </c>
    </row>
    <row r="45" spans="1:5" x14ac:dyDescent="0.3">
      <c r="A45" s="190" t="s">
        <v>195</v>
      </c>
      <c r="B45" s="193">
        <v>5903.33</v>
      </c>
      <c r="C45" s="193">
        <v>0</v>
      </c>
      <c r="D45" s="194">
        <v>5903.33</v>
      </c>
      <c r="E45" s="194">
        <f t="shared" si="0"/>
        <v>-299200.02999999985</v>
      </c>
    </row>
  </sheetData>
  <pageMargins left="1" right="0.7" top="0.75" bottom="0.75" header="0.3" footer="0.3"/>
  <pageSetup orientation="portrait" verticalDpi="1200" r:id="rId1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K1" sqref="K1"/>
    </sheetView>
  </sheetViews>
  <sheetFormatPr defaultRowHeight="13.2" x14ac:dyDescent="0.25"/>
  <cols>
    <col min="1" max="1" width="10.33203125" customWidth="1"/>
    <col min="2" max="9" width="10.33203125" bestFit="1" customWidth="1"/>
    <col min="10" max="10" width="1.33203125" customWidth="1"/>
  </cols>
  <sheetData>
    <row r="1" spans="1:11" ht="14.4" x14ac:dyDescent="0.3">
      <c r="A1" s="118" t="s">
        <v>169</v>
      </c>
      <c r="B1" s="189"/>
      <c r="C1" s="189"/>
      <c r="D1" s="189"/>
      <c r="E1" s="189"/>
      <c r="K1" s="119" t="str">
        <f>Linkin!C27</f>
        <v>W/P - 7-4</v>
      </c>
    </row>
    <row r="2" spans="1:11" ht="14.4" x14ac:dyDescent="0.3">
      <c r="A2" s="118" t="s">
        <v>170</v>
      </c>
      <c r="B2" s="189"/>
      <c r="C2" s="189"/>
      <c r="D2" s="189"/>
      <c r="E2" s="189"/>
      <c r="K2" s="119" t="str">
        <f ca="1">RIGHT(CELL("filename",$A$1),LEN(CELL("filename",$A$1))-SEARCH("\Capital",CELL("filename",$A$1),1))</f>
        <v>Capital Structure\[KAWC 2018 Rate Case - Capital Structure.xlsx]LTD Discount</v>
      </c>
    </row>
    <row r="3" spans="1:11" ht="14.4" x14ac:dyDescent="0.3">
      <c r="A3" s="189"/>
      <c r="B3" s="189"/>
      <c r="C3" s="189"/>
      <c r="D3" s="189"/>
      <c r="E3" s="189"/>
      <c r="K3" s="119" t="s">
        <v>178</v>
      </c>
    </row>
    <row r="6" spans="1:11" x14ac:dyDescent="0.25">
      <c r="A6" s="28" t="s">
        <v>283</v>
      </c>
    </row>
    <row r="8" spans="1:11" x14ac:dyDescent="0.25">
      <c r="C8" s="232">
        <v>43008</v>
      </c>
    </row>
    <row r="9" spans="1:11" x14ac:dyDescent="0.25">
      <c r="C9" s="233" t="s">
        <v>281</v>
      </c>
    </row>
    <row r="10" spans="1:11" x14ac:dyDescent="0.25">
      <c r="C10" s="219">
        <v>55699.45</v>
      </c>
    </row>
    <row r="12" spans="1:11" x14ac:dyDescent="0.25">
      <c r="A12" s="236" t="s">
        <v>284</v>
      </c>
    </row>
    <row r="13" spans="1:11" x14ac:dyDescent="0.25">
      <c r="B13" s="231">
        <v>42948</v>
      </c>
      <c r="C13" s="231">
        <v>42979</v>
      </c>
      <c r="D13" s="231">
        <v>43009</v>
      </c>
      <c r="E13" s="231">
        <v>43040</v>
      </c>
      <c r="F13" s="231">
        <v>43070</v>
      </c>
      <c r="G13" s="231">
        <v>43101</v>
      </c>
      <c r="H13" s="231">
        <v>43132</v>
      </c>
      <c r="I13" s="231">
        <v>43160</v>
      </c>
    </row>
    <row r="14" spans="1:11" x14ac:dyDescent="0.25">
      <c r="A14" s="25" t="s">
        <v>248</v>
      </c>
      <c r="B14" s="219">
        <v>40507.54</v>
      </c>
      <c r="C14" s="219">
        <f>B14-C19</f>
        <v>40392.14</v>
      </c>
      <c r="D14" s="219">
        <f t="shared" ref="D14:I14" si="0">C14-D19</f>
        <v>40276.74</v>
      </c>
      <c r="E14" s="219">
        <f t="shared" si="0"/>
        <v>40161.339999999997</v>
      </c>
      <c r="F14" s="219">
        <f t="shared" si="0"/>
        <v>40045.939999999995</v>
      </c>
      <c r="G14" s="219">
        <f t="shared" si="0"/>
        <v>39930.539999999994</v>
      </c>
      <c r="H14" s="219">
        <f t="shared" si="0"/>
        <v>39815.139999999992</v>
      </c>
      <c r="I14" s="219">
        <f t="shared" si="0"/>
        <v>39699.739999999991</v>
      </c>
    </row>
    <row r="15" spans="1:11" x14ac:dyDescent="0.25">
      <c r="A15" s="25" t="s">
        <v>249</v>
      </c>
      <c r="B15" s="219"/>
      <c r="C15" s="219">
        <f>C10-C14</f>
        <v>15307.309999999998</v>
      </c>
      <c r="D15" s="219">
        <f>C15-D20</f>
        <v>15264.619999999997</v>
      </c>
      <c r="E15" s="219">
        <f t="shared" ref="E15:I15" si="1">D15-E20</f>
        <v>15221.929999999997</v>
      </c>
      <c r="F15" s="219">
        <f t="shared" si="1"/>
        <v>15179.239999999996</v>
      </c>
      <c r="G15" s="219">
        <f t="shared" si="1"/>
        <v>15136.549999999996</v>
      </c>
      <c r="H15" s="219">
        <f t="shared" si="1"/>
        <v>15093.859999999995</v>
      </c>
      <c r="I15" s="220">
        <f t="shared" si="1"/>
        <v>15051.169999999995</v>
      </c>
    </row>
    <row r="16" spans="1:11" ht="15" customHeight="1" x14ac:dyDescent="0.25">
      <c r="B16" s="219"/>
      <c r="C16" s="219"/>
      <c r="D16" s="219"/>
      <c r="E16" s="219"/>
      <c r="F16" s="219"/>
      <c r="G16" s="219"/>
      <c r="H16" s="219"/>
      <c r="I16" s="221">
        <f>SUM(I14:I15)</f>
        <v>54750.909999999989</v>
      </c>
      <c r="K16" t="s">
        <v>272</v>
      </c>
    </row>
    <row r="17" spans="1:9" x14ac:dyDescent="0.25">
      <c r="B17" s="219"/>
      <c r="C17" s="219"/>
      <c r="D17" s="219"/>
      <c r="E17" s="219"/>
      <c r="F17" s="219"/>
      <c r="G17" s="219"/>
      <c r="H17" s="219"/>
      <c r="I17" s="221"/>
    </row>
    <row r="18" spans="1:9" x14ac:dyDescent="0.25">
      <c r="A18" s="234" t="s">
        <v>282</v>
      </c>
    </row>
    <row r="19" spans="1:9" x14ac:dyDescent="0.25">
      <c r="A19" s="25" t="s">
        <v>248</v>
      </c>
      <c r="C19" s="235">
        <v>115.4</v>
      </c>
      <c r="D19" s="235">
        <v>115.4</v>
      </c>
      <c r="E19" s="235">
        <v>115.4</v>
      </c>
      <c r="F19" s="235">
        <v>115.4</v>
      </c>
      <c r="G19" s="235">
        <v>115.4</v>
      </c>
      <c r="H19" s="235">
        <v>115.4</v>
      </c>
      <c r="I19" s="235">
        <v>115.4</v>
      </c>
    </row>
    <row r="20" spans="1:9" x14ac:dyDescent="0.25">
      <c r="A20" s="25" t="s">
        <v>249</v>
      </c>
      <c r="C20" s="235">
        <v>42.69</v>
      </c>
      <c r="D20" s="235">
        <v>42.69</v>
      </c>
      <c r="E20" s="235">
        <v>42.69</v>
      </c>
      <c r="F20" s="235">
        <v>42.69</v>
      </c>
      <c r="G20" s="235">
        <v>42.69</v>
      </c>
      <c r="H20" s="235">
        <v>42.69</v>
      </c>
      <c r="I20" s="235">
        <v>42.69</v>
      </c>
    </row>
  </sheetData>
  <pageMargins left="0.7" right="0.7" top="0.75" bottom="0.75" header="0.3" footer="0.3"/>
  <pageSetup scale="86" orientation="portrait" horizontalDpi="1200" verticalDpi="1200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/>
  </sheetViews>
  <sheetFormatPr defaultColWidth="9.109375" defaultRowHeight="14.4" x14ac:dyDescent="0.3"/>
  <cols>
    <col min="1" max="1" width="8.5546875" style="189" customWidth="1"/>
    <col min="2" max="10" width="11.33203125" style="189" customWidth="1"/>
    <col min="11" max="16384" width="9.109375" style="189"/>
  </cols>
  <sheetData>
    <row r="1" spans="1:10" x14ac:dyDescent="0.3">
      <c r="J1" s="119" t="s">
        <v>290</v>
      </c>
    </row>
    <row r="2" spans="1:10" x14ac:dyDescent="0.3">
      <c r="J2" s="119" t="str">
        <f ca="1">RIGHT(CELL("filename",$A$5),LEN(CELL("filename",$A$5))-SEARCH("\Capital",CELL("filename",$A$5),1))</f>
        <v>Capital Structure\[KAWC 2018 Rate Case - Capital Structure.xlsx]Notes</v>
      </c>
    </row>
    <row r="3" spans="1:10" x14ac:dyDescent="0.3">
      <c r="J3" s="119"/>
    </row>
    <row r="4" spans="1:10" x14ac:dyDescent="0.3">
      <c r="J4" s="119"/>
    </row>
    <row r="5" spans="1:10" x14ac:dyDescent="0.3">
      <c r="J5" s="119"/>
    </row>
    <row r="6" spans="1:10" x14ac:dyDescent="0.3">
      <c r="A6" s="214" t="s">
        <v>224</v>
      </c>
    </row>
    <row r="7" spans="1:10" x14ac:dyDescent="0.3">
      <c r="A7" s="214"/>
    </row>
    <row r="8" spans="1:10" x14ac:dyDescent="0.3">
      <c r="B8" s="189" t="s">
        <v>286</v>
      </c>
    </row>
    <row r="9" spans="1:10" x14ac:dyDescent="0.3">
      <c r="B9" s="189" t="s">
        <v>225</v>
      </c>
    </row>
    <row r="11" spans="1:10" x14ac:dyDescent="0.3">
      <c r="B11" s="189" t="s">
        <v>226</v>
      </c>
    </row>
    <row r="12" spans="1:10" x14ac:dyDescent="0.3">
      <c r="B12" s="189" t="s">
        <v>227</v>
      </c>
    </row>
    <row r="13" spans="1:10" x14ac:dyDescent="0.3">
      <c r="B13" s="189" t="s">
        <v>228</v>
      </c>
    </row>
    <row r="15" spans="1:10" x14ac:dyDescent="0.3">
      <c r="B15" s="189" t="s">
        <v>229</v>
      </c>
    </row>
    <row r="17" spans="1:7" x14ac:dyDescent="0.3">
      <c r="B17" s="189" t="s">
        <v>230</v>
      </c>
    </row>
    <row r="19" spans="1:7" x14ac:dyDescent="0.3">
      <c r="B19" s="189" t="s">
        <v>231</v>
      </c>
    </row>
    <row r="21" spans="1:7" x14ac:dyDescent="0.3">
      <c r="B21" s="189" t="s">
        <v>287</v>
      </c>
    </row>
    <row r="24" spans="1:7" x14ac:dyDescent="0.3">
      <c r="B24" s="189" t="s">
        <v>232</v>
      </c>
      <c r="C24" s="85"/>
      <c r="D24" s="191" t="s">
        <v>233</v>
      </c>
      <c r="E24" s="85"/>
    </row>
    <row r="25" spans="1:7" x14ac:dyDescent="0.3">
      <c r="D25" s="215" t="s">
        <v>185</v>
      </c>
      <c r="E25" s="215" t="s">
        <v>234</v>
      </c>
    </row>
    <row r="26" spans="1:7" x14ac:dyDescent="0.3">
      <c r="C26" s="202">
        <v>0.03</v>
      </c>
      <c r="D26" s="189">
        <v>25510100</v>
      </c>
      <c r="E26" s="189">
        <v>69522000</v>
      </c>
    </row>
    <row r="27" spans="1:7" x14ac:dyDescent="0.3">
      <c r="C27" s="202">
        <v>0.04</v>
      </c>
      <c r="D27" s="189">
        <v>25510200</v>
      </c>
      <c r="E27" s="189">
        <v>69523000</v>
      </c>
    </row>
    <row r="28" spans="1:7" x14ac:dyDescent="0.3">
      <c r="C28" s="202">
        <v>0.1</v>
      </c>
      <c r="D28" s="189">
        <v>25510300</v>
      </c>
      <c r="E28" s="189">
        <v>69524000</v>
      </c>
    </row>
    <row r="29" spans="1:7" x14ac:dyDescent="0.3">
      <c r="C29" s="202"/>
    </row>
    <row r="31" spans="1:7" x14ac:dyDescent="0.3">
      <c r="A31" s="216" t="s">
        <v>50</v>
      </c>
      <c r="B31" s="203" t="s">
        <v>235</v>
      </c>
      <c r="C31" s="217" t="s">
        <v>236</v>
      </c>
      <c r="D31" s="217" t="s">
        <v>237</v>
      </c>
      <c r="E31" s="85"/>
      <c r="G31" s="203"/>
    </row>
    <row r="32" spans="1:7" x14ac:dyDescent="0.3">
      <c r="A32" s="153">
        <v>6.9599999999999995E-2</v>
      </c>
      <c r="B32" s="189" t="s">
        <v>238</v>
      </c>
      <c r="C32" s="164" t="s">
        <v>125</v>
      </c>
      <c r="D32" s="67" t="s">
        <v>239</v>
      </c>
      <c r="E32" s="81" t="s">
        <v>240</v>
      </c>
    </row>
    <row r="33" spans="1:8" x14ac:dyDescent="0.3">
      <c r="A33" s="153">
        <v>7.1499999999999994E-2</v>
      </c>
      <c r="B33" s="189" t="s">
        <v>238</v>
      </c>
      <c r="C33" s="164" t="s">
        <v>126</v>
      </c>
      <c r="D33" s="67" t="s">
        <v>239</v>
      </c>
      <c r="E33" s="81" t="s">
        <v>240</v>
      </c>
    </row>
    <row r="34" spans="1:8" x14ac:dyDescent="0.3">
      <c r="A34" s="153">
        <v>6.9900000000000004E-2</v>
      </c>
      <c r="B34" s="189" t="s">
        <v>238</v>
      </c>
      <c r="C34" s="164" t="s">
        <v>127</v>
      </c>
      <c r="D34" s="67" t="s">
        <v>239</v>
      </c>
      <c r="E34" s="81" t="s">
        <v>240</v>
      </c>
    </row>
    <row r="35" spans="1:8" x14ac:dyDescent="0.3">
      <c r="A35" s="153">
        <v>6.5930000000000002E-2</v>
      </c>
      <c r="B35" s="189" t="s">
        <v>238</v>
      </c>
      <c r="C35" s="164" t="s">
        <v>128</v>
      </c>
      <c r="D35" s="67" t="s">
        <v>241</v>
      </c>
      <c r="E35" s="81" t="s">
        <v>242</v>
      </c>
      <c r="G35" s="85"/>
    </row>
    <row r="36" spans="1:8" x14ac:dyDescent="0.3">
      <c r="A36" s="153">
        <v>6.25E-2</v>
      </c>
      <c r="B36" s="189" t="s">
        <v>238</v>
      </c>
      <c r="C36" s="164" t="s">
        <v>129</v>
      </c>
      <c r="D36" s="67" t="s">
        <v>241</v>
      </c>
      <c r="E36" s="81" t="s">
        <v>242</v>
      </c>
    </row>
    <row r="37" spans="1:8" x14ac:dyDescent="0.3">
      <c r="A37" s="153">
        <v>5.6250000000000001E-2</v>
      </c>
      <c r="B37" s="189" t="s">
        <v>238</v>
      </c>
      <c r="C37" s="164" t="s">
        <v>130</v>
      </c>
      <c r="D37" s="67" t="s">
        <v>241</v>
      </c>
      <c r="E37" s="81" t="s">
        <v>242</v>
      </c>
    </row>
    <row r="38" spans="1:8" x14ac:dyDescent="0.3">
      <c r="A38" s="153">
        <v>5.3749999999999999E-2</v>
      </c>
      <c r="B38" s="189" t="s">
        <v>238</v>
      </c>
      <c r="C38" s="164" t="s">
        <v>131</v>
      </c>
      <c r="D38" s="67" t="s">
        <v>241</v>
      </c>
      <c r="E38" s="81" t="s">
        <v>242</v>
      </c>
    </row>
    <row r="39" spans="1:8" x14ac:dyDescent="0.3">
      <c r="A39" s="153">
        <v>5.0500000000000003E-2</v>
      </c>
      <c r="B39" s="189" t="s">
        <v>238</v>
      </c>
      <c r="C39" s="164" t="s">
        <v>133</v>
      </c>
      <c r="D39" s="67" t="s">
        <v>241</v>
      </c>
      <c r="E39" s="81" t="s">
        <v>242</v>
      </c>
    </row>
    <row r="40" spans="1:8" ht="13.5" customHeight="1" x14ac:dyDescent="0.3">
      <c r="A40" s="153">
        <v>0.04</v>
      </c>
      <c r="B40" s="189" t="s">
        <v>238</v>
      </c>
      <c r="C40" s="85" t="s">
        <v>181</v>
      </c>
      <c r="D40" s="67" t="s">
        <v>241</v>
      </c>
      <c r="E40" s="81" t="s">
        <v>242</v>
      </c>
    </row>
    <row r="41" spans="1:8" ht="13.5" customHeight="1" x14ac:dyDescent="0.3">
      <c r="A41" s="153">
        <v>0.04</v>
      </c>
      <c r="B41" s="189" t="s">
        <v>238</v>
      </c>
      <c r="C41" s="85" t="s">
        <v>248</v>
      </c>
      <c r="D41" s="67" t="s">
        <v>241</v>
      </c>
      <c r="E41" s="81" t="s">
        <v>242</v>
      </c>
    </row>
    <row r="42" spans="1:8" ht="13.5" customHeight="1" x14ac:dyDescent="0.3">
      <c r="A42" s="153">
        <v>3.7499999999999999E-2</v>
      </c>
      <c r="B42" s="189" t="s">
        <v>238</v>
      </c>
      <c r="C42" s="85" t="s">
        <v>249</v>
      </c>
      <c r="D42" s="67" t="s">
        <v>241</v>
      </c>
      <c r="E42" s="81" t="s">
        <v>242</v>
      </c>
    </row>
    <row r="43" spans="1:8" ht="13.5" customHeight="1" x14ac:dyDescent="0.3">
      <c r="A43" s="85"/>
      <c r="B43" s="189" t="s">
        <v>238</v>
      </c>
      <c r="C43" s="85" t="s">
        <v>132</v>
      </c>
      <c r="D43" s="85" t="s">
        <v>243</v>
      </c>
      <c r="E43" s="81"/>
    </row>
    <row r="44" spans="1:8" x14ac:dyDescent="0.3">
      <c r="A44" s="153">
        <v>8.4699999999999998E-2</v>
      </c>
      <c r="B44" s="189" t="s">
        <v>244</v>
      </c>
      <c r="C44" s="85" t="s">
        <v>245</v>
      </c>
      <c r="D44" s="173" t="s">
        <v>246</v>
      </c>
      <c r="E44" s="81" t="s">
        <v>240</v>
      </c>
    </row>
    <row r="47" spans="1:8" x14ac:dyDescent="0.3">
      <c r="A47" s="85" t="s">
        <v>289</v>
      </c>
      <c r="B47" s="85"/>
      <c r="C47" s="85"/>
      <c r="D47" s="85"/>
      <c r="E47" s="85"/>
    </row>
    <row r="48" spans="1:8" x14ac:dyDescent="0.3">
      <c r="A48" s="189" t="s">
        <v>288</v>
      </c>
      <c r="F48" s="85"/>
      <c r="G48" s="85"/>
      <c r="H48" s="85"/>
    </row>
  </sheetData>
  <pageMargins left="0.7" right="0.7" top="0.75" bottom="0.75" header="0.3" footer="0.3"/>
  <pageSetup scale="82" orientation="portrait" horizontalDpi="1200" verticalDpi="12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933"/>
  <sheetViews>
    <sheetView zoomScaleNormal="100" workbookViewId="0"/>
  </sheetViews>
  <sheetFormatPr defaultColWidth="8.88671875" defaultRowHeight="15" customHeight="1" x14ac:dyDescent="0.25"/>
  <cols>
    <col min="1" max="1" width="28.6640625" style="20" customWidth="1"/>
    <col min="2" max="2" width="1.5546875" style="20" customWidth="1"/>
    <col min="3" max="3" width="18.88671875" style="20" customWidth="1"/>
    <col min="4" max="4" width="1.6640625" style="20" customWidth="1"/>
    <col min="5" max="5" width="34" style="20" bestFit="1" customWidth="1"/>
    <col min="6" max="6" width="1.5546875" style="20" customWidth="1"/>
    <col min="7" max="7" width="34.88671875" style="20" bestFit="1" customWidth="1"/>
    <col min="8" max="8" width="25" style="15" bestFit="1" customWidth="1"/>
    <col min="9" max="16384" width="8.88671875" style="15"/>
  </cols>
  <sheetData>
    <row r="1" spans="1:7" ht="15.6" x14ac:dyDescent="0.3">
      <c r="A1" s="46" t="str">
        <f>'[1]Rate Case Constants'!$C$9</f>
        <v>Kentucky American Water Company</v>
      </c>
      <c r="B1" s="27"/>
      <c r="C1" s="28"/>
      <c r="D1" s="28"/>
      <c r="E1"/>
      <c r="F1"/>
      <c r="G1" s="14"/>
    </row>
    <row r="2" spans="1:7" ht="15.6" x14ac:dyDescent="0.3">
      <c r="A2" s="46" t="str">
        <f>'[1]Rate Case Constants'!$C$10</f>
        <v>KENTUCKY AMERICAN WATER COMPANY</v>
      </c>
      <c r="B2" s="27"/>
      <c r="C2" s="28"/>
      <c r="D2" s="28"/>
      <c r="E2"/>
      <c r="F2"/>
      <c r="G2" s="14"/>
    </row>
    <row r="3" spans="1:7" ht="15.6" x14ac:dyDescent="0.3">
      <c r="A3" s="47" t="str">
        <f>'[1]Rate Case Constants'!$C$11</f>
        <v>Case No. 2018-00358</v>
      </c>
      <c r="B3" s="29"/>
      <c r="C3" s="28"/>
      <c r="D3" s="28"/>
      <c r="E3"/>
      <c r="F3"/>
      <c r="G3" s="14"/>
    </row>
    <row r="4" spans="1:7" x14ac:dyDescent="0.25">
      <c r="A4" s="30"/>
      <c r="B4" s="30"/>
      <c r="C4"/>
      <c r="D4"/>
      <c r="E4"/>
      <c r="F4"/>
      <c r="G4" s="14"/>
    </row>
    <row r="5" spans="1:7" ht="15.6" x14ac:dyDescent="0.3">
      <c r="A5" s="62" t="s">
        <v>119</v>
      </c>
      <c r="B5" s="52"/>
      <c r="C5" s="63" t="str">
        <f>'[1]Rate Case Constants'!$C$15</f>
        <v>Base Year for the 12 Months Ended February 28, 2019</v>
      </c>
      <c r="D5" s="31"/>
      <c r="E5"/>
      <c r="F5"/>
      <c r="G5" s="14"/>
    </row>
    <row r="6" spans="1:7" ht="15.6" x14ac:dyDescent="0.3">
      <c r="A6" s="32"/>
      <c r="B6" s="53"/>
      <c r="C6" s="63" t="s">
        <v>258</v>
      </c>
      <c r="D6" s="31"/>
      <c r="E6"/>
      <c r="F6"/>
      <c r="G6" s="14"/>
    </row>
    <row r="7" spans="1:7" ht="15.6" x14ac:dyDescent="0.3">
      <c r="A7" s="30"/>
      <c r="B7" s="54"/>
      <c r="C7" s="64">
        <f>'[1]Rate Case Constants'!$C$12</f>
        <v>43524</v>
      </c>
      <c r="D7" s="33"/>
      <c r="E7"/>
      <c r="F7"/>
      <c r="G7" s="14"/>
    </row>
    <row r="8" spans="1:7" ht="15.6" x14ac:dyDescent="0.3">
      <c r="A8" s="34"/>
      <c r="B8" s="55"/>
      <c r="C8" s="64"/>
      <c r="D8" s="33"/>
      <c r="E8" s="35"/>
      <c r="F8" s="35"/>
      <c r="G8" s="14"/>
    </row>
    <row r="9" spans="1:7" x14ac:dyDescent="0.25">
      <c r="A9" s="30"/>
      <c r="B9" s="54"/>
      <c r="C9" s="65"/>
      <c r="D9" s="31"/>
      <c r="E9"/>
      <c r="F9"/>
      <c r="G9" s="14"/>
    </row>
    <row r="10" spans="1:7" ht="15.6" x14ac:dyDescent="0.3">
      <c r="A10" s="62" t="s">
        <v>120</v>
      </c>
      <c r="B10" s="52"/>
      <c r="C10" s="63" t="str">
        <f>'[1]Rate Case Constants'!$C$17</f>
        <v>Forecast Year for the 12 Months Ended June 30, 2020</v>
      </c>
      <c r="D10" s="31"/>
      <c r="E10"/>
      <c r="F10"/>
      <c r="G10" s="14"/>
    </row>
    <row r="11" spans="1:7" ht="15.6" x14ac:dyDescent="0.3">
      <c r="A11" s="30"/>
      <c r="B11" s="54"/>
      <c r="C11" s="63" t="s">
        <v>259</v>
      </c>
      <c r="D11" s="31"/>
      <c r="E11"/>
      <c r="F11"/>
      <c r="G11" s="14"/>
    </row>
    <row r="12" spans="1:7" ht="15.6" x14ac:dyDescent="0.3">
      <c r="A12" s="30"/>
      <c r="B12" s="54"/>
      <c r="C12" s="63" t="s">
        <v>260</v>
      </c>
      <c r="D12" s="31"/>
      <c r="E12"/>
      <c r="F12"/>
      <c r="G12" s="14"/>
    </row>
    <row r="13" spans="1:7" ht="15.6" x14ac:dyDescent="0.3">
      <c r="A13" s="30"/>
      <c r="B13" s="54"/>
      <c r="C13" s="64" t="str">
        <f>'[1]Rate Case Constants'!$C$13</f>
        <v>June 30, 2020</v>
      </c>
      <c r="D13" s="33"/>
      <c r="E13"/>
      <c r="F13"/>
      <c r="G13" s="14"/>
    </row>
    <row r="14" spans="1:7" ht="15.6" x14ac:dyDescent="0.3">
      <c r="A14" s="16"/>
      <c r="B14" s="56"/>
      <c r="C14" s="64"/>
      <c r="D14" s="33"/>
      <c r="E14" s="14"/>
      <c r="F14" s="14"/>
      <c r="G14" s="14"/>
    </row>
    <row r="15" spans="1:7" x14ac:dyDescent="0.25">
      <c r="A15" s="16"/>
      <c r="B15" s="56"/>
      <c r="C15" s="66"/>
      <c r="D15" s="33"/>
      <c r="E15" s="14"/>
      <c r="F15" s="14"/>
      <c r="G15" s="14"/>
    </row>
    <row r="16" spans="1:7" ht="15.6" x14ac:dyDescent="0.3">
      <c r="A16" s="44" t="str">
        <f>'[1]Rate Case Constants'!$A$23</f>
        <v>Types of Filing:</v>
      </c>
      <c r="B16" s="56"/>
      <c r="C16" s="66"/>
      <c r="D16" s="33"/>
      <c r="E16" s="14"/>
      <c r="F16" s="14"/>
      <c r="G16" s="14"/>
    </row>
    <row r="17" spans="1:7" ht="15.6" x14ac:dyDescent="0.3">
      <c r="A17" s="45" t="str">
        <f>'[1]Rate Case Constants'!$C$24</f>
        <v>Type of Filing: __X__ Original  _____ Updated  _____ Revised</v>
      </c>
      <c r="B17" s="56"/>
      <c r="C17" s="64"/>
      <c r="D17" s="33"/>
      <c r="E17" s="14"/>
      <c r="F17" s="14"/>
      <c r="G17" s="14"/>
    </row>
    <row r="18" spans="1:7" ht="15.6" x14ac:dyDescent="0.3">
      <c r="A18" s="45" t="str">
        <f>'[1]Rate Case Constants'!$C$25</f>
        <v>Type of Filing: _____ Original  __X__ Updated  _____ Revised</v>
      </c>
      <c r="B18" s="56"/>
      <c r="C18" s="64"/>
      <c r="D18" s="33"/>
      <c r="E18" s="14"/>
      <c r="F18" s="14"/>
      <c r="G18" s="14"/>
    </row>
    <row r="19" spans="1:7" ht="15.6" x14ac:dyDescent="0.3">
      <c r="A19" s="45" t="str">
        <f>'[1]Rate Case Constants'!$C$26</f>
        <v>Type of Filing: _____ Original  _____ Updated  __X__ Revised</v>
      </c>
      <c r="B19" s="56"/>
      <c r="C19" s="64"/>
      <c r="D19" s="19"/>
      <c r="E19" s="18"/>
      <c r="F19" s="18"/>
      <c r="G19" s="14"/>
    </row>
    <row r="20" spans="1:7" ht="15.6" x14ac:dyDescent="0.3">
      <c r="A20" s="45"/>
      <c r="B20" s="56"/>
      <c r="C20" s="64"/>
      <c r="D20" s="19"/>
      <c r="E20" s="18"/>
      <c r="F20" s="18"/>
      <c r="G20" s="14"/>
    </row>
    <row r="21" spans="1:7" x14ac:dyDescent="0.25">
      <c r="A21" s="16"/>
      <c r="B21" s="56"/>
      <c r="C21" s="19"/>
      <c r="D21" s="19"/>
      <c r="E21" s="14"/>
      <c r="F21" s="14"/>
      <c r="G21" s="14"/>
    </row>
    <row r="22" spans="1:7" ht="15.6" x14ac:dyDescent="0.3">
      <c r="A22" s="13" t="str">
        <f>A2</f>
        <v>KENTUCKY AMERICAN WATER COMPANY</v>
      </c>
      <c r="B22" s="57"/>
      <c r="C22" s="19"/>
      <c r="D22" s="19"/>
      <c r="E22" s="14"/>
      <c r="F22" s="14"/>
      <c r="G22" s="14"/>
    </row>
    <row r="23" spans="1:7" ht="15.6" x14ac:dyDescent="0.3">
      <c r="A23" s="13"/>
      <c r="B23" s="57"/>
      <c r="C23" s="19"/>
      <c r="D23" s="19"/>
      <c r="E23" s="18"/>
      <c r="F23" s="18"/>
      <c r="G23" s="14"/>
    </row>
    <row r="24" spans="1:7" x14ac:dyDescent="0.25">
      <c r="A24" s="16" t="str">
        <f>'[1]Link Out WP'!$D$85</f>
        <v>13-Month Average</v>
      </c>
      <c r="B24" s="16"/>
      <c r="C24" s="16" t="str">
        <f>'[1]Link Out WP'!$F$85</f>
        <v>W/P - 7-1</v>
      </c>
      <c r="D24" s="19"/>
      <c r="E24" s="16"/>
      <c r="F24" s="14"/>
      <c r="G24" s="14"/>
    </row>
    <row r="25" spans="1:7" x14ac:dyDescent="0.25">
      <c r="A25" s="16" t="str">
        <f>'[1]Link Out WP'!$D$86</f>
        <v>Summary</v>
      </c>
      <c r="B25" s="56"/>
      <c r="C25" s="16" t="str">
        <f>'[1]Link Out WP'!$F$86</f>
        <v>W/P - 7-2</v>
      </c>
      <c r="D25" s="19"/>
      <c r="E25" s="14"/>
      <c r="F25" s="14"/>
      <c r="G25" s="14"/>
    </row>
    <row r="26" spans="1:7" x14ac:dyDescent="0.25">
      <c r="A26" s="16" t="str">
        <f>'[1]Link Out WP'!$D$87</f>
        <v>Short-Term Debt</v>
      </c>
      <c r="B26" s="56"/>
      <c r="C26" s="16" t="str">
        <f>'[1]Link Out WP'!$F$87</f>
        <v>W/P - 7-3</v>
      </c>
      <c r="D26" s="19"/>
      <c r="E26" s="14"/>
      <c r="F26" s="14"/>
      <c r="G26" s="14"/>
    </row>
    <row r="27" spans="1:7" x14ac:dyDescent="0.25">
      <c r="A27" s="16" t="str">
        <f>'[1]Link Out WP'!$D$88</f>
        <v>Long-Term Debt</v>
      </c>
      <c r="B27" s="56"/>
      <c r="C27" s="16" t="str">
        <f>'[1]Link Out WP'!$F$88</f>
        <v>W/P - 7-4</v>
      </c>
      <c r="D27" s="19"/>
      <c r="E27" s="14"/>
      <c r="F27" s="14"/>
      <c r="G27" s="14"/>
    </row>
    <row r="28" spans="1:7" x14ac:dyDescent="0.25">
      <c r="A28" s="16" t="str">
        <f>'[1]Link Out WP'!$D$89</f>
        <v>Preferred Stock</v>
      </c>
      <c r="B28" s="56"/>
      <c r="C28" s="16" t="str">
        <f>'[1]Link Out WP'!$F$89</f>
        <v>W/P - 7-5</v>
      </c>
      <c r="D28" s="19"/>
      <c r="E28" s="14"/>
      <c r="F28" s="14"/>
      <c r="G28" s="14"/>
    </row>
    <row r="29" spans="1:7" x14ac:dyDescent="0.25">
      <c r="A29" s="16" t="str">
        <f>'[1]Link Out WP'!$D$90</f>
        <v>Common Equity</v>
      </c>
      <c r="B29" s="56"/>
      <c r="C29" s="16" t="str">
        <f>'[1]Link Out WP'!$F$90</f>
        <v>W/P - 7-6</v>
      </c>
      <c r="D29" s="19"/>
      <c r="E29" s="14"/>
      <c r="F29" s="14"/>
      <c r="G29" s="14"/>
    </row>
    <row r="30" spans="1:7" x14ac:dyDescent="0.25">
      <c r="A30" s="16" t="str">
        <f>'[1]Link Out WP'!$D$91</f>
        <v>JDITC</v>
      </c>
      <c r="B30" s="56"/>
      <c r="C30" s="16" t="str">
        <f>'[1]Link Out WP'!$F$91</f>
        <v>W/P - 7-7</v>
      </c>
      <c r="D30" s="19"/>
      <c r="E30" s="14"/>
      <c r="F30" s="14"/>
      <c r="G30" s="14"/>
    </row>
    <row r="31" spans="1:7" x14ac:dyDescent="0.25">
      <c r="A31" s="16"/>
      <c r="B31" s="56"/>
      <c r="C31" s="16" t="str">
        <f>CONCATENATE(C24,","," 7-2")</f>
        <v>W/P - 7-1, 7-2</v>
      </c>
      <c r="D31" s="19"/>
      <c r="E31" s="14"/>
      <c r="F31" s="14"/>
      <c r="G31" s="14"/>
    </row>
    <row r="32" spans="1:7" x14ac:dyDescent="0.25">
      <c r="A32" s="16" t="s">
        <v>165</v>
      </c>
      <c r="B32" s="56"/>
      <c r="C32" s="19"/>
      <c r="D32" s="19"/>
      <c r="E32" s="14"/>
      <c r="F32" s="14"/>
      <c r="G32" s="14"/>
    </row>
    <row r="33" spans="1:7" x14ac:dyDescent="0.25">
      <c r="A33" s="19"/>
      <c r="B33" s="21"/>
      <c r="C33" s="19"/>
      <c r="D33" s="19"/>
      <c r="E33" s="14"/>
      <c r="F33" s="14"/>
      <c r="G33" s="14"/>
    </row>
    <row r="34" spans="1:7" x14ac:dyDescent="0.25">
      <c r="A34" s="17"/>
      <c r="B34" s="58"/>
      <c r="C34" s="19"/>
      <c r="D34" s="19"/>
      <c r="E34" s="14"/>
      <c r="F34" s="14"/>
      <c r="G34" s="14"/>
    </row>
    <row r="35" spans="1:7" x14ac:dyDescent="0.25">
      <c r="A35" s="19"/>
      <c r="B35" s="21"/>
      <c r="C35" s="19"/>
      <c r="D35" s="19"/>
      <c r="E35" s="18"/>
      <c r="F35" s="18"/>
      <c r="G35" s="14"/>
    </row>
    <row r="36" spans="1:7" x14ac:dyDescent="0.25">
      <c r="A36" s="59" t="s">
        <v>161</v>
      </c>
      <c r="B36" s="60"/>
      <c r="C36" s="61" t="s">
        <v>162</v>
      </c>
      <c r="D36" s="60"/>
      <c r="E36" s="61" t="s">
        <v>163</v>
      </c>
      <c r="F36" s="60"/>
      <c r="G36" s="61" t="s">
        <v>164</v>
      </c>
    </row>
    <row r="37" spans="1:7" x14ac:dyDescent="0.25">
      <c r="A37" s="19"/>
      <c r="B37" s="21"/>
      <c r="C37" s="19"/>
      <c r="D37" s="19"/>
      <c r="E37" s="14"/>
      <c r="F37" s="14"/>
      <c r="G37" s="14" t="s">
        <v>137</v>
      </c>
    </row>
    <row r="38" spans="1:7" ht="15.6" x14ac:dyDescent="0.3">
      <c r="A38" s="48" t="s">
        <v>115</v>
      </c>
      <c r="B38" s="48"/>
      <c r="C38" s="48">
        <v>1</v>
      </c>
      <c r="D38" s="25"/>
      <c r="E38" s="45" t="s">
        <v>171</v>
      </c>
      <c r="F38" s="45"/>
      <c r="G38" s="50" t="str">
        <f>'[1]Rate Case Constants'!$C$42</f>
        <v>Witness Responsible:   Scott Rungren</v>
      </c>
    </row>
    <row r="39" spans="1:7" ht="15.6" x14ac:dyDescent="0.3">
      <c r="A39" s="49" t="s">
        <v>116</v>
      </c>
      <c r="B39" s="49"/>
      <c r="C39" s="49">
        <v>1</v>
      </c>
      <c r="D39" s="26"/>
      <c r="E39" s="45" t="s">
        <v>171</v>
      </c>
      <c r="F39" s="51"/>
      <c r="G39" s="50" t="str">
        <f>G38</f>
        <v>Witness Responsible:   Scott Rungren</v>
      </c>
    </row>
    <row r="40" spans="1:7" ht="15.6" x14ac:dyDescent="0.3">
      <c r="A40" s="49"/>
      <c r="B40" s="49"/>
      <c r="C40" s="49">
        <v>2</v>
      </c>
      <c r="D40" s="26"/>
      <c r="E40" s="45" t="s">
        <v>171</v>
      </c>
      <c r="F40" s="51"/>
      <c r="G40" s="50" t="str">
        <f t="shared" ref="G40:G46" si="0">G39</f>
        <v>Witness Responsible:   Scott Rungren</v>
      </c>
    </row>
    <row r="41" spans="1:7" ht="15.6" x14ac:dyDescent="0.3">
      <c r="A41" s="49" t="s">
        <v>117</v>
      </c>
      <c r="B41" s="49"/>
      <c r="C41" s="49">
        <v>1</v>
      </c>
      <c r="D41" s="26"/>
      <c r="E41" s="51" t="s">
        <v>172</v>
      </c>
      <c r="F41" s="51"/>
      <c r="G41" s="50" t="str">
        <f t="shared" si="0"/>
        <v>Witness Responsible:   Scott Rungren</v>
      </c>
    </row>
    <row r="42" spans="1:7" ht="15.6" x14ac:dyDescent="0.3">
      <c r="A42" s="49"/>
      <c r="B42" s="49"/>
      <c r="C42" s="49">
        <v>2</v>
      </c>
      <c r="D42" s="26"/>
      <c r="E42" s="51" t="s">
        <v>172</v>
      </c>
      <c r="F42" s="51"/>
      <c r="G42" s="50" t="str">
        <f t="shared" si="0"/>
        <v>Witness Responsible:   Scott Rungren</v>
      </c>
    </row>
    <row r="43" spans="1:7" ht="15.6" x14ac:dyDescent="0.3">
      <c r="A43" s="49" t="s">
        <v>118</v>
      </c>
      <c r="B43" s="49"/>
      <c r="C43" s="49">
        <v>1</v>
      </c>
      <c r="D43" s="26"/>
      <c r="E43" s="51" t="s">
        <v>173</v>
      </c>
      <c r="F43" s="51"/>
      <c r="G43" s="50" t="str">
        <f t="shared" si="0"/>
        <v>Witness Responsible:   Scott Rungren</v>
      </c>
    </row>
    <row r="44" spans="1:7" ht="15.6" x14ac:dyDescent="0.3">
      <c r="A44" s="49"/>
      <c r="B44" s="49"/>
      <c r="C44" s="49">
        <v>2</v>
      </c>
      <c r="D44" s="26"/>
      <c r="E44" s="51" t="s">
        <v>173</v>
      </c>
      <c r="F44" s="51"/>
      <c r="G44" s="50" t="str">
        <f t="shared" si="0"/>
        <v>Witness Responsible:   Scott Rungren</v>
      </c>
    </row>
    <row r="45" spans="1:7" ht="15.6" x14ac:dyDescent="0.3">
      <c r="A45" s="49" t="s">
        <v>207</v>
      </c>
      <c r="B45" s="21"/>
      <c r="C45" s="21">
        <v>1</v>
      </c>
      <c r="D45" s="21"/>
      <c r="E45" s="51" t="s">
        <v>174</v>
      </c>
      <c r="F45" s="23"/>
      <c r="G45" s="50" t="str">
        <f t="shared" si="0"/>
        <v>Witness Responsible:   Scott Rungren</v>
      </c>
    </row>
    <row r="46" spans="1:7" ht="15.6" x14ac:dyDescent="0.3">
      <c r="A46" s="21"/>
      <c r="B46" s="21"/>
      <c r="C46" s="21">
        <v>2</v>
      </c>
      <c r="D46" s="21"/>
      <c r="E46" s="51" t="s">
        <v>174</v>
      </c>
      <c r="F46" s="22"/>
      <c r="G46" s="50" t="str">
        <f t="shared" si="0"/>
        <v>Witness Responsible:   Scott Rungren</v>
      </c>
    </row>
    <row r="47" spans="1:7" x14ac:dyDescent="0.25">
      <c r="A47" s="21"/>
      <c r="B47" s="21"/>
      <c r="C47" s="21"/>
      <c r="D47" s="21"/>
      <c r="E47" s="23"/>
      <c r="F47" s="23"/>
      <c r="G47" s="23"/>
    </row>
    <row r="48" spans="1:7" x14ac:dyDescent="0.25">
      <c r="A48" s="21"/>
      <c r="B48" s="21"/>
      <c r="C48" s="21"/>
      <c r="D48" s="21"/>
      <c r="E48" s="22"/>
      <c r="F48" s="22"/>
      <c r="G48" s="23"/>
    </row>
    <row r="49" spans="1:7" x14ac:dyDescent="0.25">
      <c r="A49" s="239" t="s">
        <v>291</v>
      </c>
      <c r="B49" s="21"/>
      <c r="C49" s="21"/>
      <c r="D49" s="21"/>
      <c r="E49" s="23"/>
      <c r="F49" s="23"/>
      <c r="G49" s="23"/>
    </row>
    <row r="50" spans="1:7" x14ac:dyDescent="0.25">
      <c r="A50" s="239"/>
      <c r="B50" s="21"/>
      <c r="C50" s="21"/>
      <c r="D50" s="21"/>
      <c r="E50" s="22"/>
      <c r="F50" s="22"/>
      <c r="G50" s="23"/>
    </row>
    <row r="51" spans="1:7" x14ac:dyDescent="0.25">
      <c r="A51" s="239" t="s">
        <v>292</v>
      </c>
      <c r="B51" s="21"/>
      <c r="C51" s="240">
        <v>441122362.12330645</v>
      </c>
      <c r="D51" s="21"/>
      <c r="E51" s="23"/>
      <c r="F51" s="23"/>
      <c r="G51" s="23"/>
    </row>
    <row r="52" spans="1:7" x14ac:dyDescent="0.25">
      <c r="A52" s="239" t="s">
        <v>293</v>
      </c>
      <c r="B52" s="21"/>
      <c r="C52" s="241">
        <v>439040641.14268005</v>
      </c>
      <c r="D52" s="21"/>
      <c r="E52" s="22"/>
      <c r="F52" s="22"/>
      <c r="G52" s="23"/>
    </row>
    <row r="53" spans="1:7" x14ac:dyDescent="0.25">
      <c r="A53" s="21"/>
      <c r="B53" s="21"/>
      <c r="C53" s="21"/>
      <c r="D53" s="21"/>
      <c r="E53" s="23"/>
      <c r="F53" s="23"/>
      <c r="G53" s="23"/>
    </row>
    <row r="54" spans="1:7" x14ac:dyDescent="0.25">
      <c r="A54" s="21"/>
      <c r="B54" s="21"/>
      <c r="C54" s="21"/>
      <c r="D54" s="21"/>
      <c r="E54" s="22"/>
      <c r="F54" s="22"/>
      <c r="G54" s="23"/>
    </row>
    <row r="55" spans="1:7" x14ac:dyDescent="0.25">
      <c r="A55" s="21"/>
      <c r="B55" s="21"/>
      <c r="C55" s="21"/>
      <c r="D55" s="21"/>
      <c r="E55" s="23"/>
      <c r="F55" s="23"/>
      <c r="G55" s="23"/>
    </row>
    <row r="56" spans="1:7" x14ac:dyDescent="0.25">
      <c r="A56" s="21"/>
      <c r="B56" s="21"/>
      <c r="C56" s="21"/>
      <c r="D56" s="21"/>
      <c r="E56" s="22"/>
      <c r="F56" s="22"/>
      <c r="G56" s="23"/>
    </row>
    <row r="57" spans="1:7" x14ac:dyDescent="0.25">
      <c r="A57" s="21"/>
      <c r="B57" s="21"/>
      <c r="C57" s="21"/>
      <c r="D57" s="21"/>
      <c r="E57" s="23"/>
      <c r="F57" s="23"/>
      <c r="G57" s="23"/>
    </row>
    <row r="58" spans="1:7" x14ac:dyDescent="0.25">
      <c r="A58" s="21"/>
      <c r="B58" s="21"/>
      <c r="C58" s="21"/>
      <c r="D58" s="21"/>
      <c r="E58" s="23"/>
      <c r="F58" s="23"/>
      <c r="G58" s="23"/>
    </row>
    <row r="59" spans="1:7" x14ac:dyDescent="0.25">
      <c r="A59" s="21"/>
      <c r="B59" s="21"/>
      <c r="C59" s="21"/>
      <c r="D59" s="21"/>
      <c r="E59" s="23"/>
      <c r="F59" s="23"/>
      <c r="G59" s="23"/>
    </row>
    <row r="60" spans="1:7" x14ac:dyDescent="0.25">
      <c r="A60" s="21"/>
      <c r="B60" s="21"/>
      <c r="C60" s="21"/>
      <c r="D60" s="21"/>
      <c r="E60" s="23"/>
      <c r="F60" s="23"/>
      <c r="G60" s="23"/>
    </row>
    <row r="61" spans="1:7" x14ac:dyDescent="0.25">
      <c r="A61" s="21"/>
      <c r="B61" s="21"/>
      <c r="C61" s="21"/>
      <c r="D61" s="21"/>
      <c r="E61" s="23"/>
      <c r="F61" s="23"/>
      <c r="G61" s="23"/>
    </row>
    <row r="62" spans="1:7" x14ac:dyDescent="0.25">
      <c r="A62" s="21"/>
      <c r="B62" s="21"/>
      <c r="C62" s="21"/>
      <c r="D62" s="21"/>
      <c r="E62" s="23"/>
      <c r="F62" s="23"/>
      <c r="G62" s="23"/>
    </row>
    <row r="63" spans="1:7" x14ac:dyDescent="0.25">
      <c r="A63" s="21"/>
      <c r="B63" s="21"/>
      <c r="C63" s="21"/>
      <c r="D63" s="21"/>
      <c r="E63" s="23"/>
      <c r="F63" s="23"/>
      <c r="G63" s="23"/>
    </row>
    <row r="64" spans="1:7" x14ac:dyDescent="0.25">
      <c r="A64" s="21"/>
      <c r="B64" s="21"/>
      <c r="C64" s="21"/>
      <c r="D64" s="21"/>
      <c r="E64" s="23"/>
      <c r="F64" s="23"/>
      <c r="G64" s="23"/>
    </row>
    <row r="65" spans="1:7" x14ac:dyDescent="0.25">
      <c r="A65" s="21"/>
      <c r="B65" s="21"/>
      <c r="C65" s="21"/>
      <c r="D65" s="21"/>
      <c r="E65" s="23"/>
      <c r="F65" s="23"/>
      <c r="G65" s="23"/>
    </row>
    <row r="66" spans="1:7" x14ac:dyDescent="0.25">
      <c r="A66" s="21"/>
      <c r="B66" s="21"/>
      <c r="C66" s="21"/>
      <c r="D66" s="21"/>
      <c r="E66" s="23"/>
      <c r="F66" s="23"/>
      <c r="G66" s="23"/>
    </row>
    <row r="67" spans="1:7" x14ac:dyDescent="0.25">
      <c r="A67" s="21"/>
      <c r="B67" s="21"/>
      <c r="C67" s="21"/>
      <c r="D67" s="21"/>
      <c r="E67" s="23"/>
      <c r="F67" s="23"/>
      <c r="G67" s="23"/>
    </row>
    <row r="68" spans="1:7" x14ac:dyDescent="0.25">
      <c r="A68" s="21"/>
      <c r="B68" s="21"/>
      <c r="C68" s="21"/>
      <c r="D68" s="21"/>
      <c r="E68" s="23"/>
      <c r="F68" s="23"/>
      <c r="G68" s="23"/>
    </row>
    <row r="69" spans="1:7" x14ac:dyDescent="0.25">
      <c r="A69" s="21"/>
      <c r="B69" s="21"/>
      <c r="C69" s="21"/>
      <c r="D69" s="21"/>
      <c r="E69" s="23"/>
      <c r="F69" s="23"/>
      <c r="G69" s="23"/>
    </row>
    <row r="70" spans="1:7" x14ac:dyDescent="0.25">
      <c r="A70" s="21"/>
      <c r="B70" s="21"/>
      <c r="C70" s="21"/>
      <c r="D70" s="21"/>
      <c r="E70" s="23"/>
      <c r="F70" s="23"/>
      <c r="G70" s="23"/>
    </row>
    <row r="71" spans="1:7" x14ac:dyDescent="0.25">
      <c r="A71" s="21"/>
      <c r="B71" s="21"/>
      <c r="C71" s="21"/>
      <c r="D71" s="21"/>
      <c r="E71" s="23"/>
      <c r="F71" s="23"/>
      <c r="G71" s="23"/>
    </row>
    <row r="72" spans="1:7" x14ac:dyDescent="0.25">
      <c r="A72" s="21"/>
      <c r="B72" s="21"/>
      <c r="C72" s="21"/>
      <c r="D72" s="21"/>
      <c r="E72" s="23"/>
      <c r="F72" s="23"/>
      <c r="G72" s="23"/>
    </row>
    <row r="73" spans="1:7" x14ac:dyDescent="0.25">
      <c r="A73" s="21"/>
      <c r="B73" s="21"/>
      <c r="C73" s="21"/>
      <c r="D73" s="21"/>
      <c r="E73" s="23"/>
      <c r="F73" s="23"/>
      <c r="G73" s="23"/>
    </row>
    <row r="74" spans="1:7" x14ac:dyDescent="0.25">
      <c r="A74" s="21"/>
      <c r="B74" s="21"/>
      <c r="C74" s="21"/>
      <c r="D74" s="21"/>
      <c r="E74" s="23"/>
      <c r="F74" s="23"/>
      <c r="G74" s="23"/>
    </row>
    <row r="75" spans="1:7" x14ac:dyDescent="0.25">
      <c r="A75" s="21"/>
      <c r="B75" s="21"/>
      <c r="C75" s="21"/>
      <c r="D75" s="21"/>
      <c r="E75" s="23"/>
      <c r="F75" s="23"/>
      <c r="G75" s="23"/>
    </row>
    <row r="76" spans="1:7" x14ac:dyDescent="0.25">
      <c r="A76" s="21"/>
      <c r="B76" s="21"/>
      <c r="C76" s="21"/>
      <c r="D76" s="21"/>
      <c r="E76" s="23"/>
      <c r="F76" s="23"/>
      <c r="G76" s="23"/>
    </row>
    <row r="77" spans="1:7" x14ac:dyDescent="0.25">
      <c r="A77" s="21"/>
      <c r="B77" s="21"/>
      <c r="C77" s="21"/>
      <c r="D77" s="21"/>
      <c r="E77" s="23"/>
      <c r="F77" s="23"/>
      <c r="G77" s="23"/>
    </row>
    <row r="78" spans="1:7" x14ac:dyDescent="0.25">
      <c r="A78" s="21"/>
      <c r="B78" s="21"/>
      <c r="C78" s="21"/>
      <c r="D78" s="21"/>
      <c r="E78" s="23"/>
      <c r="F78" s="23"/>
      <c r="G78" s="23"/>
    </row>
    <row r="79" spans="1:7" x14ac:dyDescent="0.25">
      <c r="A79" s="21"/>
      <c r="B79" s="21"/>
      <c r="C79" s="21"/>
      <c r="D79" s="21"/>
      <c r="E79" s="23"/>
      <c r="F79" s="23"/>
      <c r="G79" s="23"/>
    </row>
    <row r="80" spans="1:7" x14ac:dyDescent="0.25">
      <c r="A80" s="21"/>
      <c r="B80" s="21"/>
      <c r="C80" s="21"/>
      <c r="D80" s="21"/>
      <c r="E80" s="23"/>
      <c r="F80" s="23"/>
      <c r="G80" s="23"/>
    </row>
    <row r="81" spans="1:7" x14ac:dyDescent="0.25">
      <c r="A81" s="21"/>
      <c r="B81" s="21"/>
      <c r="C81" s="21"/>
      <c r="D81" s="21"/>
      <c r="E81" s="23"/>
      <c r="F81" s="23"/>
      <c r="G81" s="23"/>
    </row>
    <row r="82" spans="1:7" x14ac:dyDescent="0.25">
      <c r="A82" s="21"/>
      <c r="B82" s="21"/>
      <c r="C82" s="21"/>
      <c r="D82" s="21"/>
      <c r="E82" s="23"/>
      <c r="F82" s="23"/>
      <c r="G82" s="23"/>
    </row>
    <row r="83" spans="1:7" x14ac:dyDescent="0.25">
      <c r="A83" s="21"/>
      <c r="B83" s="21"/>
      <c r="C83" s="21"/>
      <c r="D83" s="21"/>
      <c r="E83" s="23"/>
      <c r="F83" s="23"/>
      <c r="G83" s="23"/>
    </row>
    <row r="84" spans="1:7" x14ac:dyDescent="0.25">
      <c r="A84" s="21"/>
      <c r="B84" s="21"/>
      <c r="C84" s="21"/>
      <c r="D84" s="21"/>
      <c r="E84" s="23"/>
      <c r="F84" s="23"/>
      <c r="G84" s="23"/>
    </row>
    <row r="85" spans="1:7" x14ac:dyDescent="0.25">
      <c r="A85" s="21"/>
      <c r="B85" s="21"/>
      <c r="C85" s="21"/>
      <c r="D85" s="21"/>
      <c r="E85" s="23"/>
      <c r="F85" s="23"/>
      <c r="G85" s="23"/>
    </row>
    <row r="86" spans="1:7" x14ac:dyDescent="0.25">
      <c r="A86" s="21"/>
      <c r="B86" s="21"/>
      <c r="C86" s="21"/>
      <c r="D86" s="21"/>
      <c r="E86" s="23"/>
      <c r="F86" s="23"/>
      <c r="G86" s="23"/>
    </row>
    <row r="87" spans="1:7" x14ac:dyDescent="0.25">
      <c r="A87" s="21"/>
      <c r="B87" s="21"/>
      <c r="C87" s="21"/>
      <c r="D87" s="21"/>
      <c r="E87" s="23"/>
      <c r="F87" s="23"/>
      <c r="G87" s="23"/>
    </row>
    <row r="88" spans="1:7" x14ac:dyDescent="0.25">
      <c r="A88" s="21"/>
      <c r="B88" s="21"/>
      <c r="C88" s="21"/>
      <c r="D88" s="21"/>
      <c r="E88" s="23"/>
      <c r="F88" s="23"/>
      <c r="G88" s="23"/>
    </row>
    <row r="89" spans="1:7" x14ac:dyDescent="0.25">
      <c r="A89" s="21"/>
      <c r="B89" s="21"/>
      <c r="C89" s="21"/>
      <c r="D89" s="21"/>
      <c r="E89" s="23"/>
      <c r="F89" s="23"/>
      <c r="G89" s="23"/>
    </row>
    <row r="90" spans="1:7" x14ac:dyDescent="0.25">
      <c r="A90" s="21"/>
      <c r="B90" s="21"/>
      <c r="C90" s="21"/>
      <c r="D90" s="21"/>
      <c r="E90" s="23"/>
      <c r="F90" s="23"/>
      <c r="G90" s="23"/>
    </row>
    <row r="91" spans="1:7" x14ac:dyDescent="0.25">
      <c r="A91" s="21"/>
      <c r="B91" s="21"/>
      <c r="C91" s="21"/>
      <c r="D91" s="21"/>
      <c r="E91" s="23"/>
      <c r="F91" s="23"/>
      <c r="G91" s="23"/>
    </row>
    <row r="92" spans="1:7" x14ac:dyDescent="0.25">
      <c r="A92" s="21"/>
      <c r="B92" s="21"/>
      <c r="C92" s="21"/>
      <c r="D92" s="21"/>
      <c r="E92" s="23"/>
      <c r="F92" s="23"/>
      <c r="G92" s="23"/>
    </row>
    <row r="93" spans="1:7" x14ac:dyDescent="0.25">
      <c r="A93" s="21"/>
      <c r="B93" s="21"/>
      <c r="C93" s="21"/>
      <c r="D93" s="21"/>
      <c r="E93" s="23"/>
      <c r="F93" s="23"/>
      <c r="G93" s="23"/>
    </row>
    <row r="94" spans="1:7" x14ac:dyDescent="0.25">
      <c r="A94" s="21"/>
      <c r="B94" s="21"/>
      <c r="C94" s="21"/>
      <c r="D94" s="21"/>
      <c r="E94" s="23"/>
      <c r="F94" s="23"/>
      <c r="G94" s="23"/>
    </row>
    <row r="95" spans="1:7" x14ac:dyDescent="0.25">
      <c r="A95" s="21"/>
      <c r="B95" s="21"/>
      <c r="C95" s="21"/>
      <c r="D95" s="21"/>
      <c r="E95" s="23"/>
      <c r="F95" s="23"/>
      <c r="G95" s="23"/>
    </row>
    <row r="96" spans="1:7" x14ac:dyDescent="0.25">
      <c r="A96" s="21"/>
      <c r="B96" s="21"/>
      <c r="C96" s="21"/>
      <c r="D96" s="21"/>
      <c r="E96" s="23"/>
      <c r="F96" s="23"/>
      <c r="G96" s="23"/>
    </row>
    <row r="97" spans="1:7" x14ac:dyDescent="0.25">
      <c r="A97" s="21"/>
      <c r="B97" s="21"/>
      <c r="C97" s="21"/>
      <c r="D97" s="21"/>
      <c r="E97" s="23"/>
      <c r="F97" s="23"/>
      <c r="G97" s="23"/>
    </row>
    <row r="98" spans="1:7" x14ac:dyDescent="0.25">
      <c r="A98" s="21"/>
      <c r="B98" s="21"/>
      <c r="C98" s="21"/>
      <c r="D98" s="21"/>
      <c r="E98" s="23"/>
      <c r="F98" s="23"/>
      <c r="G98" s="23"/>
    </row>
    <row r="99" spans="1:7" x14ac:dyDescent="0.25">
      <c r="A99" s="21"/>
      <c r="B99" s="21"/>
      <c r="C99" s="21"/>
      <c r="D99" s="21"/>
      <c r="E99" s="23"/>
      <c r="F99" s="23"/>
      <c r="G99" s="23"/>
    </row>
    <row r="100" spans="1:7" x14ac:dyDescent="0.25">
      <c r="A100" s="21"/>
      <c r="B100" s="21"/>
      <c r="C100" s="21"/>
      <c r="D100" s="21"/>
      <c r="E100" s="23"/>
      <c r="F100" s="23"/>
      <c r="G100" s="23"/>
    </row>
    <row r="101" spans="1:7" x14ac:dyDescent="0.25">
      <c r="A101" s="21"/>
      <c r="B101" s="21"/>
      <c r="C101" s="21"/>
      <c r="D101" s="21"/>
      <c r="E101" s="23"/>
      <c r="F101" s="23"/>
      <c r="G101" s="23"/>
    </row>
    <row r="102" spans="1:7" x14ac:dyDescent="0.25">
      <c r="A102" s="21"/>
      <c r="B102" s="21"/>
      <c r="C102" s="21"/>
      <c r="D102" s="21"/>
      <c r="E102" s="23"/>
      <c r="F102" s="23"/>
      <c r="G102" s="23"/>
    </row>
    <row r="103" spans="1:7" x14ac:dyDescent="0.25">
      <c r="A103" s="21"/>
      <c r="B103" s="21"/>
      <c r="C103" s="21"/>
      <c r="D103" s="21"/>
      <c r="E103" s="23"/>
      <c r="F103" s="23"/>
      <c r="G103" s="23"/>
    </row>
    <row r="104" spans="1:7" x14ac:dyDescent="0.25">
      <c r="A104" s="21"/>
      <c r="B104" s="21"/>
      <c r="C104" s="21"/>
      <c r="D104" s="21"/>
      <c r="E104" s="23"/>
      <c r="F104" s="23"/>
      <c r="G104" s="23"/>
    </row>
    <row r="105" spans="1:7" x14ac:dyDescent="0.25">
      <c r="A105" s="21"/>
      <c r="B105" s="21"/>
      <c r="C105" s="21"/>
      <c r="D105" s="21"/>
      <c r="E105" s="23"/>
      <c r="F105" s="23"/>
      <c r="G105" s="23"/>
    </row>
    <row r="106" spans="1:7" x14ac:dyDescent="0.25">
      <c r="A106" s="21"/>
      <c r="B106" s="21"/>
      <c r="C106" s="21"/>
      <c r="D106" s="21"/>
      <c r="E106" s="23"/>
      <c r="F106" s="23"/>
      <c r="G106" s="23"/>
    </row>
    <row r="107" spans="1:7" x14ac:dyDescent="0.25">
      <c r="A107" s="21"/>
      <c r="B107" s="21"/>
      <c r="C107" s="21"/>
      <c r="D107" s="21"/>
      <c r="E107" s="23"/>
      <c r="F107" s="23"/>
      <c r="G107" s="23"/>
    </row>
    <row r="108" spans="1:7" x14ac:dyDescent="0.25">
      <c r="A108" s="21"/>
      <c r="B108" s="21"/>
      <c r="C108" s="21"/>
      <c r="D108" s="21"/>
      <c r="E108" s="23"/>
      <c r="F108" s="23"/>
      <c r="G108" s="23"/>
    </row>
    <row r="109" spans="1:7" x14ac:dyDescent="0.25">
      <c r="A109" s="21"/>
      <c r="B109" s="21"/>
      <c r="C109" s="21"/>
      <c r="D109" s="21"/>
      <c r="E109" s="23"/>
      <c r="F109" s="23"/>
      <c r="G109" s="23"/>
    </row>
    <row r="110" spans="1:7" x14ac:dyDescent="0.25">
      <c r="A110" s="21"/>
      <c r="B110" s="21"/>
      <c r="C110" s="21"/>
      <c r="D110" s="21"/>
      <c r="E110" s="23"/>
      <c r="F110" s="23"/>
      <c r="G110" s="23"/>
    </row>
    <row r="111" spans="1:7" x14ac:dyDescent="0.25">
      <c r="A111" s="21"/>
      <c r="B111" s="21"/>
      <c r="C111" s="21"/>
      <c r="D111" s="21"/>
      <c r="E111" s="23"/>
      <c r="F111" s="23"/>
      <c r="G111" s="23"/>
    </row>
    <row r="112" spans="1:7" x14ac:dyDescent="0.25">
      <c r="A112" s="21"/>
      <c r="B112" s="21"/>
      <c r="C112" s="21"/>
      <c r="D112" s="21"/>
      <c r="E112" s="23"/>
      <c r="F112" s="23"/>
      <c r="G112" s="23"/>
    </row>
    <row r="113" spans="1:7" x14ac:dyDescent="0.25">
      <c r="A113" s="21"/>
      <c r="B113" s="21"/>
      <c r="C113" s="21"/>
      <c r="D113" s="21"/>
      <c r="E113" s="23"/>
      <c r="F113" s="23"/>
      <c r="G113" s="23"/>
    </row>
    <row r="114" spans="1:7" x14ac:dyDescent="0.25">
      <c r="A114" s="21"/>
      <c r="B114" s="21"/>
      <c r="C114" s="21"/>
      <c r="D114" s="21"/>
      <c r="E114" s="23"/>
      <c r="F114" s="23"/>
      <c r="G114" s="23"/>
    </row>
    <row r="115" spans="1:7" x14ac:dyDescent="0.25">
      <c r="A115" s="21"/>
      <c r="B115" s="21"/>
      <c r="C115" s="21"/>
      <c r="D115" s="21"/>
      <c r="E115" s="23"/>
      <c r="F115" s="23"/>
      <c r="G115" s="23"/>
    </row>
    <row r="116" spans="1:7" x14ac:dyDescent="0.25">
      <c r="A116" s="21"/>
      <c r="B116" s="21"/>
      <c r="C116" s="21"/>
      <c r="D116" s="21"/>
      <c r="E116" s="23"/>
      <c r="F116" s="23"/>
      <c r="G116" s="23"/>
    </row>
    <row r="117" spans="1:7" x14ac:dyDescent="0.25">
      <c r="A117" s="21"/>
      <c r="B117" s="21"/>
      <c r="C117" s="21"/>
      <c r="D117" s="21"/>
      <c r="E117" s="23"/>
      <c r="F117" s="23"/>
      <c r="G117" s="23"/>
    </row>
    <row r="118" spans="1:7" x14ac:dyDescent="0.25">
      <c r="A118" s="21"/>
      <c r="B118" s="21"/>
      <c r="C118" s="21"/>
      <c r="D118" s="21"/>
      <c r="E118" s="23"/>
      <c r="F118" s="23"/>
      <c r="G118" s="23"/>
    </row>
    <row r="119" spans="1:7" x14ac:dyDescent="0.25">
      <c r="A119" s="21"/>
      <c r="B119" s="21"/>
      <c r="C119" s="21"/>
      <c r="D119" s="21"/>
      <c r="E119" s="23"/>
      <c r="F119" s="23"/>
      <c r="G119" s="23"/>
    </row>
    <row r="120" spans="1:7" x14ac:dyDescent="0.25">
      <c r="A120" s="21"/>
      <c r="B120" s="21"/>
      <c r="C120" s="21"/>
      <c r="D120" s="21"/>
      <c r="E120" s="23"/>
      <c r="F120" s="23"/>
      <c r="G120" s="23"/>
    </row>
    <row r="121" spans="1:7" x14ac:dyDescent="0.25">
      <c r="A121" s="21"/>
      <c r="B121" s="21"/>
      <c r="C121" s="21"/>
      <c r="D121" s="21"/>
      <c r="E121" s="23"/>
      <c r="F121" s="23"/>
      <c r="G121" s="23"/>
    </row>
    <row r="122" spans="1:7" x14ac:dyDescent="0.25">
      <c r="A122" s="21"/>
      <c r="B122" s="21"/>
      <c r="C122" s="21"/>
      <c r="D122" s="21"/>
      <c r="E122" s="23"/>
      <c r="F122" s="23"/>
      <c r="G122" s="23"/>
    </row>
    <row r="123" spans="1:7" x14ac:dyDescent="0.25">
      <c r="A123" s="21"/>
      <c r="B123" s="21"/>
      <c r="C123" s="21"/>
      <c r="D123" s="21"/>
      <c r="E123" s="23"/>
      <c r="F123" s="23"/>
      <c r="G123" s="23"/>
    </row>
    <row r="124" spans="1:7" x14ac:dyDescent="0.25">
      <c r="A124" s="21"/>
      <c r="B124" s="21"/>
      <c r="C124" s="21"/>
      <c r="D124" s="21"/>
      <c r="E124" s="23"/>
      <c r="F124" s="23"/>
      <c r="G124" s="23"/>
    </row>
    <row r="125" spans="1:7" x14ac:dyDescent="0.25">
      <c r="A125" s="21"/>
      <c r="B125" s="21"/>
      <c r="C125" s="21"/>
      <c r="D125" s="21"/>
      <c r="E125" s="23"/>
      <c r="F125" s="23"/>
      <c r="G125" s="23"/>
    </row>
    <row r="126" spans="1:7" x14ac:dyDescent="0.25">
      <c r="A126" s="21"/>
      <c r="B126" s="21"/>
      <c r="C126" s="21"/>
      <c r="D126" s="21"/>
      <c r="E126" s="23"/>
      <c r="F126" s="23"/>
      <c r="G126" s="23"/>
    </row>
    <row r="127" spans="1:7" x14ac:dyDescent="0.25">
      <c r="A127" s="21"/>
      <c r="B127" s="21"/>
      <c r="C127" s="21"/>
      <c r="D127" s="21"/>
      <c r="E127" s="23"/>
      <c r="F127" s="23"/>
      <c r="G127" s="23"/>
    </row>
    <row r="128" spans="1:7" x14ac:dyDescent="0.25">
      <c r="A128" s="21"/>
      <c r="B128" s="21"/>
      <c r="C128" s="21"/>
      <c r="D128" s="21"/>
      <c r="E128" s="23"/>
      <c r="F128" s="23"/>
      <c r="G128" s="23"/>
    </row>
    <row r="129" spans="1:7" x14ac:dyDescent="0.25">
      <c r="A129" s="21"/>
      <c r="B129" s="21"/>
      <c r="C129" s="21"/>
      <c r="D129" s="21"/>
      <c r="E129" s="23"/>
      <c r="F129" s="23"/>
      <c r="G129" s="23"/>
    </row>
    <row r="130" spans="1:7" x14ac:dyDescent="0.25">
      <c r="A130" s="21"/>
      <c r="B130" s="21"/>
      <c r="C130" s="21"/>
      <c r="D130" s="21"/>
      <c r="E130" s="23"/>
      <c r="F130" s="23"/>
      <c r="G130" s="23"/>
    </row>
    <row r="131" spans="1:7" x14ac:dyDescent="0.25">
      <c r="A131" s="21"/>
      <c r="B131" s="21"/>
      <c r="C131" s="21"/>
      <c r="D131" s="21"/>
      <c r="E131" s="23"/>
      <c r="F131" s="23"/>
      <c r="G131" s="23"/>
    </row>
    <row r="132" spans="1:7" x14ac:dyDescent="0.25">
      <c r="A132" s="21"/>
      <c r="B132" s="21"/>
      <c r="C132" s="21"/>
      <c r="D132" s="21"/>
      <c r="E132" s="23"/>
      <c r="F132" s="23"/>
      <c r="G132" s="23"/>
    </row>
    <row r="133" spans="1:7" x14ac:dyDescent="0.25">
      <c r="A133" s="21"/>
      <c r="B133" s="21"/>
      <c r="C133" s="21"/>
      <c r="D133" s="21"/>
      <c r="E133" s="23"/>
      <c r="F133" s="23"/>
      <c r="G133" s="23"/>
    </row>
    <row r="134" spans="1:7" x14ac:dyDescent="0.25">
      <c r="A134" s="21"/>
      <c r="B134" s="21"/>
      <c r="C134" s="21"/>
      <c r="D134" s="21"/>
      <c r="E134" s="23"/>
      <c r="F134" s="23"/>
      <c r="G134" s="23"/>
    </row>
    <row r="135" spans="1:7" x14ac:dyDescent="0.25">
      <c r="A135" s="21"/>
      <c r="B135" s="21"/>
      <c r="C135" s="21"/>
      <c r="D135" s="21"/>
      <c r="E135" s="23"/>
      <c r="F135" s="23"/>
      <c r="G135" s="23"/>
    </row>
    <row r="136" spans="1:7" x14ac:dyDescent="0.25">
      <c r="A136" s="21"/>
      <c r="B136" s="21"/>
      <c r="C136" s="21"/>
      <c r="D136" s="21"/>
      <c r="E136" s="23"/>
      <c r="F136" s="23"/>
      <c r="G136" s="23"/>
    </row>
    <row r="137" spans="1:7" x14ac:dyDescent="0.25">
      <c r="A137" s="21"/>
      <c r="B137" s="21"/>
      <c r="C137" s="21"/>
      <c r="D137" s="21"/>
      <c r="E137" s="23"/>
      <c r="F137" s="23"/>
      <c r="G137" s="23"/>
    </row>
    <row r="138" spans="1:7" x14ac:dyDescent="0.25">
      <c r="A138" s="21"/>
      <c r="B138" s="21"/>
      <c r="C138" s="21"/>
      <c r="D138" s="21"/>
      <c r="E138" s="23"/>
      <c r="F138" s="23"/>
      <c r="G138" s="23"/>
    </row>
    <row r="139" spans="1:7" x14ac:dyDescent="0.25">
      <c r="A139" s="21"/>
      <c r="B139" s="21"/>
      <c r="C139" s="21"/>
      <c r="D139" s="21"/>
      <c r="E139" s="23"/>
      <c r="F139" s="23"/>
      <c r="G139" s="23"/>
    </row>
    <row r="140" spans="1:7" x14ac:dyDescent="0.25">
      <c r="A140" s="21"/>
      <c r="B140" s="21"/>
      <c r="C140" s="21"/>
      <c r="D140" s="21"/>
      <c r="E140" s="23"/>
      <c r="F140" s="23"/>
      <c r="G140" s="23"/>
    </row>
    <row r="141" spans="1:7" x14ac:dyDescent="0.25">
      <c r="A141" s="21"/>
      <c r="B141" s="21"/>
      <c r="C141" s="21"/>
      <c r="D141" s="21"/>
      <c r="E141" s="23"/>
      <c r="F141" s="23"/>
      <c r="G141" s="23"/>
    </row>
    <row r="142" spans="1:7" x14ac:dyDescent="0.25">
      <c r="A142" s="21"/>
      <c r="B142" s="21"/>
      <c r="C142" s="21"/>
      <c r="D142" s="21"/>
      <c r="E142" s="23"/>
      <c r="F142" s="23"/>
      <c r="G142" s="23"/>
    </row>
    <row r="143" spans="1:7" x14ac:dyDescent="0.25">
      <c r="A143" s="21"/>
      <c r="B143" s="21"/>
      <c r="C143" s="21"/>
      <c r="D143" s="21"/>
      <c r="E143" s="23"/>
      <c r="F143" s="23"/>
      <c r="G143" s="23"/>
    </row>
    <row r="144" spans="1:7" x14ac:dyDescent="0.25">
      <c r="A144" s="21"/>
      <c r="B144" s="21"/>
      <c r="C144" s="21"/>
      <c r="D144" s="21"/>
      <c r="E144" s="23"/>
      <c r="F144" s="23"/>
      <c r="G144" s="23"/>
    </row>
    <row r="145" spans="1:7" x14ac:dyDescent="0.25">
      <c r="A145" s="21"/>
      <c r="B145" s="21"/>
      <c r="C145" s="21"/>
      <c r="D145" s="21"/>
      <c r="E145" s="23"/>
      <c r="F145" s="23"/>
      <c r="G145" s="23"/>
    </row>
    <row r="146" spans="1:7" x14ac:dyDescent="0.25">
      <c r="A146" s="21"/>
      <c r="B146" s="21"/>
      <c r="C146" s="21"/>
      <c r="D146" s="21"/>
      <c r="E146" s="23"/>
      <c r="F146" s="23"/>
      <c r="G146" s="23"/>
    </row>
    <row r="147" spans="1:7" x14ac:dyDescent="0.25">
      <c r="A147" s="21"/>
      <c r="B147" s="21"/>
      <c r="C147" s="21"/>
      <c r="D147" s="21"/>
      <c r="E147" s="23"/>
      <c r="F147" s="23"/>
      <c r="G147" s="23"/>
    </row>
    <row r="148" spans="1:7" x14ac:dyDescent="0.25">
      <c r="A148" s="21"/>
      <c r="B148" s="21"/>
      <c r="C148" s="21"/>
      <c r="D148" s="21"/>
      <c r="E148" s="23"/>
      <c r="F148" s="23"/>
      <c r="G148" s="23"/>
    </row>
    <row r="149" spans="1:7" x14ac:dyDescent="0.25">
      <c r="A149" s="21"/>
      <c r="B149" s="21"/>
      <c r="C149" s="21"/>
      <c r="D149" s="21"/>
      <c r="E149" s="23"/>
      <c r="F149" s="23"/>
      <c r="G149" s="23"/>
    </row>
    <row r="150" spans="1:7" x14ac:dyDescent="0.25">
      <c r="A150" s="21"/>
      <c r="B150" s="21"/>
      <c r="C150" s="21"/>
      <c r="D150" s="21"/>
      <c r="E150" s="23"/>
      <c r="F150" s="23"/>
      <c r="G150" s="23"/>
    </row>
    <row r="151" spans="1:7" x14ac:dyDescent="0.25">
      <c r="A151" s="21"/>
      <c r="B151" s="21"/>
      <c r="C151" s="21"/>
      <c r="D151" s="21"/>
      <c r="E151" s="23"/>
      <c r="F151" s="23"/>
      <c r="G151" s="23"/>
    </row>
    <row r="152" spans="1:7" x14ac:dyDescent="0.25">
      <c r="A152" s="21"/>
      <c r="B152" s="21"/>
      <c r="C152" s="21"/>
      <c r="D152" s="21"/>
      <c r="E152" s="23"/>
      <c r="F152" s="23"/>
      <c r="G152" s="23"/>
    </row>
    <row r="153" spans="1:7" x14ac:dyDescent="0.25">
      <c r="A153" s="21"/>
      <c r="B153" s="21"/>
      <c r="C153" s="21"/>
      <c r="D153" s="21"/>
      <c r="E153" s="23"/>
      <c r="F153" s="23"/>
      <c r="G153" s="23"/>
    </row>
    <row r="154" spans="1:7" x14ac:dyDescent="0.25">
      <c r="A154" s="21"/>
      <c r="B154" s="21"/>
      <c r="C154" s="21"/>
      <c r="D154" s="21"/>
      <c r="E154" s="23"/>
      <c r="F154" s="23"/>
      <c r="G154" s="23"/>
    </row>
    <row r="155" spans="1:7" x14ac:dyDescent="0.25">
      <c r="A155" s="21"/>
      <c r="B155" s="21"/>
      <c r="C155" s="21"/>
      <c r="D155" s="21"/>
      <c r="E155" s="23"/>
      <c r="F155" s="23"/>
      <c r="G155" s="23"/>
    </row>
    <row r="156" spans="1:7" x14ac:dyDescent="0.25">
      <c r="A156" s="21"/>
      <c r="B156" s="21"/>
      <c r="C156" s="21"/>
      <c r="D156" s="21"/>
      <c r="E156" s="23"/>
      <c r="F156" s="23"/>
      <c r="G156" s="23"/>
    </row>
    <row r="157" spans="1:7" x14ac:dyDescent="0.25">
      <c r="A157" s="21"/>
      <c r="B157" s="21"/>
      <c r="C157" s="21"/>
      <c r="D157" s="21"/>
      <c r="E157" s="23"/>
      <c r="F157" s="23"/>
      <c r="G157" s="23"/>
    </row>
    <row r="158" spans="1:7" x14ac:dyDescent="0.25">
      <c r="A158" s="21"/>
      <c r="B158" s="21"/>
      <c r="C158" s="21"/>
      <c r="D158" s="21"/>
      <c r="E158" s="23"/>
      <c r="F158" s="23"/>
      <c r="G158" s="23"/>
    </row>
    <row r="159" spans="1:7" x14ac:dyDescent="0.25">
      <c r="A159" s="21"/>
      <c r="B159" s="21"/>
      <c r="C159" s="21"/>
      <c r="D159" s="21"/>
      <c r="E159" s="23"/>
      <c r="F159" s="23"/>
      <c r="G159" s="23"/>
    </row>
    <row r="160" spans="1:7" x14ac:dyDescent="0.25">
      <c r="A160" s="21"/>
      <c r="B160" s="21"/>
      <c r="C160" s="21"/>
      <c r="D160" s="21"/>
      <c r="E160" s="23"/>
      <c r="F160" s="23"/>
      <c r="G160" s="23"/>
    </row>
    <row r="161" spans="1:7" x14ac:dyDescent="0.25">
      <c r="A161" s="21"/>
      <c r="B161" s="21"/>
      <c r="C161" s="21"/>
      <c r="D161" s="21"/>
      <c r="E161" s="23"/>
      <c r="F161" s="23"/>
      <c r="G161" s="23"/>
    </row>
    <row r="162" spans="1:7" x14ac:dyDescent="0.25">
      <c r="A162" s="21"/>
      <c r="B162" s="21"/>
      <c r="C162" s="21"/>
      <c r="D162" s="21"/>
      <c r="E162" s="23"/>
      <c r="F162" s="23"/>
      <c r="G162" s="23"/>
    </row>
    <row r="163" spans="1:7" x14ac:dyDescent="0.25">
      <c r="A163" s="21"/>
      <c r="B163" s="21"/>
      <c r="C163" s="21"/>
      <c r="D163" s="21"/>
      <c r="E163" s="23"/>
      <c r="F163" s="23"/>
      <c r="G163" s="23"/>
    </row>
    <row r="164" spans="1:7" x14ac:dyDescent="0.25">
      <c r="A164" s="21"/>
      <c r="B164" s="21"/>
      <c r="C164" s="21"/>
      <c r="D164" s="21"/>
      <c r="E164" s="23"/>
      <c r="F164" s="23"/>
      <c r="G164" s="23"/>
    </row>
    <row r="165" spans="1:7" x14ac:dyDescent="0.25">
      <c r="A165" s="21"/>
      <c r="B165" s="21"/>
      <c r="C165" s="21"/>
      <c r="D165" s="21"/>
      <c r="E165" s="23"/>
      <c r="F165" s="23"/>
      <c r="G165" s="23"/>
    </row>
    <row r="166" spans="1:7" x14ac:dyDescent="0.25">
      <c r="A166" s="21"/>
      <c r="B166" s="21"/>
      <c r="C166" s="21"/>
      <c r="D166" s="21"/>
      <c r="E166" s="23"/>
      <c r="F166" s="23"/>
      <c r="G166" s="23"/>
    </row>
    <row r="167" spans="1:7" x14ac:dyDescent="0.25">
      <c r="A167" s="21"/>
      <c r="B167" s="21"/>
      <c r="C167" s="21"/>
      <c r="D167" s="21"/>
      <c r="E167" s="23"/>
      <c r="F167" s="23"/>
      <c r="G167" s="23"/>
    </row>
    <row r="168" spans="1:7" x14ac:dyDescent="0.25">
      <c r="A168" s="21"/>
      <c r="B168" s="21"/>
      <c r="C168" s="21"/>
      <c r="D168" s="21"/>
      <c r="E168" s="23"/>
      <c r="F168" s="23"/>
      <c r="G168" s="23"/>
    </row>
    <row r="169" spans="1:7" x14ac:dyDescent="0.25">
      <c r="A169" s="21"/>
      <c r="B169" s="21"/>
      <c r="C169" s="21"/>
      <c r="D169" s="21"/>
      <c r="E169" s="23"/>
      <c r="F169" s="23"/>
      <c r="G169" s="23"/>
    </row>
    <row r="170" spans="1:7" x14ac:dyDescent="0.25">
      <c r="A170" s="21"/>
      <c r="B170" s="21"/>
      <c r="C170" s="21"/>
      <c r="D170" s="21"/>
      <c r="E170" s="23"/>
      <c r="F170" s="23"/>
      <c r="G170" s="23"/>
    </row>
    <row r="171" spans="1:7" x14ac:dyDescent="0.25">
      <c r="A171" s="21"/>
      <c r="B171" s="21"/>
      <c r="C171" s="21"/>
      <c r="D171" s="21"/>
      <c r="E171" s="23"/>
      <c r="F171" s="23"/>
      <c r="G171" s="23"/>
    </row>
    <row r="172" spans="1:7" x14ac:dyDescent="0.25">
      <c r="A172" s="21"/>
      <c r="B172" s="21"/>
      <c r="C172" s="21"/>
      <c r="D172" s="21"/>
      <c r="E172" s="23"/>
      <c r="F172" s="23"/>
      <c r="G172" s="23"/>
    </row>
    <row r="173" spans="1:7" x14ac:dyDescent="0.25">
      <c r="A173" s="21"/>
      <c r="B173" s="21"/>
      <c r="C173" s="21"/>
      <c r="D173" s="21"/>
      <c r="E173" s="23"/>
      <c r="F173" s="23"/>
      <c r="G173" s="23"/>
    </row>
    <row r="174" spans="1:7" x14ac:dyDescent="0.25">
      <c r="A174" s="21"/>
      <c r="B174" s="21"/>
      <c r="C174" s="21"/>
      <c r="D174" s="21"/>
      <c r="E174" s="23"/>
      <c r="F174" s="23"/>
      <c r="G174" s="23"/>
    </row>
    <row r="175" spans="1:7" x14ac:dyDescent="0.25">
      <c r="A175" s="21"/>
      <c r="B175" s="21"/>
      <c r="C175" s="21"/>
      <c r="D175" s="21"/>
      <c r="E175" s="23"/>
      <c r="F175" s="23"/>
      <c r="G175" s="23"/>
    </row>
    <row r="176" spans="1:7" x14ac:dyDescent="0.25">
      <c r="A176" s="21"/>
      <c r="B176" s="21"/>
      <c r="C176" s="21"/>
      <c r="D176" s="21"/>
      <c r="E176" s="23"/>
      <c r="F176" s="23"/>
      <c r="G176" s="23"/>
    </row>
    <row r="177" spans="1:7" x14ac:dyDescent="0.25">
      <c r="A177" s="23"/>
      <c r="B177" s="23"/>
      <c r="C177" s="23"/>
      <c r="D177" s="23"/>
      <c r="E177" s="23"/>
      <c r="F177" s="23"/>
      <c r="G177" s="23"/>
    </row>
    <row r="178" spans="1:7" ht="15" customHeight="1" x14ac:dyDescent="0.25">
      <c r="A178" s="23"/>
      <c r="B178" s="23"/>
      <c r="C178" s="23"/>
      <c r="D178" s="23"/>
      <c r="E178" s="23"/>
      <c r="F178" s="23"/>
      <c r="G178" s="23"/>
    </row>
    <row r="179" spans="1:7" ht="15" customHeight="1" x14ac:dyDescent="0.25">
      <c r="A179" s="23"/>
      <c r="B179" s="23"/>
      <c r="C179" s="23"/>
      <c r="D179" s="23"/>
      <c r="E179" s="23"/>
      <c r="F179" s="23"/>
      <c r="G179" s="23"/>
    </row>
    <row r="180" spans="1:7" ht="15" customHeight="1" x14ac:dyDescent="0.25">
      <c r="A180" s="23"/>
      <c r="B180" s="23"/>
      <c r="C180" s="23"/>
      <c r="D180" s="23"/>
      <c r="E180" s="23"/>
      <c r="F180" s="23"/>
      <c r="G180" s="23"/>
    </row>
    <row r="181" spans="1:7" ht="15" customHeight="1" x14ac:dyDescent="0.25">
      <c r="A181" s="23"/>
      <c r="B181" s="23"/>
      <c r="C181" s="23"/>
      <c r="D181" s="23"/>
      <c r="E181" s="23"/>
      <c r="F181" s="23"/>
      <c r="G181" s="23"/>
    </row>
    <row r="182" spans="1:7" ht="15" customHeight="1" x14ac:dyDescent="0.25">
      <c r="A182" s="23"/>
      <c r="B182" s="23"/>
      <c r="C182" s="23"/>
      <c r="D182" s="23"/>
      <c r="E182" s="23"/>
      <c r="F182" s="23"/>
      <c r="G182" s="23"/>
    </row>
    <row r="183" spans="1:7" ht="15" customHeight="1" x14ac:dyDescent="0.25">
      <c r="A183" s="23"/>
      <c r="B183" s="23"/>
      <c r="C183" s="23"/>
      <c r="D183" s="23"/>
      <c r="E183" s="23"/>
      <c r="F183" s="23"/>
      <c r="G183" s="23"/>
    </row>
    <row r="184" spans="1:7" ht="15" customHeight="1" x14ac:dyDescent="0.25">
      <c r="A184" s="23"/>
      <c r="B184" s="23"/>
      <c r="C184" s="23"/>
      <c r="D184" s="23"/>
      <c r="E184" s="23"/>
      <c r="F184" s="23"/>
      <c r="G184" s="23"/>
    </row>
    <row r="185" spans="1:7" ht="15" customHeight="1" x14ac:dyDescent="0.25">
      <c r="A185" s="23"/>
      <c r="B185" s="23"/>
      <c r="C185" s="23"/>
      <c r="D185" s="23"/>
      <c r="E185" s="23"/>
      <c r="F185" s="23"/>
      <c r="G185" s="23"/>
    </row>
    <row r="186" spans="1:7" ht="15" customHeight="1" x14ac:dyDescent="0.25">
      <c r="A186" s="23"/>
      <c r="B186" s="23"/>
      <c r="C186" s="23"/>
      <c r="D186" s="23"/>
      <c r="E186" s="23"/>
      <c r="F186" s="23"/>
      <c r="G186" s="23"/>
    </row>
    <row r="187" spans="1:7" ht="15" customHeight="1" x14ac:dyDescent="0.25">
      <c r="A187" s="23"/>
      <c r="B187" s="23"/>
      <c r="C187" s="23"/>
      <c r="D187" s="23"/>
      <c r="E187" s="23"/>
      <c r="F187" s="23"/>
      <c r="G187" s="23"/>
    </row>
    <row r="188" spans="1:7" ht="15" customHeight="1" x14ac:dyDescent="0.25">
      <c r="A188" s="23"/>
      <c r="B188" s="23"/>
      <c r="C188" s="23"/>
      <c r="D188" s="23"/>
      <c r="E188" s="23"/>
      <c r="F188" s="23"/>
      <c r="G188" s="23"/>
    </row>
    <row r="189" spans="1:7" ht="15" customHeight="1" x14ac:dyDescent="0.25">
      <c r="A189" s="23"/>
      <c r="B189" s="23"/>
      <c r="C189" s="23"/>
      <c r="D189" s="23"/>
      <c r="E189" s="23"/>
      <c r="F189" s="23"/>
      <c r="G189" s="23"/>
    </row>
    <row r="190" spans="1:7" ht="15" customHeight="1" x14ac:dyDescent="0.25">
      <c r="A190" s="23"/>
      <c r="B190" s="23"/>
      <c r="C190" s="23"/>
      <c r="D190" s="23"/>
      <c r="E190" s="23"/>
      <c r="F190" s="23"/>
      <c r="G190" s="23"/>
    </row>
    <row r="191" spans="1:7" ht="15" customHeight="1" x14ac:dyDescent="0.25">
      <c r="A191" s="23"/>
      <c r="B191" s="23"/>
      <c r="C191" s="23"/>
      <c r="D191" s="23"/>
      <c r="E191" s="23"/>
      <c r="F191" s="23"/>
      <c r="G191" s="23"/>
    </row>
    <row r="192" spans="1:7" ht="15" customHeight="1" x14ac:dyDescent="0.25">
      <c r="A192" s="23"/>
      <c r="B192" s="23"/>
      <c r="C192" s="23"/>
      <c r="D192" s="23"/>
      <c r="E192" s="23"/>
      <c r="F192" s="23"/>
      <c r="G192" s="23"/>
    </row>
    <row r="193" spans="1:7" ht="15" customHeight="1" x14ac:dyDescent="0.25">
      <c r="A193" s="23"/>
      <c r="B193" s="23"/>
      <c r="C193" s="23"/>
      <c r="D193" s="23"/>
      <c r="E193" s="23"/>
      <c r="F193" s="23"/>
      <c r="G193" s="23"/>
    </row>
    <row r="194" spans="1:7" ht="15" customHeight="1" x14ac:dyDescent="0.25">
      <c r="A194" s="23"/>
      <c r="B194" s="23"/>
      <c r="C194" s="23"/>
      <c r="D194" s="23"/>
      <c r="E194" s="23"/>
      <c r="F194" s="23"/>
      <c r="G194" s="23"/>
    </row>
    <row r="195" spans="1:7" ht="15" customHeight="1" x14ac:dyDescent="0.25">
      <c r="A195" s="23"/>
      <c r="B195" s="23"/>
      <c r="C195" s="23"/>
      <c r="D195" s="23"/>
      <c r="E195" s="23"/>
      <c r="F195" s="23"/>
      <c r="G195" s="23"/>
    </row>
    <row r="196" spans="1:7" ht="15" customHeight="1" x14ac:dyDescent="0.25">
      <c r="A196" s="23"/>
      <c r="B196" s="23"/>
      <c r="C196" s="23"/>
      <c r="D196" s="23"/>
      <c r="E196" s="23"/>
      <c r="F196" s="23"/>
      <c r="G196" s="23"/>
    </row>
    <row r="197" spans="1:7" ht="15" customHeight="1" x14ac:dyDescent="0.25">
      <c r="A197" s="23"/>
      <c r="B197" s="23"/>
      <c r="C197" s="23"/>
      <c r="D197" s="23"/>
      <c r="E197" s="23"/>
      <c r="F197" s="23"/>
      <c r="G197" s="23"/>
    </row>
    <row r="198" spans="1:7" ht="15" customHeight="1" x14ac:dyDescent="0.25">
      <c r="A198" s="23"/>
      <c r="B198" s="23"/>
      <c r="C198" s="23"/>
      <c r="D198" s="23"/>
      <c r="E198" s="23"/>
      <c r="F198" s="23"/>
      <c r="G198" s="23"/>
    </row>
    <row r="199" spans="1:7" ht="15" customHeight="1" x14ac:dyDescent="0.25">
      <c r="A199" s="23"/>
      <c r="B199" s="23"/>
      <c r="C199" s="23"/>
      <c r="D199" s="23"/>
      <c r="E199" s="23"/>
      <c r="F199" s="23"/>
      <c r="G199" s="23"/>
    </row>
    <row r="200" spans="1:7" ht="15" customHeight="1" x14ac:dyDescent="0.25">
      <c r="A200" s="23"/>
      <c r="B200" s="23"/>
      <c r="C200" s="23"/>
      <c r="D200" s="23"/>
      <c r="E200" s="23"/>
      <c r="F200" s="23"/>
      <c r="G200" s="23"/>
    </row>
    <row r="201" spans="1:7" ht="15" customHeight="1" x14ac:dyDescent="0.25">
      <c r="A201" s="23"/>
      <c r="B201" s="23"/>
      <c r="C201" s="23"/>
      <c r="D201" s="23"/>
      <c r="E201" s="23"/>
      <c r="F201" s="23"/>
      <c r="G201" s="23"/>
    </row>
    <row r="202" spans="1:7" ht="15" customHeight="1" x14ac:dyDescent="0.25">
      <c r="A202" s="23"/>
      <c r="B202" s="23"/>
      <c r="C202" s="23"/>
      <c r="D202" s="23"/>
      <c r="E202" s="23"/>
      <c r="F202" s="23"/>
      <c r="G202" s="23"/>
    </row>
    <row r="203" spans="1:7" ht="15" customHeight="1" x14ac:dyDescent="0.25">
      <c r="A203" s="23"/>
      <c r="B203" s="23"/>
      <c r="C203" s="23"/>
      <c r="D203" s="23"/>
      <c r="E203" s="23"/>
      <c r="F203" s="23"/>
      <c r="G203" s="23"/>
    </row>
    <row r="204" spans="1:7" ht="15" customHeight="1" x14ac:dyDescent="0.25">
      <c r="A204" s="23"/>
      <c r="B204" s="23"/>
      <c r="C204" s="23"/>
      <c r="D204" s="23"/>
      <c r="E204" s="23"/>
      <c r="F204" s="23"/>
      <c r="G204" s="23"/>
    </row>
    <row r="205" spans="1:7" ht="15" customHeight="1" x14ac:dyDescent="0.25">
      <c r="A205" s="23"/>
      <c r="B205" s="23"/>
      <c r="C205" s="23"/>
      <c r="D205" s="23"/>
      <c r="E205" s="23"/>
      <c r="F205" s="23"/>
      <c r="G205" s="23"/>
    </row>
    <row r="206" spans="1:7" ht="15" customHeight="1" x14ac:dyDescent="0.25">
      <c r="A206" s="23"/>
      <c r="B206" s="23"/>
      <c r="C206" s="23"/>
      <c r="D206" s="23"/>
      <c r="E206" s="23"/>
      <c r="F206" s="23"/>
      <c r="G206" s="23"/>
    </row>
    <row r="207" spans="1:7" ht="15" customHeight="1" x14ac:dyDescent="0.25">
      <c r="A207" s="23"/>
      <c r="B207" s="23"/>
      <c r="C207" s="23"/>
      <c r="D207" s="23"/>
      <c r="E207" s="23"/>
      <c r="F207" s="23"/>
      <c r="G207" s="23"/>
    </row>
    <row r="208" spans="1:7" ht="15" customHeight="1" x14ac:dyDescent="0.25">
      <c r="A208" s="23"/>
      <c r="B208" s="23"/>
      <c r="C208" s="23"/>
      <c r="D208" s="23"/>
      <c r="E208" s="23"/>
      <c r="F208" s="23"/>
      <c r="G208" s="23"/>
    </row>
    <row r="209" spans="1:7" ht="15" customHeight="1" x14ac:dyDescent="0.25">
      <c r="A209" s="23"/>
      <c r="B209" s="23"/>
      <c r="C209" s="23"/>
      <c r="D209" s="23"/>
      <c r="E209" s="23"/>
      <c r="F209" s="23"/>
      <c r="G209" s="23"/>
    </row>
    <row r="210" spans="1:7" ht="15" customHeight="1" x14ac:dyDescent="0.25">
      <c r="A210" s="23"/>
      <c r="B210" s="23"/>
      <c r="C210" s="23"/>
      <c r="D210" s="23"/>
      <c r="E210" s="23"/>
      <c r="F210" s="23"/>
      <c r="G210" s="23"/>
    </row>
    <row r="211" spans="1:7" ht="15" customHeight="1" x14ac:dyDescent="0.25">
      <c r="A211" s="23"/>
      <c r="B211" s="23"/>
      <c r="C211" s="23"/>
      <c r="D211" s="23"/>
      <c r="E211" s="23"/>
      <c r="F211" s="23"/>
      <c r="G211" s="23"/>
    </row>
    <row r="212" spans="1:7" ht="15" customHeight="1" x14ac:dyDescent="0.25">
      <c r="A212" s="23"/>
      <c r="B212" s="23"/>
      <c r="C212" s="23"/>
      <c r="D212" s="23"/>
      <c r="E212" s="23"/>
      <c r="F212" s="23"/>
      <c r="G212" s="23"/>
    </row>
    <row r="213" spans="1:7" ht="15" customHeight="1" x14ac:dyDescent="0.25">
      <c r="A213" s="23"/>
      <c r="B213" s="23"/>
      <c r="C213" s="23"/>
      <c r="D213" s="23"/>
      <c r="E213" s="23"/>
      <c r="F213" s="23"/>
      <c r="G213" s="23"/>
    </row>
    <row r="214" spans="1:7" ht="15" customHeight="1" x14ac:dyDescent="0.25">
      <c r="A214" s="23"/>
      <c r="B214" s="23"/>
      <c r="C214" s="23"/>
      <c r="D214" s="23"/>
      <c r="E214" s="23"/>
      <c r="F214" s="23"/>
      <c r="G214" s="23"/>
    </row>
    <row r="215" spans="1:7" ht="15" customHeight="1" x14ac:dyDescent="0.25">
      <c r="A215" s="23"/>
      <c r="B215" s="23"/>
      <c r="C215" s="23"/>
      <c r="D215" s="23"/>
      <c r="E215" s="23"/>
      <c r="F215" s="23"/>
      <c r="G215" s="23"/>
    </row>
    <row r="216" spans="1:7" ht="15" customHeight="1" x14ac:dyDescent="0.25">
      <c r="A216" s="23"/>
      <c r="B216" s="23"/>
      <c r="C216" s="23"/>
      <c r="D216" s="23"/>
      <c r="E216" s="23"/>
      <c r="F216" s="23"/>
      <c r="G216" s="23"/>
    </row>
    <row r="217" spans="1:7" ht="15" customHeight="1" x14ac:dyDescent="0.25">
      <c r="A217" s="23"/>
      <c r="B217" s="23"/>
      <c r="C217" s="23"/>
      <c r="D217" s="23"/>
      <c r="E217" s="23"/>
      <c r="F217" s="23"/>
      <c r="G217" s="23"/>
    </row>
    <row r="218" spans="1:7" ht="15" customHeight="1" x14ac:dyDescent="0.25">
      <c r="A218" s="23"/>
      <c r="B218" s="23"/>
      <c r="C218" s="23"/>
      <c r="D218" s="23"/>
      <c r="E218" s="23"/>
      <c r="F218" s="23"/>
      <c r="G218" s="23"/>
    </row>
    <row r="219" spans="1:7" ht="15" customHeight="1" x14ac:dyDescent="0.25">
      <c r="A219" s="23"/>
      <c r="B219" s="23"/>
      <c r="C219" s="23"/>
      <c r="D219" s="23"/>
      <c r="E219" s="23"/>
      <c r="F219" s="23"/>
      <c r="G219" s="23"/>
    </row>
    <row r="220" spans="1:7" ht="15" customHeight="1" x14ac:dyDescent="0.25">
      <c r="A220" s="23"/>
      <c r="B220" s="23"/>
      <c r="C220" s="23"/>
      <c r="D220" s="23"/>
      <c r="E220" s="23"/>
      <c r="F220" s="23"/>
      <c r="G220" s="23"/>
    </row>
    <row r="221" spans="1:7" ht="15" customHeight="1" x14ac:dyDescent="0.25">
      <c r="A221" s="23"/>
      <c r="B221" s="23"/>
      <c r="C221" s="23"/>
      <c r="D221" s="23"/>
      <c r="E221" s="23"/>
      <c r="F221" s="23"/>
      <c r="G221" s="23"/>
    </row>
    <row r="222" spans="1:7" ht="15" customHeight="1" x14ac:dyDescent="0.25">
      <c r="A222" s="23"/>
      <c r="B222" s="23"/>
      <c r="C222" s="23"/>
      <c r="D222" s="23"/>
      <c r="E222" s="23"/>
      <c r="F222" s="23"/>
      <c r="G222" s="23"/>
    </row>
    <row r="223" spans="1:7" ht="15" customHeight="1" x14ac:dyDescent="0.25">
      <c r="A223" s="23"/>
      <c r="B223" s="23"/>
      <c r="C223" s="23"/>
      <c r="D223" s="23"/>
      <c r="E223" s="23"/>
      <c r="F223" s="23"/>
      <c r="G223" s="23"/>
    </row>
    <row r="224" spans="1:7" ht="15" customHeight="1" x14ac:dyDescent="0.25">
      <c r="A224" s="23"/>
      <c r="B224" s="23"/>
      <c r="C224" s="23"/>
      <c r="D224" s="23"/>
      <c r="E224" s="23"/>
      <c r="F224" s="23"/>
      <c r="G224" s="23"/>
    </row>
    <row r="225" spans="1:7" ht="15" customHeight="1" x14ac:dyDescent="0.25">
      <c r="A225" s="23"/>
      <c r="B225" s="23"/>
      <c r="C225" s="23"/>
      <c r="D225" s="23"/>
      <c r="E225" s="23"/>
      <c r="F225" s="23"/>
      <c r="G225" s="23"/>
    </row>
    <row r="226" spans="1:7" ht="15" customHeight="1" x14ac:dyDescent="0.25">
      <c r="A226" s="23"/>
      <c r="B226" s="23"/>
      <c r="C226" s="23"/>
      <c r="D226" s="23"/>
      <c r="E226" s="23"/>
      <c r="F226" s="23"/>
      <c r="G226" s="23"/>
    </row>
    <row r="227" spans="1:7" ht="15" customHeight="1" x14ac:dyDescent="0.25">
      <c r="A227" s="23"/>
      <c r="B227" s="23"/>
      <c r="C227" s="23"/>
      <c r="D227" s="23"/>
      <c r="E227" s="23"/>
      <c r="F227" s="23"/>
      <c r="G227" s="23"/>
    </row>
    <row r="228" spans="1:7" ht="15" customHeight="1" x14ac:dyDescent="0.25">
      <c r="A228" s="23"/>
      <c r="B228" s="23"/>
      <c r="C228" s="23"/>
      <c r="D228" s="23"/>
      <c r="E228" s="23"/>
      <c r="F228" s="23"/>
      <c r="G228" s="23"/>
    </row>
    <row r="229" spans="1:7" ht="15" customHeight="1" x14ac:dyDescent="0.25">
      <c r="A229" s="23"/>
      <c r="B229" s="23"/>
      <c r="C229" s="23"/>
      <c r="D229" s="23"/>
      <c r="E229" s="23"/>
      <c r="F229" s="23"/>
      <c r="G229" s="23"/>
    </row>
    <row r="230" spans="1:7" ht="15" customHeight="1" x14ac:dyDescent="0.25">
      <c r="A230" s="23"/>
      <c r="B230" s="23"/>
      <c r="C230" s="23"/>
      <c r="D230" s="23"/>
      <c r="E230" s="23"/>
      <c r="F230" s="23"/>
      <c r="G230" s="23"/>
    </row>
    <row r="231" spans="1:7" ht="15" customHeight="1" x14ac:dyDescent="0.25">
      <c r="A231" s="23"/>
      <c r="B231" s="23"/>
      <c r="C231" s="23"/>
      <c r="D231" s="23"/>
      <c r="E231" s="23"/>
      <c r="F231" s="23"/>
      <c r="G231" s="23"/>
    </row>
    <row r="232" spans="1:7" ht="15" customHeight="1" x14ac:dyDescent="0.25">
      <c r="A232" s="23"/>
      <c r="B232" s="23"/>
      <c r="C232" s="23"/>
      <c r="D232" s="23"/>
      <c r="E232" s="23"/>
      <c r="F232" s="23"/>
      <c r="G232" s="23"/>
    </row>
    <row r="233" spans="1:7" ht="15" customHeight="1" x14ac:dyDescent="0.25">
      <c r="A233" s="23"/>
      <c r="B233" s="23"/>
      <c r="C233" s="23"/>
      <c r="D233" s="23"/>
      <c r="E233" s="23"/>
      <c r="F233" s="23"/>
      <c r="G233" s="23"/>
    </row>
    <row r="234" spans="1:7" ht="15" customHeight="1" x14ac:dyDescent="0.25">
      <c r="A234" s="23"/>
      <c r="B234" s="23"/>
      <c r="C234" s="23"/>
      <c r="D234" s="23"/>
      <c r="E234" s="23"/>
      <c r="F234" s="23"/>
      <c r="G234" s="23"/>
    </row>
    <row r="235" spans="1:7" ht="15" customHeight="1" x14ac:dyDescent="0.25">
      <c r="A235" s="23"/>
      <c r="B235" s="23"/>
      <c r="C235" s="23"/>
      <c r="D235" s="23"/>
      <c r="E235" s="23"/>
      <c r="F235" s="23"/>
      <c r="G235" s="23"/>
    </row>
    <row r="236" spans="1:7" ht="15" customHeight="1" x14ac:dyDescent="0.25">
      <c r="A236" s="23"/>
      <c r="B236" s="23"/>
      <c r="C236" s="23"/>
      <c r="D236" s="23"/>
      <c r="E236" s="23"/>
      <c r="F236" s="23"/>
      <c r="G236" s="23"/>
    </row>
    <row r="237" spans="1:7" ht="15" customHeight="1" x14ac:dyDescent="0.25">
      <c r="A237" s="23"/>
      <c r="B237" s="23"/>
      <c r="C237" s="23"/>
      <c r="D237" s="23"/>
      <c r="E237" s="23"/>
      <c r="F237" s="23"/>
      <c r="G237" s="23"/>
    </row>
    <row r="238" spans="1:7" ht="15" customHeight="1" x14ac:dyDescent="0.25">
      <c r="A238" s="23"/>
      <c r="B238" s="23"/>
      <c r="C238" s="23"/>
      <c r="D238" s="23"/>
      <c r="E238" s="23"/>
      <c r="F238" s="23"/>
      <c r="G238" s="23"/>
    </row>
    <row r="239" spans="1:7" ht="15" customHeight="1" x14ac:dyDescent="0.25">
      <c r="A239" s="23"/>
      <c r="B239" s="23"/>
      <c r="C239" s="23"/>
      <c r="D239" s="23"/>
      <c r="E239" s="23"/>
      <c r="F239" s="23"/>
      <c r="G239" s="23"/>
    </row>
    <row r="240" spans="1:7" ht="15" customHeight="1" x14ac:dyDescent="0.25">
      <c r="A240" s="23"/>
      <c r="B240" s="23"/>
      <c r="C240" s="23"/>
      <c r="D240" s="23"/>
      <c r="E240" s="23"/>
      <c r="F240" s="23"/>
      <c r="G240" s="23"/>
    </row>
    <row r="241" spans="1:7" ht="15" customHeight="1" x14ac:dyDescent="0.25">
      <c r="A241" s="23"/>
      <c r="B241" s="23"/>
      <c r="C241" s="23"/>
      <c r="D241" s="23"/>
      <c r="E241" s="23"/>
      <c r="F241" s="23"/>
      <c r="G241" s="23"/>
    </row>
    <row r="242" spans="1:7" ht="15" customHeight="1" x14ac:dyDescent="0.25">
      <c r="A242" s="23"/>
      <c r="B242" s="23"/>
      <c r="C242" s="23"/>
      <c r="D242" s="23"/>
      <c r="E242" s="23"/>
      <c r="F242" s="23"/>
      <c r="G242" s="23"/>
    </row>
    <row r="243" spans="1:7" ht="15" customHeight="1" x14ac:dyDescent="0.25">
      <c r="A243" s="23"/>
      <c r="B243" s="23"/>
      <c r="C243" s="23"/>
      <c r="D243" s="23"/>
      <c r="E243" s="23"/>
      <c r="F243" s="23"/>
      <c r="G243" s="23"/>
    </row>
    <row r="244" spans="1:7" ht="15" customHeight="1" x14ac:dyDescent="0.25">
      <c r="A244" s="23"/>
      <c r="B244" s="23"/>
      <c r="C244" s="23"/>
      <c r="D244" s="23"/>
      <c r="E244" s="23"/>
      <c r="F244" s="23"/>
      <c r="G244" s="23"/>
    </row>
    <row r="245" spans="1:7" ht="15" customHeight="1" x14ac:dyDescent="0.25">
      <c r="A245" s="23"/>
      <c r="B245" s="23"/>
      <c r="C245" s="23"/>
      <c r="D245" s="23"/>
      <c r="E245" s="23"/>
      <c r="F245" s="23"/>
      <c r="G245" s="23"/>
    </row>
    <row r="246" spans="1:7" ht="15" customHeight="1" x14ac:dyDescent="0.25">
      <c r="A246" s="23"/>
      <c r="B246" s="23"/>
      <c r="C246" s="23"/>
      <c r="D246" s="23"/>
      <c r="E246" s="23"/>
      <c r="F246" s="23"/>
      <c r="G246" s="23"/>
    </row>
    <row r="247" spans="1:7" ht="15" customHeight="1" x14ac:dyDescent="0.25">
      <c r="A247" s="23"/>
      <c r="B247" s="23"/>
      <c r="C247" s="23"/>
      <c r="D247" s="23"/>
      <c r="E247" s="23"/>
      <c r="F247" s="23"/>
      <c r="G247" s="23"/>
    </row>
    <row r="248" spans="1:7" ht="15" customHeight="1" x14ac:dyDescent="0.25">
      <c r="A248" s="23"/>
      <c r="B248" s="23"/>
      <c r="C248" s="23"/>
      <c r="D248" s="23"/>
      <c r="E248" s="23"/>
      <c r="F248" s="23"/>
      <c r="G248" s="23"/>
    </row>
    <row r="249" spans="1:7" ht="15" customHeight="1" x14ac:dyDescent="0.25">
      <c r="A249" s="23"/>
      <c r="B249" s="23"/>
      <c r="C249" s="23"/>
      <c r="D249" s="23"/>
      <c r="E249" s="23"/>
      <c r="F249" s="23"/>
      <c r="G249" s="23"/>
    </row>
    <row r="250" spans="1:7" ht="15" customHeight="1" x14ac:dyDescent="0.25">
      <c r="A250" s="23"/>
      <c r="B250" s="23"/>
      <c r="C250" s="23"/>
      <c r="D250" s="23"/>
      <c r="E250" s="23"/>
      <c r="F250" s="23"/>
      <c r="G250" s="23"/>
    </row>
    <row r="251" spans="1:7" ht="15" customHeight="1" x14ac:dyDescent="0.25">
      <c r="A251" s="23"/>
      <c r="B251" s="23"/>
      <c r="C251" s="23"/>
      <c r="D251" s="23"/>
      <c r="E251" s="23"/>
      <c r="F251" s="23"/>
      <c r="G251" s="23"/>
    </row>
    <row r="252" spans="1:7" ht="15" customHeight="1" x14ac:dyDescent="0.25">
      <c r="A252" s="23"/>
      <c r="B252" s="23"/>
      <c r="C252" s="23"/>
      <c r="D252" s="23"/>
      <c r="E252" s="23"/>
      <c r="F252" s="23"/>
      <c r="G252" s="23"/>
    </row>
    <row r="253" spans="1:7" ht="15" customHeight="1" x14ac:dyDescent="0.25">
      <c r="A253" s="23"/>
      <c r="B253" s="23"/>
      <c r="C253" s="23"/>
      <c r="D253" s="23"/>
      <c r="E253" s="23"/>
      <c r="F253" s="23"/>
      <c r="G253" s="23"/>
    </row>
    <row r="254" spans="1:7" ht="15" customHeight="1" x14ac:dyDescent="0.25">
      <c r="A254" s="23"/>
      <c r="B254" s="23"/>
      <c r="C254" s="23"/>
      <c r="D254" s="23"/>
      <c r="E254" s="23"/>
      <c r="F254" s="23"/>
      <c r="G254" s="23"/>
    </row>
    <row r="255" spans="1:7" ht="15" customHeight="1" x14ac:dyDescent="0.25">
      <c r="A255" s="23"/>
      <c r="B255" s="23"/>
      <c r="C255" s="23"/>
      <c r="D255" s="23"/>
      <c r="E255" s="23"/>
      <c r="F255" s="23"/>
      <c r="G255" s="23"/>
    </row>
    <row r="256" spans="1:7" ht="15" customHeight="1" x14ac:dyDescent="0.25">
      <c r="A256" s="23"/>
      <c r="B256" s="23"/>
      <c r="C256" s="23"/>
      <c r="D256" s="23"/>
      <c r="E256" s="23"/>
      <c r="F256" s="23"/>
      <c r="G256" s="23"/>
    </row>
    <row r="257" spans="1:7" ht="15" customHeight="1" x14ac:dyDescent="0.25">
      <c r="A257" s="23"/>
      <c r="B257" s="23"/>
      <c r="C257" s="23"/>
      <c r="D257" s="23"/>
      <c r="E257" s="23"/>
      <c r="F257" s="23"/>
      <c r="G257" s="23"/>
    </row>
    <row r="258" spans="1:7" ht="15" customHeight="1" x14ac:dyDescent="0.25">
      <c r="A258" s="23"/>
      <c r="B258" s="23"/>
      <c r="C258" s="23"/>
      <c r="D258" s="23"/>
      <c r="E258" s="23"/>
      <c r="F258" s="23"/>
      <c r="G258" s="23"/>
    </row>
    <row r="259" spans="1:7" ht="15" customHeight="1" x14ac:dyDescent="0.25">
      <c r="A259" s="23"/>
      <c r="B259" s="23"/>
      <c r="C259" s="23"/>
      <c r="D259" s="23"/>
      <c r="E259" s="23"/>
      <c r="F259" s="23"/>
      <c r="G259" s="23"/>
    </row>
    <row r="260" spans="1:7" ht="15" customHeight="1" x14ac:dyDescent="0.25">
      <c r="A260" s="23"/>
      <c r="B260" s="23"/>
      <c r="C260" s="23"/>
      <c r="D260" s="23"/>
      <c r="E260" s="23"/>
      <c r="F260" s="23"/>
      <c r="G260" s="23"/>
    </row>
    <row r="261" spans="1:7" ht="15" customHeight="1" x14ac:dyDescent="0.25">
      <c r="A261" s="23"/>
      <c r="B261" s="23"/>
      <c r="C261" s="23"/>
      <c r="D261" s="23"/>
      <c r="E261" s="23"/>
      <c r="F261" s="23"/>
      <c r="G261" s="23"/>
    </row>
    <row r="262" spans="1:7" ht="15" customHeight="1" x14ac:dyDescent="0.25">
      <c r="A262" s="23"/>
      <c r="B262" s="23"/>
      <c r="C262" s="23"/>
      <c r="D262" s="23"/>
      <c r="E262" s="23"/>
      <c r="F262" s="23"/>
      <c r="G262" s="23"/>
    </row>
    <row r="263" spans="1:7" ht="15" customHeight="1" x14ac:dyDescent="0.25">
      <c r="A263" s="23"/>
      <c r="B263" s="23"/>
      <c r="C263" s="23"/>
      <c r="D263" s="23"/>
      <c r="E263" s="23"/>
      <c r="F263" s="23"/>
      <c r="G263" s="23"/>
    </row>
    <row r="264" spans="1:7" ht="15" customHeight="1" x14ac:dyDescent="0.25">
      <c r="A264" s="23"/>
      <c r="B264" s="23"/>
      <c r="C264" s="23"/>
      <c r="D264" s="23"/>
      <c r="E264" s="23"/>
      <c r="F264" s="23"/>
      <c r="G264" s="23"/>
    </row>
    <row r="265" spans="1:7" ht="15" customHeight="1" x14ac:dyDescent="0.25">
      <c r="A265" s="23"/>
      <c r="B265" s="23"/>
      <c r="C265" s="23"/>
      <c r="D265" s="23"/>
      <c r="E265" s="23"/>
      <c r="F265" s="23"/>
      <c r="G265" s="23"/>
    </row>
    <row r="266" spans="1:7" ht="15" customHeight="1" x14ac:dyDescent="0.25">
      <c r="A266" s="23"/>
      <c r="B266" s="23"/>
      <c r="C266" s="23"/>
      <c r="D266" s="23"/>
      <c r="E266" s="23"/>
      <c r="F266" s="23"/>
      <c r="G266" s="23"/>
    </row>
    <row r="267" spans="1:7" ht="15" customHeight="1" x14ac:dyDescent="0.25">
      <c r="A267" s="23"/>
      <c r="B267" s="23"/>
      <c r="C267" s="23"/>
      <c r="D267" s="23"/>
      <c r="E267" s="23"/>
      <c r="F267" s="23"/>
      <c r="G267" s="23"/>
    </row>
    <row r="268" spans="1:7" ht="15" customHeight="1" x14ac:dyDescent="0.25">
      <c r="A268" s="23"/>
      <c r="B268" s="23"/>
      <c r="C268" s="23"/>
      <c r="D268" s="23"/>
      <c r="E268" s="23"/>
      <c r="F268" s="23"/>
      <c r="G268" s="23"/>
    </row>
    <row r="269" spans="1:7" ht="15" customHeight="1" x14ac:dyDescent="0.25">
      <c r="A269" s="23"/>
      <c r="B269" s="23"/>
      <c r="C269" s="23"/>
      <c r="D269" s="23"/>
      <c r="E269" s="23"/>
      <c r="F269" s="23"/>
      <c r="G269" s="23"/>
    </row>
    <row r="270" spans="1:7" ht="15" customHeight="1" x14ac:dyDescent="0.25">
      <c r="A270" s="23"/>
      <c r="B270" s="23"/>
      <c r="C270" s="23"/>
      <c r="D270" s="23"/>
      <c r="E270" s="23"/>
      <c r="F270" s="23"/>
      <c r="G270" s="23"/>
    </row>
    <row r="271" spans="1:7" ht="15" customHeight="1" x14ac:dyDescent="0.25">
      <c r="A271" s="23"/>
      <c r="B271" s="23"/>
      <c r="C271" s="23"/>
      <c r="D271" s="23"/>
      <c r="E271" s="23"/>
      <c r="F271" s="23"/>
      <c r="G271" s="23"/>
    </row>
    <row r="272" spans="1:7" ht="15" customHeight="1" x14ac:dyDescent="0.25">
      <c r="A272" s="23"/>
      <c r="B272" s="23"/>
      <c r="C272" s="23"/>
      <c r="D272" s="23"/>
      <c r="E272" s="23"/>
      <c r="F272" s="23"/>
      <c r="G272" s="23"/>
    </row>
    <row r="273" spans="1:7" ht="15" customHeight="1" x14ac:dyDescent="0.25">
      <c r="A273" s="23"/>
      <c r="B273" s="23"/>
      <c r="C273" s="23"/>
      <c r="D273" s="23"/>
      <c r="E273" s="23"/>
      <c r="F273" s="23"/>
      <c r="G273" s="23"/>
    </row>
    <row r="274" spans="1:7" ht="15" customHeight="1" x14ac:dyDescent="0.25">
      <c r="A274" s="23"/>
      <c r="B274" s="23"/>
      <c r="C274" s="23"/>
      <c r="D274" s="23"/>
      <c r="E274" s="23"/>
      <c r="F274" s="23"/>
      <c r="G274" s="23"/>
    </row>
    <row r="275" spans="1:7" ht="15" customHeight="1" x14ac:dyDescent="0.25">
      <c r="A275" s="23"/>
      <c r="B275" s="23"/>
      <c r="C275" s="23"/>
      <c r="D275" s="23"/>
      <c r="E275" s="23"/>
      <c r="F275" s="23"/>
      <c r="G275" s="23"/>
    </row>
    <row r="276" spans="1:7" ht="15" customHeight="1" x14ac:dyDescent="0.25">
      <c r="A276" s="23"/>
      <c r="B276" s="23"/>
      <c r="C276" s="23"/>
      <c r="D276" s="23"/>
      <c r="E276" s="23"/>
      <c r="F276" s="23"/>
      <c r="G276" s="23"/>
    </row>
    <row r="277" spans="1:7" ht="15" customHeight="1" x14ac:dyDescent="0.25">
      <c r="A277" s="23"/>
      <c r="B277" s="23"/>
      <c r="C277" s="23"/>
      <c r="D277" s="23"/>
      <c r="E277" s="23"/>
      <c r="F277" s="23"/>
      <c r="G277" s="23"/>
    </row>
    <row r="278" spans="1:7" ht="15" customHeight="1" x14ac:dyDescent="0.25">
      <c r="A278" s="23"/>
      <c r="B278" s="23"/>
      <c r="C278" s="23"/>
      <c r="D278" s="23"/>
      <c r="E278" s="23"/>
      <c r="F278" s="23"/>
      <c r="G278" s="23"/>
    </row>
    <row r="279" spans="1:7" ht="15" customHeight="1" x14ac:dyDescent="0.25">
      <c r="A279" s="23"/>
      <c r="B279" s="23"/>
      <c r="C279" s="23"/>
      <c r="D279" s="23"/>
      <c r="E279" s="23"/>
      <c r="F279" s="23"/>
      <c r="G279" s="23"/>
    </row>
    <row r="280" spans="1:7" ht="15" customHeight="1" x14ac:dyDescent="0.25">
      <c r="A280" s="23"/>
      <c r="B280" s="23"/>
      <c r="C280" s="23"/>
      <c r="D280" s="23"/>
      <c r="E280" s="23"/>
      <c r="F280" s="23"/>
      <c r="G280" s="23"/>
    </row>
    <row r="281" spans="1:7" ht="15" customHeight="1" x14ac:dyDescent="0.25">
      <c r="A281" s="23"/>
      <c r="B281" s="23"/>
      <c r="C281" s="23"/>
      <c r="D281" s="23"/>
      <c r="E281" s="23"/>
      <c r="F281" s="23"/>
      <c r="G281" s="23"/>
    </row>
    <row r="282" spans="1:7" ht="15" customHeight="1" x14ac:dyDescent="0.25">
      <c r="A282" s="23"/>
      <c r="B282" s="23"/>
      <c r="C282" s="23"/>
      <c r="D282" s="23"/>
      <c r="E282" s="23"/>
      <c r="F282" s="23"/>
      <c r="G282" s="23"/>
    </row>
    <row r="283" spans="1:7" ht="15" customHeight="1" x14ac:dyDescent="0.25">
      <c r="A283" s="23"/>
      <c r="B283" s="23"/>
      <c r="C283" s="23"/>
      <c r="D283" s="23"/>
      <c r="E283" s="23"/>
      <c r="F283" s="23"/>
      <c r="G283" s="23"/>
    </row>
    <row r="284" spans="1:7" ht="15" customHeight="1" x14ac:dyDescent="0.25">
      <c r="A284" s="23"/>
      <c r="B284" s="23"/>
      <c r="C284" s="23"/>
      <c r="D284" s="23"/>
      <c r="E284" s="23"/>
      <c r="F284" s="23"/>
      <c r="G284" s="23"/>
    </row>
    <row r="285" spans="1:7" ht="15" customHeight="1" x14ac:dyDescent="0.25">
      <c r="A285" s="23"/>
      <c r="B285" s="23"/>
      <c r="C285" s="23"/>
      <c r="D285" s="23"/>
      <c r="E285" s="23"/>
      <c r="F285" s="23"/>
      <c r="G285" s="23"/>
    </row>
    <row r="286" spans="1:7" ht="15" customHeight="1" x14ac:dyDescent="0.25">
      <c r="A286" s="23"/>
      <c r="B286" s="23"/>
      <c r="C286" s="23"/>
      <c r="D286" s="23"/>
      <c r="E286" s="23"/>
      <c r="F286" s="23"/>
      <c r="G286" s="23"/>
    </row>
    <row r="287" spans="1:7" ht="15" customHeight="1" x14ac:dyDescent="0.25">
      <c r="A287" s="23"/>
      <c r="B287" s="23"/>
      <c r="C287" s="23"/>
      <c r="D287" s="23"/>
      <c r="E287" s="23"/>
      <c r="F287" s="23"/>
      <c r="G287" s="23"/>
    </row>
    <row r="288" spans="1:7" ht="15" customHeight="1" x14ac:dyDescent="0.25">
      <c r="A288" s="23"/>
      <c r="B288" s="23"/>
      <c r="C288" s="23"/>
      <c r="D288" s="23"/>
      <c r="E288" s="23"/>
      <c r="F288" s="23"/>
      <c r="G288" s="23"/>
    </row>
    <row r="289" spans="1:7" ht="15" customHeight="1" x14ac:dyDescent="0.25">
      <c r="A289" s="23"/>
      <c r="B289" s="23"/>
      <c r="C289" s="23"/>
      <c r="D289" s="23"/>
      <c r="E289" s="23"/>
      <c r="F289" s="23"/>
      <c r="G289" s="23"/>
    </row>
    <row r="290" spans="1:7" ht="15" customHeight="1" x14ac:dyDescent="0.25">
      <c r="A290" s="23"/>
      <c r="B290" s="23"/>
      <c r="C290" s="23"/>
      <c r="D290" s="23"/>
      <c r="E290" s="23"/>
      <c r="F290" s="23"/>
      <c r="G290" s="23"/>
    </row>
    <row r="291" spans="1:7" ht="15" customHeight="1" x14ac:dyDescent="0.25">
      <c r="A291" s="23"/>
      <c r="B291" s="23"/>
      <c r="C291" s="23"/>
      <c r="D291" s="23"/>
      <c r="E291" s="23"/>
      <c r="F291" s="23"/>
      <c r="G291" s="23"/>
    </row>
    <row r="292" spans="1:7" ht="15" customHeight="1" x14ac:dyDescent="0.25">
      <c r="A292" s="23"/>
      <c r="B292" s="23"/>
      <c r="C292" s="23"/>
      <c r="D292" s="23"/>
      <c r="E292" s="23"/>
      <c r="F292" s="23"/>
      <c r="G292" s="23"/>
    </row>
    <row r="293" spans="1:7" ht="15" customHeight="1" x14ac:dyDescent="0.25">
      <c r="A293" s="23"/>
      <c r="B293" s="23"/>
      <c r="C293" s="23"/>
      <c r="D293" s="23"/>
      <c r="E293" s="23"/>
      <c r="F293" s="23"/>
      <c r="G293" s="23"/>
    </row>
    <row r="294" spans="1:7" ht="15" customHeight="1" x14ac:dyDescent="0.25">
      <c r="A294" s="23"/>
      <c r="B294" s="23"/>
      <c r="C294" s="23"/>
      <c r="D294" s="23"/>
      <c r="E294" s="23"/>
      <c r="F294" s="23"/>
      <c r="G294" s="23"/>
    </row>
    <row r="295" spans="1:7" ht="15" customHeight="1" x14ac:dyDescent="0.25">
      <c r="A295" s="23"/>
      <c r="B295" s="23"/>
      <c r="C295" s="23"/>
      <c r="D295" s="23"/>
      <c r="E295" s="23"/>
      <c r="F295" s="23"/>
      <c r="G295" s="23"/>
    </row>
    <row r="296" spans="1:7" ht="15" customHeight="1" x14ac:dyDescent="0.25">
      <c r="A296" s="23"/>
      <c r="B296" s="23"/>
      <c r="C296" s="23"/>
      <c r="D296" s="23"/>
      <c r="E296" s="23"/>
      <c r="F296" s="23"/>
      <c r="G296" s="23"/>
    </row>
    <row r="297" spans="1:7" ht="15" customHeight="1" x14ac:dyDescent="0.25">
      <c r="A297" s="23"/>
      <c r="B297" s="23"/>
      <c r="C297" s="23"/>
      <c r="D297" s="23"/>
      <c r="E297" s="23"/>
      <c r="F297" s="23"/>
      <c r="G297" s="23"/>
    </row>
    <row r="298" spans="1:7" ht="15" customHeight="1" x14ac:dyDescent="0.25">
      <c r="A298" s="23"/>
      <c r="B298" s="23"/>
      <c r="C298" s="23"/>
      <c r="D298" s="23"/>
      <c r="E298" s="23"/>
      <c r="F298" s="23"/>
      <c r="G298" s="23"/>
    </row>
    <row r="299" spans="1:7" ht="15" customHeight="1" x14ac:dyDescent="0.25">
      <c r="A299" s="23"/>
      <c r="B299" s="23"/>
      <c r="C299" s="23"/>
      <c r="D299" s="23"/>
      <c r="E299" s="23"/>
      <c r="F299" s="23"/>
      <c r="G299" s="23"/>
    </row>
    <row r="300" spans="1:7" ht="15" customHeight="1" x14ac:dyDescent="0.25">
      <c r="A300" s="23"/>
      <c r="B300" s="23"/>
      <c r="C300" s="23"/>
      <c r="D300" s="23"/>
      <c r="E300" s="23"/>
      <c r="F300" s="23"/>
      <c r="G300" s="23"/>
    </row>
    <row r="301" spans="1:7" ht="15" customHeight="1" x14ac:dyDescent="0.25">
      <c r="A301" s="23"/>
      <c r="B301" s="23"/>
      <c r="C301" s="23"/>
      <c r="D301" s="23"/>
      <c r="E301" s="23"/>
      <c r="F301" s="23"/>
      <c r="G301" s="23"/>
    </row>
    <row r="302" spans="1:7" ht="15" customHeight="1" x14ac:dyDescent="0.25">
      <c r="A302" s="23"/>
      <c r="B302" s="23"/>
      <c r="C302" s="23"/>
      <c r="D302" s="23"/>
      <c r="E302" s="23"/>
      <c r="F302" s="23"/>
      <c r="G302" s="23"/>
    </row>
    <row r="303" spans="1:7" ht="15" customHeight="1" x14ac:dyDescent="0.25">
      <c r="A303" s="23"/>
      <c r="B303" s="23"/>
      <c r="C303" s="23"/>
      <c r="D303" s="23"/>
      <c r="E303" s="23"/>
      <c r="F303" s="23"/>
      <c r="G303" s="23"/>
    </row>
    <row r="304" spans="1:7" ht="15" customHeight="1" x14ac:dyDescent="0.25">
      <c r="A304" s="23"/>
      <c r="B304" s="23"/>
      <c r="C304" s="23"/>
      <c r="D304" s="23"/>
      <c r="E304" s="23"/>
      <c r="F304" s="23"/>
      <c r="G304" s="23"/>
    </row>
    <row r="305" spans="1:7" ht="15" customHeight="1" x14ac:dyDescent="0.25">
      <c r="A305" s="23"/>
      <c r="B305" s="23"/>
      <c r="C305" s="23"/>
      <c r="D305" s="23"/>
      <c r="E305" s="23"/>
      <c r="F305" s="23"/>
      <c r="G305" s="23"/>
    </row>
    <row r="306" spans="1:7" ht="15" customHeight="1" x14ac:dyDescent="0.25">
      <c r="A306" s="23"/>
      <c r="B306" s="23"/>
      <c r="C306" s="23"/>
      <c r="D306" s="23"/>
      <c r="E306" s="23"/>
      <c r="F306" s="23"/>
      <c r="G306" s="23"/>
    </row>
    <row r="307" spans="1:7" ht="15" customHeight="1" x14ac:dyDescent="0.25">
      <c r="A307" s="23"/>
      <c r="B307" s="23"/>
      <c r="C307" s="23"/>
      <c r="D307" s="23"/>
      <c r="E307" s="23"/>
      <c r="F307" s="23"/>
      <c r="G307" s="23"/>
    </row>
    <row r="308" spans="1:7" ht="15" customHeight="1" x14ac:dyDescent="0.25">
      <c r="A308" s="23"/>
      <c r="B308" s="23"/>
      <c r="C308" s="23"/>
      <c r="D308" s="23"/>
      <c r="E308" s="23"/>
      <c r="F308" s="23"/>
      <c r="G308" s="23"/>
    </row>
    <row r="309" spans="1:7" ht="15" customHeight="1" x14ac:dyDescent="0.25">
      <c r="A309" s="23"/>
      <c r="B309" s="23"/>
      <c r="C309" s="23"/>
      <c r="D309" s="23"/>
      <c r="E309" s="23"/>
      <c r="F309" s="23"/>
      <c r="G309" s="23"/>
    </row>
    <row r="310" spans="1:7" ht="15" customHeight="1" x14ac:dyDescent="0.25">
      <c r="A310" s="23"/>
      <c r="B310" s="23"/>
      <c r="C310" s="23"/>
      <c r="D310" s="23"/>
      <c r="E310" s="23"/>
      <c r="F310" s="23"/>
      <c r="G310" s="23"/>
    </row>
    <row r="311" spans="1:7" ht="15" customHeight="1" x14ac:dyDescent="0.25">
      <c r="A311" s="23"/>
      <c r="B311" s="23"/>
      <c r="C311" s="23"/>
      <c r="D311" s="23"/>
      <c r="E311" s="23"/>
      <c r="F311" s="23"/>
      <c r="G311" s="23"/>
    </row>
    <row r="312" spans="1:7" ht="15" customHeight="1" x14ac:dyDescent="0.25">
      <c r="A312" s="23"/>
      <c r="B312" s="23"/>
      <c r="C312" s="23"/>
      <c r="D312" s="23"/>
      <c r="E312" s="23"/>
      <c r="F312" s="23"/>
      <c r="G312" s="23"/>
    </row>
    <row r="313" spans="1:7" ht="15" customHeight="1" x14ac:dyDescent="0.25">
      <c r="A313" s="23"/>
      <c r="B313" s="23"/>
      <c r="C313" s="23"/>
      <c r="D313" s="23"/>
      <c r="E313" s="23"/>
      <c r="F313" s="23"/>
      <c r="G313" s="23"/>
    </row>
    <row r="314" spans="1:7" ht="15" customHeight="1" x14ac:dyDescent="0.25">
      <c r="A314" s="23"/>
      <c r="B314" s="23"/>
      <c r="C314" s="23"/>
      <c r="D314" s="23"/>
      <c r="E314" s="23"/>
      <c r="F314" s="23"/>
      <c r="G314" s="23"/>
    </row>
    <row r="315" spans="1:7" ht="15" customHeight="1" x14ac:dyDescent="0.25">
      <c r="A315" s="23"/>
      <c r="B315" s="23"/>
      <c r="C315" s="23"/>
      <c r="D315" s="23"/>
      <c r="E315" s="23"/>
      <c r="F315" s="23"/>
      <c r="G315" s="23"/>
    </row>
    <row r="316" spans="1:7" ht="15" customHeight="1" x14ac:dyDescent="0.25">
      <c r="A316" s="23"/>
      <c r="B316" s="23"/>
      <c r="C316" s="23"/>
      <c r="D316" s="23"/>
      <c r="E316" s="23"/>
      <c r="F316" s="23"/>
      <c r="G316" s="23"/>
    </row>
    <row r="317" spans="1:7" ht="15" customHeight="1" x14ac:dyDescent="0.25">
      <c r="A317" s="23"/>
      <c r="B317" s="23"/>
      <c r="C317" s="23"/>
      <c r="D317" s="23"/>
      <c r="E317" s="23"/>
      <c r="F317" s="23"/>
      <c r="G317" s="23"/>
    </row>
    <row r="318" spans="1:7" ht="15" customHeight="1" x14ac:dyDescent="0.25">
      <c r="A318" s="23"/>
      <c r="B318" s="23"/>
      <c r="C318" s="23"/>
      <c r="D318" s="23"/>
      <c r="E318" s="23"/>
      <c r="F318" s="23"/>
      <c r="G318" s="23"/>
    </row>
    <row r="319" spans="1:7" ht="15" customHeight="1" x14ac:dyDescent="0.25">
      <c r="A319" s="23"/>
      <c r="B319" s="23"/>
      <c r="C319" s="23"/>
      <c r="D319" s="23"/>
      <c r="E319" s="23"/>
      <c r="F319" s="23"/>
      <c r="G319" s="23"/>
    </row>
    <row r="320" spans="1:7" ht="15" customHeight="1" x14ac:dyDescent="0.25">
      <c r="A320" s="23"/>
      <c r="B320" s="23"/>
      <c r="C320" s="23"/>
      <c r="D320" s="23"/>
      <c r="E320" s="23"/>
      <c r="F320" s="23"/>
      <c r="G320" s="23"/>
    </row>
    <row r="321" spans="1:7" ht="15" customHeight="1" x14ac:dyDescent="0.25">
      <c r="A321" s="23"/>
      <c r="B321" s="23"/>
      <c r="C321" s="23"/>
      <c r="D321" s="23"/>
      <c r="E321" s="23"/>
      <c r="F321" s="23"/>
      <c r="G321" s="23"/>
    </row>
    <row r="322" spans="1:7" ht="15" customHeight="1" x14ac:dyDescent="0.25">
      <c r="A322" s="23"/>
      <c r="B322" s="23"/>
      <c r="C322" s="23"/>
      <c r="D322" s="23"/>
      <c r="E322" s="23"/>
      <c r="F322" s="23"/>
      <c r="G322" s="23"/>
    </row>
    <row r="323" spans="1:7" ht="15" customHeight="1" x14ac:dyDescent="0.25">
      <c r="A323" s="23"/>
      <c r="B323" s="23"/>
      <c r="C323" s="23"/>
      <c r="D323" s="23"/>
      <c r="E323" s="23"/>
      <c r="F323" s="23"/>
      <c r="G323" s="23"/>
    </row>
    <row r="324" spans="1:7" ht="15" customHeight="1" x14ac:dyDescent="0.25">
      <c r="A324" s="23"/>
      <c r="B324" s="23"/>
      <c r="C324" s="23"/>
      <c r="D324" s="23"/>
      <c r="E324" s="23"/>
      <c r="F324" s="23"/>
      <c r="G324" s="23"/>
    </row>
    <row r="325" spans="1:7" ht="15" customHeight="1" x14ac:dyDescent="0.25">
      <c r="A325" s="23"/>
      <c r="B325" s="23"/>
      <c r="C325" s="23"/>
      <c r="D325" s="23"/>
      <c r="E325" s="23"/>
      <c r="F325" s="23"/>
      <c r="G325" s="23"/>
    </row>
    <row r="326" spans="1:7" ht="15" customHeight="1" x14ac:dyDescent="0.25">
      <c r="A326" s="23"/>
      <c r="B326" s="23"/>
      <c r="C326" s="23"/>
      <c r="D326" s="23"/>
      <c r="E326" s="23"/>
      <c r="F326" s="23"/>
      <c r="G326" s="23"/>
    </row>
    <row r="327" spans="1:7" ht="15" customHeight="1" x14ac:dyDescent="0.25">
      <c r="A327" s="23"/>
      <c r="B327" s="23"/>
      <c r="C327" s="23"/>
      <c r="D327" s="23"/>
      <c r="E327" s="23"/>
      <c r="F327" s="23"/>
      <c r="G327" s="23"/>
    </row>
    <row r="328" spans="1:7" ht="15" customHeight="1" x14ac:dyDescent="0.25">
      <c r="A328" s="23"/>
      <c r="B328" s="23"/>
      <c r="C328" s="23"/>
      <c r="D328" s="23"/>
      <c r="E328" s="23"/>
      <c r="F328" s="23"/>
      <c r="G328" s="23"/>
    </row>
    <row r="329" spans="1:7" ht="15" customHeight="1" x14ac:dyDescent="0.25">
      <c r="A329" s="23"/>
      <c r="B329" s="23"/>
      <c r="C329" s="23"/>
      <c r="D329" s="23"/>
      <c r="E329" s="23"/>
      <c r="F329" s="23"/>
      <c r="G329" s="23"/>
    </row>
    <row r="330" spans="1:7" ht="15" customHeight="1" x14ac:dyDescent="0.25">
      <c r="A330" s="23"/>
      <c r="B330" s="23"/>
      <c r="C330" s="23"/>
      <c r="D330" s="23"/>
      <c r="E330" s="23"/>
      <c r="F330" s="23"/>
      <c r="G330" s="23"/>
    </row>
    <row r="331" spans="1:7" ht="15" customHeight="1" x14ac:dyDescent="0.25">
      <c r="A331" s="23"/>
      <c r="B331" s="23"/>
      <c r="C331" s="23"/>
      <c r="D331" s="23"/>
      <c r="E331" s="23"/>
      <c r="F331" s="23"/>
      <c r="G331" s="23"/>
    </row>
    <row r="332" spans="1:7" ht="15" customHeight="1" x14ac:dyDescent="0.25">
      <c r="A332" s="23"/>
      <c r="B332" s="23"/>
      <c r="C332" s="23"/>
      <c r="D332" s="23"/>
      <c r="E332" s="23"/>
      <c r="F332" s="23"/>
      <c r="G332" s="23"/>
    </row>
    <row r="333" spans="1:7" ht="15" customHeight="1" x14ac:dyDescent="0.25">
      <c r="A333" s="23"/>
      <c r="B333" s="23"/>
      <c r="C333" s="23"/>
      <c r="D333" s="23"/>
      <c r="E333" s="23"/>
      <c r="F333" s="23"/>
      <c r="G333" s="23"/>
    </row>
    <row r="334" spans="1:7" ht="15" customHeight="1" x14ac:dyDescent="0.25">
      <c r="A334" s="23"/>
      <c r="B334" s="23"/>
      <c r="C334" s="23"/>
      <c r="D334" s="23"/>
      <c r="E334" s="23"/>
      <c r="F334" s="23"/>
      <c r="G334" s="23"/>
    </row>
    <row r="335" spans="1:7" ht="15" customHeight="1" x14ac:dyDescent="0.25">
      <c r="A335" s="23"/>
      <c r="B335" s="23"/>
      <c r="C335" s="23"/>
      <c r="D335" s="23"/>
      <c r="E335" s="23"/>
      <c r="F335" s="23"/>
      <c r="G335" s="23"/>
    </row>
    <row r="336" spans="1:7" ht="15" customHeight="1" x14ac:dyDescent="0.25">
      <c r="A336" s="23"/>
      <c r="B336" s="23"/>
      <c r="C336" s="23"/>
      <c r="D336" s="23"/>
      <c r="E336" s="23"/>
      <c r="F336" s="23"/>
      <c r="G336" s="23"/>
    </row>
    <row r="337" spans="1:7" ht="15" customHeight="1" x14ac:dyDescent="0.25">
      <c r="A337" s="23"/>
      <c r="B337" s="23"/>
      <c r="C337" s="23"/>
      <c r="D337" s="23"/>
      <c r="E337" s="23"/>
      <c r="F337" s="23"/>
      <c r="G337" s="23"/>
    </row>
    <row r="338" spans="1:7" ht="15" customHeight="1" x14ac:dyDescent="0.25">
      <c r="A338" s="23"/>
      <c r="B338" s="23"/>
      <c r="C338" s="23"/>
      <c r="D338" s="23"/>
      <c r="E338" s="23"/>
      <c r="F338" s="23"/>
      <c r="G338" s="23"/>
    </row>
    <row r="339" spans="1:7" ht="15" customHeight="1" x14ac:dyDescent="0.25">
      <c r="A339" s="23"/>
      <c r="B339" s="23"/>
      <c r="C339" s="23"/>
      <c r="D339" s="23"/>
      <c r="E339" s="23"/>
      <c r="F339" s="23"/>
      <c r="G339" s="23"/>
    </row>
    <row r="340" spans="1:7" ht="15" customHeight="1" x14ac:dyDescent="0.25">
      <c r="A340" s="23"/>
      <c r="B340" s="23"/>
      <c r="C340" s="23"/>
      <c r="D340" s="23"/>
      <c r="E340" s="23"/>
      <c r="F340" s="23"/>
      <c r="G340" s="23"/>
    </row>
    <row r="341" spans="1:7" ht="15" customHeight="1" x14ac:dyDescent="0.25">
      <c r="A341" s="23"/>
      <c r="B341" s="23"/>
      <c r="C341" s="23"/>
      <c r="D341" s="23"/>
      <c r="E341" s="23"/>
      <c r="F341" s="23"/>
      <c r="G341" s="23"/>
    </row>
    <row r="342" spans="1:7" ht="15" customHeight="1" x14ac:dyDescent="0.25">
      <c r="A342" s="23"/>
      <c r="B342" s="23"/>
      <c r="C342" s="23"/>
      <c r="D342" s="23"/>
      <c r="E342" s="23"/>
      <c r="F342" s="23"/>
      <c r="G342" s="23"/>
    </row>
    <row r="343" spans="1:7" ht="15" customHeight="1" x14ac:dyDescent="0.25">
      <c r="A343" s="23"/>
      <c r="B343" s="23"/>
      <c r="C343" s="23"/>
      <c r="D343" s="23"/>
      <c r="E343" s="23"/>
      <c r="F343" s="23"/>
      <c r="G343" s="23"/>
    </row>
    <row r="344" spans="1:7" ht="15" customHeight="1" x14ac:dyDescent="0.25">
      <c r="A344" s="23"/>
      <c r="B344" s="23"/>
      <c r="C344" s="23"/>
      <c r="D344" s="23"/>
      <c r="E344" s="23"/>
      <c r="F344" s="23"/>
      <c r="G344" s="23"/>
    </row>
    <row r="345" spans="1:7" ht="15" customHeight="1" x14ac:dyDescent="0.25">
      <c r="A345" s="23"/>
      <c r="B345" s="23"/>
      <c r="C345" s="23"/>
      <c r="D345" s="23"/>
      <c r="E345" s="23"/>
      <c r="F345" s="23"/>
      <c r="G345" s="23"/>
    </row>
    <row r="346" spans="1:7" ht="15" customHeight="1" x14ac:dyDescent="0.25">
      <c r="A346" s="23"/>
      <c r="B346" s="23"/>
      <c r="C346" s="23"/>
      <c r="D346" s="23"/>
      <c r="E346" s="23"/>
      <c r="F346" s="23"/>
      <c r="G346" s="23"/>
    </row>
    <row r="347" spans="1:7" ht="15" customHeight="1" x14ac:dyDescent="0.25">
      <c r="A347" s="23"/>
      <c r="B347" s="23"/>
      <c r="C347" s="23"/>
      <c r="D347" s="23"/>
      <c r="E347" s="23"/>
      <c r="F347" s="23"/>
      <c r="G347" s="23"/>
    </row>
    <row r="348" spans="1:7" ht="15" customHeight="1" x14ac:dyDescent="0.25">
      <c r="A348" s="23"/>
      <c r="B348" s="23"/>
      <c r="C348" s="23"/>
      <c r="D348" s="23"/>
      <c r="E348" s="23"/>
      <c r="F348" s="23"/>
      <c r="G348" s="23"/>
    </row>
    <row r="349" spans="1:7" ht="15" customHeight="1" x14ac:dyDescent="0.25">
      <c r="A349" s="23"/>
      <c r="B349" s="23"/>
      <c r="C349" s="23"/>
      <c r="D349" s="23"/>
      <c r="E349" s="23"/>
      <c r="F349" s="23"/>
      <c r="G349" s="23"/>
    </row>
    <row r="350" spans="1:7" ht="15" customHeight="1" x14ac:dyDescent="0.25">
      <c r="A350" s="23"/>
      <c r="B350" s="23"/>
      <c r="C350" s="23"/>
      <c r="D350" s="23"/>
      <c r="E350" s="23"/>
      <c r="F350" s="23"/>
      <c r="G350" s="23"/>
    </row>
    <row r="351" spans="1:7" ht="15" customHeight="1" x14ac:dyDescent="0.25">
      <c r="A351" s="23"/>
      <c r="B351" s="23"/>
      <c r="C351" s="23"/>
      <c r="D351" s="23"/>
      <c r="E351" s="23"/>
      <c r="F351" s="23"/>
      <c r="G351" s="23"/>
    </row>
    <row r="352" spans="1:7" ht="15" customHeight="1" x14ac:dyDescent="0.25">
      <c r="A352" s="23"/>
      <c r="B352" s="23"/>
      <c r="C352" s="23"/>
      <c r="D352" s="23"/>
      <c r="E352" s="23"/>
      <c r="F352" s="23"/>
      <c r="G352" s="23"/>
    </row>
    <row r="353" spans="1:7" ht="15" customHeight="1" x14ac:dyDescent="0.25">
      <c r="A353" s="23"/>
      <c r="B353" s="23"/>
      <c r="C353" s="23"/>
      <c r="D353" s="23"/>
      <c r="E353" s="23"/>
      <c r="F353" s="23"/>
      <c r="G353" s="23"/>
    </row>
    <row r="354" spans="1:7" ht="15" customHeight="1" x14ac:dyDescent="0.25">
      <c r="A354" s="23"/>
      <c r="B354" s="23"/>
      <c r="C354" s="23"/>
      <c r="D354" s="23"/>
      <c r="E354" s="23"/>
      <c r="F354" s="23"/>
      <c r="G354" s="23"/>
    </row>
    <row r="355" spans="1:7" ht="15" customHeight="1" x14ac:dyDescent="0.25">
      <c r="A355" s="23"/>
      <c r="B355" s="23"/>
      <c r="C355" s="23"/>
      <c r="D355" s="23"/>
      <c r="E355" s="23"/>
      <c r="F355" s="23"/>
      <c r="G355" s="23"/>
    </row>
    <row r="356" spans="1:7" ht="15" customHeight="1" x14ac:dyDescent="0.25">
      <c r="A356" s="23"/>
      <c r="B356" s="23"/>
      <c r="C356" s="23"/>
      <c r="D356" s="23"/>
      <c r="E356" s="23"/>
      <c r="F356" s="23"/>
      <c r="G356" s="23"/>
    </row>
    <row r="357" spans="1:7" ht="15" customHeight="1" x14ac:dyDescent="0.25">
      <c r="A357" s="23"/>
      <c r="B357" s="23"/>
      <c r="C357" s="23"/>
      <c r="D357" s="23"/>
      <c r="E357" s="23"/>
      <c r="F357" s="23"/>
      <c r="G357" s="23"/>
    </row>
    <row r="358" spans="1:7" ht="15" customHeight="1" x14ac:dyDescent="0.25">
      <c r="A358" s="23"/>
      <c r="B358" s="23"/>
      <c r="C358" s="23"/>
      <c r="D358" s="23"/>
      <c r="E358" s="23"/>
      <c r="F358" s="23"/>
      <c r="G358" s="23"/>
    </row>
    <row r="359" spans="1:7" ht="15" customHeight="1" x14ac:dyDescent="0.25">
      <c r="A359" s="23"/>
      <c r="B359" s="23"/>
      <c r="C359" s="23"/>
      <c r="D359" s="23"/>
      <c r="E359" s="23"/>
      <c r="F359" s="23"/>
      <c r="G359" s="23"/>
    </row>
    <row r="360" spans="1:7" ht="15" customHeight="1" x14ac:dyDescent="0.25">
      <c r="A360" s="23"/>
      <c r="B360" s="23"/>
      <c r="C360" s="23"/>
      <c r="D360" s="23"/>
      <c r="E360" s="23"/>
      <c r="F360" s="23"/>
      <c r="G360" s="23"/>
    </row>
    <row r="361" spans="1:7" ht="15" customHeight="1" x14ac:dyDescent="0.25">
      <c r="A361" s="23"/>
      <c r="B361" s="23"/>
      <c r="C361" s="23"/>
      <c r="D361" s="23"/>
      <c r="E361" s="23"/>
      <c r="F361" s="23"/>
      <c r="G361" s="23"/>
    </row>
    <row r="362" spans="1:7" ht="15" customHeight="1" x14ac:dyDescent="0.25">
      <c r="A362" s="23"/>
      <c r="B362" s="23"/>
      <c r="C362" s="23"/>
      <c r="D362" s="23"/>
      <c r="E362" s="23"/>
      <c r="F362" s="23"/>
      <c r="G362" s="23"/>
    </row>
    <row r="363" spans="1:7" ht="15" customHeight="1" x14ac:dyDescent="0.25">
      <c r="A363" s="23"/>
      <c r="B363" s="23"/>
      <c r="C363" s="23"/>
      <c r="D363" s="23"/>
      <c r="E363" s="23"/>
      <c r="F363" s="23"/>
      <c r="G363" s="23"/>
    </row>
    <row r="364" spans="1:7" ht="15" customHeight="1" x14ac:dyDescent="0.25">
      <c r="A364" s="23"/>
      <c r="B364" s="23"/>
      <c r="C364" s="23"/>
      <c r="D364" s="23"/>
      <c r="E364" s="23"/>
      <c r="F364" s="23"/>
      <c r="G364" s="23"/>
    </row>
    <row r="365" spans="1:7" ht="15" customHeight="1" x14ac:dyDescent="0.25">
      <c r="A365" s="23"/>
      <c r="B365" s="23"/>
      <c r="C365" s="23"/>
      <c r="D365" s="23"/>
      <c r="E365" s="23"/>
      <c r="F365" s="23"/>
      <c r="G365" s="23"/>
    </row>
    <row r="366" spans="1:7" ht="15" customHeight="1" x14ac:dyDescent="0.25">
      <c r="A366" s="23"/>
      <c r="B366" s="23"/>
      <c r="C366" s="23"/>
      <c r="D366" s="23"/>
      <c r="E366" s="23"/>
      <c r="F366" s="23"/>
      <c r="G366" s="23"/>
    </row>
    <row r="367" spans="1:7" ht="15" customHeight="1" x14ac:dyDescent="0.25">
      <c r="A367" s="23"/>
      <c r="B367" s="23"/>
      <c r="C367" s="23"/>
      <c r="D367" s="23"/>
      <c r="E367" s="23"/>
      <c r="F367" s="23"/>
      <c r="G367" s="23"/>
    </row>
    <row r="368" spans="1:7" ht="15" customHeight="1" x14ac:dyDescent="0.25">
      <c r="A368" s="23"/>
      <c r="B368" s="23"/>
      <c r="C368" s="23"/>
      <c r="D368" s="23"/>
      <c r="E368" s="23"/>
      <c r="F368" s="23"/>
      <c r="G368" s="23"/>
    </row>
    <row r="369" spans="1:7" ht="15" customHeight="1" x14ac:dyDescent="0.25">
      <c r="A369" s="23"/>
      <c r="B369" s="23"/>
      <c r="C369" s="23"/>
      <c r="D369" s="23"/>
      <c r="E369" s="23"/>
      <c r="F369" s="23"/>
      <c r="G369" s="23"/>
    </row>
    <row r="370" spans="1:7" ht="15" customHeight="1" x14ac:dyDescent="0.25">
      <c r="A370" s="23"/>
      <c r="B370" s="23"/>
      <c r="C370" s="23"/>
      <c r="D370" s="23"/>
      <c r="E370" s="23"/>
      <c r="F370" s="23"/>
      <c r="G370" s="23"/>
    </row>
    <row r="371" spans="1:7" ht="15" customHeight="1" x14ac:dyDescent="0.25">
      <c r="A371" s="23"/>
      <c r="B371" s="23"/>
      <c r="C371" s="23"/>
      <c r="D371" s="23"/>
      <c r="E371" s="23"/>
      <c r="F371" s="23"/>
      <c r="G371" s="23"/>
    </row>
    <row r="372" spans="1:7" ht="15" customHeight="1" x14ac:dyDescent="0.25">
      <c r="A372" s="23"/>
      <c r="B372" s="23"/>
      <c r="C372" s="23"/>
      <c r="D372" s="23"/>
      <c r="E372" s="23"/>
      <c r="F372" s="23"/>
      <c r="G372" s="23"/>
    </row>
    <row r="373" spans="1:7" ht="15" customHeight="1" x14ac:dyDescent="0.25">
      <c r="A373" s="23"/>
      <c r="B373" s="23"/>
      <c r="C373" s="23"/>
      <c r="D373" s="23"/>
      <c r="E373" s="23"/>
      <c r="F373" s="23"/>
      <c r="G373" s="23"/>
    </row>
    <row r="374" spans="1:7" ht="15" customHeight="1" x14ac:dyDescent="0.25">
      <c r="A374" s="23"/>
      <c r="B374" s="23"/>
      <c r="C374" s="23"/>
      <c r="D374" s="23"/>
      <c r="E374" s="23"/>
      <c r="F374" s="23"/>
      <c r="G374" s="23"/>
    </row>
    <row r="375" spans="1:7" ht="15" customHeight="1" x14ac:dyDescent="0.25">
      <c r="A375" s="23"/>
      <c r="B375" s="23"/>
      <c r="C375" s="23"/>
      <c r="D375" s="23"/>
      <c r="E375" s="23"/>
      <c r="F375" s="23"/>
      <c r="G375" s="23"/>
    </row>
    <row r="376" spans="1:7" ht="15" customHeight="1" x14ac:dyDescent="0.25">
      <c r="A376" s="23"/>
      <c r="B376" s="23"/>
      <c r="C376" s="23"/>
      <c r="D376" s="23"/>
      <c r="E376" s="23"/>
      <c r="F376" s="23"/>
      <c r="G376" s="23"/>
    </row>
    <row r="377" spans="1:7" ht="15" customHeight="1" x14ac:dyDescent="0.25">
      <c r="A377" s="23"/>
      <c r="B377" s="23"/>
      <c r="C377" s="23"/>
      <c r="D377" s="23"/>
      <c r="E377" s="23"/>
      <c r="F377" s="23"/>
      <c r="G377" s="23"/>
    </row>
    <row r="378" spans="1:7" ht="15" customHeight="1" x14ac:dyDescent="0.25">
      <c r="A378" s="23"/>
      <c r="B378" s="23"/>
      <c r="C378" s="23"/>
      <c r="D378" s="23"/>
      <c r="E378" s="23"/>
      <c r="F378" s="23"/>
      <c r="G378" s="23"/>
    </row>
    <row r="379" spans="1:7" ht="15" customHeight="1" x14ac:dyDescent="0.25">
      <c r="A379" s="23"/>
      <c r="B379" s="23"/>
      <c r="C379" s="23"/>
      <c r="D379" s="23"/>
      <c r="E379" s="23"/>
      <c r="F379" s="23"/>
      <c r="G379" s="23"/>
    </row>
    <row r="380" spans="1:7" ht="15" customHeight="1" x14ac:dyDescent="0.25">
      <c r="A380" s="23"/>
      <c r="B380" s="23"/>
      <c r="C380" s="23"/>
      <c r="D380" s="23"/>
      <c r="E380" s="23"/>
      <c r="F380" s="23"/>
      <c r="G380" s="23"/>
    </row>
    <row r="381" spans="1:7" ht="15" customHeight="1" x14ac:dyDescent="0.25">
      <c r="A381" s="23"/>
      <c r="B381" s="23"/>
      <c r="C381" s="23"/>
      <c r="D381" s="23"/>
      <c r="E381" s="23"/>
      <c r="F381" s="23"/>
      <c r="G381" s="23"/>
    </row>
    <row r="382" spans="1:7" ht="15" customHeight="1" x14ac:dyDescent="0.25">
      <c r="A382" s="23"/>
      <c r="B382" s="23"/>
      <c r="C382" s="23"/>
      <c r="D382" s="23"/>
      <c r="E382" s="23"/>
      <c r="F382" s="23"/>
      <c r="G382" s="23"/>
    </row>
    <row r="383" spans="1:7" ht="15" customHeight="1" x14ac:dyDescent="0.25">
      <c r="A383" s="23"/>
      <c r="B383" s="23"/>
      <c r="C383" s="23"/>
      <c r="D383" s="23"/>
      <c r="E383" s="23"/>
      <c r="F383" s="23"/>
      <c r="G383" s="23"/>
    </row>
    <row r="384" spans="1:7" ht="15" customHeight="1" x14ac:dyDescent="0.25">
      <c r="A384" s="23"/>
      <c r="B384" s="23"/>
      <c r="C384" s="23"/>
      <c r="D384" s="23"/>
      <c r="E384" s="23"/>
      <c r="F384" s="23"/>
      <c r="G384" s="23"/>
    </row>
    <row r="385" spans="1:7" ht="15" customHeight="1" x14ac:dyDescent="0.25">
      <c r="A385" s="23"/>
      <c r="B385" s="23"/>
      <c r="C385" s="23"/>
      <c r="D385" s="23"/>
      <c r="E385" s="23"/>
      <c r="F385" s="23"/>
      <c r="G385" s="23"/>
    </row>
    <row r="386" spans="1:7" ht="15" customHeight="1" x14ac:dyDescent="0.25">
      <c r="A386" s="23"/>
      <c r="B386" s="23"/>
      <c r="C386" s="23"/>
      <c r="D386" s="23"/>
      <c r="E386" s="23"/>
      <c r="F386" s="23"/>
      <c r="G386" s="23"/>
    </row>
    <row r="387" spans="1:7" ht="15" customHeight="1" x14ac:dyDescent="0.25">
      <c r="A387" s="23"/>
      <c r="B387" s="23"/>
      <c r="C387" s="23"/>
      <c r="D387" s="23"/>
      <c r="E387" s="23"/>
      <c r="F387" s="23"/>
      <c r="G387" s="23"/>
    </row>
    <row r="388" spans="1:7" ht="15" customHeight="1" x14ac:dyDescent="0.25">
      <c r="A388" s="23"/>
      <c r="B388" s="23"/>
      <c r="C388" s="23"/>
      <c r="D388" s="23"/>
      <c r="E388" s="23"/>
      <c r="F388" s="23"/>
      <c r="G388" s="23"/>
    </row>
    <row r="389" spans="1:7" ht="15" customHeight="1" x14ac:dyDescent="0.25">
      <c r="A389" s="23"/>
      <c r="B389" s="23"/>
      <c r="C389" s="23"/>
      <c r="D389" s="23"/>
      <c r="E389" s="23"/>
      <c r="F389" s="23"/>
      <c r="G389" s="23"/>
    </row>
    <row r="390" spans="1:7" ht="15" customHeight="1" x14ac:dyDescent="0.25">
      <c r="A390" s="23"/>
      <c r="B390" s="23"/>
      <c r="C390" s="23"/>
      <c r="D390" s="23"/>
      <c r="E390" s="23"/>
      <c r="F390" s="23"/>
      <c r="G390" s="23"/>
    </row>
    <row r="391" spans="1:7" ht="15" customHeight="1" x14ac:dyDescent="0.25">
      <c r="A391" s="23"/>
      <c r="B391" s="23"/>
      <c r="C391" s="23"/>
      <c r="D391" s="23"/>
      <c r="E391" s="23"/>
      <c r="F391" s="23"/>
      <c r="G391" s="23"/>
    </row>
    <row r="392" spans="1:7" ht="15" customHeight="1" x14ac:dyDescent="0.25">
      <c r="A392" s="23"/>
      <c r="B392" s="23"/>
      <c r="C392" s="23"/>
      <c r="D392" s="23"/>
      <c r="E392" s="23"/>
      <c r="F392" s="23"/>
      <c r="G392" s="23"/>
    </row>
    <row r="393" spans="1:7" ht="15" customHeight="1" x14ac:dyDescent="0.25">
      <c r="A393" s="23"/>
      <c r="B393" s="23"/>
      <c r="C393" s="23"/>
      <c r="D393" s="23"/>
      <c r="E393" s="23"/>
      <c r="F393" s="23"/>
      <c r="G393" s="23"/>
    </row>
    <row r="394" spans="1:7" ht="15" customHeight="1" x14ac:dyDescent="0.25">
      <c r="A394" s="23"/>
      <c r="B394" s="23"/>
      <c r="C394" s="23"/>
      <c r="D394" s="23"/>
      <c r="E394" s="23"/>
      <c r="F394" s="23"/>
      <c r="G394" s="23"/>
    </row>
    <row r="395" spans="1:7" ht="15" customHeight="1" x14ac:dyDescent="0.25">
      <c r="A395" s="23"/>
      <c r="B395" s="23"/>
      <c r="C395" s="23"/>
      <c r="D395" s="23"/>
      <c r="E395" s="23"/>
      <c r="F395" s="23"/>
      <c r="G395" s="23"/>
    </row>
    <row r="396" spans="1:7" ht="15" customHeight="1" x14ac:dyDescent="0.25">
      <c r="A396" s="23"/>
      <c r="B396" s="23"/>
      <c r="C396" s="23"/>
      <c r="D396" s="23"/>
      <c r="E396" s="23"/>
      <c r="F396" s="23"/>
      <c r="G396" s="23"/>
    </row>
    <row r="397" spans="1:7" ht="15" customHeight="1" x14ac:dyDescent="0.25">
      <c r="A397" s="23"/>
      <c r="B397" s="23"/>
      <c r="C397" s="23"/>
      <c r="D397" s="23"/>
      <c r="E397" s="23"/>
      <c r="F397" s="23"/>
      <c r="G397" s="23"/>
    </row>
    <row r="398" spans="1:7" ht="15" customHeight="1" x14ac:dyDescent="0.25">
      <c r="A398" s="23"/>
      <c r="B398" s="23"/>
      <c r="C398" s="23"/>
      <c r="D398" s="23"/>
      <c r="E398" s="23"/>
      <c r="F398" s="23"/>
      <c r="G398" s="23"/>
    </row>
    <row r="399" spans="1:7" ht="15" customHeight="1" x14ac:dyDescent="0.25">
      <c r="A399" s="23"/>
      <c r="B399" s="23"/>
      <c r="C399" s="23"/>
      <c r="D399" s="23"/>
      <c r="E399" s="23"/>
      <c r="F399" s="23"/>
      <c r="G399" s="23"/>
    </row>
    <row r="400" spans="1:7" ht="15" customHeight="1" x14ac:dyDescent="0.25">
      <c r="A400" s="23"/>
      <c r="B400" s="23"/>
      <c r="C400" s="23"/>
      <c r="D400" s="23"/>
      <c r="E400" s="23"/>
      <c r="F400" s="23"/>
      <c r="G400" s="23"/>
    </row>
    <row r="401" spans="1:7" ht="15" customHeight="1" x14ac:dyDescent="0.25">
      <c r="A401" s="23"/>
      <c r="B401" s="23"/>
      <c r="C401" s="23"/>
      <c r="D401" s="23"/>
      <c r="E401" s="23"/>
      <c r="F401" s="23"/>
      <c r="G401" s="23"/>
    </row>
    <row r="402" spans="1:7" ht="15" customHeight="1" x14ac:dyDescent="0.25">
      <c r="A402" s="23"/>
      <c r="B402" s="23"/>
      <c r="C402" s="23"/>
      <c r="D402" s="23"/>
      <c r="E402" s="23"/>
      <c r="F402" s="23"/>
      <c r="G402" s="23"/>
    </row>
    <row r="403" spans="1:7" ht="15" customHeight="1" x14ac:dyDescent="0.25">
      <c r="A403" s="23"/>
      <c r="B403" s="23"/>
      <c r="C403" s="23"/>
      <c r="D403" s="23"/>
      <c r="E403" s="23"/>
      <c r="F403" s="23"/>
      <c r="G403" s="23"/>
    </row>
    <row r="404" spans="1:7" ht="15" customHeight="1" x14ac:dyDescent="0.25">
      <c r="A404" s="23"/>
      <c r="B404" s="23"/>
      <c r="C404" s="23"/>
      <c r="D404" s="23"/>
      <c r="E404" s="23"/>
      <c r="F404" s="23"/>
      <c r="G404" s="23"/>
    </row>
    <row r="405" spans="1:7" ht="15" customHeight="1" x14ac:dyDescent="0.25">
      <c r="A405" s="23"/>
      <c r="B405" s="23"/>
      <c r="C405" s="23"/>
      <c r="D405" s="23"/>
      <c r="E405" s="23"/>
      <c r="F405" s="23"/>
      <c r="G405" s="23"/>
    </row>
    <row r="406" spans="1:7" ht="15" customHeight="1" x14ac:dyDescent="0.25">
      <c r="A406" s="23"/>
      <c r="B406" s="23"/>
      <c r="C406" s="23"/>
      <c r="D406" s="23"/>
      <c r="E406" s="23"/>
      <c r="F406" s="23"/>
      <c r="G406" s="23"/>
    </row>
    <row r="407" spans="1:7" ht="15" customHeight="1" x14ac:dyDescent="0.25">
      <c r="A407" s="23"/>
      <c r="B407" s="23"/>
      <c r="C407" s="23"/>
      <c r="D407" s="23"/>
      <c r="E407" s="23"/>
      <c r="F407" s="23"/>
      <c r="G407" s="23"/>
    </row>
    <row r="408" spans="1:7" ht="15" customHeight="1" x14ac:dyDescent="0.25">
      <c r="A408" s="23"/>
      <c r="B408" s="23"/>
      <c r="C408" s="23"/>
      <c r="D408" s="23"/>
      <c r="E408" s="23"/>
      <c r="F408" s="23"/>
      <c r="G408" s="23"/>
    </row>
    <row r="409" spans="1:7" ht="15" customHeight="1" x14ac:dyDescent="0.25">
      <c r="A409" s="23"/>
      <c r="B409" s="23"/>
      <c r="C409" s="23"/>
      <c r="D409" s="23"/>
      <c r="E409" s="23"/>
      <c r="F409" s="23"/>
      <c r="G409" s="23"/>
    </row>
    <row r="410" spans="1:7" ht="15" customHeight="1" x14ac:dyDescent="0.25">
      <c r="A410" s="23"/>
      <c r="B410" s="23"/>
      <c r="C410" s="23"/>
      <c r="D410" s="23"/>
      <c r="E410" s="23"/>
      <c r="F410" s="23"/>
      <c r="G410" s="23"/>
    </row>
    <row r="411" spans="1:7" ht="15" customHeight="1" x14ac:dyDescent="0.25">
      <c r="A411" s="23"/>
      <c r="B411" s="23"/>
      <c r="C411" s="23"/>
      <c r="D411" s="23"/>
      <c r="E411" s="23"/>
      <c r="F411" s="23"/>
      <c r="G411" s="23"/>
    </row>
    <row r="412" spans="1:7" ht="15" customHeight="1" x14ac:dyDescent="0.25">
      <c r="A412" s="23"/>
      <c r="B412" s="23"/>
      <c r="C412" s="23"/>
      <c r="D412" s="23"/>
      <c r="E412" s="23"/>
      <c r="F412" s="23"/>
      <c r="G412" s="23"/>
    </row>
    <row r="413" spans="1:7" ht="15" customHeight="1" x14ac:dyDescent="0.25">
      <c r="A413" s="23"/>
      <c r="B413" s="23"/>
      <c r="C413" s="23"/>
      <c r="D413" s="23"/>
      <c r="E413" s="23"/>
      <c r="F413" s="23"/>
      <c r="G413" s="23"/>
    </row>
    <row r="414" spans="1:7" ht="15" customHeight="1" x14ac:dyDescent="0.25">
      <c r="A414" s="23"/>
      <c r="B414" s="23"/>
      <c r="C414" s="23"/>
      <c r="D414" s="23"/>
      <c r="E414" s="23"/>
      <c r="F414" s="23"/>
      <c r="G414" s="23"/>
    </row>
    <row r="415" spans="1:7" ht="15" customHeight="1" x14ac:dyDescent="0.25">
      <c r="A415" s="23"/>
      <c r="B415" s="23"/>
      <c r="C415" s="23"/>
      <c r="D415" s="23"/>
      <c r="E415" s="23"/>
      <c r="F415" s="23"/>
      <c r="G415" s="23"/>
    </row>
    <row r="416" spans="1:7" ht="15" customHeight="1" x14ac:dyDescent="0.25">
      <c r="A416" s="23"/>
      <c r="B416" s="23"/>
      <c r="C416" s="23"/>
      <c r="D416" s="23"/>
      <c r="E416" s="23"/>
      <c r="F416" s="23"/>
      <c r="G416" s="23"/>
    </row>
    <row r="417" spans="1:7" ht="15" customHeight="1" x14ac:dyDescent="0.25">
      <c r="A417" s="23"/>
      <c r="B417" s="23"/>
      <c r="C417" s="23"/>
      <c r="D417" s="23"/>
      <c r="E417" s="23"/>
      <c r="F417" s="23"/>
      <c r="G417" s="23"/>
    </row>
    <row r="418" spans="1:7" ht="15" customHeight="1" x14ac:dyDescent="0.25">
      <c r="A418" s="23"/>
      <c r="B418" s="23"/>
      <c r="C418" s="23"/>
      <c r="D418" s="23"/>
      <c r="E418" s="23"/>
      <c r="F418" s="23"/>
      <c r="G418" s="23"/>
    </row>
    <row r="419" spans="1:7" ht="15" customHeight="1" x14ac:dyDescent="0.25">
      <c r="A419" s="23"/>
      <c r="B419" s="23"/>
      <c r="C419" s="23"/>
      <c r="D419" s="23"/>
      <c r="E419" s="23"/>
      <c r="F419" s="23"/>
      <c r="G419" s="23"/>
    </row>
    <row r="420" spans="1:7" ht="15" customHeight="1" x14ac:dyDescent="0.25">
      <c r="A420" s="23"/>
      <c r="B420" s="23"/>
      <c r="C420" s="23"/>
      <c r="D420" s="23"/>
      <c r="E420" s="23"/>
      <c r="F420" s="23"/>
      <c r="G420" s="23"/>
    </row>
    <row r="421" spans="1:7" ht="15" customHeight="1" x14ac:dyDescent="0.25">
      <c r="A421" s="23"/>
      <c r="B421" s="23"/>
      <c r="C421" s="23"/>
      <c r="D421" s="23"/>
      <c r="E421" s="23"/>
      <c r="F421" s="23"/>
      <c r="G421" s="23"/>
    </row>
    <row r="422" spans="1:7" ht="15" customHeight="1" x14ac:dyDescent="0.25">
      <c r="A422" s="23"/>
      <c r="B422" s="23"/>
      <c r="C422" s="23"/>
      <c r="D422" s="23"/>
      <c r="E422" s="23"/>
      <c r="F422" s="23"/>
      <c r="G422" s="23"/>
    </row>
    <row r="423" spans="1:7" ht="15" customHeight="1" x14ac:dyDescent="0.25">
      <c r="A423" s="23"/>
      <c r="B423" s="23"/>
      <c r="C423" s="23"/>
      <c r="D423" s="23"/>
      <c r="E423" s="23"/>
      <c r="F423" s="23"/>
      <c r="G423" s="23"/>
    </row>
    <row r="424" spans="1:7" ht="15" customHeight="1" x14ac:dyDescent="0.25">
      <c r="A424" s="23"/>
      <c r="B424" s="23"/>
      <c r="C424" s="23"/>
      <c r="D424" s="23"/>
      <c r="E424" s="23"/>
      <c r="F424" s="23"/>
      <c r="G424" s="23"/>
    </row>
    <row r="425" spans="1:7" ht="15" customHeight="1" x14ac:dyDescent="0.25">
      <c r="A425" s="23"/>
      <c r="B425" s="23"/>
      <c r="C425" s="23"/>
      <c r="D425" s="23"/>
      <c r="E425" s="23"/>
      <c r="F425" s="23"/>
      <c r="G425" s="23"/>
    </row>
    <row r="426" spans="1:7" ht="15" customHeight="1" x14ac:dyDescent="0.25">
      <c r="A426" s="23"/>
      <c r="B426" s="23"/>
      <c r="C426" s="23"/>
      <c r="D426" s="23"/>
      <c r="E426" s="23"/>
      <c r="F426" s="23"/>
      <c r="G426" s="23"/>
    </row>
    <row r="427" spans="1:7" ht="15" customHeight="1" x14ac:dyDescent="0.25">
      <c r="A427" s="23"/>
      <c r="B427" s="23"/>
      <c r="C427" s="23"/>
      <c r="D427" s="23"/>
      <c r="E427" s="23"/>
      <c r="F427" s="23"/>
      <c r="G427" s="23"/>
    </row>
    <row r="428" spans="1:7" ht="15" customHeight="1" x14ac:dyDescent="0.25">
      <c r="A428" s="23"/>
      <c r="B428" s="23"/>
      <c r="C428" s="23"/>
      <c r="D428" s="23"/>
      <c r="E428" s="23"/>
      <c r="F428" s="23"/>
      <c r="G428" s="23"/>
    </row>
    <row r="429" spans="1:7" ht="15" customHeight="1" x14ac:dyDescent="0.25">
      <c r="A429" s="23"/>
      <c r="B429" s="23"/>
      <c r="C429" s="23"/>
      <c r="D429" s="23"/>
      <c r="E429" s="23"/>
      <c r="F429" s="23"/>
      <c r="G429" s="23"/>
    </row>
    <row r="430" spans="1:7" ht="15" customHeight="1" x14ac:dyDescent="0.25">
      <c r="A430" s="23"/>
      <c r="B430" s="23"/>
      <c r="C430" s="23"/>
      <c r="D430" s="23"/>
      <c r="E430" s="23"/>
      <c r="F430" s="23"/>
      <c r="G430" s="23"/>
    </row>
    <row r="431" spans="1:7" ht="15" customHeight="1" x14ac:dyDescent="0.25">
      <c r="A431" s="23"/>
      <c r="B431" s="23"/>
      <c r="C431" s="23"/>
      <c r="D431" s="23"/>
      <c r="E431" s="23"/>
      <c r="F431" s="23"/>
      <c r="G431" s="23"/>
    </row>
    <row r="432" spans="1:7" ht="15" customHeight="1" x14ac:dyDescent="0.25">
      <c r="A432" s="23"/>
      <c r="B432" s="23"/>
      <c r="C432" s="23"/>
      <c r="D432" s="23"/>
      <c r="E432" s="23"/>
      <c r="F432" s="23"/>
      <c r="G432" s="23"/>
    </row>
    <row r="433" spans="1:7" ht="15" customHeight="1" x14ac:dyDescent="0.25">
      <c r="A433" s="23"/>
      <c r="B433" s="23"/>
      <c r="C433" s="23"/>
      <c r="D433" s="23"/>
      <c r="E433" s="23"/>
      <c r="F433" s="23"/>
      <c r="G433" s="23"/>
    </row>
    <row r="434" spans="1:7" ht="15" customHeight="1" x14ac:dyDescent="0.25">
      <c r="A434" s="23"/>
      <c r="B434" s="23"/>
      <c r="C434" s="23"/>
      <c r="D434" s="23"/>
      <c r="E434" s="23"/>
      <c r="F434" s="23"/>
      <c r="G434" s="23"/>
    </row>
    <row r="435" spans="1:7" ht="15" customHeight="1" x14ac:dyDescent="0.25">
      <c r="A435" s="23"/>
      <c r="B435" s="23"/>
      <c r="C435" s="23"/>
      <c r="D435" s="23"/>
      <c r="E435" s="23"/>
      <c r="F435" s="23"/>
      <c r="G435" s="23"/>
    </row>
    <row r="436" spans="1:7" ht="15" customHeight="1" x14ac:dyDescent="0.25">
      <c r="A436" s="23"/>
      <c r="B436" s="23"/>
      <c r="C436" s="23"/>
      <c r="D436" s="23"/>
      <c r="E436" s="23"/>
      <c r="F436" s="23"/>
      <c r="G436" s="23"/>
    </row>
    <row r="437" spans="1:7" ht="15" customHeight="1" x14ac:dyDescent="0.25">
      <c r="A437" s="23"/>
      <c r="B437" s="23"/>
      <c r="C437" s="23"/>
      <c r="D437" s="23"/>
      <c r="E437" s="23"/>
      <c r="F437" s="23"/>
      <c r="G437" s="23"/>
    </row>
    <row r="438" spans="1:7" ht="15" customHeight="1" x14ac:dyDescent="0.25">
      <c r="A438" s="23"/>
      <c r="B438" s="23"/>
      <c r="C438" s="23"/>
      <c r="D438" s="23"/>
      <c r="E438" s="23"/>
      <c r="F438" s="23"/>
      <c r="G438" s="23"/>
    </row>
    <row r="439" spans="1:7" ht="15" customHeight="1" x14ac:dyDescent="0.25">
      <c r="A439" s="23"/>
      <c r="B439" s="23"/>
      <c r="C439" s="23"/>
      <c r="D439" s="23"/>
      <c r="E439" s="23"/>
      <c r="F439" s="23"/>
      <c r="G439" s="23"/>
    </row>
    <row r="440" spans="1:7" ht="15" customHeight="1" x14ac:dyDescent="0.25">
      <c r="A440" s="23"/>
      <c r="B440" s="23"/>
      <c r="C440" s="23"/>
      <c r="D440" s="23"/>
      <c r="E440" s="23"/>
      <c r="F440" s="23"/>
      <c r="G440" s="23"/>
    </row>
    <row r="441" spans="1:7" ht="15" customHeight="1" x14ac:dyDescent="0.25">
      <c r="A441" s="23"/>
      <c r="B441" s="23"/>
      <c r="C441" s="23"/>
      <c r="D441" s="23"/>
      <c r="E441" s="23"/>
      <c r="F441" s="23"/>
      <c r="G441" s="23"/>
    </row>
    <row r="442" spans="1:7" ht="15" customHeight="1" x14ac:dyDescent="0.25">
      <c r="A442" s="23"/>
      <c r="B442" s="23"/>
      <c r="C442" s="23"/>
      <c r="D442" s="23"/>
      <c r="E442" s="23"/>
      <c r="F442" s="23"/>
      <c r="G442" s="23"/>
    </row>
    <row r="443" spans="1:7" ht="15" customHeight="1" x14ac:dyDescent="0.25">
      <c r="A443" s="23"/>
      <c r="B443" s="23"/>
      <c r="C443" s="23"/>
      <c r="D443" s="23"/>
      <c r="E443" s="23"/>
      <c r="F443" s="23"/>
      <c r="G443" s="23"/>
    </row>
    <row r="444" spans="1:7" ht="15" customHeight="1" x14ac:dyDescent="0.25">
      <c r="A444" s="23"/>
      <c r="B444" s="23"/>
      <c r="C444" s="23"/>
      <c r="D444" s="23"/>
      <c r="E444" s="23"/>
      <c r="F444" s="23"/>
      <c r="G444" s="23"/>
    </row>
    <row r="445" spans="1:7" ht="15" customHeight="1" x14ac:dyDescent="0.25">
      <c r="A445" s="23"/>
      <c r="B445" s="23"/>
      <c r="C445" s="23"/>
      <c r="D445" s="23"/>
      <c r="E445" s="23"/>
      <c r="F445" s="23"/>
      <c r="G445" s="23"/>
    </row>
    <row r="446" spans="1:7" ht="15" customHeight="1" x14ac:dyDescent="0.25">
      <c r="A446" s="23"/>
      <c r="B446" s="23"/>
      <c r="C446" s="23"/>
      <c r="D446" s="23"/>
      <c r="E446" s="23"/>
      <c r="F446" s="23"/>
      <c r="G446" s="23"/>
    </row>
    <row r="447" spans="1:7" ht="15" customHeight="1" x14ac:dyDescent="0.25">
      <c r="A447" s="23"/>
      <c r="B447" s="23"/>
      <c r="C447" s="23"/>
      <c r="D447" s="23"/>
      <c r="E447" s="23"/>
      <c r="F447" s="23"/>
      <c r="G447" s="23"/>
    </row>
    <row r="448" spans="1:7" ht="15" customHeight="1" x14ac:dyDescent="0.25">
      <c r="A448" s="23"/>
      <c r="B448" s="23"/>
      <c r="C448" s="23"/>
      <c r="D448" s="23"/>
      <c r="E448" s="23"/>
      <c r="F448" s="23"/>
      <c r="G448" s="23"/>
    </row>
    <row r="449" spans="1:7" ht="15" customHeight="1" x14ac:dyDescent="0.25">
      <c r="A449" s="23"/>
      <c r="B449" s="23"/>
      <c r="C449" s="23"/>
      <c r="D449" s="23"/>
      <c r="E449" s="23"/>
      <c r="F449" s="23"/>
      <c r="G449" s="23"/>
    </row>
    <row r="450" spans="1:7" ht="15" customHeight="1" x14ac:dyDescent="0.25">
      <c r="A450" s="23"/>
      <c r="B450" s="23"/>
      <c r="C450" s="23"/>
      <c r="D450" s="23"/>
      <c r="E450" s="23"/>
      <c r="F450" s="23"/>
      <c r="G450" s="23"/>
    </row>
    <row r="451" spans="1:7" ht="15" customHeight="1" x14ac:dyDescent="0.25">
      <c r="A451" s="23"/>
      <c r="B451" s="23"/>
      <c r="C451" s="23"/>
      <c r="D451" s="23"/>
      <c r="E451" s="23"/>
      <c r="F451" s="23"/>
      <c r="G451" s="23"/>
    </row>
    <row r="452" spans="1:7" ht="15" customHeight="1" x14ac:dyDescent="0.25">
      <c r="A452" s="23"/>
      <c r="B452" s="23"/>
      <c r="C452" s="23"/>
      <c r="D452" s="23"/>
      <c r="E452" s="23"/>
      <c r="F452" s="23"/>
      <c r="G452" s="23"/>
    </row>
    <row r="453" spans="1:7" ht="15" customHeight="1" x14ac:dyDescent="0.25">
      <c r="A453" s="23"/>
      <c r="B453" s="23"/>
      <c r="C453" s="23"/>
      <c r="D453" s="23"/>
      <c r="E453" s="23"/>
      <c r="F453" s="23"/>
      <c r="G453" s="23"/>
    </row>
    <row r="454" spans="1:7" ht="15" customHeight="1" x14ac:dyDescent="0.25">
      <c r="A454" s="23"/>
      <c r="B454" s="23"/>
      <c r="C454" s="23"/>
      <c r="D454" s="23"/>
      <c r="E454" s="23"/>
      <c r="F454" s="23"/>
      <c r="G454" s="23"/>
    </row>
    <row r="455" spans="1:7" ht="15" customHeight="1" x14ac:dyDescent="0.25">
      <c r="A455" s="23"/>
      <c r="B455" s="23"/>
      <c r="C455" s="23"/>
      <c r="D455" s="23"/>
      <c r="E455" s="23"/>
      <c r="F455" s="23"/>
      <c r="G455" s="23"/>
    </row>
    <row r="456" spans="1:7" ht="15" customHeight="1" x14ac:dyDescent="0.25">
      <c r="A456" s="23"/>
      <c r="B456" s="23"/>
      <c r="C456" s="23"/>
      <c r="D456" s="23"/>
      <c r="E456" s="23"/>
      <c r="F456" s="23"/>
      <c r="G456" s="23"/>
    </row>
    <row r="457" spans="1:7" ht="15" customHeight="1" x14ac:dyDescent="0.25">
      <c r="A457" s="23"/>
      <c r="B457" s="23"/>
      <c r="C457" s="23"/>
      <c r="D457" s="23"/>
      <c r="E457" s="23"/>
      <c r="F457" s="23"/>
      <c r="G457" s="23"/>
    </row>
    <row r="458" spans="1:7" ht="15" customHeight="1" x14ac:dyDescent="0.25">
      <c r="A458" s="23"/>
      <c r="B458" s="23"/>
      <c r="C458" s="23"/>
      <c r="D458" s="23"/>
      <c r="E458" s="23"/>
      <c r="F458" s="23"/>
      <c r="G458" s="23"/>
    </row>
    <row r="459" spans="1:7" ht="15" customHeight="1" x14ac:dyDescent="0.25">
      <c r="A459" s="23"/>
      <c r="B459" s="23"/>
      <c r="C459" s="23"/>
      <c r="D459" s="23"/>
      <c r="E459" s="23"/>
      <c r="F459" s="23"/>
      <c r="G459" s="23"/>
    </row>
    <row r="460" spans="1:7" ht="15" customHeight="1" x14ac:dyDescent="0.25">
      <c r="A460" s="23"/>
      <c r="B460" s="23"/>
      <c r="C460" s="23"/>
      <c r="D460" s="23"/>
      <c r="E460" s="23"/>
      <c r="F460" s="23"/>
      <c r="G460" s="23"/>
    </row>
    <row r="461" spans="1:7" ht="15" customHeight="1" x14ac:dyDescent="0.25">
      <c r="A461" s="23"/>
      <c r="B461" s="23"/>
      <c r="C461" s="23"/>
      <c r="D461" s="23"/>
      <c r="E461" s="23"/>
      <c r="F461" s="23"/>
      <c r="G461" s="23"/>
    </row>
    <row r="462" spans="1:7" ht="15" customHeight="1" x14ac:dyDescent="0.25">
      <c r="A462" s="23"/>
      <c r="B462" s="23"/>
      <c r="C462" s="23"/>
      <c r="D462" s="23"/>
      <c r="E462" s="23"/>
      <c r="F462" s="23"/>
      <c r="G462" s="23"/>
    </row>
    <row r="463" spans="1:7" ht="15" customHeight="1" x14ac:dyDescent="0.25">
      <c r="A463" s="23"/>
      <c r="B463" s="23"/>
      <c r="C463" s="23"/>
      <c r="D463" s="23"/>
      <c r="E463" s="23"/>
      <c r="F463" s="23"/>
      <c r="G463" s="23"/>
    </row>
    <row r="464" spans="1:7" ht="15" customHeight="1" x14ac:dyDescent="0.25">
      <c r="A464" s="23"/>
      <c r="B464" s="23"/>
      <c r="C464" s="23"/>
      <c r="D464" s="23"/>
      <c r="E464" s="23"/>
      <c r="F464" s="23"/>
      <c r="G464" s="23"/>
    </row>
    <row r="465" spans="1:7" ht="15" customHeight="1" x14ac:dyDescent="0.25">
      <c r="A465" s="23"/>
      <c r="B465" s="23"/>
      <c r="C465" s="23"/>
      <c r="D465" s="23"/>
      <c r="E465" s="23"/>
      <c r="F465" s="23"/>
      <c r="G465" s="23"/>
    </row>
    <row r="466" spans="1:7" ht="15" customHeight="1" x14ac:dyDescent="0.25">
      <c r="A466" s="23"/>
      <c r="B466" s="23"/>
      <c r="C466" s="23"/>
      <c r="D466" s="23"/>
      <c r="E466" s="23"/>
      <c r="F466" s="23"/>
      <c r="G466" s="23"/>
    </row>
    <row r="467" spans="1:7" ht="15" customHeight="1" x14ac:dyDescent="0.25">
      <c r="A467" s="23"/>
      <c r="B467" s="23"/>
      <c r="C467" s="23"/>
      <c r="D467" s="23"/>
      <c r="E467" s="23"/>
      <c r="F467" s="23"/>
      <c r="G467" s="23"/>
    </row>
    <row r="468" spans="1:7" ht="15" customHeight="1" x14ac:dyDescent="0.25">
      <c r="A468" s="23"/>
      <c r="B468" s="23"/>
      <c r="C468" s="23"/>
      <c r="D468" s="23"/>
      <c r="E468" s="23"/>
      <c r="F468" s="23"/>
      <c r="G468" s="23"/>
    </row>
    <row r="469" spans="1:7" ht="15" customHeight="1" x14ac:dyDescent="0.25">
      <c r="A469" s="23"/>
      <c r="B469" s="23"/>
      <c r="C469" s="23"/>
      <c r="D469" s="23"/>
      <c r="E469" s="23"/>
      <c r="F469" s="23"/>
      <c r="G469" s="23"/>
    </row>
    <row r="470" spans="1:7" ht="15" customHeight="1" x14ac:dyDescent="0.25">
      <c r="A470" s="23"/>
      <c r="B470" s="23"/>
      <c r="C470" s="23"/>
      <c r="D470" s="23"/>
      <c r="E470" s="23"/>
      <c r="F470" s="23"/>
      <c r="G470" s="23"/>
    </row>
    <row r="471" spans="1:7" ht="15" customHeight="1" x14ac:dyDescent="0.25">
      <c r="A471" s="23"/>
      <c r="B471" s="23"/>
      <c r="C471" s="23"/>
      <c r="D471" s="23"/>
      <c r="E471" s="23"/>
      <c r="F471" s="23"/>
      <c r="G471" s="23"/>
    </row>
    <row r="472" spans="1:7" ht="15" customHeight="1" x14ac:dyDescent="0.25">
      <c r="A472" s="23"/>
      <c r="B472" s="23"/>
      <c r="C472" s="23"/>
      <c r="D472" s="23"/>
      <c r="E472" s="23"/>
      <c r="F472" s="23"/>
      <c r="G472" s="23"/>
    </row>
    <row r="473" spans="1:7" ht="15" customHeight="1" x14ac:dyDescent="0.25">
      <c r="A473" s="23"/>
      <c r="B473" s="23"/>
      <c r="C473" s="23"/>
      <c r="D473" s="23"/>
      <c r="E473" s="23"/>
      <c r="F473" s="23"/>
      <c r="G473" s="23"/>
    </row>
    <row r="474" spans="1:7" ht="15" customHeight="1" x14ac:dyDescent="0.25">
      <c r="A474" s="23"/>
      <c r="B474" s="23"/>
      <c r="C474" s="23"/>
      <c r="D474" s="23"/>
      <c r="E474" s="23"/>
      <c r="F474" s="23"/>
      <c r="G474" s="23"/>
    </row>
    <row r="475" spans="1:7" ht="15" customHeight="1" x14ac:dyDescent="0.25">
      <c r="A475" s="23"/>
      <c r="B475" s="23"/>
      <c r="C475" s="23"/>
      <c r="D475" s="23"/>
      <c r="E475" s="23"/>
      <c r="F475" s="23"/>
      <c r="G475" s="23"/>
    </row>
    <row r="476" spans="1:7" ht="15" customHeight="1" x14ac:dyDescent="0.25">
      <c r="A476" s="23"/>
      <c r="B476" s="23"/>
      <c r="C476" s="23"/>
      <c r="D476" s="23"/>
      <c r="E476" s="23"/>
      <c r="F476" s="23"/>
      <c r="G476" s="23"/>
    </row>
    <row r="477" spans="1:7" ht="15" customHeight="1" x14ac:dyDescent="0.25">
      <c r="A477" s="23"/>
      <c r="B477" s="23"/>
      <c r="C477" s="23"/>
      <c r="D477" s="23"/>
      <c r="E477" s="23"/>
      <c r="F477" s="23"/>
      <c r="G477" s="23"/>
    </row>
    <row r="478" spans="1:7" ht="15" customHeight="1" x14ac:dyDescent="0.25">
      <c r="A478" s="23"/>
      <c r="B478" s="23"/>
      <c r="C478" s="23"/>
      <c r="D478" s="23"/>
      <c r="E478" s="23"/>
      <c r="F478" s="23"/>
      <c r="G478" s="23"/>
    </row>
    <row r="479" spans="1:7" ht="15" customHeight="1" x14ac:dyDescent="0.25">
      <c r="A479" s="23"/>
      <c r="B479" s="23"/>
      <c r="C479" s="23"/>
      <c r="D479" s="23"/>
      <c r="E479" s="23"/>
      <c r="F479" s="23"/>
      <c r="G479" s="23"/>
    </row>
    <row r="480" spans="1:7" ht="15" customHeight="1" x14ac:dyDescent="0.25">
      <c r="A480" s="23"/>
      <c r="B480" s="23"/>
      <c r="C480" s="23"/>
      <c r="D480" s="23"/>
      <c r="E480" s="23"/>
      <c r="F480" s="23"/>
      <c r="G480" s="23"/>
    </row>
    <row r="481" spans="1:7" ht="15" customHeight="1" x14ac:dyDescent="0.25">
      <c r="A481" s="23"/>
      <c r="B481" s="23"/>
      <c r="C481" s="23"/>
      <c r="D481" s="23"/>
      <c r="E481" s="23"/>
      <c r="F481" s="23"/>
      <c r="G481" s="23"/>
    </row>
    <row r="482" spans="1:7" ht="15" customHeight="1" x14ac:dyDescent="0.25">
      <c r="A482" s="23"/>
      <c r="B482" s="23"/>
      <c r="C482" s="23"/>
      <c r="D482" s="23"/>
      <c r="E482" s="23"/>
      <c r="F482" s="23"/>
      <c r="G482" s="23"/>
    </row>
    <row r="483" spans="1:7" ht="15" customHeight="1" x14ac:dyDescent="0.25">
      <c r="A483" s="23"/>
      <c r="B483" s="23"/>
      <c r="C483" s="23"/>
      <c r="D483" s="23"/>
      <c r="E483" s="23"/>
      <c r="F483" s="23"/>
      <c r="G483" s="23"/>
    </row>
    <row r="484" spans="1:7" ht="15" customHeight="1" x14ac:dyDescent="0.25">
      <c r="A484" s="23"/>
      <c r="B484" s="23"/>
      <c r="C484" s="23"/>
      <c r="D484" s="23"/>
      <c r="E484" s="23"/>
      <c r="F484" s="23"/>
      <c r="G484" s="23"/>
    </row>
    <row r="485" spans="1:7" ht="15" customHeight="1" x14ac:dyDescent="0.25">
      <c r="A485" s="23"/>
      <c r="B485" s="23"/>
      <c r="C485" s="23"/>
      <c r="D485" s="23"/>
      <c r="E485" s="23"/>
      <c r="F485" s="23"/>
      <c r="G485" s="23"/>
    </row>
    <row r="486" spans="1:7" ht="15" customHeight="1" x14ac:dyDescent="0.25">
      <c r="A486" s="23"/>
      <c r="B486" s="23"/>
      <c r="C486" s="23"/>
      <c r="D486" s="23"/>
      <c r="E486" s="23"/>
      <c r="F486" s="23"/>
      <c r="G486" s="23"/>
    </row>
    <row r="487" spans="1:7" ht="15" customHeight="1" x14ac:dyDescent="0.25">
      <c r="A487" s="23"/>
      <c r="B487" s="23"/>
      <c r="C487" s="23"/>
      <c r="D487" s="23"/>
      <c r="E487" s="23"/>
      <c r="F487" s="23"/>
      <c r="G487" s="23"/>
    </row>
    <row r="488" spans="1:7" ht="15" customHeight="1" x14ac:dyDescent="0.25">
      <c r="A488" s="23"/>
      <c r="B488" s="23"/>
      <c r="C488" s="23"/>
      <c r="D488" s="23"/>
      <c r="E488" s="23"/>
      <c r="F488" s="23"/>
      <c r="G488" s="23"/>
    </row>
    <row r="489" spans="1:7" ht="15" customHeight="1" x14ac:dyDescent="0.25">
      <c r="A489" s="23"/>
      <c r="B489" s="23"/>
      <c r="C489" s="23"/>
      <c r="D489" s="23"/>
      <c r="E489" s="23"/>
      <c r="F489" s="23"/>
      <c r="G489" s="23"/>
    </row>
    <row r="490" spans="1:7" ht="15" customHeight="1" x14ac:dyDescent="0.25">
      <c r="A490" s="23"/>
      <c r="B490" s="23"/>
      <c r="C490" s="23"/>
      <c r="D490" s="23"/>
      <c r="E490" s="23"/>
      <c r="F490" s="23"/>
      <c r="G490" s="23"/>
    </row>
    <row r="491" spans="1:7" ht="15" customHeight="1" x14ac:dyDescent="0.25">
      <c r="A491" s="23"/>
      <c r="B491" s="23"/>
      <c r="C491" s="23"/>
      <c r="D491" s="23"/>
      <c r="E491" s="23"/>
      <c r="F491" s="23"/>
      <c r="G491" s="23"/>
    </row>
    <row r="492" spans="1:7" ht="15" customHeight="1" x14ac:dyDescent="0.25">
      <c r="A492" s="23"/>
      <c r="B492" s="23"/>
      <c r="C492" s="23"/>
      <c r="D492" s="23"/>
      <c r="E492" s="23"/>
      <c r="F492" s="23"/>
      <c r="G492" s="23"/>
    </row>
    <row r="493" spans="1:7" ht="15" customHeight="1" x14ac:dyDescent="0.25">
      <c r="A493" s="23"/>
      <c r="B493" s="23"/>
      <c r="C493" s="23"/>
      <c r="D493" s="23"/>
      <c r="E493" s="23"/>
      <c r="F493" s="23"/>
      <c r="G493" s="23"/>
    </row>
    <row r="494" spans="1:7" ht="15" customHeight="1" x14ac:dyDescent="0.25">
      <c r="A494" s="23"/>
      <c r="B494" s="23"/>
      <c r="C494" s="23"/>
      <c r="D494" s="23"/>
      <c r="E494" s="23"/>
      <c r="F494" s="23"/>
      <c r="G494" s="23"/>
    </row>
    <row r="495" spans="1:7" ht="15" customHeight="1" x14ac:dyDescent="0.25">
      <c r="A495" s="23"/>
      <c r="B495" s="23"/>
      <c r="C495" s="23"/>
      <c r="D495" s="23"/>
      <c r="E495" s="23"/>
      <c r="F495" s="23"/>
      <c r="G495" s="23"/>
    </row>
    <row r="496" spans="1:7" ht="15" customHeight="1" x14ac:dyDescent="0.25">
      <c r="A496" s="23"/>
      <c r="B496" s="23"/>
      <c r="C496" s="23"/>
      <c r="D496" s="23"/>
      <c r="E496" s="23"/>
      <c r="F496" s="23"/>
      <c r="G496" s="23"/>
    </row>
    <row r="497" spans="1:7" ht="15" customHeight="1" x14ac:dyDescent="0.25">
      <c r="A497" s="23"/>
      <c r="B497" s="23"/>
      <c r="C497" s="23"/>
      <c r="D497" s="23"/>
      <c r="E497" s="23"/>
      <c r="F497" s="23"/>
      <c r="G497" s="23"/>
    </row>
    <row r="498" spans="1:7" ht="15" customHeight="1" x14ac:dyDescent="0.25">
      <c r="A498" s="23"/>
      <c r="B498" s="23"/>
      <c r="C498" s="23"/>
      <c r="D498" s="23"/>
      <c r="E498" s="23"/>
      <c r="F498" s="23"/>
      <c r="G498" s="23"/>
    </row>
    <row r="499" spans="1:7" ht="15" customHeight="1" x14ac:dyDescent="0.25">
      <c r="A499" s="23"/>
      <c r="B499" s="23"/>
      <c r="C499" s="23"/>
      <c r="D499" s="23"/>
      <c r="E499" s="23"/>
      <c r="F499" s="23"/>
      <c r="G499" s="23"/>
    </row>
    <row r="500" spans="1:7" ht="15" customHeight="1" x14ac:dyDescent="0.25">
      <c r="A500" s="23"/>
      <c r="B500" s="23"/>
      <c r="C500" s="23"/>
      <c r="D500" s="23"/>
      <c r="E500" s="23"/>
      <c r="F500" s="23"/>
      <c r="G500" s="23"/>
    </row>
    <row r="501" spans="1:7" ht="15" customHeight="1" x14ac:dyDescent="0.25">
      <c r="A501" s="23"/>
      <c r="B501" s="23"/>
      <c r="C501" s="23"/>
      <c r="D501" s="23"/>
      <c r="E501" s="23"/>
      <c r="F501" s="23"/>
      <c r="G501" s="23"/>
    </row>
    <row r="502" spans="1:7" ht="15" customHeight="1" x14ac:dyDescent="0.25">
      <c r="A502" s="23"/>
      <c r="B502" s="23"/>
      <c r="C502" s="23"/>
      <c r="D502" s="23"/>
      <c r="E502" s="23"/>
      <c r="F502" s="23"/>
      <c r="G502" s="23"/>
    </row>
    <row r="503" spans="1:7" ht="15" customHeight="1" x14ac:dyDescent="0.25">
      <c r="A503" s="23"/>
      <c r="B503" s="23"/>
      <c r="C503" s="23"/>
      <c r="D503" s="23"/>
      <c r="E503" s="23"/>
      <c r="F503" s="23"/>
      <c r="G503" s="23"/>
    </row>
    <row r="504" spans="1:7" ht="15" customHeight="1" x14ac:dyDescent="0.25">
      <c r="A504" s="23"/>
      <c r="B504" s="23"/>
      <c r="C504" s="23"/>
      <c r="D504" s="23"/>
      <c r="E504" s="23"/>
      <c r="F504" s="23"/>
      <c r="G504" s="23"/>
    </row>
    <row r="505" spans="1:7" ht="15" customHeight="1" x14ac:dyDescent="0.25">
      <c r="A505" s="23"/>
      <c r="B505" s="23"/>
      <c r="C505" s="23"/>
      <c r="D505" s="23"/>
      <c r="E505" s="23"/>
      <c r="F505" s="23"/>
      <c r="G505" s="23"/>
    </row>
    <row r="506" spans="1:7" ht="15" customHeight="1" x14ac:dyDescent="0.25">
      <c r="A506" s="23"/>
      <c r="B506" s="23"/>
      <c r="C506" s="23"/>
      <c r="D506" s="23"/>
      <c r="E506" s="23"/>
      <c r="F506" s="23"/>
      <c r="G506" s="23"/>
    </row>
    <row r="507" spans="1:7" ht="15" customHeight="1" x14ac:dyDescent="0.25">
      <c r="A507" s="23"/>
      <c r="B507" s="23"/>
      <c r="C507" s="23"/>
      <c r="D507" s="23"/>
      <c r="E507" s="23"/>
      <c r="F507" s="23"/>
      <c r="G507" s="23"/>
    </row>
    <row r="508" spans="1:7" ht="15" customHeight="1" x14ac:dyDescent="0.25">
      <c r="A508" s="23"/>
      <c r="B508" s="23"/>
      <c r="C508" s="23"/>
      <c r="D508" s="23"/>
      <c r="E508" s="23"/>
      <c r="F508" s="23"/>
      <c r="G508" s="23"/>
    </row>
    <row r="509" spans="1:7" ht="15" customHeight="1" x14ac:dyDescent="0.25">
      <c r="A509" s="23"/>
      <c r="B509" s="23"/>
      <c r="C509" s="23"/>
      <c r="D509" s="23"/>
      <c r="E509" s="23"/>
      <c r="F509" s="23"/>
      <c r="G509" s="23"/>
    </row>
    <row r="510" spans="1:7" ht="15" customHeight="1" x14ac:dyDescent="0.25">
      <c r="A510" s="23"/>
      <c r="B510" s="23"/>
      <c r="C510" s="23"/>
      <c r="D510" s="23"/>
      <c r="E510" s="23"/>
      <c r="F510" s="23"/>
      <c r="G510" s="23"/>
    </row>
    <row r="511" spans="1:7" ht="15" customHeight="1" x14ac:dyDescent="0.25">
      <c r="A511" s="23"/>
      <c r="B511" s="23"/>
      <c r="C511" s="23"/>
      <c r="D511" s="23"/>
      <c r="E511" s="23"/>
      <c r="F511" s="23"/>
      <c r="G511" s="23"/>
    </row>
    <row r="512" spans="1:7" ht="15" customHeight="1" x14ac:dyDescent="0.25">
      <c r="A512" s="23"/>
      <c r="B512" s="23"/>
      <c r="C512" s="23"/>
      <c r="D512" s="23"/>
      <c r="E512" s="23"/>
      <c r="F512" s="23"/>
      <c r="G512" s="23"/>
    </row>
    <row r="513" spans="1:7" ht="15" customHeight="1" x14ac:dyDescent="0.25">
      <c r="A513" s="23"/>
      <c r="B513" s="23"/>
      <c r="C513" s="23"/>
      <c r="D513" s="23"/>
      <c r="E513" s="23"/>
      <c r="F513" s="23"/>
      <c r="G513" s="23"/>
    </row>
    <row r="514" spans="1:7" ht="15" customHeight="1" x14ac:dyDescent="0.25">
      <c r="A514" s="23"/>
      <c r="B514" s="23"/>
      <c r="C514" s="23"/>
      <c r="D514" s="23"/>
      <c r="E514" s="23"/>
      <c r="F514" s="23"/>
      <c r="G514" s="23"/>
    </row>
    <row r="515" spans="1:7" ht="15" customHeight="1" x14ac:dyDescent="0.25">
      <c r="A515" s="23"/>
      <c r="B515" s="23"/>
      <c r="C515" s="23"/>
      <c r="D515" s="23"/>
      <c r="E515" s="23"/>
      <c r="F515" s="23"/>
      <c r="G515" s="23"/>
    </row>
    <row r="516" spans="1:7" ht="15" customHeight="1" x14ac:dyDescent="0.25">
      <c r="A516" s="23"/>
      <c r="B516" s="23"/>
      <c r="C516" s="23"/>
      <c r="D516" s="23"/>
      <c r="E516" s="23"/>
      <c r="F516" s="23"/>
      <c r="G516" s="23"/>
    </row>
    <row r="517" spans="1:7" ht="15" customHeight="1" x14ac:dyDescent="0.25">
      <c r="A517" s="23"/>
      <c r="B517" s="23"/>
      <c r="C517" s="23"/>
      <c r="D517" s="23"/>
      <c r="E517" s="23"/>
      <c r="F517" s="23"/>
      <c r="G517" s="23"/>
    </row>
    <row r="518" spans="1:7" ht="15" customHeight="1" x14ac:dyDescent="0.25">
      <c r="A518" s="23"/>
      <c r="B518" s="23"/>
      <c r="C518" s="23"/>
      <c r="D518" s="23"/>
      <c r="E518" s="23"/>
      <c r="F518" s="23"/>
      <c r="G518" s="23"/>
    </row>
    <row r="519" spans="1:7" ht="15" customHeight="1" x14ac:dyDescent="0.25">
      <c r="A519" s="23"/>
      <c r="B519" s="23"/>
      <c r="C519" s="23"/>
      <c r="D519" s="23"/>
      <c r="E519" s="23"/>
      <c r="F519" s="23"/>
      <c r="G519" s="23"/>
    </row>
    <row r="520" spans="1:7" ht="15" customHeight="1" x14ac:dyDescent="0.25">
      <c r="A520" s="23"/>
      <c r="B520" s="23"/>
      <c r="C520" s="23"/>
      <c r="D520" s="23"/>
      <c r="E520" s="23"/>
      <c r="F520" s="23"/>
      <c r="G520" s="23"/>
    </row>
    <row r="521" spans="1:7" ht="15" customHeight="1" x14ac:dyDescent="0.25">
      <c r="A521" s="23"/>
      <c r="B521" s="23"/>
      <c r="C521" s="23"/>
      <c r="D521" s="23"/>
      <c r="E521" s="23"/>
      <c r="F521" s="23"/>
      <c r="G521" s="23"/>
    </row>
    <row r="522" spans="1:7" ht="15" customHeight="1" x14ac:dyDescent="0.25">
      <c r="A522" s="23"/>
      <c r="B522" s="23"/>
      <c r="C522" s="23"/>
      <c r="D522" s="23"/>
      <c r="E522" s="23"/>
      <c r="F522" s="23"/>
      <c r="G522" s="23"/>
    </row>
    <row r="523" spans="1:7" ht="15" customHeight="1" x14ac:dyDescent="0.25">
      <c r="A523" s="23"/>
      <c r="B523" s="23"/>
      <c r="C523" s="23"/>
      <c r="D523" s="23"/>
      <c r="E523" s="23"/>
      <c r="F523" s="23"/>
      <c r="G523" s="23"/>
    </row>
    <row r="524" spans="1:7" ht="15" customHeight="1" x14ac:dyDescent="0.25">
      <c r="A524" s="23"/>
      <c r="B524" s="23"/>
      <c r="C524" s="23"/>
      <c r="D524" s="23"/>
      <c r="E524" s="23"/>
      <c r="F524" s="23"/>
      <c r="G524" s="23"/>
    </row>
    <row r="525" spans="1:7" ht="15" customHeight="1" x14ac:dyDescent="0.25">
      <c r="A525" s="23"/>
      <c r="B525" s="23"/>
      <c r="C525" s="23"/>
      <c r="D525" s="23"/>
      <c r="E525" s="23"/>
      <c r="F525" s="23"/>
      <c r="G525" s="23"/>
    </row>
    <row r="526" spans="1:7" ht="15" customHeight="1" x14ac:dyDescent="0.25">
      <c r="A526" s="23"/>
      <c r="B526" s="23"/>
      <c r="C526" s="23"/>
      <c r="D526" s="23"/>
      <c r="E526" s="23"/>
      <c r="F526" s="23"/>
      <c r="G526" s="23"/>
    </row>
    <row r="527" spans="1:7" ht="15" customHeight="1" x14ac:dyDescent="0.25">
      <c r="A527" s="23"/>
      <c r="B527" s="23"/>
      <c r="C527" s="23"/>
      <c r="D527" s="23"/>
      <c r="E527" s="23"/>
      <c r="F527" s="23"/>
      <c r="G527" s="23"/>
    </row>
    <row r="528" spans="1:7" ht="15" customHeight="1" x14ac:dyDescent="0.25">
      <c r="A528" s="23"/>
      <c r="B528" s="23"/>
      <c r="C528" s="23"/>
      <c r="D528" s="23"/>
      <c r="E528" s="23"/>
      <c r="F528" s="23"/>
      <c r="G528" s="23"/>
    </row>
    <row r="529" spans="1:7" ht="15" customHeight="1" x14ac:dyDescent="0.25">
      <c r="A529" s="23"/>
      <c r="B529" s="23"/>
      <c r="C529" s="23"/>
      <c r="D529" s="23"/>
      <c r="E529" s="23"/>
      <c r="F529" s="23"/>
      <c r="G529" s="23"/>
    </row>
    <row r="530" spans="1:7" ht="15" customHeight="1" x14ac:dyDescent="0.25">
      <c r="A530" s="23"/>
      <c r="B530" s="23"/>
      <c r="C530" s="23"/>
      <c r="D530" s="23"/>
      <c r="E530" s="23"/>
      <c r="F530" s="23"/>
      <c r="G530" s="23"/>
    </row>
    <row r="531" spans="1:7" ht="15" customHeight="1" x14ac:dyDescent="0.25">
      <c r="A531" s="23"/>
      <c r="B531" s="23"/>
      <c r="C531" s="23"/>
      <c r="D531" s="23"/>
      <c r="E531" s="23"/>
      <c r="F531" s="23"/>
      <c r="G531" s="23"/>
    </row>
    <row r="532" spans="1:7" ht="15" customHeight="1" x14ac:dyDescent="0.25">
      <c r="A532" s="23"/>
      <c r="B532" s="23"/>
      <c r="C532" s="23"/>
      <c r="D532" s="23"/>
      <c r="E532" s="23"/>
      <c r="F532" s="23"/>
      <c r="G532" s="23"/>
    </row>
    <row r="533" spans="1:7" ht="15" customHeight="1" x14ac:dyDescent="0.25">
      <c r="A533" s="23"/>
      <c r="B533" s="23"/>
      <c r="C533" s="23"/>
      <c r="D533" s="23"/>
      <c r="E533" s="23"/>
      <c r="F533" s="23"/>
      <c r="G533" s="23"/>
    </row>
    <row r="534" spans="1:7" ht="15" customHeight="1" x14ac:dyDescent="0.25">
      <c r="A534" s="23"/>
      <c r="B534" s="23"/>
      <c r="C534" s="23"/>
      <c r="D534" s="23"/>
      <c r="E534" s="23"/>
      <c r="F534" s="23"/>
      <c r="G534" s="23"/>
    </row>
    <row r="535" spans="1:7" ht="15" customHeight="1" x14ac:dyDescent="0.25">
      <c r="A535" s="23"/>
      <c r="B535" s="23"/>
      <c r="C535" s="23"/>
      <c r="D535" s="23"/>
      <c r="E535" s="23"/>
      <c r="F535" s="23"/>
      <c r="G535" s="23"/>
    </row>
    <row r="536" spans="1:7" ht="15" customHeight="1" x14ac:dyDescent="0.25">
      <c r="A536" s="23"/>
      <c r="B536" s="23"/>
      <c r="C536" s="23"/>
      <c r="D536" s="23"/>
      <c r="E536" s="23"/>
      <c r="F536" s="23"/>
      <c r="G536" s="23"/>
    </row>
    <row r="537" spans="1:7" ht="15" customHeight="1" x14ac:dyDescent="0.25">
      <c r="A537" s="23"/>
      <c r="B537" s="23"/>
      <c r="C537" s="23"/>
      <c r="D537" s="23"/>
      <c r="E537" s="23"/>
      <c r="F537" s="23"/>
      <c r="G537" s="23"/>
    </row>
    <row r="538" spans="1:7" ht="15" customHeight="1" x14ac:dyDescent="0.25">
      <c r="A538" s="23"/>
      <c r="B538" s="23"/>
      <c r="C538" s="23"/>
      <c r="D538" s="23"/>
      <c r="E538" s="23"/>
      <c r="F538" s="23"/>
      <c r="G538" s="23"/>
    </row>
    <row r="539" spans="1:7" ht="15" customHeight="1" x14ac:dyDescent="0.25">
      <c r="A539" s="23"/>
      <c r="B539" s="23"/>
      <c r="C539" s="23"/>
      <c r="D539" s="23"/>
      <c r="E539" s="23"/>
      <c r="F539" s="23"/>
      <c r="G539" s="23"/>
    </row>
    <row r="540" spans="1:7" ht="15" customHeight="1" x14ac:dyDescent="0.25">
      <c r="A540" s="23"/>
      <c r="B540" s="23"/>
      <c r="C540" s="23"/>
      <c r="D540" s="23"/>
      <c r="E540" s="23"/>
      <c r="F540" s="23"/>
      <c r="G540" s="23"/>
    </row>
    <row r="541" spans="1:7" ht="15" customHeight="1" x14ac:dyDescent="0.25">
      <c r="A541" s="23"/>
      <c r="B541" s="23"/>
      <c r="C541" s="23"/>
      <c r="D541" s="23"/>
      <c r="E541" s="23"/>
      <c r="F541" s="23"/>
      <c r="G541" s="23"/>
    </row>
    <row r="542" spans="1:7" ht="15" customHeight="1" x14ac:dyDescent="0.25">
      <c r="A542" s="23"/>
      <c r="B542" s="23"/>
      <c r="C542" s="23"/>
      <c r="D542" s="23"/>
      <c r="E542" s="23"/>
      <c r="F542" s="23"/>
      <c r="G542" s="23"/>
    </row>
    <row r="543" spans="1:7" ht="15" customHeight="1" x14ac:dyDescent="0.25">
      <c r="A543" s="23"/>
      <c r="B543" s="23"/>
      <c r="C543" s="23"/>
      <c r="D543" s="23"/>
      <c r="E543" s="23"/>
      <c r="F543" s="23"/>
      <c r="G543" s="23"/>
    </row>
    <row r="544" spans="1:7" ht="15" customHeight="1" x14ac:dyDescent="0.25">
      <c r="A544" s="23"/>
      <c r="B544" s="23"/>
      <c r="C544" s="23"/>
      <c r="D544" s="23"/>
      <c r="E544" s="23"/>
      <c r="F544" s="23"/>
      <c r="G544" s="23"/>
    </row>
    <row r="545" spans="1:7" ht="15" customHeight="1" x14ac:dyDescent="0.25">
      <c r="A545" s="23"/>
      <c r="B545" s="23"/>
      <c r="C545" s="23"/>
      <c r="D545" s="23"/>
      <c r="E545" s="23"/>
      <c r="F545" s="23"/>
      <c r="G545" s="23"/>
    </row>
    <row r="546" spans="1:7" ht="15" customHeight="1" x14ac:dyDescent="0.25">
      <c r="A546" s="23"/>
      <c r="B546" s="23"/>
      <c r="C546" s="23"/>
      <c r="D546" s="23"/>
      <c r="E546" s="23"/>
      <c r="F546" s="23"/>
      <c r="G546" s="23"/>
    </row>
    <row r="547" spans="1:7" ht="15" customHeight="1" x14ac:dyDescent="0.25">
      <c r="A547" s="23"/>
      <c r="B547" s="23"/>
      <c r="C547" s="23"/>
      <c r="D547" s="23"/>
      <c r="E547" s="23"/>
      <c r="F547" s="23"/>
      <c r="G547" s="23"/>
    </row>
    <row r="548" spans="1:7" ht="15" customHeight="1" x14ac:dyDescent="0.25">
      <c r="A548" s="23"/>
      <c r="B548" s="23"/>
      <c r="C548" s="23"/>
      <c r="D548" s="23"/>
      <c r="E548" s="23"/>
      <c r="F548" s="23"/>
      <c r="G548" s="23"/>
    </row>
    <row r="549" spans="1:7" ht="15" customHeight="1" x14ac:dyDescent="0.25">
      <c r="A549" s="23"/>
      <c r="B549" s="23"/>
      <c r="C549" s="23"/>
      <c r="D549" s="23"/>
      <c r="E549" s="23"/>
      <c r="F549" s="23"/>
      <c r="G549" s="23"/>
    </row>
    <row r="550" spans="1:7" ht="15" customHeight="1" x14ac:dyDescent="0.25">
      <c r="A550" s="23"/>
      <c r="B550" s="23"/>
      <c r="C550" s="23"/>
      <c r="D550" s="23"/>
      <c r="E550" s="23"/>
      <c r="F550" s="23"/>
      <c r="G550" s="23"/>
    </row>
    <row r="551" spans="1:7" ht="15" customHeight="1" x14ac:dyDescent="0.25">
      <c r="A551" s="23"/>
      <c r="B551" s="23"/>
      <c r="C551" s="23"/>
      <c r="D551" s="23"/>
      <c r="E551" s="23"/>
      <c r="F551" s="23"/>
      <c r="G551" s="23"/>
    </row>
    <row r="552" spans="1:7" ht="15" customHeight="1" x14ac:dyDescent="0.25">
      <c r="A552" s="23"/>
      <c r="B552" s="23"/>
      <c r="C552" s="23"/>
      <c r="D552" s="23"/>
      <c r="E552" s="23"/>
      <c r="F552" s="23"/>
      <c r="G552" s="23"/>
    </row>
    <row r="553" spans="1:7" ht="15" customHeight="1" x14ac:dyDescent="0.25">
      <c r="A553" s="23"/>
      <c r="B553" s="23"/>
      <c r="C553" s="23"/>
      <c r="D553" s="23"/>
      <c r="E553" s="23"/>
      <c r="F553" s="23"/>
      <c r="G553" s="23"/>
    </row>
    <row r="554" spans="1:7" ht="15" customHeight="1" x14ac:dyDescent="0.25">
      <c r="A554" s="23"/>
      <c r="B554" s="23"/>
      <c r="C554" s="23"/>
      <c r="D554" s="23"/>
      <c r="E554" s="23"/>
      <c r="F554" s="23"/>
      <c r="G554" s="23"/>
    </row>
    <row r="555" spans="1:7" ht="15" customHeight="1" x14ac:dyDescent="0.25">
      <c r="A555" s="23"/>
      <c r="B555" s="23"/>
      <c r="C555" s="23"/>
      <c r="D555" s="23"/>
      <c r="E555" s="23"/>
      <c r="F555" s="23"/>
      <c r="G555" s="23"/>
    </row>
    <row r="556" spans="1:7" ht="15" customHeight="1" x14ac:dyDescent="0.25">
      <c r="A556" s="23"/>
      <c r="B556" s="23"/>
      <c r="C556" s="23"/>
      <c r="D556" s="23"/>
      <c r="E556" s="23"/>
      <c r="F556" s="23"/>
      <c r="G556" s="23"/>
    </row>
    <row r="557" spans="1:7" ht="15" customHeight="1" x14ac:dyDescent="0.25">
      <c r="A557" s="23"/>
      <c r="B557" s="23"/>
      <c r="C557" s="23"/>
      <c r="D557" s="23"/>
      <c r="E557" s="23"/>
      <c r="F557" s="23"/>
      <c r="G557" s="23"/>
    </row>
    <row r="558" spans="1:7" ht="15" customHeight="1" x14ac:dyDescent="0.25">
      <c r="A558" s="23"/>
      <c r="B558" s="23"/>
      <c r="C558" s="23"/>
      <c r="D558" s="23"/>
      <c r="E558" s="23"/>
      <c r="F558" s="23"/>
      <c r="G558" s="23"/>
    </row>
    <row r="559" spans="1:7" ht="15" customHeight="1" x14ac:dyDescent="0.25">
      <c r="A559" s="23"/>
      <c r="B559" s="23"/>
      <c r="C559" s="23"/>
      <c r="D559" s="23"/>
      <c r="E559" s="23"/>
      <c r="F559" s="23"/>
      <c r="G559" s="23"/>
    </row>
    <row r="560" spans="1:7" ht="15" customHeight="1" x14ac:dyDescent="0.25">
      <c r="A560" s="23"/>
      <c r="B560" s="23"/>
      <c r="C560" s="23"/>
      <c r="D560" s="23"/>
      <c r="E560" s="23"/>
      <c r="F560" s="23"/>
      <c r="G560" s="23"/>
    </row>
    <row r="561" spans="1:7" ht="15" customHeight="1" x14ac:dyDescent="0.25">
      <c r="A561" s="23"/>
      <c r="B561" s="23"/>
      <c r="C561" s="23"/>
      <c r="D561" s="23"/>
      <c r="E561" s="23"/>
      <c r="F561" s="23"/>
      <c r="G561" s="23"/>
    </row>
    <row r="562" spans="1:7" ht="15" customHeight="1" x14ac:dyDescent="0.25">
      <c r="A562" s="23"/>
      <c r="B562" s="23"/>
      <c r="C562" s="23"/>
      <c r="D562" s="23"/>
      <c r="E562" s="23"/>
      <c r="F562" s="23"/>
      <c r="G562" s="23"/>
    </row>
    <row r="563" spans="1:7" ht="15" customHeight="1" x14ac:dyDescent="0.25">
      <c r="A563" s="23"/>
      <c r="B563" s="23"/>
      <c r="C563" s="23"/>
      <c r="D563" s="23"/>
      <c r="E563" s="23"/>
      <c r="F563" s="23"/>
      <c r="G563" s="23"/>
    </row>
    <row r="564" spans="1:7" ht="15" customHeight="1" x14ac:dyDescent="0.25">
      <c r="A564" s="23"/>
      <c r="B564" s="23"/>
      <c r="C564" s="23"/>
      <c r="D564" s="23"/>
      <c r="E564" s="23"/>
      <c r="F564" s="23"/>
      <c r="G564" s="23"/>
    </row>
    <row r="565" spans="1:7" ht="15" customHeight="1" x14ac:dyDescent="0.25">
      <c r="A565" s="23"/>
      <c r="B565" s="23"/>
      <c r="C565" s="23"/>
      <c r="D565" s="23"/>
      <c r="E565" s="23"/>
      <c r="F565" s="23"/>
      <c r="G565" s="23"/>
    </row>
    <row r="566" spans="1:7" ht="15" customHeight="1" x14ac:dyDescent="0.25">
      <c r="A566" s="23"/>
      <c r="B566" s="23"/>
      <c r="C566" s="23"/>
      <c r="D566" s="23"/>
      <c r="E566" s="23"/>
      <c r="F566" s="23"/>
      <c r="G566" s="23"/>
    </row>
    <row r="567" spans="1:7" ht="15" customHeight="1" x14ac:dyDescent="0.25">
      <c r="A567" s="23"/>
      <c r="B567" s="23"/>
      <c r="C567" s="23"/>
      <c r="D567" s="23"/>
      <c r="E567" s="23"/>
      <c r="F567" s="23"/>
      <c r="G567" s="23"/>
    </row>
    <row r="568" spans="1:7" ht="15" customHeight="1" x14ac:dyDescent="0.25">
      <c r="A568" s="23"/>
      <c r="B568" s="23"/>
      <c r="C568" s="23"/>
      <c r="D568" s="23"/>
      <c r="E568" s="23"/>
      <c r="F568" s="23"/>
      <c r="G568" s="23"/>
    </row>
    <row r="569" spans="1:7" ht="15" customHeight="1" x14ac:dyDescent="0.25">
      <c r="A569" s="23"/>
      <c r="B569" s="23"/>
      <c r="C569" s="23"/>
      <c r="D569" s="23"/>
      <c r="E569" s="23"/>
      <c r="F569" s="23"/>
      <c r="G569" s="23"/>
    </row>
    <row r="570" spans="1:7" ht="15" customHeight="1" x14ac:dyDescent="0.25">
      <c r="A570" s="23"/>
      <c r="B570" s="23"/>
      <c r="C570" s="23"/>
      <c r="D570" s="23"/>
      <c r="E570" s="23"/>
      <c r="F570" s="23"/>
      <c r="G570" s="23"/>
    </row>
    <row r="571" spans="1:7" ht="15" customHeight="1" x14ac:dyDescent="0.25">
      <c r="A571" s="23"/>
      <c r="B571" s="23"/>
      <c r="C571" s="23"/>
      <c r="D571" s="23"/>
      <c r="E571" s="23"/>
      <c r="F571" s="23"/>
      <c r="G571" s="23"/>
    </row>
    <row r="572" spans="1:7" ht="15" customHeight="1" x14ac:dyDescent="0.25">
      <c r="A572" s="23"/>
      <c r="B572" s="23"/>
      <c r="C572" s="23"/>
      <c r="D572" s="23"/>
      <c r="E572" s="23"/>
      <c r="F572" s="23"/>
      <c r="G572" s="23"/>
    </row>
    <row r="573" spans="1:7" ht="15" customHeight="1" x14ac:dyDescent="0.25">
      <c r="A573" s="23"/>
      <c r="B573" s="23"/>
      <c r="C573" s="23"/>
      <c r="D573" s="23"/>
      <c r="E573" s="23"/>
      <c r="F573" s="23"/>
      <c r="G573" s="23"/>
    </row>
    <row r="574" spans="1:7" ht="15" customHeight="1" x14ac:dyDescent="0.25">
      <c r="A574" s="23"/>
      <c r="B574" s="23"/>
      <c r="C574" s="23"/>
      <c r="D574" s="23"/>
      <c r="E574" s="23"/>
      <c r="F574" s="23"/>
      <c r="G574" s="23"/>
    </row>
    <row r="575" spans="1:7" ht="15" customHeight="1" x14ac:dyDescent="0.25">
      <c r="A575" s="23"/>
      <c r="B575" s="23"/>
      <c r="C575" s="23"/>
      <c r="D575" s="23"/>
      <c r="E575" s="23"/>
      <c r="F575" s="23"/>
      <c r="G575" s="23"/>
    </row>
    <row r="576" spans="1:7" ht="15" customHeight="1" x14ac:dyDescent="0.25">
      <c r="A576" s="23"/>
      <c r="B576" s="23"/>
      <c r="C576" s="23"/>
      <c r="D576" s="23"/>
      <c r="E576" s="23"/>
      <c r="F576" s="23"/>
      <c r="G576" s="23"/>
    </row>
    <row r="577" spans="1:7" ht="15" customHeight="1" x14ac:dyDescent="0.25">
      <c r="A577" s="23"/>
      <c r="B577" s="23"/>
      <c r="C577" s="23"/>
      <c r="D577" s="23"/>
      <c r="E577" s="23"/>
      <c r="F577" s="23"/>
      <c r="G577" s="23"/>
    </row>
    <row r="578" spans="1:7" ht="15" customHeight="1" x14ac:dyDescent="0.25">
      <c r="A578" s="23"/>
      <c r="B578" s="23"/>
      <c r="C578" s="23"/>
      <c r="D578" s="23"/>
      <c r="E578" s="23"/>
      <c r="F578" s="23"/>
      <c r="G578" s="23"/>
    </row>
    <row r="579" spans="1:7" ht="15" customHeight="1" x14ac:dyDescent="0.25">
      <c r="A579" s="23"/>
      <c r="B579" s="23"/>
      <c r="C579" s="23"/>
      <c r="D579" s="23"/>
      <c r="E579" s="23"/>
      <c r="F579" s="23"/>
      <c r="G579" s="23"/>
    </row>
    <row r="580" spans="1:7" ht="15" customHeight="1" x14ac:dyDescent="0.25">
      <c r="A580" s="23"/>
      <c r="B580" s="23"/>
      <c r="C580" s="23"/>
      <c r="D580" s="23"/>
      <c r="E580" s="23"/>
      <c r="F580" s="23"/>
      <c r="G580" s="23"/>
    </row>
    <row r="581" spans="1:7" ht="15" customHeight="1" x14ac:dyDescent="0.25">
      <c r="A581" s="23"/>
      <c r="B581" s="23"/>
      <c r="C581" s="23"/>
      <c r="D581" s="23"/>
      <c r="E581" s="23"/>
      <c r="F581" s="23"/>
      <c r="G581" s="23"/>
    </row>
    <row r="582" spans="1:7" ht="15" customHeight="1" x14ac:dyDescent="0.25">
      <c r="A582" s="23"/>
      <c r="B582" s="23"/>
      <c r="C582" s="23"/>
      <c r="D582" s="23"/>
      <c r="E582" s="23"/>
      <c r="F582" s="23"/>
      <c r="G582" s="23"/>
    </row>
    <row r="583" spans="1:7" ht="15" customHeight="1" x14ac:dyDescent="0.25">
      <c r="A583" s="23"/>
      <c r="B583" s="23"/>
      <c r="C583" s="23"/>
      <c r="D583" s="23"/>
      <c r="E583" s="23"/>
      <c r="F583" s="23"/>
      <c r="G583" s="23"/>
    </row>
    <row r="584" spans="1:7" ht="15" customHeight="1" x14ac:dyDescent="0.25">
      <c r="A584" s="23"/>
      <c r="B584" s="23"/>
      <c r="C584" s="23"/>
      <c r="D584" s="23"/>
      <c r="E584" s="23"/>
      <c r="F584" s="23"/>
      <c r="G584" s="23"/>
    </row>
    <row r="585" spans="1:7" ht="15" customHeight="1" x14ac:dyDescent="0.25">
      <c r="A585" s="23"/>
      <c r="B585" s="23"/>
      <c r="C585" s="23"/>
      <c r="D585" s="23"/>
      <c r="E585" s="23"/>
      <c r="F585" s="23"/>
      <c r="G585" s="23"/>
    </row>
    <row r="586" spans="1:7" ht="15" customHeight="1" x14ac:dyDescent="0.25">
      <c r="A586" s="23"/>
      <c r="B586" s="23"/>
      <c r="C586" s="23"/>
      <c r="D586" s="23"/>
      <c r="E586" s="23"/>
      <c r="F586" s="23"/>
      <c r="G586" s="23"/>
    </row>
    <row r="587" spans="1:7" ht="15" customHeight="1" x14ac:dyDescent="0.25">
      <c r="A587" s="23"/>
      <c r="B587" s="23"/>
      <c r="C587" s="23"/>
      <c r="D587" s="23"/>
      <c r="E587" s="23"/>
      <c r="F587" s="23"/>
      <c r="G587" s="23"/>
    </row>
    <row r="588" spans="1:7" ht="15" customHeight="1" x14ac:dyDescent="0.25">
      <c r="A588" s="23"/>
      <c r="B588" s="23"/>
      <c r="C588" s="23"/>
      <c r="D588" s="23"/>
      <c r="E588" s="23"/>
      <c r="F588" s="23"/>
      <c r="G588" s="23"/>
    </row>
    <row r="589" spans="1:7" ht="15" customHeight="1" x14ac:dyDescent="0.25">
      <c r="A589" s="23"/>
      <c r="B589" s="23"/>
      <c r="C589" s="23"/>
      <c r="D589" s="23"/>
      <c r="E589" s="23"/>
      <c r="F589" s="23"/>
      <c r="G589" s="23"/>
    </row>
    <row r="590" spans="1:7" ht="15" customHeight="1" x14ac:dyDescent="0.25">
      <c r="A590" s="23"/>
      <c r="B590" s="23"/>
      <c r="C590" s="23"/>
      <c r="D590" s="23"/>
      <c r="E590" s="23"/>
      <c r="F590" s="23"/>
      <c r="G590" s="23"/>
    </row>
    <row r="591" spans="1:7" ht="15" customHeight="1" x14ac:dyDescent="0.25">
      <c r="A591" s="23"/>
      <c r="B591" s="23"/>
      <c r="C591" s="23"/>
      <c r="D591" s="23"/>
      <c r="E591" s="23"/>
      <c r="F591" s="23"/>
      <c r="G591" s="23"/>
    </row>
    <row r="592" spans="1:7" ht="15" customHeight="1" x14ac:dyDescent="0.25">
      <c r="A592" s="23"/>
      <c r="B592" s="23"/>
      <c r="C592" s="23"/>
      <c r="D592" s="23"/>
      <c r="E592" s="23"/>
      <c r="F592" s="23"/>
      <c r="G592" s="23"/>
    </row>
    <row r="593" spans="1:7" ht="15" customHeight="1" x14ac:dyDescent="0.25">
      <c r="A593" s="23"/>
      <c r="B593" s="23"/>
      <c r="C593" s="23"/>
      <c r="D593" s="23"/>
      <c r="E593" s="23"/>
      <c r="F593" s="23"/>
      <c r="G593" s="23"/>
    </row>
    <row r="594" spans="1:7" ht="15" customHeight="1" x14ac:dyDescent="0.25">
      <c r="A594" s="23"/>
      <c r="B594" s="23"/>
      <c r="C594" s="23"/>
      <c r="D594" s="23"/>
      <c r="E594" s="23"/>
      <c r="F594" s="23"/>
      <c r="G594" s="23"/>
    </row>
    <row r="595" spans="1:7" ht="15" customHeight="1" x14ac:dyDescent="0.25">
      <c r="A595" s="23"/>
      <c r="B595" s="23"/>
      <c r="C595" s="23"/>
      <c r="D595" s="23"/>
      <c r="E595" s="23"/>
      <c r="F595" s="23"/>
      <c r="G595" s="23"/>
    </row>
    <row r="596" spans="1:7" ht="15" customHeight="1" x14ac:dyDescent="0.25">
      <c r="A596" s="23"/>
      <c r="B596" s="23"/>
      <c r="C596" s="23"/>
      <c r="D596" s="23"/>
      <c r="E596" s="23"/>
      <c r="F596" s="23"/>
      <c r="G596" s="23"/>
    </row>
    <row r="597" spans="1:7" ht="15" customHeight="1" x14ac:dyDescent="0.25">
      <c r="A597" s="23"/>
      <c r="B597" s="23"/>
      <c r="C597" s="23"/>
      <c r="D597" s="23"/>
      <c r="E597" s="23"/>
      <c r="F597" s="23"/>
      <c r="G597" s="23"/>
    </row>
    <row r="598" spans="1:7" ht="15" customHeight="1" x14ac:dyDescent="0.25">
      <c r="A598" s="23"/>
      <c r="B598" s="23"/>
      <c r="C598" s="23"/>
      <c r="D598" s="23"/>
      <c r="E598" s="23"/>
      <c r="F598" s="23"/>
      <c r="G598" s="23"/>
    </row>
    <row r="599" spans="1:7" ht="15" customHeight="1" x14ac:dyDescent="0.25">
      <c r="A599" s="23"/>
      <c r="B599" s="23"/>
      <c r="C599" s="23"/>
      <c r="D599" s="23"/>
      <c r="E599" s="23"/>
      <c r="F599" s="23"/>
      <c r="G599" s="23"/>
    </row>
    <row r="600" spans="1:7" ht="15" customHeight="1" x14ac:dyDescent="0.25">
      <c r="A600" s="23"/>
      <c r="B600" s="23"/>
      <c r="C600" s="23"/>
      <c r="D600" s="23"/>
      <c r="E600" s="23"/>
      <c r="F600" s="23"/>
      <c r="G600" s="23"/>
    </row>
    <row r="601" spans="1:7" ht="15" customHeight="1" x14ac:dyDescent="0.25">
      <c r="A601" s="23"/>
      <c r="B601" s="23"/>
      <c r="C601" s="23"/>
      <c r="D601" s="23"/>
      <c r="E601" s="23"/>
      <c r="F601" s="23"/>
      <c r="G601" s="23"/>
    </row>
    <row r="602" spans="1:7" ht="15" customHeight="1" x14ac:dyDescent="0.25">
      <c r="A602" s="23"/>
      <c r="B602" s="23"/>
      <c r="C602" s="23"/>
      <c r="D602" s="23"/>
      <c r="E602" s="23"/>
      <c r="F602" s="23"/>
      <c r="G602" s="23"/>
    </row>
    <row r="603" spans="1:7" ht="15" customHeight="1" x14ac:dyDescent="0.25">
      <c r="A603" s="23"/>
      <c r="B603" s="23"/>
      <c r="C603" s="23"/>
      <c r="D603" s="23"/>
      <c r="E603" s="23"/>
      <c r="F603" s="23"/>
      <c r="G603" s="23"/>
    </row>
    <row r="604" spans="1:7" ht="15" customHeight="1" x14ac:dyDescent="0.25">
      <c r="A604" s="23"/>
      <c r="B604" s="23"/>
      <c r="C604" s="23"/>
      <c r="D604" s="23"/>
      <c r="E604" s="23"/>
      <c r="F604" s="23"/>
      <c r="G604" s="23"/>
    </row>
    <row r="605" spans="1:7" ht="15" customHeight="1" x14ac:dyDescent="0.25">
      <c r="A605" s="23"/>
      <c r="B605" s="23"/>
      <c r="C605" s="23"/>
      <c r="D605" s="23"/>
      <c r="E605" s="23"/>
      <c r="F605" s="23"/>
      <c r="G605" s="23"/>
    </row>
    <row r="606" spans="1:7" ht="15" customHeight="1" x14ac:dyDescent="0.25">
      <c r="A606" s="23"/>
      <c r="B606" s="23"/>
      <c r="C606" s="23"/>
      <c r="D606" s="23"/>
      <c r="E606" s="23"/>
      <c r="F606" s="23"/>
      <c r="G606" s="23"/>
    </row>
    <row r="607" spans="1:7" ht="15" customHeight="1" x14ac:dyDescent="0.25">
      <c r="A607" s="23"/>
      <c r="B607" s="23"/>
      <c r="C607" s="23"/>
      <c r="D607" s="23"/>
      <c r="E607" s="23"/>
      <c r="F607" s="23"/>
      <c r="G607" s="23"/>
    </row>
    <row r="608" spans="1:7" ht="15" customHeight="1" x14ac:dyDescent="0.25">
      <c r="A608" s="23"/>
      <c r="B608" s="23"/>
      <c r="C608" s="23"/>
      <c r="D608" s="23"/>
      <c r="E608" s="23"/>
      <c r="F608" s="23"/>
      <c r="G608" s="23"/>
    </row>
    <row r="609" spans="1:7" ht="15" customHeight="1" x14ac:dyDescent="0.25">
      <c r="A609" s="23"/>
      <c r="B609" s="23"/>
      <c r="C609" s="23"/>
      <c r="D609" s="23"/>
      <c r="E609" s="23"/>
      <c r="F609" s="23"/>
      <c r="G609" s="23"/>
    </row>
    <row r="610" spans="1:7" ht="15" customHeight="1" x14ac:dyDescent="0.25">
      <c r="A610" s="23"/>
      <c r="B610" s="23"/>
      <c r="C610" s="23"/>
      <c r="D610" s="23"/>
      <c r="E610" s="23"/>
      <c r="F610" s="23"/>
      <c r="G610" s="23"/>
    </row>
    <row r="611" spans="1:7" ht="15" customHeight="1" x14ac:dyDescent="0.25">
      <c r="A611" s="23"/>
      <c r="B611" s="23"/>
      <c r="C611" s="23"/>
      <c r="D611" s="23"/>
      <c r="E611" s="23"/>
      <c r="F611" s="23"/>
      <c r="G611" s="23"/>
    </row>
    <row r="612" spans="1:7" ht="15" customHeight="1" x14ac:dyDescent="0.25">
      <c r="A612" s="23"/>
      <c r="B612" s="23"/>
      <c r="C612" s="23"/>
      <c r="D612" s="23"/>
      <c r="E612" s="23"/>
      <c r="F612" s="23"/>
      <c r="G612" s="23"/>
    </row>
    <row r="613" spans="1:7" ht="15" customHeight="1" x14ac:dyDescent="0.25">
      <c r="A613" s="23"/>
      <c r="B613" s="23"/>
      <c r="C613" s="23"/>
      <c r="D613" s="23"/>
      <c r="E613" s="23"/>
      <c r="F613" s="23"/>
      <c r="G613" s="23"/>
    </row>
    <row r="614" spans="1:7" ht="15" customHeight="1" x14ac:dyDescent="0.25">
      <c r="A614" s="23"/>
      <c r="B614" s="23"/>
      <c r="C614" s="23"/>
      <c r="D614" s="23"/>
      <c r="E614" s="23"/>
      <c r="F614" s="23"/>
      <c r="G614" s="23"/>
    </row>
    <row r="615" spans="1:7" ht="15" customHeight="1" x14ac:dyDescent="0.25">
      <c r="A615" s="23"/>
      <c r="B615" s="23"/>
      <c r="C615" s="23"/>
      <c r="D615" s="23"/>
      <c r="E615" s="23"/>
      <c r="F615" s="23"/>
      <c r="G615" s="23"/>
    </row>
    <row r="616" spans="1:7" ht="15" customHeight="1" x14ac:dyDescent="0.25">
      <c r="A616" s="23"/>
      <c r="B616" s="23"/>
      <c r="C616" s="23"/>
      <c r="D616" s="23"/>
      <c r="E616" s="23"/>
      <c r="F616" s="23"/>
      <c r="G616" s="23"/>
    </row>
    <row r="617" spans="1:7" ht="15" customHeight="1" x14ac:dyDescent="0.25">
      <c r="A617" s="23"/>
      <c r="B617" s="23"/>
      <c r="C617" s="23"/>
      <c r="D617" s="23"/>
      <c r="E617" s="23"/>
      <c r="F617" s="23"/>
      <c r="G617" s="23"/>
    </row>
    <row r="618" spans="1:7" ht="15" customHeight="1" x14ac:dyDescent="0.25">
      <c r="A618" s="23"/>
      <c r="B618" s="23"/>
      <c r="C618" s="23"/>
      <c r="D618" s="23"/>
      <c r="E618" s="23"/>
      <c r="F618" s="23"/>
      <c r="G618" s="23"/>
    </row>
    <row r="619" spans="1:7" ht="15" customHeight="1" x14ac:dyDescent="0.25">
      <c r="A619" s="23"/>
      <c r="B619" s="23"/>
      <c r="C619" s="23"/>
      <c r="D619" s="23"/>
      <c r="E619" s="23"/>
      <c r="F619" s="23"/>
      <c r="G619" s="23"/>
    </row>
    <row r="620" spans="1:7" ht="15" customHeight="1" x14ac:dyDescent="0.25">
      <c r="A620" s="23"/>
      <c r="B620" s="23"/>
      <c r="C620" s="23"/>
      <c r="D620" s="23"/>
      <c r="E620" s="23"/>
      <c r="F620" s="23"/>
      <c r="G620" s="23"/>
    </row>
    <row r="621" spans="1:7" ht="15" customHeight="1" x14ac:dyDescent="0.25">
      <c r="A621" s="23"/>
      <c r="B621" s="23"/>
      <c r="C621" s="23"/>
      <c r="D621" s="23"/>
      <c r="E621" s="23"/>
      <c r="F621" s="23"/>
      <c r="G621" s="23"/>
    </row>
    <row r="622" spans="1:7" ht="15" customHeight="1" x14ac:dyDescent="0.25">
      <c r="A622" s="23"/>
      <c r="B622" s="23"/>
      <c r="C622" s="23"/>
      <c r="D622" s="23"/>
      <c r="E622" s="23"/>
      <c r="F622" s="23"/>
      <c r="G622" s="23"/>
    </row>
    <row r="623" spans="1:7" ht="15" customHeight="1" x14ac:dyDescent="0.25">
      <c r="A623" s="23"/>
      <c r="B623" s="23"/>
      <c r="C623" s="23"/>
      <c r="D623" s="23"/>
      <c r="E623" s="23"/>
      <c r="F623" s="23"/>
      <c r="G623" s="23"/>
    </row>
    <row r="624" spans="1:7" ht="15" customHeight="1" x14ac:dyDescent="0.25">
      <c r="A624" s="23"/>
      <c r="B624" s="23"/>
      <c r="C624" s="23"/>
      <c r="D624" s="23"/>
      <c r="E624" s="23"/>
      <c r="F624" s="23"/>
      <c r="G624" s="23"/>
    </row>
    <row r="625" spans="1:7" ht="15" customHeight="1" x14ac:dyDescent="0.25">
      <c r="A625" s="23"/>
      <c r="B625" s="23"/>
      <c r="C625" s="23"/>
      <c r="D625" s="23"/>
      <c r="E625" s="23"/>
      <c r="F625" s="23"/>
      <c r="G625" s="23"/>
    </row>
    <row r="626" spans="1:7" ht="15" customHeight="1" x14ac:dyDescent="0.25">
      <c r="A626" s="23"/>
      <c r="B626" s="23"/>
      <c r="C626" s="23"/>
      <c r="D626" s="23"/>
      <c r="E626" s="23"/>
      <c r="F626" s="23"/>
      <c r="G626" s="23"/>
    </row>
    <row r="627" spans="1:7" ht="15" customHeight="1" x14ac:dyDescent="0.25">
      <c r="A627" s="23"/>
      <c r="B627" s="23"/>
      <c r="C627" s="23"/>
      <c r="D627" s="23"/>
      <c r="E627" s="23"/>
      <c r="F627" s="23"/>
      <c r="G627" s="23"/>
    </row>
    <row r="628" spans="1:7" ht="15" customHeight="1" x14ac:dyDescent="0.25">
      <c r="A628" s="23"/>
      <c r="B628" s="23"/>
      <c r="C628" s="23"/>
      <c r="D628" s="23"/>
      <c r="E628" s="23"/>
      <c r="F628" s="23"/>
      <c r="G628" s="23"/>
    </row>
    <row r="629" spans="1:7" ht="15" customHeight="1" x14ac:dyDescent="0.25">
      <c r="A629" s="23"/>
      <c r="B629" s="23"/>
      <c r="C629" s="23"/>
      <c r="D629" s="23"/>
      <c r="E629" s="23"/>
      <c r="F629" s="23"/>
      <c r="G629" s="23"/>
    </row>
    <row r="630" spans="1:7" ht="15" customHeight="1" x14ac:dyDescent="0.25">
      <c r="A630" s="23"/>
      <c r="B630" s="23"/>
      <c r="C630" s="23"/>
      <c r="D630" s="23"/>
      <c r="E630" s="23"/>
      <c r="F630" s="23"/>
      <c r="G630" s="23"/>
    </row>
    <row r="631" spans="1:7" ht="15" customHeight="1" x14ac:dyDescent="0.25">
      <c r="A631" s="23"/>
      <c r="B631" s="23"/>
      <c r="C631" s="23"/>
      <c r="D631" s="23"/>
      <c r="E631" s="23"/>
      <c r="F631" s="23"/>
      <c r="G631" s="23"/>
    </row>
    <row r="632" spans="1:7" ht="15" customHeight="1" x14ac:dyDescent="0.25">
      <c r="A632" s="23"/>
      <c r="B632" s="23"/>
      <c r="C632" s="23"/>
      <c r="D632" s="23"/>
      <c r="E632" s="23"/>
      <c r="F632" s="23"/>
      <c r="G632" s="23"/>
    </row>
    <row r="633" spans="1:7" ht="15" customHeight="1" x14ac:dyDescent="0.25">
      <c r="A633" s="23"/>
      <c r="B633" s="23"/>
      <c r="C633" s="23"/>
      <c r="D633" s="23"/>
      <c r="E633" s="23"/>
      <c r="F633" s="23"/>
      <c r="G633" s="23"/>
    </row>
    <row r="634" spans="1:7" ht="15" customHeight="1" x14ac:dyDescent="0.25">
      <c r="A634" s="23"/>
      <c r="B634" s="23"/>
      <c r="C634" s="23"/>
      <c r="D634" s="23"/>
      <c r="E634" s="23"/>
      <c r="F634" s="23"/>
      <c r="G634" s="23"/>
    </row>
    <row r="635" spans="1:7" ht="15" customHeight="1" x14ac:dyDescent="0.25">
      <c r="A635" s="23"/>
      <c r="B635" s="23"/>
      <c r="C635" s="23"/>
      <c r="D635" s="23"/>
      <c r="E635" s="23"/>
      <c r="F635" s="23"/>
      <c r="G635" s="23"/>
    </row>
    <row r="636" spans="1:7" ht="15" customHeight="1" x14ac:dyDescent="0.25">
      <c r="A636" s="23"/>
      <c r="B636" s="23"/>
      <c r="C636" s="23"/>
      <c r="D636" s="23"/>
      <c r="E636" s="23"/>
      <c r="F636" s="23"/>
      <c r="G636" s="23"/>
    </row>
    <row r="637" spans="1:7" ht="15" customHeight="1" x14ac:dyDescent="0.25">
      <c r="A637" s="23"/>
      <c r="B637" s="23"/>
      <c r="C637" s="23"/>
      <c r="D637" s="23"/>
      <c r="E637" s="23"/>
      <c r="F637" s="23"/>
      <c r="G637" s="23"/>
    </row>
    <row r="638" spans="1:7" ht="15" customHeight="1" x14ac:dyDescent="0.25">
      <c r="A638" s="23"/>
      <c r="B638" s="23"/>
      <c r="C638" s="23"/>
      <c r="D638" s="23"/>
      <c r="E638" s="23"/>
      <c r="F638" s="23"/>
      <c r="G638" s="23"/>
    </row>
    <row r="639" spans="1:7" ht="15" customHeight="1" x14ac:dyDescent="0.25">
      <c r="A639" s="23"/>
      <c r="B639" s="23"/>
      <c r="C639" s="23"/>
      <c r="D639" s="23"/>
      <c r="E639" s="23"/>
      <c r="F639" s="23"/>
      <c r="G639" s="23"/>
    </row>
    <row r="640" spans="1:7" ht="15" customHeight="1" x14ac:dyDescent="0.25">
      <c r="A640" s="23"/>
      <c r="B640" s="23"/>
      <c r="C640" s="23"/>
      <c r="D640" s="23"/>
      <c r="E640" s="23"/>
      <c r="F640" s="23"/>
      <c r="G640" s="23"/>
    </row>
    <row r="641" spans="1:7" ht="15" customHeight="1" x14ac:dyDescent="0.25">
      <c r="A641" s="23"/>
      <c r="B641" s="23"/>
      <c r="C641" s="23"/>
      <c r="D641" s="23"/>
      <c r="E641" s="23"/>
      <c r="F641" s="23"/>
      <c r="G641" s="23"/>
    </row>
    <row r="642" spans="1:7" ht="15" customHeight="1" x14ac:dyDescent="0.25">
      <c r="A642" s="23"/>
      <c r="B642" s="23"/>
      <c r="C642" s="23"/>
      <c r="D642" s="23"/>
      <c r="E642" s="23"/>
      <c r="F642" s="23"/>
      <c r="G642" s="23"/>
    </row>
    <row r="643" spans="1:7" ht="15" customHeight="1" x14ac:dyDescent="0.25">
      <c r="A643" s="23"/>
      <c r="B643" s="23"/>
      <c r="C643" s="23"/>
      <c r="D643" s="23"/>
      <c r="E643" s="23"/>
      <c r="F643" s="23"/>
      <c r="G643" s="23"/>
    </row>
    <row r="644" spans="1:7" ht="15" customHeight="1" x14ac:dyDescent="0.25">
      <c r="A644" s="23"/>
      <c r="B644" s="23"/>
      <c r="C644" s="23"/>
      <c r="D644" s="23"/>
      <c r="E644" s="23"/>
      <c r="F644" s="23"/>
      <c r="G644" s="23"/>
    </row>
    <row r="645" spans="1:7" ht="15" customHeight="1" x14ac:dyDescent="0.25">
      <c r="A645" s="23"/>
      <c r="B645" s="23"/>
      <c r="C645" s="23"/>
      <c r="D645" s="23"/>
      <c r="E645" s="23"/>
      <c r="F645" s="23"/>
      <c r="G645" s="23"/>
    </row>
    <row r="646" spans="1:7" ht="15" customHeight="1" x14ac:dyDescent="0.25">
      <c r="A646" s="23"/>
      <c r="B646" s="23"/>
      <c r="C646" s="23"/>
      <c r="D646" s="23"/>
      <c r="E646" s="23"/>
      <c r="F646" s="23"/>
      <c r="G646" s="23"/>
    </row>
    <row r="647" spans="1:7" ht="15" customHeight="1" x14ac:dyDescent="0.25">
      <c r="A647" s="23"/>
      <c r="B647" s="23"/>
      <c r="C647" s="23"/>
      <c r="D647" s="23"/>
      <c r="E647" s="23"/>
      <c r="F647" s="23"/>
      <c r="G647" s="23"/>
    </row>
    <row r="648" spans="1:7" ht="15" customHeight="1" x14ac:dyDescent="0.25">
      <c r="A648" s="23"/>
      <c r="B648" s="23"/>
      <c r="C648" s="23"/>
      <c r="D648" s="23"/>
      <c r="E648" s="23"/>
      <c r="F648" s="23"/>
      <c r="G648" s="23"/>
    </row>
    <row r="649" spans="1:7" ht="15" customHeight="1" x14ac:dyDescent="0.25">
      <c r="A649" s="23"/>
      <c r="B649" s="23"/>
      <c r="C649" s="23"/>
      <c r="D649" s="23"/>
      <c r="E649" s="23"/>
      <c r="F649" s="23"/>
      <c r="G649" s="23"/>
    </row>
    <row r="650" spans="1:7" ht="15" customHeight="1" x14ac:dyDescent="0.25">
      <c r="A650" s="23"/>
      <c r="B650" s="23"/>
      <c r="C650" s="23"/>
      <c r="D650" s="23"/>
      <c r="E650" s="23"/>
      <c r="F650" s="23"/>
      <c r="G650" s="23"/>
    </row>
    <row r="651" spans="1:7" ht="15" customHeight="1" x14ac:dyDescent="0.25">
      <c r="A651" s="23"/>
      <c r="B651" s="23"/>
      <c r="C651" s="23"/>
      <c r="D651" s="23"/>
      <c r="E651" s="23"/>
      <c r="F651" s="23"/>
      <c r="G651" s="23"/>
    </row>
    <row r="652" spans="1:7" ht="15" customHeight="1" x14ac:dyDescent="0.25">
      <c r="A652" s="23"/>
      <c r="B652" s="23"/>
      <c r="C652" s="23"/>
      <c r="D652" s="23"/>
      <c r="E652" s="23"/>
      <c r="F652" s="23"/>
      <c r="G652" s="23"/>
    </row>
    <row r="653" spans="1:7" ht="15" customHeight="1" x14ac:dyDescent="0.25">
      <c r="A653" s="23"/>
      <c r="B653" s="23"/>
      <c r="C653" s="23"/>
      <c r="D653" s="23"/>
      <c r="E653" s="23"/>
      <c r="F653" s="23"/>
      <c r="G653" s="23"/>
    </row>
    <row r="654" spans="1:7" ht="15" customHeight="1" x14ac:dyDescent="0.25">
      <c r="A654" s="23"/>
      <c r="B654" s="23"/>
      <c r="C654" s="23"/>
      <c r="D654" s="23"/>
      <c r="E654" s="23"/>
      <c r="F654" s="23"/>
      <c r="G654" s="23"/>
    </row>
    <row r="655" spans="1:7" ht="15" customHeight="1" x14ac:dyDescent="0.25">
      <c r="A655" s="23"/>
      <c r="B655" s="23"/>
      <c r="C655" s="23"/>
      <c r="D655" s="23"/>
      <c r="E655" s="23"/>
      <c r="F655" s="23"/>
      <c r="G655" s="23"/>
    </row>
    <row r="656" spans="1:7" ht="15" customHeight="1" x14ac:dyDescent="0.25">
      <c r="A656" s="23"/>
      <c r="B656" s="23"/>
      <c r="C656" s="23"/>
      <c r="D656" s="23"/>
      <c r="E656" s="23"/>
      <c r="F656" s="23"/>
      <c r="G656" s="23"/>
    </row>
    <row r="657" spans="1:7" ht="15" customHeight="1" x14ac:dyDescent="0.25">
      <c r="A657" s="23"/>
      <c r="B657" s="23"/>
      <c r="C657" s="23"/>
      <c r="D657" s="23"/>
      <c r="E657" s="23"/>
      <c r="F657" s="23"/>
      <c r="G657" s="23"/>
    </row>
    <row r="658" spans="1:7" ht="15" customHeight="1" x14ac:dyDescent="0.25">
      <c r="A658" s="23"/>
      <c r="B658" s="23"/>
      <c r="C658" s="23"/>
      <c r="D658" s="23"/>
      <c r="E658" s="23"/>
      <c r="F658" s="23"/>
      <c r="G658" s="23"/>
    </row>
    <row r="659" spans="1:7" ht="15" customHeight="1" x14ac:dyDescent="0.25">
      <c r="A659" s="23"/>
      <c r="B659" s="23"/>
      <c r="C659" s="23"/>
      <c r="D659" s="23"/>
      <c r="E659" s="23"/>
      <c r="F659" s="23"/>
      <c r="G659" s="23"/>
    </row>
    <row r="660" spans="1:7" ht="15" customHeight="1" x14ac:dyDescent="0.25">
      <c r="A660" s="23"/>
      <c r="B660" s="23"/>
      <c r="C660" s="23"/>
      <c r="D660" s="23"/>
      <c r="E660" s="23"/>
      <c r="F660" s="23"/>
      <c r="G660" s="23"/>
    </row>
    <row r="661" spans="1:7" ht="15" customHeight="1" x14ac:dyDescent="0.25">
      <c r="A661" s="23"/>
      <c r="B661" s="23"/>
      <c r="C661" s="23"/>
      <c r="D661" s="23"/>
      <c r="E661" s="23"/>
      <c r="F661" s="23"/>
      <c r="G661" s="23"/>
    </row>
    <row r="662" spans="1:7" ht="15" customHeight="1" x14ac:dyDescent="0.25">
      <c r="A662" s="23"/>
      <c r="B662" s="23"/>
      <c r="C662" s="23"/>
      <c r="D662" s="23"/>
      <c r="E662" s="23"/>
      <c r="F662" s="23"/>
      <c r="G662" s="23"/>
    </row>
    <row r="663" spans="1:7" ht="15" customHeight="1" x14ac:dyDescent="0.25">
      <c r="A663" s="23"/>
      <c r="B663" s="23"/>
      <c r="C663" s="23"/>
      <c r="D663" s="23"/>
      <c r="E663" s="23"/>
      <c r="F663" s="23"/>
      <c r="G663" s="23"/>
    </row>
    <row r="664" spans="1:7" ht="15" customHeight="1" x14ac:dyDescent="0.25">
      <c r="A664" s="23"/>
      <c r="B664" s="23"/>
      <c r="C664" s="23"/>
      <c r="D664" s="23"/>
      <c r="E664" s="23"/>
      <c r="F664" s="23"/>
      <c r="G664" s="23"/>
    </row>
    <row r="665" spans="1:7" ht="15" customHeight="1" x14ac:dyDescent="0.25">
      <c r="A665" s="23"/>
      <c r="B665" s="23"/>
      <c r="C665" s="23"/>
      <c r="D665" s="23"/>
      <c r="E665" s="23"/>
      <c r="F665" s="23"/>
      <c r="G665" s="23"/>
    </row>
    <row r="666" spans="1:7" ht="15" customHeight="1" x14ac:dyDescent="0.25">
      <c r="A666" s="23"/>
      <c r="B666" s="23"/>
      <c r="C666" s="23"/>
      <c r="D666" s="23"/>
      <c r="E666" s="23"/>
      <c r="F666" s="23"/>
      <c r="G666" s="23"/>
    </row>
    <row r="667" spans="1:7" ht="15" customHeight="1" x14ac:dyDescent="0.25">
      <c r="A667" s="23"/>
      <c r="B667" s="23"/>
      <c r="C667" s="23"/>
      <c r="D667" s="23"/>
      <c r="E667" s="23"/>
      <c r="F667" s="23"/>
      <c r="G667" s="23"/>
    </row>
    <row r="668" spans="1:7" ht="15" customHeight="1" x14ac:dyDescent="0.25">
      <c r="A668" s="23"/>
      <c r="B668" s="23"/>
      <c r="C668" s="23"/>
      <c r="D668" s="23"/>
      <c r="E668" s="23"/>
      <c r="F668" s="23"/>
      <c r="G668" s="23"/>
    </row>
    <row r="669" spans="1:7" ht="15" customHeight="1" x14ac:dyDescent="0.25">
      <c r="A669" s="23"/>
      <c r="B669" s="23"/>
      <c r="C669" s="23"/>
      <c r="D669" s="23"/>
      <c r="E669" s="23"/>
      <c r="F669" s="23"/>
      <c r="G669" s="23"/>
    </row>
    <row r="670" spans="1:7" ht="15" customHeight="1" x14ac:dyDescent="0.25">
      <c r="A670" s="23"/>
      <c r="B670" s="23"/>
      <c r="C670" s="23"/>
      <c r="D670" s="23"/>
      <c r="E670" s="23"/>
      <c r="F670" s="23"/>
      <c r="G670" s="23"/>
    </row>
    <row r="671" spans="1:7" ht="15" customHeight="1" x14ac:dyDescent="0.25">
      <c r="A671" s="23"/>
      <c r="B671" s="23"/>
      <c r="C671" s="23"/>
      <c r="D671" s="23"/>
      <c r="E671" s="23"/>
      <c r="F671" s="23"/>
      <c r="G671" s="23"/>
    </row>
    <row r="672" spans="1:7" ht="15" customHeight="1" x14ac:dyDescent="0.25">
      <c r="A672" s="23"/>
      <c r="B672" s="23"/>
      <c r="C672" s="23"/>
      <c r="D672" s="23"/>
      <c r="E672" s="23"/>
      <c r="F672" s="23"/>
      <c r="G672" s="23"/>
    </row>
    <row r="673" spans="1:7" ht="15" customHeight="1" x14ac:dyDescent="0.25">
      <c r="A673" s="23"/>
      <c r="B673" s="23"/>
      <c r="C673" s="23"/>
      <c r="D673" s="23"/>
      <c r="E673" s="23"/>
      <c r="F673" s="23"/>
      <c r="G673" s="23"/>
    </row>
    <row r="674" spans="1:7" ht="15" customHeight="1" x14ac:dyDescent="0.25">
      <c r="A674" s="23"/>
      <c r="B674" s="23"/>
      <c r="C674" s="23"/>
      <c r="D674" s="23"/>
      <c r="E674" s="23"/>
      <c r="F674" s="23"/>
      <c r="G674" s="23"/>
    </row>
    <row r="675" spans="1:7" ht="15" customHeight="1" x14ac:dyDescent="0.25">
      <c r="A675" s="23"/>
      <c r="B675" s="23"/>
      <c r="C675" s="23"/>
      <c r="D675" s="23"/>
      <c r="E675" s="23"/>
      <c r="F675" s="23"/>
      <c r="G675" s="23"/>
    </row>
    <row r="676" spans="1:7" ht="15" customHeight="1" x14ac:dyDescent="0.25">
      <c r="A676" s="23"/>
      <c r="B676" s="23"/>
      <c r="C676" s="23"/>
      <c r="D676" s="23"/>
      <c r="E676" s="23"/>
      <c r="F676" s="23"/>
      <c r="G676" s="23"/>
    </row>
    <row r="677" spans="1:7" ht="15" customHeight="1" x14ac:dyDescent="0.25">
      <c r="A677" s="23"/>
      <c r="B677" s="23"/>
      <c r="C677" s="23"/>
      <c r="D677" s="23"/>
      <c r="E677" s="23"/>
      <c r="F677" s="23"/>
      <c r="G677" s="23"/>
    </row>
    <row r="678" spans="1:7" ht="15" customHeight="1" x14ac:dyDescent="0.25">
      <c r="A678" s="23"/>
      <c r="B678" s="23"/>
      <c r="C678" s="23"/>
      <c r="D678" s="23"/>
      <c r="E678" s="23"/>
      <c r="F678" s="23"/>
      <c r="G678" s="23"/>
    </row>
    <row r="679" spans="1:7" ht="15" customHeight="1" x14ac:dyDescent="0.25">
      <c r="A679" s="23"/>
      <c r="B679" s="23"/>
      <c r="C679" s="23"/>
      <c r="D679" s="23"/>
      <c r="E679" s="23"/>
      <c r="F679" s="23"/>
      <c r="G679" s="23"/>
    </row>
    <row r="680" spans="1:7" ht="15" customHeight="1" x14ac:dyDescent="0.25">
      <c r="A680" s="23"/>
      <c r="B680" s="23"/>
      <c r="C680" s="23"/>
      <c r="D680" s="23"/>
      <c r="E680" s="23"/>
      <c r="F680" s="23"/>
      <c r="G680" s="23"/>
    </row>
    <row r="681" spans="1:7" ht="15" customHeight="1" x14ac:dyDescent="0.25">
      <c r="A681" s="23"/>
      <c r="B681" s="23"/>
      <c r="C681" s="23"/>
      <c r="D681" s="23"/>
      <c r="E681" s="23"/>
      <c r="F681" s="23"/>
      <c r="G681" s="23"/>
    </row>
    <row r="682" spans="1:7" ht="15" customHeight="1" x14ac:dyDescent="0.25">
      <c r="A682" s="23"/>
      <c r="B682" s="23"/>
      <c r="C682" s="23"/>
      <c r="D682" s="23"/>
      <c r="E682" s="23"/>
      <c r="F682" s="23"/>
      <c r="G682" s="23"/>
    </row>
    <row r="683" spans="1:7" ht="15" customHeight="1" x14ac:dyDescent="0.25">
      <c r="A683" s="23"/>
      <c r="B683" s="23"/>
      <c r="C683" s="23"/>
      <c r="D683" s="23"/>
      <c r="E683" s="23"/>
      <c r="F683" s="23"/>
      <c r="G683" s="23"/>
    </row>
    <row r="684" spans="1:7" ht="15" customHeight="1" x14ac:dyDescent="0.25">
      <c r="A684" s="23"/>
      <c r="B684" s="23"/>
      <c r="C684" s="23"/>
      <c r="D684" s="23"/>
      <c r="E684" s="23"/>
      <c r="F684" s="23"/>
      <c r="G684" s="23"/>
    </row>
    <row r="685" spans="1:7" ht="15" customHeight="1" x14ac:dyDescent="0.25">
      <c r="A685" s="23"/>
      <c r="B685" s="23"/>
      <c r="C685" s="23"/>
      <c r="D685" s="23"/>
      <c r="E685" s="23"/>
      <c r="F685" s="23"/>
      <c r="G685" s="23"/>
    </row>
    <row r="686" spans="1:7" ht="15" customHeight="1" x14ac:dyDescent="0.25">
      <c r="A686" s="23"/>
      <c r="B686" s="23"/>
      <c r="C686" s="23"/>
      <c r="D686" s="23"/>
      <c r="E686" s="23"/>
      <c r="F686" s="23"/>
      <c r="G686" s="23"/>
    </row>
    <row r="687" spans="1:7" ht="15" customHeight="1" x14ac:dyDescent="0.25">
      <c r="A687" s="23"/>
      <c r="B687" s="23"/>
      <c r="C687" s="23"/>
      <c r="D687" s="23"/>
      <c r="E687" s="23"/>
      <c r="F687" s="23"/>
      <c r="G687" s="23"/>
    </row>
    <row r="688" spans="1:7" ht="15" customHeight="1" x14ac:dyDescent="0.25">
      <c r="A688" s="23"/>
      <c r="B688" s="23"/>
      <c r="C688" s="23"/>
      <c r="D688" s="23"/>
      <c r="E688" s="23"/>
      <c r="F688" s="23"/>
      <c r="G688" s="23"/>
    </row>
    <row r="689" spans="1:7" ht="15" customHeight="1" x14ac:dyDescent="0.25">
      <c r="A689" s="23"/>
      <c r="B689" s="23"/>
      <c r="C689" s="23"/>
      <c r="D689" s="23"/>
      <c r="E689" s="23"/>
      <c r="F689" s="23"/>
      <c r="G689" s="23"/>
    </row>
    <row r="690" spans="1:7" ht="15" customHeight="1" x14ac:dyDescent="0.25">
      <c r="A690" s="23"/>
      <c r="B690" s="23"/>
      <c r="C690" s="23"/>
      <c r="D690" s="23"/>
      <c r="E690" s="23"/>
      <c r="F690" s="23"/>
      <c r="G690" s="23"/>
    </row>
    <row r="691" spans="1:7" ht="15" customHeight="1" x14ac:dyDescent="0.25">
      <c r="A691" s="23"/>
      <c r="B691" s="23"/>
      <c r="C691" s="23"/>
      <c r="D691" s="23"/>
      <c r="E691" s="23"/>
      <c r="F691" s="23"/>
      <c r="G691" s="23"/>
    </row>
    <row r="692" spans="1:7" ht="15" customHeight="1" x14ac:dyDescent="0.25">
      <c r="A692" s="23"/>
      <c r="B692" s="23"/>
      <c r="C692" s="23"/>
      <c r="D692" s="23"/>
      <c r="E692" s="23"/>
      <c r="F692" s="23"/>
      <c r="G692" s="23"/>
    </row>
    <row r="693" spans="1:7" ht="15" customHeight="1" x14ac:dyDescent="0.25">
      <c r="A693" s="23"/>
      <c r="B693" s="23"/>
      <c r="C693" s="23"/>
      <c r="D693" s="23"/>
      <c r="E693" s="23"/>
      <c r="F693" s="23"/>
      <c r="G693" s="23"/>
    </row>
    <row r="694" spans="1:7" ht="15" customHeight="1" x14ac:dyDescent="0.25">
      <c r="A694" s="23"/>
      <c r="B694" s="23"/>
      <c r="C694" s="23"/>
      <c r="D694" s="23"/>
      <c r="E694" s="23"/>
      <c r="F694" s="23"/>
      <c r="G694" s="23"/>
    </row>
    <row r="695" spans="1:7" ht="15" customHeight="1" x14ac:dyDescent="0.25">
      <c r="A695" s="23"/>
      <c r="B695" s="23"/>
      <c r="C695" s="23"/>
      <c r="D695" s="23"/>
      <c r="E695" s="23"/>
      <c r="F695" s="23"/>
      <c r="G695" s="23"/>
    </row>
    <row r="696" spans="1:7" ht="15" customHeight="1" x14ac:dyDescent="0.25">
      <c r="A696" s="23"/>
      <c r="B696" s="23"/>
      <c r="C696" s="23"/>
      <c r="D696" s="23"/>
      <c r="E696" s="23"/>
      <c r="F696" s="23"/>
      <c r="G696" s="23"/>
    </row>
    <row r="697" spans="1:7" ht="15" customHeight="1" x14ac:dyDescent="0.25">
      <c r="A697" s="23"/>
      <c r="B697" s="23"/>
      <c r="C697" s="23"/>
      <c r="D697" s="23"/>
      <c r="E697" s="23"/>
      <c r="F697" s="23"/>
      <c r="G697" s="23"/>
    </row>
    <row r="698" spans="1:7" ht="15" customHeight="1" x14ac:dyDescent="0.25">
      <c r="A698" s="23"/>
      <c r="B698" s="23"/>
      <c r="C698" s="23"/>
      <c r="D698" s="23"/>
      <c r="E698" s="23"/>
      <c r="F698" s="23"/>
      <c r="G698" s="23"/>
    </row>
    <row r="699" spans="1:7" ht="15" customHeight="1" x14ac:dyDescent="0.25">
      <c r="A699" s="23"/>
      <c r="B699" s="23"/>
      <c r="C699" s="23"/>
      <c r="D699" s="23"/>
      <c r="E699" s="23"/>
      <c r="F699" s="23"/>
      <c r="G699" s="23"/>
    </row>
    <row r="700" spans="1:7" ht="15" customHeight="1" x14ac:dyDescent="0.25">
      <c r="A700" s="23"/>
      <c r="B700" s="23"/>
      <c r="C700" s="23"/>
      <c r="D700" s="23"/>
      <c r="E700" s="23"/>
      <c r="F700" s="23"/>
      <c r="G700" s="23"/>
    </row>
    <row r="701" spans="1:7" ht="15" customHeight="1" x14ac:dyDescent="0.25">
      <c r="A701" s="23"/>
      <c r="B701" s="23"/>
      <c r="C701" s="23"/>
      <c r="D701" s="23"/>
      <c r="E701" s="23"/>
      <c r="F701" s="23"/>
      <c r="G701" s="23"/>
    </row>
    <row r="702" spans="1:7" ht="15" customHeight="1" x14ac:dyDescent="0.25">
      <c r="A702" s="23"/>
      <c r="B702" s="23"/>
      <c r="C702" s="23"/>
      <c r="D702" s="23"/>
      <c r="E702" s="23"/>
      <c r="F702" s="23"/>
      <c r="G702" s="23"/>
    </row>
    <row r="703" spans="1:7" ht="15" customHeight="1" x14ac:dyDescent="0.25">
      <c r="A703" s="23"/>
      <c r="B703" s="23"/>
      <c r="C703" s="23"/>
      <c r="D703" s="23"/>
      <c r="E703" s="23"/>
      <c r="F703" s="23"/>
      <c r="G703" s="23"/>
    </row>
    <row r="704" spans="1:7" ht="15" customHeight="1" x14ac:dyDescent="0.25">
      <c r="A704" s="23"/>
      <c r="B704" s="23"/>
      <c r="C704" s="23"/>
      <c r="D704" s="23"/>
      <c r="E704" s="23"/>
      <c r="F704" s="23"/>
      <c r="G704" s="23"/>
    </row>
    <row r="705" spans="1:7" ht="15" customHeight="1" x14ac:dyDescent="0.25">
      <c r="A705" s="23"/>
      <c r="B705" s="23"/>
      <c r="C705" s="23"/>
      <c r="D705" s="23"/>
      <c r="E705" s="23"/>
      <c r="F705" s="23"/>
      <c r="G705" s="23"/>
    </row>
    <row r="706" spans="1:7" ht="15" customHeight="1" x14ac:dyDescent="0.25">
      <c r="A706" s="23"/>
      <c r="B706" s="23"/>
      <c r="C706" s="23"/>
      <c r="D706" s="23"/>
      <c r="E706" s="23"/>
      <c r="F706" s="23"/>
      <c r="G706" s="23"/>
    </row>
    <row r="707" spans="1:7" ht="15" customHeight="1" x14ac:dyDescent="0.25">
      <c r="A707" s="23"/>
      <c r="B707" s="23"/>
      <c r="C707" s="23"/>
      <c r="D707" s="23"/>
      <c r="E707" s="23"/>
      <c r="F707" s="23"/>
      <c r="G707" s="23"/>
    </row>
    <row r="708" spans="1:7" ht="15" customHeight="1" x14ac:dyDescent="0.25">
      <c r="A708" s="23"/>
      <c r="B708" s="23"/>
      <c r="C708" s="23"/>
      <c r="D708" s="23"/>
      <c r="E708" s="23"/>
      <c r="F708" s="23"/>
      <c r="G708" s="23"/>
    </row>
    <row r="709" spans="1:7" ht="15" customHeight="1" x14ac:dyDescent="0.25">
      <c r="A709" s="23"/>
      <c r="B709" s="23"/>
      <c r="C709" s="23"/>
      <c r="D709" s="23"/>
      <c r="E709" s="23"/>
      <c r="F709" s="23"/>
      <c r="G709" s="23"/>
    </row>
    <row r="710" spans="1:7" ht="15" customHeight="1" x14ac:dyDescent="0.25">
      <c r="A710" s="23"/>
      <c r="B710" s="23"/>
      <c r="C710" s="23"/>
      <c r="D710" s="23"/>
      <c r="E710" s="23"/>
      <c r="F710" s="23"/>
      <c r="G710" s="23"/>
    </row>
    <row r="711" spans="1:7" ht="15" customHeight="1" x14ac:dyDescent="0.25">
      <c r="A711" s="23"/>
      <c r="B711" s="23"/>
      <c r="C711" s="23"/>
      <c r="D711" s="23"/>
      <c r="E711" s="23"/>
      <c r="F711" s="23"/>
      <c r="G711" s="23"/>
    </row>
    <row r="712" spans="1:7" ht="15" customHeight="1" x14ac:dyDescent="0.25">
      <c r="A712" s="23"/>
      <c r="B712" s="23"/>
      <c r="C712" s="23"/>
      <c r="D712" s="23"/>
      <c r="E712" s="23"/>
      <c r="F712" s="23"/>
      <c r="G712" s="23"/>
    </row>
    <row r="713" spans="1:7" ht="15" customHeight="1" x14ac:dyDescent="0.25">
      <c r="A713" s="23"/>
      <c r="B713" s="23"/>
      <c r="C713" s="23"/>
      <c r="D713" s="23"/>
      <c r="E713" s="23"/>
      <c r="F713" s="23"/>
      <c r="G713" s="23"/>
    </row>
    <row r="714" spans="1:7" ht="15" customHeight="1" x14ac:dyDescent="0.25">
      <c r="A714" s="23"/>
      <c r="B714" s="23"/>
      <c r="C714" s="23"/>
      <c r="D714" s="23"/>
      <c r="E714" s="23"/>
      <c r="F714" s="23"/>
      <c r="G714" s="23"/>
    </row>
    <row r="715" spans="1:7" ht="15" customHeight="1" x14ac:dyDescent="0.25">
      <c r="A715" s="23"/>
      <c r="B715" s="23"/>
      <c r="C715" s="23"/>
      <c r="D715" s="23"/>
      <c r="E715" s="23"/>
      <c r="F715" s="23"/>
      <c r="G715" s="23"/>
    </row>
    <row r="716" spans="1:7" ht="15" customHeight="1" x14ac:dyDescent="0.25">
      <c r="A716" s="23"/>
      <c r="B716" s="23"/>
      <c r="C716" s="23"/>
      <c r="D716" s="23"/>
      <c r="E716" s="23"/>
      <c r="F716" s="23"/>
      <c r="G716" s="23"/>
    </row>
    <row r="717" spans="1:7" ht="15" customHeight="1" x14ac:dyDescent="0.25">
      <c r="A717" s="23"/>
      <c r="B717" s="23"/>
      <c r="C717" s="23"/>
      <c r="D717" s="23"/>
      <c r="E717" s="23"/>
      <c r="F717" s="23"/>
      <c r="G717" s="23"/>
    </row>
    <row r="718" spans="1:7" ht="15" customHeight="1" x14ac:dyDescent="0.25">
      <c r="A718" s="23"/>
      <c r="B718" s="23"/>
      <c r="C718" s="23"/>
      <c r="D718" s="23"/>
      <c r="E718" s="23"/>
      <c r="F718" s="23"/>
      <c r="G718" s="23"/>
    </row>
    <row r="719" spans="1:7" ht="15" customHeight="1" x14ac:dyDescent="0.25">
      <c r="A719" s="23"/>
      <c r="B719" s="23"/>
      <c r="C719" s="23"/>
      <c r="D719" s="23"/>
      <c r="E719" s="23"/>
      <c r="F719" s="23"/>
      <c r="G719" s="23"/>
    </row>
    <row r="720" spans="1:7" ht="15" customHeight="1" x14ac:dyDescent="0.25">
      <c r="A720" s="23"/>
      <c r="B720" s="23"/>
      <c r="C720" s="23"/>
      <c r="D720" s="23"/>
      <c r="E720" s="23"/>
      <c r="F720" s="23"/>
      <c r="G720" s="23"/>
    </row>
    <row r="721" spans="1:7" ht="15" customHeight="1" x14ac:dyDescent="0.25">
      <c r="A721" s="23"/>
      <c r="B721" s="23"/>
      <c r="C721" s="23"/>
      <c r="D721" s="23"/>
      <c r="E721" s="23"/>
      <c r="F721" s="23"/>
      <c r="G721" s="23"/>
    </row>
    <row r="722" spans="1:7" ht="15" customHeight="1" x14ac:dyDescent="0.25">
      <c r="A722" s="23"/>
      <c r="B722" s="23"/>
      <c r="C722" s="23"/>
      <c r="D722" s="23"/>
      <c r="E722" s="23"/>
      <c r="F722" s="23"/>
      <c r="G722" s="23"/>
    </row>
    <row r="723" spans="1:7" ht="15" customHeight="1" x14ac:dyDescent="0.25">
      <c r="A723" s="23"/>
      <c r="B723" s="23"/>
      <c r="C723" s="23"/>
      <c r="D723" s="23"/>
      <c r="E723" s="23"/>
      <c r="F723" s="23"/>
      <c r="G723" s="23"/>
    </row>
    <row r="724" spans="1:7" ht="15" customHeight="1" x14ac:dyDescent="0.25">
      <c r="A724" s="23"/>
      <c r="B724" s="23"/>
      <c r="C724" s="23"/>
      <c r="D724" s="23"/>
      <c r="E724" s="23"/>
      <c r="F724" s="23"/>
      <c r="G724" s="23"/>
    </row>
    <row r="725" spans="1:7" ht="15" customHeight="1" x14ac:dyDescent="0.25">
      <c r="A725" s="23"/>
      <c r="B725" s="23"/>
      <c r="C725" s="23"/>
      <c r="D725" s="23"/>
      <c r="E725" s="23"/>
      <c r="F725" s="23"/>
      <c r="G725" s="23"/>
    </row>
    <row r="726" spans="1:7" ht="15" customHeight="1" x14ac:dyDescent="0.25">
      <c r="A726" s="23"/>
      <c r="B726" s="23"/>
      <c r="C726" s="23"/>
      <c r="D726" s="23"/>
      <c r="E726" s="23"/>
      <c r="F726" s="23"/>
      <c r="G726" s="23"/>
    </row>
    <row r="727" spans="1:7" ht="15" customHeight="1" x14ac:dyDescent="0.25">
      <c r="A727" s="23"/>
      <c r="B727" s="23"/>
      <c r="C727" s="23"/>
      <c r="D727" s="23"/>
      <c r="E727" s="23"/>
      <c r="F727" s="23"/>
      <c r="G727" s="23"/>
    </row>
    <row r="728" spans="1:7" ht="15" customHeight="1" x14ac:dyDescent="0.25">
      <c r="A728" s="23"/>
      <c r="B728" s="23"/>
      <c r="C728" s="23"/>
      <c r="D728" s="23"/>
      <c r="E728" s="23"/>
      <c r="F728" s="23"/>
      <c r="G728" s="23"/>
    </row>
    <row r="729" spans="1:7" ht="15" customHeight="1" x14ac:dyDescent="0.25">
      <c r="A729" s="23"/>
      <c r="B729" s="23"/>
      <c r="C729" s="23"/>
      <c r="D729" s="23"/>
      <c r="E729" s="23"/>
      <c r="F729" s="23"/>
      <c r="G729" s="23"/>
    </row>
    <row r="730" spans="1:7" ht="15" customHeight="1" x14ac:dyDescent="0.25">
      <c r="A730" s="23"/>
      <c r="B730" s="23"/>
      <c r="C730" s="23"/>
      <c r="D730" s="23"/>
      <c r="E730" s="23"/>
      <c r="F730" s="23"/>
      <c r="G730" s="23"/>
    </row>
    <row r="731" spans="1:7" ht="15" customHeight="1" x14ac:dyDescent="0.25">
      <c r="A731" s="23"/>
      <c r="B731" s="23"/>
      <c r="C731" s="23"/>
      <c r="D731" s="23"/>
      <c r="E731" s="23"/>
      <c r="F731" s="23"/>
      <c r="G731" s="23"/>
    </row>
    <row r="732" spans="1:7" ht="15" customHeight="1" x14ac:dyDescent="0.25">
      <c r="A732" s="23"/>
      <c r="B732" s="23"/>
      <c r="C732" s="23"/>
      <c r="D732" s="23"/>
      <c r="E732" s="23"/>
      <c r="F732" s="23"/>
      <c r="G732" s="23"/>
    </row>
    <row r="733" spans="1:7" ht="15" customHeight="1" x14ac:dyDescent="0.25">
      <c r="A733" s="23"/>
      <c r="B733" s="23"/>
      <c r="C733" s="23"/>
      <c r="D733" s="23"/>
      <c r="E733" s="23"/>
      <c r="F733" s="23"/>
      <c r="G733" s="23"/>
    </row>
    <row r="734" spans="1:7" ht="15" customHeight="1" x14ac:dyDescent="0.25">
      <c r="A734" s="23"/>
      <c r="B734" s="23"/>
      <c r="C734" s="23"/>
      <c r="D734" s="23"/>
      <c r="E734" s="23"/>
      <c r="F734" s="23"/>
      <c r="G734" s="23"/>
    </row>
    <row r="735" spans="1:7" ht="15" customHeight="1" x14ac:dyDescent="0.25">
      <c r="A735" s="23"/>
      <c r="B735" s="23"/>
      <c r="C735" s="23"/>
      <c r="D735" s="23"/>
      <c r="E735" s="23"/>
      <c r="F735" s="23"/>
      <c r="G735" s="23"/>
    </row>
    <row r="736" spans="1:7" ht="15" customHeight="1" x14ac:dyDescent="0.25">
      <c r="A736" s="23"/>
      <c r="B736" s="23"/>
      <c r="C736" s="23"/>
      <c r="D736" s="23"/>
      <c r="E736" s="23"/>
      <c r="F736" s="23"/>
      <c r="G736" s="23"/>
    </row>
    <row r="737" spans="1:7" ht="15" customHeight="1" x14ac:dyDescent="0.25">
      <c r="A737" s="23"/>
      <c r="B737" s="23"/>
      <c r="C737" s="23"/>
      <c r="D737" s="23"/>
      <c r="E737" s="23"/>
      <c r="F737" s="23"/>
      <c r="G737" s="23"/>
    </row>
    <row r="738" spans="1:7" ht="15" customHeight="1" x14ac:dyDescent="0.25">
      <c r="A738" s="23"/>
      <c r="B738" s="23"/>
      <c r="C738" s="23"/>
      <c r="D738" s="23"/>
      <c r="E738" s="23"/>
      <c r="F738" s="23"/>
      <c r="G738" s="23"/>
    </row>
    <row r="739" spans="1:7" ht="15" customHeight="1" x14ac:dyDescent="0.25">
      <c r="A739" s="23"/>
      <c r="B739" s="23"/>
      <c r="C739" s="23"/>
      <c r="D739" s="23"/>
      <c r="E739" s="23"/>
      <c r="F739" s="23"/>
      <c r="G739" s="23"/>
    </row>
    <row r="740" spans="1:7" ht="15" customHeight="1" x14ac:dyDescent="0.25">
      <c r="A740" s="23"/>
      <c r="B740" s="23"/>
      <c r="C740" s="23"/>
      <c r="D740" s="23"/>
      <c r="E740" s="23"/>
      <c r="F740" s="23"/>
      <c r="G740" s="23"/>
    </row>
    <row r="741" spans="1:7" ht="15" customHeight="1" x14ac:dyDescent="0.25">
      <c r="A741" s="23"/>
      <c r="B741" s="23"/>
      <c r="C741" s="23"/>
      <c r="D741" s="23"/>
      <c r="E741" s="23"/>
      <c r="F741" s="23"/>
      <c r="G741" s="23"/>
    </row>
    <row r="742" spans="1:7" ht="15" customHeight="1" x14ac:dyDescent="0.25">
      <c r="A742" s="23"/>
      <c r="B742" s="23"/>
      <c r="C742" s="23"/>
      <c r="D742" s="23"/>
      <c r="E742" s="23"/>
      <c r="F742" s="23"/>
      <c r="G742" s="23"/>
    </row>
    <row r="743" spans="1:7" ht="15" customHeight="1" x14ac:dyDescent="0.25">
      <c r="A743" s="23"/>
      <c r="B743" s="23"/>
      <c r="C743" s="23"/>
      <c r="D743" s="23"/>
      <c r="E743" s="23"/>
      <c r="F743" s="23"/>
      <c r="G743" s="23"/>
    </row>
    <row r="744" spans="1:7" ht="15" customHeight="1" x14ac:dyDescent="0.25">
      <c r="A744" s="23"/>
      <c r="B744" s="23"/>
      <c r="C744" s="23"/>
      <c r="D744" s="23"/>
      <c r="E744" s="23"/>
      <c r="F744" s="23"/>
      <c r="G744" s="23"/>
    </row>
    <row r="745" spans="1:7" ht="15" customHeight="1" x14ac:dyDescent="0.25">
      <c r="A745" s="23"/>
      <c r="B745" s="23"/>
      <c r="C745" s="23"/>
      <c r="D745" s="23"/>
      <c r="E745" s="23"/>
      <c r="F745" s="23"/>
      <c r="G745" s="23"/>
    </row>
    <row r="746" spans="1:7" ht="15" customHeight="1" x14ac:dyDescent="0.25">
      <c r="A746" s="23"/>
      <c r="B746" s="23"/>
      <c r="C746" s="23"/>
      <c r="D746" s="23"/>
      <c r="E746" s="23"/>
      <c r="F746" s="23"/>
      <c r="G746" s="23"/>
    </row>
    <row r="747" spans="1:7" ht="15" customHeight="1" x14ac:dyDescent="0.25">
      <c r="A747" s="23"/>
      <c r="B747" s="23"/>
      <c r="C747" s="23"/>
      <c r="D747" s="23"/>
      <c r="E747" s="23"/>
      <c r="F747" s="23"/>
      <c r="G747" s="23"/>
    </row>
    <row r="748" spans="1:7" ht="15" customHeight="1" x14ac:dyDescent="0.25">
      <c r="A748" s="23"/>
      <c r="B748" s="23"/>
      <c r="C748" s="23"/>
      <c r="D748" s="23"/>
      <c r="E748" s="23"/>
      <c r="F748" s="23"/>
      <c r="G748" s="23"/>
    </row>
    <row r="749" spans="1:7" ht="15" customHeight="1" x14ac:dyDescent="0.25">
      <c r="A749" s="23"/>
      <c r="B749" s="23"/>
      <c r="C749" s="23"/>
      <c r="D749" s="23"/>
      <c r="E749" s="23"/>
      <c r="F749" s="23"/>
      <c r="G749" s="23"/>
    </row>
    <row r="750" spans="1:7" ht="15" customHeight="1" x14ac:dyDescent="0.25">
      <c r="A750" s="23"/>
      <c r="B750" s="23"/>
      <c r="C750" s="23"/>
      <c r="D750" s="23"/>
      <c r="E750" s="23"/>
      <c r="F750" s="23"/>
      <c r="G750" s="23"/>
    </row>
    <row r="751" spans="1:7" ht="15" customHeight="1" x14ac:dyDescent="0.25">
      <c r="A751" s="23"/>
      <c r="B751" s="23"/>
      <c r="C751" s="23"/>
      <c r="D751" s="23"/>
      <c r="E751" s="23"/>
      <c r="F751" s="23"/>
      <c r="G751" s="23"/>
    </row>
    <row r="752" spans="1:7" ht="15" customHeight="1" x14ac:dyDescent="0.25">
      <c r="A752" s="23"/>
      <c r="B752" s="23"/>
      <c r="C752" s="23"/>
      <c r="D752" s="23"/>
      <c r="E752" s="23"/>
      <c r="F752" s="23"/>
      <c r="G752" s="23"/>
    </row>
    <row r="753" spans="1:7" ht="15" customHeight="1" x14ac:dyDescent="0.25">
      <c r="A753" s="23"/>
      <c r="B753" s="23"/>
      <c r="C753" s="23"/>
      <c r="D753" s="23"/>
      <c r="E753" s="23"/>
      <c r="F753" s="23"/>
      <c r="G753" s="23"/>
    </row>
    <row r="754" spans="1:7" ht="15" customHeight="1" x14ac:dyDescent="0.25">
      <c r="A754" s="23"/>
      <c r="B754" s="23"/>
      <c r="C754" s="23"/>
      <c r="D754" s="23"/>
      <c r="E754" s="23"/>
      <c r="F754" s="23"/>
      <c r="G754" s="23"/>
    </row>
    <row r="755" spans="1:7" ht="15" customHeight="1" x14ac:dyDescent="0.25">
      <c r="A755" s="23"/>
      <c r="B755" s="23"/>
      <c r="C755" s="23"/>
      <c r="D755" s="23"/>
      <c r="E755" s="23"/>
      <c r="F755" s="23"/>
      <c r="G755" s="23"/>
    </row>
    <row r="756" spans="1:7" ht="15" customHeight="1" x14ac:dyDescent="0.25">
      <c r="A756" s="23"/>
      <c r="B756" s="23"/>
      <c r="C756" s="23"/>
      <c r="D756" s="23"/>
      <c r="E756" s="23"/>
      <c r="F756" s="23"/>
      <c r="G756" s="23"/>
    </row>
    <row r="757" spans="1:7" ht="15" customHeight="1" x14ac:dyDescent="0.25">
      <c r="A757" s="23"/>
      <c r="B757" s="23"/>
      <c r="C757" s="23"/>
      <c r="D757" s="23"/>
      <c r="E757" s="23"/>
      <c r="F757" s="23"/>
      <c r="G757" s="23"/>
    </row>
    <row r="758" spans="1:7" ht="15" customHeight="1" x14ac:dyDescent="0.25">
      <c r="A758" s="23"/>
      <c r="B758" s="23"/>
      <c r="C758" s="23"/>
      <c r="D758" s="23"/>
      <c r="E758" s="23"/>
      <c r="F758" s="23"/>
      <c r="G758" s="23"/>
    </row>
    <row r="759" spans="1:7" ht="15" customHeight="1" x14ac:dyDescent="0.25">
      <c r="A759" s="23"/>
      <c r="B759" s="23"/>
      <c r="C759" s="23"/>
      <c r="D759" s="23"/>
      <c r="E759" s="23"/>
      <c r="F759" s="23"/>
      <c r="G759" s="23"/>
    </row>
    <row r="760" spans="1:7" ht="15" customHeight="1" x14ac:dyDescent="0.25">
      <c r="A760" s="23"/>
      <c r="B760" s="23"/>
      <c r="C760" s="23"/>
      <c r="D760" s="23"/>
      <c r="E760" s="23"/>
      <c r="F760" s="23"/>
      <c r="G760" s="23"/>
    </row>
    <row r="761" spans="1:7" ht="15" customHeight="1" x14ac:dyDescent="0.25">
      <c r="A761" s="23"/>
      <c r="B761" s="23"/>
      <c r="C761" s="23"/>
      <c r="D761" s="23"/>
      <c r="E761" s="23"/>
      <c r="F761" s="23"/>
      <c r="G761" s="23"/>
    </row>
    <row r="762" spans="1:7" ht="15" customHeight="1" x14ac:dyDescent="0.25">
      <c r="A762" s="23"/>
      <c r="B762" s="23"/>
      <c r="C762" s="23"/>
      <c r="D762" s="23"/>
      <c r="E762" s="23"/>
      <c r="F762" s="23"/>
      <c r="G762" s="23"/>
    </row>
    <row r="763" spans="1:7" ht="15" customHeight="1" x14ac:dyDescent="0.25">
      <c r="A763" s="23"/>
      <c r="B763" s="23"/>
      <c r="C763" s="23"/>
      <c r="D763" s="23"/>
      <c r="E763" s="23"/>
      <c r="F763" s="23"/>
      <c r="G763" s="23"/>
    </row>
    <row r="764" spans="1:7" ht="15" customHeight="1" x14ac:dyDescent="0.25">
      <c r="A764" s="23"/>
      <c r="B764" s="23"/>
      <c r="C764" s="23"/>
      <c r="D764" s="23"/>
      <c r="E764" s="23"/>
      <c r="F764" s="23"/>
      <c r="G764" s="23"/>
    </row>
    <row r="765" spans="1:7" ht="15" customHeight="1" x14ac:dyDescent="0.25">
      <c r="A765" s="23"/>
      <c r="B765" s="23"/>
      <c r="C765" s="23"/>
      <c r="D765" s="23"/>
      <c r="E765" s="23"/>
      <c r="F765" s="23"/>
      <c r="G765" s="23"/>
    </row>
    <row r="766" spans="1:7" ht="15" customHeight="1" x14ac:dyDescent="0.25">
      <c r="A766" s="23"/>
      <c r="B766" s="23"/>
      <c r="C766" s="23"/>
      <c r="D766" s="23"/>
      <c r="E766" s="23"/>
      <c r="F766" s="23"/>
      <c r="G766" s="23"/>
    </row>
    <row r="767" spans="1:7" ht="15" customHeight="1" x14ac:dyDescent="0.25">
      <c r="A767" s="23"/>
      <c r="B767" s="23"/>
      <c r="C767" s="23"/>
      <c r="D767" s="23"/>
      <c r="E767" s="23"/>
      <c r="F767" s="23"/>
      <c r="G767" s="23"/>
    </row>
    <row r="768" spans="1:7" ht="15" customHeight="1" x14ac:dyDescent="0.25">
      <c r="A768" s="23"/>
      <c r="B768" s="23"/>
      <c r="C768" s="23"/>
      <c r="D768" s="23"/>
      <c r="E768" s="23"/>
      <c r="F768" s="23"/>
      <c r="G768" s="23"/>
    </row>
    <row r="769" spans="1:7" ht="15" customHeight="1" x14ac:dyDescent="0.25">
      <c r="A769" s="23"/>
      <c r="B769" s="23"/>
      <c r="C769" s="23"/>
      <c r="D769" s="23"/>
      <c r="E769" s="23"/>
      <c r="F769" s="23"/>
      <c r="G769" s="23"/>
    </row>
    <row r="770" spans="1:7" ht="15" customHeight="1" x14ac:dyDescent="0.25">
      <c r="A770" s="23"/>
      <c r="B770" s="23"/>
      <c r="C770" s="23"/>
      <c r="D770" s="23"/>
      <c r="E770" s="23"/>
      <c r="F770" s="23"/>
      <c r="G770" s="23"/>
    </row>
    <row r="771" spans="1:7" ht="15" customHeight="1" x14ac:dyDescent="0.25">
      <c r="A771" s="23"/>
      <c r="B771" s="23"/>
      <c r="C771" s="23"/>
      <c r="D771" s="23"/>
      <c r="E771" s="23"/>
      <c r="F771" s="23"/>
      <c r="G771" s="23"/>
    </row>
    <row r="772" spans="1:7" ht="15" customHeight="1" x14ac:dyDescent="0.25">
      <c r="A772" s="23"/>
      <c r="B772" s="23"/>
      <c r="C772" s="23"/>
      <c r="D772" s="23"/>
      <c r="E772" s="23"/>
      <c r="F772" s="23"/>
      <c r="G772" s="23"/>
    </row>
    <row r="773" spans="1:7" ht="15" customHeight="1" x14ac:dyDescent="0.25">
      <c r="A773" s="23"/>
      <c r="B773" s="23"/>
      <c r="C773" s="23"/>
      <c r="D773" s="23"/>
      <c r="E773" s="23"/>
      <c r="F773" s="23"/>
      <c r="G773" s="23"/>
    </row>
    <row r="774" spans="1:7" ht="15" customHeight="1" x14ac:dyDescent="0.25">
      <c r="A774" s="23"/>
      <c r="B774" s="23"/>
      <c r="C774" s="23"/>
      <c r="D774" s="23"/>
      <c r="E774" s="23"/>
      <c r="F774" s="23"/>
      <c r="G774" s="23"/>
    </row>
    <row r="775" spans="1:7" ht="15" customHeight="1" x14ac:dyDescent="0.25">
      <c r="A775" s="23"/>
      <c r="B775" s="23"/>
      <c r="C775" s="23"/>
      <c r="D775" s="23"/>
      <c r="E775" s="23"/>
      <c r="F775" s="23"/>
      <c r="G775" s="23"/>
    </row>
    <row r="776" spans="1:7" ht="15" customHeight="1" x14ac:dyDescent="0.25">
      <c r="A776" s="23"/>
      <c r="B776" s="23"/>
      <c r="C776" s="23"/>
      <c r="D776" s="23"/>
      <c r="E776" s="23"/>
      <c r="F776" s="23"/>
      <c r="G776" s="23"/>
    </row>
    <row r="777" spans="1:7" ht="15" customHeight="1" x14ac:dyDescent="0.25">
      <c r="A777" s="23"/>
      <c r="B777" s="23"/>
      <c r="C777" s="23"/>
      <c r="D777" s="23"/>
      <c r="E777" s="23"/>
      <c r="F777" s="23"/>
      <c r="G777" s="23"/>
    </row>
    <row r="778" spans="1:7" ht="15" customHeight="1" x14ac:dyDescent="0.25">
      <c r="A778" s="23"/>
      <c r="B778" s="23"/>
      <c r="C778" s="23"/>
      <c r="D778" s="23"/>
      <c r="E778" s="23"/>
      <c r="F778" s="23"/>
      <c r="G778" s="23"/>
    </row>
    <row r="779" spans="1:7" ht="15" customHeight="1" x14ac:dyDescent="0.25">
      <c r="A779" s="23"/>
      <c r="B779" s="23"/>
      <c r="C779" s="23"/>
      <c r="D779" s="23"/>
      <c r="E779" s="23"/>
      <c r="F779" s="23"/>
      <c r="G779" s="23"/>
    </row>
    <row r="780" spans="1:7" ht="15" customHeight="1" x14ac:dyDescent="0.25">
      <c r="A780" s="23"/>
      <c r="B780" s="23"/>
      <c r="C780" s="23"/>
      <c r="D780" s="23"/>
      <c r="E780" s="23"/>
      <c r="F780" s="23"/>
      <c r="G780" s="23"/>
    </row>
    <row r="781" spans="1:7" ht="15" customHeight="1" x14ac:dyDescent="0.25">
      <c r="A781" s="23"/>
      <c r="B781" s="23"/>
      <c r="C781" s="23"/>
      <c r="D781" s="23"/>
      <c r="E781" s="23"/>
      <c r="F781" s="23"/>
      <c r="G781" s="23"/>
    </row>
    <row r="782" spans="1:7" ht="15" customHeight="1" x14ac:dyDescent="0.25">
      <c r="A782" s="23"/>
      <c r="B782" s="23"/>
      <c r="C782" s="23"/>
      <c r="D782" s="23"/>
      <c r="E782" s="23"/>
      <c r="F782" s="23"/>
      <c r="G782" s="23"/>
    </row>
    <row r="783" spans="1:7" ht="15" customHeight="1" x14ac:dyDescent="0.25">
      <c r="A783" s="23"/>
      <c r="B783" s="23"/>
      <c r="C783" s="23"/>
      <c r="D783" s="23"/>
      <c r="E783" s="23"/>
      <c r="F783" s="23"/>
      <c r="G783" s="23"/>
    </row>
    <row r="784" spans="1:7" ht="15" customHeight="1" x14ac:dyDescent="0.25">
      <c r="A784" s="23"/>
      <c r="B784" s="23"/>
      <c r="C784" s="23"/>
      <c r="D784" s="23"/>
      <c r="E784" s="23"/>
      <c r="F784" s="23"/>
      <c r="G784" s="23"/>
    </row>
    <row r="785" spans="1:7" ht="15" customHeight="1" x14ac:dyDescent="0.25">
      <c r="A785" s="23"/>
      <c r="B785" s="23"/>
      <c r="C785" s="23"/>
      <c r="D785" s="23"/>
      <c r="E785" s="23"/>
      <c r="F785" s="23"/>
      <c r="G785" s="23"/>
    </row>
    <row r="786" spans="1:7" ht="15" customHeight="1" x14ac:dyDescent="0.25">
      <c r="A786" s="23"/>
      <c r="B786" s="23"/>
      <c r="C786" s="23"/>
      <c r="D786" s="23"/>
      <c r="E786" s="23"/>
      <c r="F786" s="23"/>
      <c r="G786" s="23"/>
    </row>
    <row r="787" spans="1:7" ht="15" customHeight="1" x14ac:dyDescent="0.25">
      <c r="A787" s="23"/>
      <c r="B787" s="23"/>
      <c r="C787" s="23"/>
      <c r="D787" s="23"/>
      <c r="E787" s="23"/>
      <c r="F787" s="23"/>
      <c r="G787" s="23"/>
    </row>
    <row r="788" spans="1:7" ht="15" customHeight="1" x14ac:dyDescent="0.25">
      <c r="A788" s="23"/>
      <c r="B788" s="23"/>
      <c r="C788" s="23"/>
      <c r="D788" s="23"/>
      <c r="E788" s="23"/>
      <c r="F788" s="23"/>
      <c r="G788" s="23"/>
    </row>
    <row r="789" spans="1:7" ht="15" customHeight="1" x14ac:dyDescent="0.25">
      <c r="A789" s="23"/>
      <c r="B789" s="23"/>
      <c r="C789" s="23"/>
      <c r="D789" s="23"/>
      <c r="E789" s="23"/>
      <c r="F789" s="23"/>
      <c r="G789" s="23"/>
    </row>
    <row r="790" spans="1:7" ht="15" customHeight="1" x14ac:dyDescent="0.25">
      <c r="A790" s="23"/>
      <c r="B790" s="23"/>
      <c r="C790" s="23"/>
      <c r="D790" s="23"/>
      <c r="E790" s="23"/>
      <c r="F790" s="23"/>
      <c r="G790" s="23"/>
    </row>
    <row r="791" spans="1:7" ht="15" customHeight="1" x14ac:dyDescent="0.25">
      <c r="A791" s="23"/>
      <c r="B791" s="23"/>
      <c r="C791" s="23"/>
      <c r="D791" s="23"/>
      <c r="E791" s="23"/>
      <c r="F791" s="23"/>
      <c r="G791" s="23"/>
    </row>
    <row r="792" spans="1:7" ht="15" customHeight="1" x14ac:dyDescent="0.25">
      <c r="A792" s="23"/>
      <c r="B792" s="23"/>
      <c r="C792" s="23"/>
      <c r="D792" s="23"/>
      <c r="E792" s="23"/>
      <c r="F792" s="23"/>
      <c r="G792" s="23"/>
    </row>
    <row r="793" spans="1:7" ht="15" customHeight="1" x14ac:dyDescent="0.25">
      <c r="A793" s="23"/>
      <c r="B793" s="23"/>
      <c r="C793" s="23"/>
      <c r="D793" s="23"/>
      <c r="E793" s="23"/>
      <c r="F793" s="23"/>
      <c r="G793" s="23"/>
    </row>
    <row r="794" spans="1:7" ht="15" customHeight="1" x14ac:dyDescent="0.25">
      <c r="A794" s="23"/>
      <c r="B794" s="23"/>
      <c r="C794" s="23"/>
      <c r="D794" s="23"/>
      <c r="E794" s="23"/>
      <c r="F794" s="23"/>
      <c r="G794" s="23"/>
    </row>
    <row r="795" spans="1:7" ht="15" customHeight="1" x14ac:dyDescent="0.25">
      <c r="A795" s="23"/>
      <c r="B795" s="23"/>
      <c r="C795" s="23"/>
      <c r="D795" s="23"/>
      <c r="E795" s="23"/>
      <c r="F795" s="23"/>
      <c r="G795" s="23"/>
    </row>
    <row r="796" spans="1:7" ht="15" customHeight="1" x14ac:dyDescent="0.25">
      <c r="A796" s="23"/>
      <c r="B796" s="23"/>
      <c r="C796" s="23"/>
      <c r="D796" s="23"/>
      <c r="E796" s="23"/>
      <c r="F796" s="23"/>
      <c r="G796" s="23"/>
    </row>
    <row r="797" spans="1:7" ht="15" customHeight="1" x14ac:dyDescent="0.25">
      <c r="A797" s="23"/>
      <c r="B797" s="23"/>
      <c r="C797" s="23"/>
      <c r="D797" s="23"/>
      <c r="E797" s="23"/>
      <c r="F797" s="23"/>
      <c r="G797" s="23"/>
    </row>
    <row r="798" spans="1:7" ht="15" customHeight="1" x14ac:dyDescent="0.25">
      <c r="A798" s="23"/>
      <c r="B798" s="23"/>
      <c r="C798" s="23"/>
      <c r="D798" s="23"/>
      <c r="E798" s="23"/>
      <c r="F798" s="23"/>
      <c r="G798" s="23"/>
    </row>
    <row r="799" spans="1:7" ht="15" customHeight="1" x14ac:dyDescent="0.25">
      <c r="A799" s="23"/>
      <c r="B799" s="23"/>
      <c r="C799" s="23"/>
      <c r="D799" s="23"/>
      <c r="E799" s="23"/>
      <c r="F799" s="23"/>
      <c r="G799" s="23"/>
    </row>
    <row r="800" spans="1:7" ht="15" customHeight="1" x14ac:dyDescent="0.25">
      <c r="A800" s="23"/>
      <c r="B800" s="23"/>
      <c r="C800" s="23"/>
      <c r="D800" s="23"/>
      <c r="E800" s="23"/>
      <c r="F800" s="23"/>
      <c r="G800" s="23"/>
    </row>
    <row r="801" spans="1:7" ht="15" customHeight="1" x14ac:dyDescent="0.25">
      <c r="A801" s="23"/>
      <c r="B801" s="23"/>
      <c r="C801" s="23"/>
      <c r="D801" s="23"/>
      <c r="E801" s="23"/>
      <c r="F801" s="23"/>
      <c r="G801" s="23"/>
    </row>
    <row r="802" spans="1:7" ht="15" customHeight="1" x14ac:dyDescent="0.25">
      <c r="A802" s="23"/>
      <c r="B802" s="23"/>
      <c r="C802" s="23"/>
      <c r="D802" s="23"/>
      <c r="E802" s="23"/>
      <c r="F802" s="23"/>
      <c r="G802" s="23"/>
    </row>
    <row r="803" spans="1:7" ht="15" customHeight="1" x14ac:dyDescent="0.25">
      <c r="A803" s="23"/>
      <c r="B803" s="23"/>
      <c r="C803" s="23"/>
      <c r="D803" s="23"/>
      <c r="E803" s="23"/>
      <c r="F803" s="23"/>
      <c r="G803" s="23"/>
    </row>
    <row r="804" spans="1:7" ht="15" customHeight="1" x14ac:dyDescent="0.25">
      <c r="A804" s="23"/>
      <c r="B804" s="23"/>
      <c r="C804" s="23"/>
      <c r="D804" s="23"/>
      <c r="E804" s="23"/>
      <c r="F804" s="23"/>
      <c r="G804" s="23"/>
    </row>
    <row r="805" spans="1:7" ht="15" customHeight="1" x14ac:dyDescent="0.25">
      <c r="A805" s="23"/>
      <c r="B805" s="23"/>
      <c r="C805" s="23"/>
      <c r="D805" s="23"/>
      <c r="E805" s="23"/>
      <c r="F805" s="23"/>
      <c r="G805" s="23"/>
    </row>
    <row r="806" spans="1:7" ht="15" customHeight="1" x14ac:dyDescent="0.25">
      <c r="A806" s="23"/>
      <c r="B806" s="23"/>
      <c r="C806" s="23"/>
      <c r="D806" s="23"/>
      <c r="E806" s="23"/>
      <c r="F806" s="23"/>
      <c r="G806" s="23"/>
    </row>
    <row r="807" spans="1:7" ht="15" customHeight="1" x14ac:dyDescent="0.25">
      <c r="A807" s="23"/>
      <c r="B807" s="23"/>
      <c r="C807" s="23"/>
      <c r="D807" s="23"/>
      <c r="E807" s="23"/>
      <c r="F807" s="23"/>
      <c r="G807" s="23"/>
    </row>
    <row r="808" spans="1:7" ht="15" customHeight="1" x14ac:dyDescent="0.25">
      <c r="A808" s="23"/>
      <c r="B808" s="23"/>
      <c r="C808" s="23"/>
      <c r="D808" s="23"/>
      <c r="E808" s="23"/>
      <c r="F808" s="23"/>
      <c r="G808" s="23"/>
    </row>
    <row r="809" spans="1:7" ht="15" customHeight="1" x14ac:dyDescent="0.25">
      <c r="A809" s="23"/>
      <c r="B809" s="23"/>
      <c r="C809" s="23"/>
      <c r="D809" s="23"/>
      <c r="E809" s="23"/>
      <c r="F809" s="23"/>
      <c r="G809" s="23"/>
    </row>
    <row r="810" spans="1:7" ht="15" customHeight="1" x14ac:dyDescent="0.25">
      <c r="A810" s="23"/>
      <c r="B810" s="23"/>
      <c r="C810" s="23"/>
      <c r="D810" s="23"/>
      <c r="E810" s="23"/>
      <c r="F810" s="23"/>
      <c r="G810" s="23"/>
    </row>
    <row r="811" spans="1:7" ht="15" customHeight="1" x14ac:dyDescent="0.25">
      <c r="A811" s="23"/>
      <c r="B811" s="23"/>
      <c r="C811" s="23"/>
      <c r="D811" s="23"/>
      <c r="E811" s="23"/>
      <c r="F811" s="23"/>
      <c r="G811" s="23"/>
    </row>
    <row r="812" spans="1:7" ht="15" customHeight="1" x14ac:dyDescent="0.25">
      <c r="A812" s="23"/>
      <c r="B812" s="23"/>
      <c r="C812" s="23"/>
      <c r="D812" s="23"/>
      <c r="E812" s="23"/>
      <c r="F812" s="23"/>
      <c r="G812" s="23"/>
    </row>
    <row r="813" spans="1:7" ht="15" customHeight="1" x14ac:dyDescent="0.25">
      <c r="A813" s="23"/>
      <c r="B813" s="23"/>
      <c r="C813" s="23"/>
      <c r="D813" s="23"/>
      <c r="E813" s="23"/>
      <c r="F813" s="23"/>
      <c r="G813" s="23"/>
    </row>
    <row r="814" spans="1:7" ht="15" customHeight="1" x14ac:dyDescent="0.25">
      <c r="A814" s="23"/>
      <c r="B814" s="23"/>
      <c r="C814" s="23"/>
      <c r="D814" s="23"/>
      <c r="E814" s="23"/>
      <c r="F814" s="23"/>
      <c r="G814" s="23"/>
    </row>
    <row r="815" spans="1:7" ht="15" customHeight="1" x14ac:dyDescent="0.25">
      <c r="A815" s="23"/>
      <c r="B815" s="23"/>
      <c r="C815" s="23"/>
      <c r="D815" s="23"/>
      <c r="E815" s="23"/>
      <c r="F815" s="23"/>
      <c r="G815" s="23"/>
    </row>
    <row r="816" spans="1:7" ht="15" customHeight="1" x14ac:dyDescent="0.25">
      <c r="A816" s="23"/>
      <c r="B816" s="23"/>
      <c r="C816" s="23"/>
      <c r="D816" s="23"/>
      <c r="E816" s="23"/>
      <c r="F816" s="23"/>
      <c r="G816" s="23"/>
    </row>
    <row r="817" spans="1:7" ht="15" customHeight="1" x14ac:dyDescent="0.25">
      <c r="A817" s="23"/>
      <c r="B817" s="23"/>
      <c r="C817" s="23"/>
      <c r="D817" s="23"/>
      <c r="E817" s="23"/>
      <c r="F817" s="23"/>
      <c r="G817" s="23"/>
    </row>
    <row r="818" spans="1:7" ht="15" customHeight="1" x14ac:dyDescent="0.25">
      <c r="A818" s="23"/>
      <c r="B818" s="23"/>
      <c r="C818" s="23"/>
      <c r="D818" s="23"/>
      <c r="E818" s="23"/>
      <c r="F818" s="23"/>
      <c r="G818" s="23"/>
    </row>
    <row r="819" spans="1:7" ht="15" customHeight="1" x14ac:dyDescent="0.25">
      <c r="A819" s="23"/>
      <c r="B819" s="23"/>
      <c r="C819" s="23"/>
      <c r="D819" s="23"/>
      <c r="E819" s="23"/>
      <c r="F819" s="23"/>
      <c r="G819" s="23"/>
    </row>
    <row r="820" spans="1:7" ht="15" customHeight="1" x14ac:dyDescent="0.25">
      <c r="A820" s="23"/>
      <c r="B820" s="23"/>
      <c r="C820" s="23"/>
      <c r="D820" s="23"/>
      <c r="E820" s="23"/>
      <c r="F820" s="23"/>
      <c r="G820" s="23"/>
    </row>
    <row r="821" spans="1:7" ht="15" customHeight="1" x14ac:dyDescent="0.25">
      <c r="A821" s="23"/>
      <c r="B821" s="23"/>
      <c r="C821" s="23"/>
      <c r="D821" s="23"/>
      <c r="E821" s="23"/>
      <c r="F821" s="23"/>
      <c r="G821" s="23"/>
    </row>
    <row r="822" spans="1:7" ht="15" customHeight="1" x14ac:dyDescent="0.25">
      <c r="A822" s="23"/>
      <c r="B822" s="23"/>
      <c r="C822" s="23"/>
      <c r="D822" s="23"/>
      <c r="E822" s="23"/>
      <c r="F822" s="23"/>
      <c r="G822" s="23"/>
    </row>
    <row r="823" spans="1:7" ht="15" customHeight="1" x14ac:dyDescent="0.25">
      <c r="A823" s="23"/>
      <c r="B823" s="23"/>
      <c r="C823" s="23"/>
      <c r="D823" s="23"/>
      <c r="E823" s="23"/>
      <c r="F823" s="23"/>
      <c r="G823" s="23"/>
    </row>
    <row r="824" spans="1:7" ht="15" customHeight="1" x14ac:dyDescent="0.25">
      <c r="A824" s="23"/>
      <c r="B824" s="23"/>
      <c r="C824" s="23"/>
      <c r="D824" s="23"/>
      <c r="E824" s="23"/>
      <c r="F824" s="23"/>
      <c r="G824" s="23"/>
    </row>
    <row r="825" spans="1:7" ht="15" customHeight="1" x14ac:dyDescent="0.25">
      <c r="A825" s="23"/>
      <c r="B825" s="23"/>
      <c r="C825" s="23"/>
      <c r="D825" s="23"/>
      <c r="E825" s="23"/>
      <c r="F825" s="23"/>
      <c r="G825" s="23"/>
    </row>
    <row r="826" spans="1:7" ht="15" customHeight="1" x14ac:dyDescent="0.25">
      <c r="A826" s="23"/>
      <c r="B826" s="23"/>
      <c r="C826" s="23"/>
      <c r="D826" s="23"/>
      <c r="E826" s="23"/>
      <c r="F826" s="23"/>
      <c r="G826" s="23"/>
    </row>
    <row r="827" spans="1:7" ht="15" customHeight="1" x14ac:dyDescent="0.25">
      <c r="A827" s="23"/>
      <c r="B827" s="23"/>
      <c r="C827" s="23"/>
      <c r="D827" s="23"/>
      <c r="E827" s="23"/>
      <c r="F827" s="23"/>
      <c r="G827" s="23"/>
    </row>
    <row r="828" spans="1:7" ht="15" customHeight="1" x14ac:dyDescent="0.25">
      <c r="A828" s="23"/>
      <c r="B828" s="23"/>
      <c r="C828" s="23"/>
      <c r="D828" s="23"/>
      <c r="E828" s="23"/>
      <c r="F828" s="23"/>
      <c r="G828" s="23"/>
    </row>
    <row r="829" spans="1:7" ht="15" customHeight="1" x14ac:dyDescent="0.25">
      <c r="A829" s="23"/>
      <c r="B829" s="23"/>
      <c r="C829" s="23"/>
      <c r="D829" s="23"/>
      <c r="E829" s="23"/>
      <c r="F829" s="23"/>
      <c r="G829" s="23"/>
    </row>
    <row r="830" spans="1:7" ht="15" customHeight="1" x14ac:dyDescent="0.25">
      <c r="A830" s="23"/>
      <c r="B830" s="23"/>
      <c r="C830" s="23"/>
      <c r="D830" s="23"/>
      <c r="E830" s="23"/>
      <c r="F830" s="23"/>
      <c r="G830" s="23"/>
    </row>
    <row r="831" spans="1:7" ht="15" customHeight="1" x14ac:dyDescent="0.25">
      <c r="A831" s="23"/>
      <c r="B831" s="23"/>
      <c r="C831" s="23"/>
      <c r="D831" s="23"/>
      <c r="E831" s="23"/>
      <c r="F831" s="23"/>
      <c r="G831" s="23"/>
    </row>
    <row r="832" spans="1:7" ht="15" customHeight="1" x14ac:dyDescent="0.25">
      <c r="A832" s="23"/>
      <c r="B832" s="23"/>
      <c r="C832" s="23"/>
      <c r="D832" s="23"/>
      <c r="E832" s="23"/>
      <c r="F832" s="23"/>
      <c r="G832" s="23"/>
    </row>
    <row r="833" spans="1:7" ht="15" customHeight="1" x14ac:dyDescent="0.25">
      <c r="A833" s="23"/>
      <c r="B833" s="23"/>
      <c r="C833" s="23"/>
      <c r="D833" s="23"/>
      <c r="E833" s="23"/>
      <c r="F833" s="23"/>
      <c r="G833" s="23"/>
    </row>
    <row r="834" spans="1:7" ht="15" customHeight="1" x14ac:dyDescent="0.25">
      <c r="A834" s="23"/>
      <c r="B834" s="23"/>
      <c r="C834" s="23"/>
      <c r="D834" s="23"/>
      <c r="E834" s="23"/>
      <c r="F834" s="23"/>
      <c r="G834" s="23"/>
    </row>
    <row r="835" spans="1:7" ht="15" customHeight="1" x14ac:dyDescent="0.25">
      <c r="A835" s="23"/>
      <c r="B835" s="23"/>
      <c r="C835" s="23"/>
      <c r="D835" s="23"/>
      <c r="E835" s="23"/>
      <c r="F835" s="23"/>
      <c r="G835" s="23"/>
    </row>
    <row r="836" spans="1:7" ht="15" customHeight="1" x14ac:dyDescent="0.25">
      <c r="A836" s="23"/>
      <c r="B836" s="23"/>
      <c r="C836" s="23"/>
      <c r="D836" s="23"/>
      <c r="E836" s="23"/>
      <c r="F836" s="23"/>
      <c r="G836" s="23"/>
    </row>
    <row r="837" spans="1:7" ht="15" customHeight="1" x14ac:dyDescent="0.25">
      <c r="A837" s="23"/>
      <c r="B837" s="23"/>
      <c r="C837" s="23"/>
      <c r="D837" s="23"/>
      <c r="E837" s="23"/>
      <c r="F837" s="23"/>
      <c r="G837" s="23"/>
    </row>
    <row r="838" spans="1:7" ht="15" customHeight="1" x14ac:dyDescent="0.25">
      <c r="A838" s="23"/>
      <c r="B838" s="23"/>
      <c r="C838" s="23"/>
      <c r="D838" s="23"/>
      <c r="E838" s="23"/>
      <c r="F838" s="23"/>
      <c r="G838" s="23"/>
    </row>
    <row r="839" spans="1:7" ht="15" customHeight="1" x14ac:dyDescent="0.25">
      <c r="A839" s="23"/>
      <c r="B839" s="23"/>
      <c r="C839" s="23"/>
      <c r="D839" s="23"/>
      <c r="E839" s="23"/>
      <c r="F839" s="23"/>
      <c r="G839" s="23"/>
    </row>
    <row r="840" spans="1:7" ht="15" customHeight="1" x14ac:dyDescent="0.25">
      <c r="A840" s="23"/>
      <c r="B840" s="23"/>
      <c r="C840" s="23"/>
      <c r="D840" s="23"/>
      <c r="E840" s="23"/>
      <c r="F840" s="23"/>
      <c r="G840" s="23"/>
    </row>
    <row r="841" spans="1:7" ht="15" customHeight="1" x14ac:dyDescent="0.25">
      <c r="A841" s="23"/>
      <c r="B841" s="23"/>
      <c r="C841" s="23"/>
      <c r="D841" s="23"/>
      <c r="E841" s="23"/>
      <c r="F841" s="23"/>
      <c r="G841" s="23"/>
    </row>
    <row r="842" spans="1:7" ht="15" customHeight="1" x14ac:dyDescent="0.25">
      <c r="A842" s="23"/>
      <c r="B842" s="23"/>
      <c r="C842" s="23"/>
      <c r="D842" s="23"/>
      <c r="E842" s="23"/>
      <c r="F842" s="23"/>
      <c r="G842" s="23"/>
    </row>
    <row r="843" spans="1:7" ht="15" customHeight="1" x14ac:dyDescent="0.25">
      <c r="A843" s="23"/>
      <c r="B843" s="23"/>
      <c r="C843" s="23"/>
      <c r="D843" s="23"/>
      <c r="E843" s="23"/>
      <c r="F843" s="23"/>
      <c r="G843" s="23"/>
    </row>
    <row r="844" spans="1:7" ht="15" customHeight="1" x14ac:dyDescent="0.25">
      <c r="A844" s="23"/>
      <c r="B844" s="23"/>
      <c r="C844" s="23"/>
      <c r="D844" s="23"/>
      <c r="E844" s="23"/>
      <c r="F844" s="23"/>
      <c r="G844" s="23"/>
    </row>
    <row r="845" spans="1:7" ht="15" customHeight="1" x14ac:dyDescent="0.25">
      <c r="A845" s="23"/>
      <c r="B845" s="23"/>
      <c r="C845" s="23"/>
      <c r="D845" s="23"/>
      <c r="E845" s="23"/>
      <c r="F845" s="23"/>
      <c r="G845" s="23"/>
    </row>
    <row r="846" spans="1:7" ht="15" customHeight="1" x14ac:dyDescent="0.25">
      <c r="A846" s="23"/>
      <c r="B846" s="23"/>
      <c r="C846" s="23"/>
      <c r="D846" s="23"/>
      <c r="E846" s="23"/>
      <c r="F846" s="23"/>
      <c r="G846" s="23"/>
    </row>
    <row r="847" spans="1:7" ht="15" customHeight="1" x14ac:dyDescent="0.25">
      <c r="A847" s="23"/>
      <c r="B847" s="23"/>
      <c r="C847" s="23"/>
      <c r="D847" s="23"/>
      <c r="E847" s="23"/>
      <c r="F847" s="23"/>
      <c r="G847" s="23"/>
    </row>
    <row r="848" spans="1:7" ht="15" customHeight="1" x14ac:dyDescent="0.25">
      <c r="A848" s="23"/>
      <c r="B848" s="23"/>
      <c r="C848" s="23"/>
      <c r="D848" s="23"/>
      <c r="E848" s="23"/>
      <c r="F848" s="23"/>
      <c r="G848" s="23"/>
    </row>
    <row r="849" spans="1:7" ht="15" customHeight="1" x14ac:dyDescent="0.25">
      <c r="A849" s="23"/>
      <c r="B849" s="23"/>
      <c r="C849" s="23"/>
      <c r="D849" s="23"/>
      <c r="E849" s="23"/>
      <c r="F849" s="23"/>
      <c r="G849" s="23"/>
    </row>
    <row r="850" spans="1:7" ht="15" customHeight="1" x14ac:dyDescent="0.25">
      <c r="A850" s="23"/>
      <c r="B850" s="23"/>
      <c r="C850" s="23"/>
      <c r="D850" s="23"/>
      <c r="E850" s="23"/>
      <c r="F850" s="23"/>
      <c r="G850" s="23"/>
    </row>
    <row r="851" spans="1:7" ht="15" customHeight="1" x14ac:dyDescent="0.25">
      <c r="A851" s="23"/>
      <c r="B851" s="23"/>
      <c r="C851" s="23"/>
      <c r="D851" s="23"/>
      <c r="E851" s="23"/>
      <c r="F851" s="23"/>
      <c r="G851" s="23"/>
    </row>
    <row r="852" spans="1:7" ht="15" customHeight="1" x14ac:dyDescent="0.25">
      <c r="A852" s="23"/>
      <c r="B852" s="23"/>
      <c r="C852" s="23"/>
      <c r="D852" s="23"/>
      <c r="E852" s="23"/>
      <c r="F852" s="23"/>
      <c r="G852" s="23"/>
    </row>
    <row r="853" spans="1:7" ht="15" customHeight="1" x14ac:dyDescent="0.25">
      <c r="A853" s="23"/>
      <c r="B853" s="23"/>
      <c r="C853" s="23"/>
      <c r="D853" s="23"/>
      <c r="E853" s="23"/>
      <c r="F853" s="23"/>
      <c r="G853" s="23"/>
    </row>
    <row r="854" spans="1:7" ht="15" customHeight="1" x14ac:dyDescent="0.25">
      <c r="A854" s="23"/>
      <c r="B854" s="23"/>
      <c r="C854" s="23"/>
      <c r="D854" s="23"/>
      <c r="E854" s="23"/>
      <c r="F854" s="23"/>
      <c r="G854" s="23"/>
    </row>
    <row r="855" spans="1:7" ht="15" customHeight="1" x14ac:dyDescent="0.25">
      <c r="A855" s="23"/>
      <c r="B855" s="23"/>
      <c r="C855" s="23"/>
      <c r="D855" s="23"/>
      <c r="E855" s="23"/>
      <c r="F855" s="23"/>
      <c r="G855" s="23"/>
    </row>
    <row r="856" spans="1:7" ht="15" customHeight="1" x14ac:dyDescent="0.25">
      <c r="A856" s="23"/>
      <c r="B856" s="23"/>
      <c r="C856" s="23"/>
      <c r="D856" s="23"/>
      <c r="E856" s="23"/>
      <c r="F856" s="23"/>
      <c r="G856" s="23"/>
    </row>
    <row r="857" spans="1:7" ht="15" customHeight="1" x14ac:dyDescent="0.25">
      <c r="A857" s="23"/>
      <c r="B857" s="23"/>
      <c r="C857" s="23"/>
      <c r="D857" s="23"/>
      <c r="E857" s="23"/>
      <c r="F857" s="23"/>
      <c r="G857" s="23"/>
    </row>
    <row r="858" spans="1:7" ht="15" customHeight="1" x14ac:dyDescent="0.25">
      <c r="A858" s="23"/>
      <c r="B858" s="23"/>
      <c r="C858" s="23"/>
      <c r="D858" s="23"/>
      <c r="E858" s="23"/>
      <c r="F858" s="23"/>
      <c r="G858" s="23"/>
    </row>
    <row r="859" spans="1:7" ht="15" customHeight="1" x14ac:dyDescent="0.25">
      <c r="A859" s="23"/>
      <c r="B859" s="23"/>
      <c r="C859" s="23"/>
      <c r="D859" s="23"/>
      <c r="E859" s="23"/>
      <c r="F859" s="23"/>
      <c r="G859" s="23"/>
    </row>
    <row r="860" spans="1:7" ht="15" customHeight="1" x14ac:dyDescent="0.25">
      <c r="A860" s="23"/>
      <c r="B860" s="23"/>
      <c r="C860" s="23"/>
      <c r="D860" s="23"/>
      <c r="E860" s="23"/>
      <c r="F860" s="23"/>
      <c r="G860" s="23"/>
    </row>
    <row r="861" spans="1:7" ht="15" customHeight="1" x14ac:dyDescent="0.25">
      <c r="A861" s="23"/>
      <c r="B861" s="23"/>
      <c r="C861" s="23"/>
      <c r="D861" s="23"/>
      <c r="E861" s="23"/>
      <c r="F861" s="23"/>
      <c r="G861" s="23"/>
    </row>
    <row r="862" spans="1:7" ht="15" customHeight="1" x14ac:dyDescent="0.25">
      <c r="A862" s="23"/>
      <c r="B862" s="23"/>
      <c r="C862" s="23"/>
      <c r="D862" s="23"/>
      <c r="E862" s="23"/>
      <c r="F862" s="23"/>
      <c r="G862" s="23"/>
    </row>
    <row r="863" spans="1:7" ht="15" customHeight="1" x14ac:dyDescent="0.25">
      <c r="A863" s="23"/>
      <c r="B863" s="23"/>
      <c r="C863" s="23"/>
      <c r="D863" s="23"/>
      <c r="E863" s="23"/>
      <c r="F863" s="23"/>
      <c r="G863" s="23"/>
    </row>
    <row r="864" spans="1:7" ht="15" customHeight="1" x14ac:dyDescent="0.25">
      <c r="A864" s="23"/>
      <c r="B864" s="23"/>
      <c r="C864" s="23"/>
      <c r="D864" s="23"/>
      <c r="E864" s="23"/>
      <c r="F864" s="23"/>
      <c r="G864" s="23"/>
    </row>
    <row r="865" spans="1:7" ht="15" customHeight="1" x14ac:dyDescent="0.25">
      <c r="A865" s="23"/>
      <c r="B865" s="23"/>
      <c r="C865" s="23"/>
      <c r="D865" s="23"/>
      <c r="E865" s="23"/>
      <c r="F865" s="23"/>
      <c r="G865" s="23"/>
    </row>
    <row r="866" spans="1:7" ht="15" customHeight="1" x14ac:dyDescent="0.25">
      <c r="A866" s="23"/>
      <c r="B866" s="23"/>
      <c r="C866" s="23"/>
      <c r="D866" s="23"/>
      <c r="E866" s="23"/>
      <c r="F866" s="23"/>
      <c r="G866" s="23"/>
    </row>
    <row r="867" spans="1:7" ht="15" customHeight="1" x14ac:dyDescent="0.25">
      <c r="A867" s="23"/>
      <c r="B867" s="23"/>
      <c r="C867" s="23"/>
      <c r="D867" s="23"/>
      <c r="E867" s="23"/>
      <c r="F867" s="23"/>
      <c r="G867" s="23"/>
    </row>
    <row r="868" spans="1:7" ht="15" customHeight="1" x14ac:dyDescent="0.25">
      <c r="A868" s="23"/>
      <c r="B868" s="23"/>
      <c r="C868" s="23"/>
      <c r="D868" s="23"/>
      <c r="E868" s="23"/>
      <c r="F868" s="23"/>
      <c r="G868" s="23"/>
    </row>
    <row r="869" spans="1:7" ht="15" customHeight="1" x14ac:dyDescent="0.25">
      <c r="A869" s="23"/>
      <c r="B869" s="23"/>
      <c r="C869" s="23"/>
      <c r="D869" s="23"/>
      <c r="E869" s="23"/>
      <c r="F869" s="23"/>
      <c r="G869" s="23"/>
    </row>
    <row r="870" spans="1:7" ht="15" customHeight="1" x14ac:dyDescent="0.25">
      <c r="A870" s="23"/>
      <c r="B870" s="23"/>
      <c r="C870" s="23"/>
      <c r="D870" s="23"/>
      <c r="E870" s="23"/>
      <c r="F870" s="23"/>
      <c r="G870" s="23"/>
    </row>
    <row r="871" spans="1:7" ht="15" customHeight="1" x14ac:dyDescent="0.25">
      <c r="A871" s="23"/>
      <c r="B871" s="23"/>
      <c r="C871" s="23"/>
      <c r="D871" s="23"/>
      <c r="E871" s="23"/>
      <c r="F871" s="23"/>
      <c r="G871" s="23"/>
    </row>
    <row r="872" spans="1:7" ht="15" customHeight="1" x14ac:dyDescent="0.25">
      <c r="A872" s="23"/>
      <c r="B872" s="23"/>
      <c r="C872" s="23"/>
      <c r="D872" s="23"/>
      <c r="E872" s="23"/>
      <c r="F872" s="23"/>
      <c r="G872" s="23"/>
    </row>
    <row r="873" spans="1:7" ht="15" customHeight="1" x14ac:dyDescent="0.25">
      <c r="A873" s="23"/>
      <c r="B873" s="23"/>
      <c r="C873" s="23"/>
      <c r="D873" s="23"/>
      <c r="E873" s="23"/>
      <c r="F873" s="23"/>
      <c r="G873" s="23"/>
    </row>
    <row r="874" spans="1:7" ht="15" customHeight="1" x14ac:dyDescent="0.25">
      <c r="A874" s="23"/>
      <c r="B874" s="23"/>
      <c r="C874" s="23"/>
      <c r="D874" s="23"/>
      <c r="E874" s="23"/>
      <c r="F874" s="23"/>
      <c r="G874" s="23"/>
    </row>
    <row r="875" spans="1:7" ht="15" customHeight="1" x14ac:dyDescent="0.25">
      <c r="A875" s="23"/>
      <c r="B875" s="23"/>
      <c r="C875" s="23"/>
      <c r="D875" s="23"/>
      <c r="E875" s="23"/>
      <c r="F875" s="23"/>
      <c r="G875" s="23"/>
    </row>
    <row r="876" spans="1:7" ht="15" customHeight="1" x14ac:dyDescent="0.25">
      <c r="A876" s="23"/>
      <c r="B876" s="23"/>
      <c r="C876" s="23"/>
      <c r="D876" s="23"/>
      <c r="E876" s="23"/>
      <c r="F876" s="23"/>
      <c r="G876" s="23"/>
    </row>
    <row r="877" spans="1:7" ht="15" customHeight="1" x14ac:dyDescent="0.25">
      <c r="A877" s="23"/>
      <c r="B877" s="23"/>
      <c r="C877" s="23"/>
      <c r="D877" s="23"/>
      <c r="E877" s="23"/>
      <c r="F877" s="23"/>
      <c r="G877" s="23"/>
    </row>
    <row r="878" spans="1:7" ht="15" customHeight="1" x14ac:dyDescent="0.25">
      <c r="A878" s="23"/>
      <c r="B878" s="23"/>
      <c r="C878" s="23"/>
      <c r="D878" s="23"/>
      <c r="E878" s="23"/>
      <c r="F878" s="23"/>
      <c r="G878" s="23"/>
    </row>
    <row r="879" spans="1:7" ht="15" customHeight="1" x14ac:dyDescent="0.25">
      <c r="A879" s="23"/>
      <c r="B879" s="23"/>
      <c r="C879" s="23"/>
      <c r="D879" s="23"/>
      <c r="E879" s="23"/>
      <c r="F879" s="23"/>
      <c r="G879" s="23"/>
    </row>
    <row r="880" spans="1:7" ht="15" customHeight="1" x14ac:dyDescent="0.25">
      <c r="A880" s="23"/>
      <c r="B880" s="23"/>
      <c r="C880" s="23"/>
      <c r="D880" s="23"/>
      <c r="E880" s="23"/>
      <c r="F880" s="23"/>
      <c r="G880" s="23"/>
    </row>
    <row r="881" spans="1:7" ht="15" customHeight="1" x14ac:dyDescent="0.25">
      <c r="A881" s="23"/>
      <c r="B881" s="23"/>
      <c r="C881" s="23"/>
      <c r="D881" s="23"/>
      <c r="E881" s="23"/>
      <c r="F881" s="23"/>
      <c r="G881" s="23"/>
    </row>
    <row r="882" spans="1:7" ht="15" customHeight="1" x14ac:dyDescent="0.25">
      <c r="A882" s="23"/>
      <c r="B882" s="23"/>
      <c r="C882" s="23"/>
      <c r="D882" s="23"/>
      <c r="E882" s="23"/>
      <c r="F882" s="23"/>
      <c r="G882" s="23"/>
    </row>
    <row r="883" spans="1:7" ht="15" customHeight="1" x14ac:dyDescent="0.25">
      <c r="A883" s="23"/>
      <c r="B883" s="23"/>
      <c r="C883" s="23"/>
      <c r="D883" s="23"/>
      <c r="E883" s="23"/>
      <c r="F883" s="23"/>
      <c r="G883" s="23"/>
    </row>
    <row r="884" spans="1:7" ht="15" customHeight="1" x14ac:dyDescent="0.25">
      <c r="A884" s="23"/>
      <c r="B884" s="23"/>
      <c r="C884" s="23"/>
      <c r="D884" s="23"/>
      <c r="E884" s="23"/>
      <c r="F884" s="23"/>
      <c r="G884" s="23"/>
    </row>
    <row r="885" spans="1:7" ht="15" customHeight="1" x14ac:dyDescent="0.25">
      <c r="A885" s="23"/>
      <c r="B885" s="23"/>
      <c r="C885" s="23"/>
      <c r="D885" s="23"/>
      <c r="E885" s="23"/>
      <c r="F885" s="23"/>
      <c r="G885" s="23"/>
    </row>
    <row r="886" spans="1:7" ht="15" customHeight="1" x14ac:dyDescent="0.25">
      <c r="A886" s="23"/>
      <c r="B886" s="23"/>
      <c r="C886" s="23"/>
      <c r="D886" s="23"/>
      <c r="E886" s="23"/>
      <c r="F886" s="23"/>
      <c r="G886" s="23"/>
    </row>
    <row r="887" spans="1:7" ht="15" customHeight="1" x14ac:dyDescent="0.25">
      <c r="A887" s="23"/>
      <c r="B887" s="23"/>
      <c r="C887" s="23"/>
      <c r="D887" s="23"/>
      <c r="E887" s="23"/>
      <c r="F887" s="23"/>
      <c r="G887" s="23"/>
    </row>
    <row r="888" spans="1:7" ht="15" customHeight="1" x14ac:dyDescent="0.25">
      <c r="A888" s="23"/>
      <c r="B888" s="23"/>
      <c r="C888" s="23"/>
      <c r="D888" s="23"/>
      <c r="E888" s="23"/>
      <c r="F888" s="23"/>
      <c r="G888" s="23"/>
    </row>
    <row r="889" spans="1:7" ht="15" customHeight="1" x14ac:dyDescent="0.25">
      <c r="A889" s="23"/>
      <c r="B889" s="23"/>
      <c r="C889" s="23"/>
      <c r="D889" s="23"/>
      <c r="E889" s="23"/>
      <c r="F889" s="23"/>
      <c r="G889" s="23"/>
    </row>
    <row r="890" spans="1:7" ht="15" customHeight="1" x14ac:dyDescent="0.25">
      <c r="A890" s="23"/>
      <c r="B890" s="23"/>
      <c r="C890" s="23"/>
      <c r="D890" s="23"/>
      <c r="E890" s="23"/>
      <c r="F890" s="23"/>
      <c r="G890" s="23"/>
    </row>
    <row r="891" spans="1:7" ht="15" customHeight="1" x14ac:dyDescent="0.25">
      <c r="A891" s="23"/>
      <c r="B891" s="23"/>
      <c r="C891" s="23"/>
      <c r="D891" s="23"/>
      <c r="E891" s="23"/>
      <c r="F891" s="23"/>
      <c r="G891" s="23"/>
    </row>
    <row r="892" spans="1:7" ht="15" customHeight="1" x14ac:dyDescent="0.25">
      <c r="A892" s="23"/>
      <c r="B892" s="23"/>
      <c r="C892" s="23"/>
      <c r="D892" s="23"/>
      <c r="E892" s="23"/>
      <c r="F892" s="23"/>
      <c r="G892" s="23"/>
    </row>
    <row r="893" spans="1:7" ht="15" customHeight="1" x14ac:dyDescent="0.25">
      <c r="A893" s="23"/>
      <c r="B893" s="23"/>
      <c r="C893" s="23"/>
      <c r="D893" s="23"/>
      <c r="E893" s="23"/>
      <c r="F893" s="23"/>
      <c r="G893" s="23"/>
    </row>
    <row r="894" spans="1:7" ht="15" customHeight="1" x14ac:dyDescent="0.25">
      <c r="A894" s="23"/>
      <c r="B894" s="23"/>
      <c r="C894" s="23"/>
      <c r="D894" s="23"/>
      <c r="E894" s="23"/>
      <c r="F894" s="23"/>
      <c r="G894" s="23"/>
    </row>
    <row r="895" spans="1:7" ht="15" customHeight="1" x14ac:dyDescent="0.25">
      <c r="A895" s="23"/>
      <c r="B895" s="23"/>
      <c r="C895" s="23"/>
      <c r="D895" s="23"/>
      <c r="E895" s="23"/>
      <c r="F895" s="23"/>
      <c r="G895" s="23"/>
    </row>
    <row r="896" spans="1:7" ht="15" customHeight="1" x14ac:dyDescent="0.25">
      <c r="A896" s="23"/>
      <c r="B896" s="23"/>
      <c r="C896" s="23"/>
      <c r="D896" s="23"/>
      <c r="E896" s="23"/>
      <c r="F896" s="23"/>
      <c r="G896" s="23"/>
    </row>
    <row r="897" spans="1:7" ht="15" customHeight="1" x14ac:dyDescent="0.25">
      <c r="A897" s="23"/>
      <c r="B897" s="23"/>
      <c r="C897" s="23"/>
      <c r="D897" s="23"/>
      <c r="E897" s="23"/>
      <c r="F897" s="23"/>
      <c r="G897" s="23"/>
    </row>
    <row r="898" spans="1:7" ht="15" customHeight="1" x14ac:dyDescent="0.25">
      <c r="A898" s="23"/>
      <c r="B898" s="23"/>
      <c r="C898" s="23"/>
      <c r="D898" s="23"/>
      <c r="E898" s="23"/>
      <c r="F898" s="23"/>
      <c r="G898" s="23"/>
    </row>
    <row r="899" spans="1:7" ht="15" customHeight="1" x14ac:dyDescent="0.25">
      <c r="A899" s="23"/>
      <c r="B899" s="23"/>
      <c r="C899" s="23"/>
      <c r="D899" s="23"/>
      <c r="E899" s="23"/>
      <c r="F899" s="23"/>
      <c r="G899" s="23"/>
    </row>
    <row r="900" spans="1:7" ht="15" customHeight="1" x14ac:dyDescent="0.25">
      <c r="A900" s="23"/>
      <c r="B900" s="23"/>
      <c r="C900" s="23"/>
      <c r="D900" s="23"/>
      <c r="E900" s="23"/>
      <c r="F900" s="23"/>
      <c r="G900" s="23"/>
    </row>
    <row r="901" spans="1:7" ht="15" customHeight="1" x14ac:dyDescent="0.25">
      <c r="A901" s="23"/>
      <c r="B901" s="23"/>
      <c r="C901" s="23"/>
      <c r="D901" s="23"/>
      <c r="E901" s="23"/>
      <c r="F901" s="23"/>
      <c r="G901" s="23"/>
    </row>
    <row r="902" spans="1:7" ht="15" customHeight="1" x14ac:dyDescent="0.25">
      <c r="A902" s="23"/>
      <c r="B902" s="23"/>
      <c r="C902" s="23"/>
      <c r="D902" s="23"/>
      <c r="E902" s="23"/>
      <c r="F902" s="23"/>
      <c r="G902" s="23"/>
    </row>
    <row r="903" spans="1:7" ht="15" customHeight="1" x14ac:dyDescent="0.25">
      <c r="A903" s="23"/>
      <c r="B903" s="23"/>
      <c r="C903" s="23"/>
      <c r="D903" s="23"/>
      <c r="E903" s="23"/>
      <c r="F903" s="23"/>
      <c r="G903" s="23"/>
    </row>
    <row r="904" spans="1:7" ht="15" customHeight="1" x14ac:dyDescent="0.25">
      <c r="A904" s="23"/>
      <c r="B904" s="23"/>
      <c r="C904" s="23"/>
      <c r="D904" s="23"/>
      <c r="E904" s="23"/>
      <c r="F904" s="23"/>
      <c r="G904" s="23"/>
    </row>
    <row r="905" spans="1:7" ht="15" customHeight="1" x14ac:dyDescent="0.25">
      <c r="A905" s="23"/>
      <c r="B905" s="23"/>
      <c r="C905" s="23"/>
      <c r="D905" s="23"/>
      <c r="E905" s="23"/>
      <c r="F905" s="23"/>
      <c r="G905" s="23"/>
    </row>
    <row r="906" spans="1:7" ht="15" customHeight="1" x14ac:dyDescent="0.25">
      <c r="A906" s="23"/>
      <c r="B906" s="23"/>
      <c r="C906" s="23"/>
      <c r="D906" s="23"/>
      <c r="E906" s="23"/>
      <c r="F906" s="23"/>
      <c r="G906" s="23"/>
    </row>
    <row r="907" spans="1:7" ht="15" customHeight="1" x14ac:dyDescent="0.25">
      <c r="A907" s="23"/>
      <c r="B907" s="23"/>
      <c r="C907" s="23"/>
      <c r="D907" s="23"/>
      <c r="E907" s="23"/>
      <c r="F907" s="23"/>
      <c r="G907" s="23"/>
    </row>
    <row r="908" spans="1:7" ht="15" customHeight="1" x14ac:dyDescent="0.25">
      <c r="A908" s="23"/>
      <c r="B908" s="23"/>
      <c r="C908" s="23"/>
      <c r="D908" s="23"/>
      <c r="E908" s="23"/>
      <c r="F908" s="23"/>
      <c r="G908" s="23"/>
    </row>
    <row r="909" spans="1:7" ht="15" customHeight="1" x14ac:dyDescent="0.25">
      <c r="A909" s="23"/>
      <c r="B909" s="23"/>
      <c r="C909" s="23"/>
      <c r="D909" s="23"/>
      <c r="E909" s="23"/>
      <c r="F909" s="23"/>
      <c r="G909" s="23"/>
    </row>
    <row r="910" spans="1:7" ht="15" customHeight="1" x14ac:dyDescent="0.25">
      <c r="A910" s="23"/>
      <c r="B910" s="23"/>
      <c r="C910" s="23"/>
      <c r="D910" s="23"/>
      <c r="E910" s="23"/>
      <c r="F910" s="23"/>
      <c r="G910" s="23"/>
    </row>
    <row r="911" spans="1:7" ht="15" customHeight="1" x14ac:dyDescent="0.25">
      <c r="A911" s="23"/>
      <c r="B911" s="23"/>
      <c r="C911" s="23"/>
      <c r="D911" s="23"/>
      <c r="E911" s="23"/>
      <c r="F911" s="23"/>
      <c r="G911" s="23"/>
    </row>
    <row r="912" spans="1:7" ht="15" customHeight="1" x14ac:dyDescent="0.25">
      <c r="A912" s="23"/>
      <c r="B912" s="23"/>
      <c r="C912" s="23"/>
      <c r="D912" s="23"/>
      <c r="E912" s="23"/>
      <c r="F912" s="23"/>
      <c r="G912" s="23"/>
    </row>
    <row r="913" spans="1:7" ht="15" customHeight="1" x14ac:dyDescent="0.25">
      <c r="A913" s="23"/>
      <c r="B913" s="23"/>
      <c r="C913" s="23"/>
      <c r="D913" s="23"/>
      <c r="E913" s="23"/>
      <c r="F913" s="23"/>
      <c r="G913" s="23"/>
    </row>
    <row r="914" spans="1:7" ht="15" customHeight="1" x14ac:dyDescent="0.25">
      <c r="A914" s="23"/>
      <c r="B914" s="23"/>
      <c r="C914" s="23"/>
      <c r="D914" s="23"/>
      <c r="E914" s="23"/>
      <c r="F914" s="23"/>
      <c r="G914" s="23"/>
    </row>
    <row r="915" spans="1:7" ht="15" customHeight="1" x14ac:dyDescent="0.25">
      <c r="A915" s="23"/>
      <c r="B915" s="23"/>
      <c r="C915" s="23"/>
      <c r="D915" s="23"/>
      <c r="E915" s="23"/>
      <c r="F915" s="23"/>
      <c r="G915" s="23"/>
    </row>
    <row r="916" spans="1:7" ht="15" customHeight="1" x14ac:dyDescent="0.25">
      <c r="A916" s="23"/>
      <c r="B916" s="23"/>
      <c r="C916" s="23"/>
      <c r="D916" s="23"/>
      <c r="E916" s="23"/>
      <c r="F916" s="23"/>
      <c r="G916" s="23"/>
    </row>
    <row r="917" spans="1:7" ht="15" customHeight="1" x14ac:dyDescent="0.25">
      <c r="A917" s="23"/>
      <c r="B917" s="23"/>
      <c r="C917" s="23"/>
      <c r="D917" s="23"/>
      <c r="E917" s="23"/>
      <c r="F917" s="23"/>
      <c r="G917" s="23"/>
    </row>
    <row r="918" spans="1:7" ht="15" customHeight="1" x14ac:dyDescent="0.25">
      <c r="A918" s="23"/>
      <c r="B918" s="23"/>
      <c r="C918" s="23"/>
      <c r="D918" s="23"/>
      <c r="E918" s="23"/>
      <c r="F918" s="23"/>
      <c r="G918" s="23"/>
    </row>
    <row r="919" spans="1:7" ht="15" customHeight="1" x14ac:dyDescent="0.25">
      <c r="A919" s="23"/>
      <c r="B919" s="23"/>
      <c r="C919" s="23"/>
      <c r="D919" s="23"/>
      <c r="E919" s="23"/>
      <c r="F919" s="23"/>
      <c r="G919" s="23"/>
    </row>
    <row r="920" spans="1:7" ht="15" customHeight="1" x14ac:dyDescent="0.25">
      <c r="A920" s="23"/>
      <c r="B920" s="23"/>
      <c r="C920" s="23"/>
      <c r="D920" s="23"/>
      <c r="E920" s="23"/>
      <c r="F920" s="23"/>
      <c r="G920" s="23"/>
    </row>
    <row r="921" spans="1:7" ht="15" customHeight="1" x14ac:dyDescent="0.25">
      <c r="A921" s="23"/>
      <c r="B921" s="23"/>
      <c r="C921" s="23"/>
      <c r="D921" s="23"/>
      <c r="E921" s="23"/>
      <c r="F921" s="23"/>
      <c r="G921" s="23"/>
    </row>
    <row r="922" spans="1:7" ht="15" customHeight="1" x14ac:dyDescent="0.25">
      <c r="A922" s="23"/>
      <c r="B922" s="23"/>
      <c r="C922" s="23"/>
      <c r="D922" s="23"/>
      <c r="E922" s="23"/>
      <c r="F922" s="23"/>
      <c r="G922" s="23"/>
    </row>
    <row r="923" spans="1:7" ht="15" customHeight="1" x14ac:dyDescent="0.25">
      <c r="A923" s="23"/>
      <c r="B923" s="23"/>
      <c r="C923" s="23"/>
      <c r="D923" s="23"/>
      <c r="E923" s="23"/>
      <c r="F923" s="23"/>
      <c r="G923" s="23"/>
    </row>
    <row r="924" spans="1:7" ht="15" customHeight="1" x14ac:dyDescent="0.25">
      <c r="A924" s="23"/>
      <c r="B924" s="23"/>
      <c r="C924" s="23"/>
      <c r="D924" s="23"/>
      <c r="E924" s="23"/>
      <c r="F924" s="23"/>
      <c r="G924" s="23"/>
    </row>
    <row r="925" spans="1:7" ht="15" customHeight="1" x14ac:dyDescent="0.25">
      <c r="A925" s="23"/>
      <c r="B925" s="23"/>
      <c r="C925" s="23"/>
      <c r="D925" s="23"/>
      <c r="E925" s="23"/>
      <c r="F925" s="23"/>
      <c r="G925" s="23"/>
    </row>
    <row r="926" spans="1:7" ht="15" customHeight="1" x14ac:dyDescent="0.25">
      <c r="A926" s="23"/>
      <c r="B926" s="23"/>
      <c r="C926" s="23"/>
      <c r="D926" s="23"/>
      <c r="E926" s="23"/>
      <c r="F926" s="23"/>
      <c r="G926" s="23"/>
    </row>
    <row r="927" spans="1:7" ht="15" customHeight="1" x14ac:dyDescent="0.25">
      <c r="A927" s="23"/>
      <c r="B927" s="23"/>
      <c r="C927" s="23"/>
      <c r="D927" s="23"/>
      <c r="E927" s="23"/>
      <c r="F927" s="23"/>
      <c r="G927" s="23"/>
    </row>
    <row r="928" spans="1:7" ht="15" customHeight="1" x14ac:dyDescent="0.25">
      <c r="A928" s="23"/>
      <c r="B928" s="23"/>
      <c r="C928" s="23"/>
      <c r="D928" s="23"/>
      <c r="E928" s="23"/>
      <c r="F928" s="23"/>
      <c r="G928" s="23"/>
    </row>
    <row r="929" spans="1:7" ht="15" customHeight="1" x14ac:dyDescent="0.25">
      <c r="A929" s="23"/>
      <c r="B929" s="23"/>
      <c r="C929" s="23"/>
      <c r="D929" s="23"/>
      <c r="E929" s="23"/>
      <c r="F929" s="23"/>
      <c r="G929" s="23"/>
    </row>
    <row r="930" spans="1:7" ht="15" customHeight="1" x14ac:dyDescent="0.25">
      <c r="A930" s="23"/>
      <c r="B930" s="23"/>
      <c r="C930" s="23"/>
      <c r="D930" s="23"/>
      <c r="E930" s="23"/>
      <c r="F930" s="23"/>
      <c r="G930" s="23"/>
    </row>
    <row r="931" spans="1:7" ht="15" customHeight="1" x14ac:dyDescent="0.25">
      <c r="A931" s="23"/>
      <c r="B931" s="23"/>
      <c r="C931" s="23"/>
      <c r="D931" s="23"/>
      <c r="E931" s="23"/>
      <c r="F931" s="23"/>
      <c r="G931" s="23"/>
    </row>
    <row r="932" spans="1:7" ht="15" customHeight="1" x14ac:dyDescent="0.25">
      <c r="A932" s="23"/>
      <c r="B932" s="23"/>
      <c r="C932" s="23"/>
      <c r="D932" s="23"/>
      <c r="E932" s="23"/>
      <c r="F932" s="23"/>
      <c r="G932" s="23"/>
    </row>
    <row r="933" spans="1:7" ht="15" customHeight="1" x14ac:dyDescent="0.25">
      <c r="A933" s="23"/>
      <c r="B933" s="23"/>
      <c r="C933" s="23"/>
      <c r="D933" s="23"/>
      <c r="E933" s="23"/>
      <c r="F933" s="23"/>
      <c r="G933" s="23"/>
    </row>
  </sheetData>
  <customSheetViews>
    <customSheetView guid="{42E2132E-130A-11D4-8702-444553540000}" scale="60" fitToPage="1" showRuler="0">
      <pageMargins left="0.75" right="0.75" top="1" bottom="1" header="0.5" footer="0.5"/>
      <pageSetup scale="41" orientation="portrait" r:id="rId1"/>
      <headerFooter alignWithMargins="0"/>
    </customSheetView>
  </customSheetViews>
  <phoneticPr fontId="0" type="noConversion"/>
  <pageMargins left="0.75" right="0.75" top="1" bottom="1" header="0.5" footer="0.5"/>
  <pageSetup scale="74" orientation="portrait" r:id="rId2"/>
  <headerFooter alignWithMargins="0"/>
  <customProperties>
    <customPr name="_pios_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zoomScaleNormal="100" workbookViewId="0"/>
  </sheetViews>
  <sheetFormatPr defaultRowHeight="13.2" x14ac:dyDescent="0.25"/>
  <cols>
    <col min="1" max="1" width="35.6640625" customWidth="1"/>
    <col min="2" max="2" width="3.6640625" customWidth="1"/>
    <col min="3" max="3" width="9.5546875" customWidth="1"/>
    <col min="4" max="5" width="10.33203125" bestFit="1" customWidth="1"/>
    <col min="6" max="6" width="9.88671875" bestFit="1" customWidth="1"/>
    <col min="7" max="7" width="9.5546875" bestFit="1" customWidth="1"/>
    <col min="8" max="8" width="10.88671875" bestFit="1" customWidth="1"/>
    <col min="9" max="9" width="10.44140625" bestFit="1" customWidth="1"/>
    <col min="10" max="10" width="10.33203125" bestFit="1" customWidth="1"/>
    <col min="11" max="11" width="12.33203125" customWidth="1"/>
    <col min="12" max="12" width="10.33203125" bestFit="1" customWidth="1"/>
    <col min="13" max="13" width="11.33203125" bestFit="1" customWidth="1"/>
    <col min="14" max="14" width="10.88671875" bestFit="1" customWidth="1"/>
    <col min="15" max="15" width="10.6640625" bestFit="1" customWidth="1"/>
    <col min="16" max="16" width="10.88671875" bestFit="1" customWidth="1"/>
    <col min="17" max="17" width="9.6640625" customWidth="1"/>
    <col min="18" max="19" width="11.33203125" bestFit="1" customWidth="1"/>
    <col min="20" max="20" width="10.88671875" bestFit="1" customWidth="1"/>
    <col min="21" max="21" width="10.6640625" bestFit="1" customWidth="1"/>
    <col min="22" max="22" width="10.88671875" bestFit="1" customWidth="1"/>
    <col min="23" max="23" width="10.6640625" bestFit="1" customWidth="1"/>
    <col min="24" max="24" width="10.33203125" bestFit="1" customWidth="1"/>
  </cols>
  <sheetData>
    <row r="1" spans="1:24" ht="14.4" x14ac:dyDescent="0.3">
      <c r="J1" s="119" t="s">
        <v>290</v>
      </c>
      <c r="Q1" s="119" t="s">
        <v>290</v>
      </c>
      <c r="R1" s="119"/>
      <c r="X1" s="119" t="s">
        <v>290</v>
      </c>
    </row>
    <row r="2" spans="1:24" ht="14.4" x14ac:dyDescent="0.3">
      <c r="J2" s="119" t="str">
        <f ca="1">RIGHT(CELL("filename",$A$5),LEN(CELL("filename",$A$5))-SEARCH("\Capital",CELL("filename",$A$5),1))</f>
        <v>Capital Structure\[KAWC 2018 Rate Case - Capital Structure.xlsx]Link In BS Projection</v>
      </c>
      <c r="Q2" s="119" t="str">
        <f ca="1">RIGHT(CELL("filename",$A$5),LEN(CELL("filename",$A$5))-SEARCH("\Capital",CELL("filename",$A$5),1))</f>
        <v>Capital Structure\[KAWC 2018 Rate Case - Capital Structure.xlsx]Link In BS Projection</v>
      </c>
      <c r="R2" s="119"/>
      <c r="X2" s="119" t="str">
        <f ca="1">RIGHT(CELL("filename",$A$5),LEN(CELL("filename",$A$5))-SEARCH("\Capital",CELL("filename",$A$5),1))</f>
        <v>Capital Structure\[KAWC 2018 Rate Case - Capital Structure.xlsx]Link In BS Projection</v>
      </c>
    </row>
    <row r="7" spans="1:24" x14ac:dyDescent="0.25">
      <c r="A7" s="228" t="s">
        <v>277</v>
      </c>
    </row>
    <row r="8" spans="1:24" ht="14.4" x14ac:dyDescent="0.3">
      <c r="C8" s="226">
        <v>43344</v>
      </c>
      <c r="D8" s="226">
        <v>43374</v>
      </c>
      <c r="E8" s="226">
        <v>43405</v>
      </c>
      <c r="F8" s="226">
        <v>43435</v>
      </c>
      <c r="G8" s="226">
        <v>43466</v>
      </c>
      <c r="H8" s="226">
        <v>43497</v>
      </c>
      <c r="I8" s="226">
        <v>43525</v>
      </c>
      <c r="J8" s="226">
        <v>43556</v>
      </c>
      <c r="K8" s="226">
        <v>43586</v>
      </c>
      <c r="L8" s="226">
        <v>43617</v>
      </c>
      <c r="M8" s="226">
        <v>43647</v>
      </c>
      <c r="N8" s="226">
        <v>43678</v>
      </c>
      <c r="O8" s="226">
        <v>43709</v>
      </c>
      <c r="P8" s="226">
        <v>43739</v>
      </c>
      <c r="Q8" s="226">
        <v>43770</v>
      </c>
      <c r="R8" s="226">
        <v>43800</v>
      </c>
      <c r="S8" s="226">
        <v>43831</v>
      </c>
      <c r="T8" s="226">
        <v>43862</v>
      </c>
      <c r="U8" s="226">
        <v>43891</v>
      </c>
      <c r="V8" s="226">
        <v>43922</v>
      </c>
      <c r="W8" s="226">
        <v>43952</v>
      </c>
      <c r="X8" s="226">
        <v>43983</v>
      </c>
    </row>
    <row r="9" spans="1:24" x14ac:dyDescent="0.25">
      <c r="A9" t="s">
        <v>156</v>
      </c>
      <c r="C9" s="227">
        <v>0</v>
      </c>
      <c r="D9" s="227">
        <v>0</v>
      </c>
      <c r="E9" s="227">
        <v>0</v>
      </c>
      <c r="F9" s="227">
        <v>0</v>
      </c>
      <c r="G9" s="227">
        <v>0</v>
      </c>
      <c r="H9" s="227">
        <v>0</v>
      </c>
      <c r="I9" s="227">
        <v>0</v>
      </c>
      <c r="J9" s="227">
        <v>0</v>
      </c>
      <c r="K9" s="227">
        <v>0</v>
      </c>
      <c r="L9" s="227">
        <v>0</v>
      </c>
      <c r="M9" s="227">
        <v>0</v>
      </c>
      <c r="N9" s="227">
        <v>0</v>
      </c>
      <c r="O9" s="227">
        <v>0</v>
      </c>
      <c r="P9" s="227">
        <v>0</v>
      </c>
      <c r="Q9" s="227">
        <v>0</v>
      </c>
      <c r="R9" s="227">
        <v>0</v>
      </c>
      <c r="S9" s="227">
        <v>0</v>
      </c>
      <c r="T9" s="227">
        <v>0</v>
      </c>
      <c r="U9" s="227">
        <v>0</v>
      </c>
      <c r="V9" s="227">
        <v>0</v>
      </c>
      <c r="W9" s="227">
        <v>0</v>
      </c>
      <c r="X9" s="227">
        <v>0</v>
      </c>
    </row>
    <row r="10" spans="1:24" x14ac:dyDescent="0.25">
      <c r="A10" t="s">
        <v>208</v>
      </c>
      <c r="C10" s="227">
        <v>2866.7678873836994</v>
      </c>
      <c r="D10" s="227">
        <v>2866.7678873836994</v>
      </c>
      <c r="E10" s="227">
        <v>2866.7678873836994</v>
      </c>
      <c r="F10" s="227">
        <v>2866.7678874135017</v>
      </c>
      <c r="G10" s="227">
        <v>0</v>
      </c>
      <c r="H10" s="227">
        <v>2500</v>
      </c>
      <c r="I10" s="227">
        <v>4177.7218559980392</v>
      </c>
      <c r="J10" s="227">
        <v>0</v>
      </c>
      <c r="K10" s="227">
        <v>2500</v>
      </c>
      <c r="L10" s="227">
        <v>4363.9242246598005</v>
      </c>
      <c r="M10" s="227">
        <v>0</v>
      </c>
      <c r="N10" s="227">
        <v>2500</v>
      </c>
      <c r="O10" s="227">
        <v>4431.0615204274654</v>
      </c>
      <c r="P10" s="227">
        <v>0</v>
      </c>
      <c r="Q10" s="227">
        <v>2500</v>
      </c>
      <c r="R10" s="227">
        <v>6431.0615204274654</v>
      </c>
      <c r="S10" s="227">
        <v>0</v>
      </c>
      <c r="T10" s="227">
        <v>0</v>
      </c>
      <c r="U10" s="227">
        <v>100000</v>
      </c>
      <c r="V10" s="227">
        <v>0</v>
      </c>
      <c r="W10" s="227">
        <v>100000</v>
      </c>
      <c r="X10" s="227">
        <v>100000</v>
      </c>
    </row>
    <row r="11" spans="1:24" x14ac:dyDescent="0.25">
      <c r="A11" t="s">
        <v>140</v>
      </c>
      <c r="C11" s="227">
        <v>-346342.91783186793</v>
      </c>
      <c r="D11" s="227">
        <v>-346342.91783186793</v>
      </c>
      <c r="E11" s="227">
        <v>-346342.91783186793</v>
      </c>
      <c r="F11" s="227">
        <v>-346342.91783186793</v>
      </c>
      <c r="G11" s="227">
        <v>991140.92442083359</v>
      </c>
      <c r="H11" s="227">
        <v>913963.08732950687</v>
      </c>
      <c r="I11" s="227">
        <v>-2912127.1448236108</v>
      </c>
      <c r="J11" s="227">
        <v>1084301.8356406391</v>
      </c>
      <c r="K11" s="227">
        <v>1580227.4484294206</v>
      </c>
      <c r="L11" s="227">
        <v>-94854.723453357816</v>
      </c>
      <c r="M11" s="227">
        <v>2500264.1706184447</v>
      </c>
      <c r="N11" s="227">
        <v>2627020.4059794247</v>
      </c>
      <c r="O11" s="227">
        <v>-933745.64861550927</v>
      </c>
      <c r="P11" s="227">
        <v>2171112.1335679293</v>
      </c>
      <c r="Q11" s="227">
        <v>1645310.9865207374</v>
      </c>
      <c r="R11" s="227">
        <v>-4284233.7833431661</v>
      </c>
      <c r="S11" s="227">
        <v>1058687.428048104</v>
      </c>
      <c r="T11" s="227">
        <v>982636.0543679893</v>
      </c>
      <c r="U11" s="227">
        <v>-2805117.3345269859</v>
      </c>
      <c r="V11" s="227">
        <v>1152843.7621832043</v>
      </c>
      <c r="W11" s="227">
        <v>1631275.9467804432</v>
      </c>
      <c r="X11" s="227">
        <v>-480223.17676787078</v>
      </c>
    </row>
    <row r="12" spans="1:24" x14ac:dyDescent="0.25"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</row>
    <row r="13" spans="1:24" x14ac:dyDescent="0.25"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</row>
    <row r="14" spans="1:24" x14ac:dyDescent="0.25">
      <c r="A14" s="228" t="s">
        <v>276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</row>
    <row r="15" spans="1:24" x14ac:dyDescent="0.25">
      <c r="A15" s="28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</row>
    <row r="16" spans="1:24" x14ac:dyDescent="0.25">
      <c r="A16" t="s">
        <v>36</v>
      </c>
      <c r="C16" s="227">
        <v>-282183.64764821529</v>
      </c>
      <c r="D16" s="227">
        <v>-282183.64764821529</v>
      </c>
      <c r="E16" s="227">
        <v>-282183.64764821529</v>
      </c>
      <c r="F16" s="227">
        <v>-282183.64764821716</v>
      </c>
      <c r="G16" s="227">
        <v>-940684.47243951447</v>
      </c>
      <c r="H16" s="227">
        <v>-2461972.6789566185</v>
      </c>
      <c r="I16" s="227">
        <v>674406.61433892231</v>
      </c>
      <c r="J16" s="227">
        <v>1888216.6486241603</v>
      </c>
      <c r="K16" s="227">
        <v>-13703920.282020643</v>
      </c>
      <c r="L16" s="227">
        <v>6736090.9383297227</v>
      </c>
      <c r="M16" s="227">
        <v>-3173069.5345588047</v>
      </c>
      <c r="N16" s="227">
        <v>-2519522.8803916872</v>
      </c>
      <c r="O16" s="227">
        <v>3552477.1571287382</v>
      </c>
      <c r="P16" s="227">
        <v>-2150939.3992594252</v>
      </c>
      <c r="Q16" s="227">
        <v>-420142.64413214987</v>
      </c>
      <c r="R16" s="227">
        <v>11621879.240688132</v>
      </c>
      <c r="S16" s="227">
        <v>-3110718.7219936606</v>
      </c>
      <c r="T16" s="227">
        <v>-1692939.9323682347</v>
      </c>
      <c r="U16" s="227">
        <v>2047756.7921041073</v>
      </c>
      <c r="V16" s="227">
        <v>-1095689.2302898113</v>
      </c>
      <c r="W16" s="227">
        <v>2383579.4941419614</v>
      </c>
      <c r="X16" s="227">
        <v>5447150.4974725796</v>
      </c>
    </row>
    <row r="18" spans="1:24" x14ac:dyDescent="0.25">
      <c r="A18" t="s">
        <v>279</v>
      </c>
      <c r="C18" s="227">
        <f>'[2]Link Out'!B$11</f>
        <v>939904.57250000536</v>
      </c>
      <c r="D18" s="227">
        <f>'[2]Link Out'!C$11</f>
        <v>1351769.8324999958</v>
      </c>
      <c r="E18" s="227">
        <f>'[2]Link Out'!D$11</f>
        <v>1377341.8325000107</v>
      </c>
      <c r="F18" s="227">
        <f>'[2]Link Out'!E$11</f>
        <v>1147027.8324999958</v>
      </c>
      <c r="G18" s="227">
        <f>'[2]Link Out'!F$11</f>
        <v>429695.98371821037</v>
      </c>
      <c r="H18" s="227">
        <f>'[2]Link Out'!G$11</f>
        <v>1510279.8056417075</v>
      </c>
      <c r="I18" s="227">
        <f>'[2]Link Out'!H$11</f>
        <v>-82121.731935319491</v>
      </c>
      <c r="J18" s="227">
        <f>'[2]Link Out'!I$11</f>
        <v>322892.35035058297</v>
      </c>
      <c r="K18" s="227">
        <f>'[2]Link Out'!J$11</f>
        <v>393926.82611216884</v>
      </c>
      <c r="L18" s="227">
        <f>'[2]Link Out'!K$11</f>
        <v>265021.73419398349</v>
      </c>
      <c r="M18" s="227">
        <f>'[2]Link Out'!L$11</f>
        <v>279336.60159657337</v>
      </c>
      <c r="N18" s="227">
        <f>'[2]Link Out'!M$11</f>
        <v>288094.06244358746</v>
      </c>
      <c r="O18" s="227">
        <f>'[2]Link Out'!N$11</f>
        <v>285172.69461630564</v>
      </c>
      <c r="P18" s="227">
        <f>'[2]Link Out'!O$11</f>
        <v>257090.19472126057</v>
      </c>
      <c r="Q18" s="227">
        <f>'[2]Link Out'!P$11</f>
        <v>341148.18020959524</v>
      </c>
      <c r="R18" s="227">
        <f>'[2]Link Out'!Q$11</f>
        <v>475212.12035833066</v>
      </c>
      <c r="S18" s="227">
        <f>'[2]Link Out'!R$11</f>
        <v>82964.569593846798</v>
      </c>
      <c r="T18" s="227">
        <f>'[2]Link Out'!S$11</f>
        <v>482342.82959380746</v>
      </c>
      <c r="U18" s="227">
        <f>'[2]Link Out'!T$11</f>
        <v>374093.84959384799</v>
      </c>
      <c r="V18" s="227">
        <f>'[2]Link Out'!U$11</f>
        <v>466641.66959382594</v>
      </c>
      <c r="W18" s="227">
        <f>'[2]Link Out'!V$11</f>
        <v>467700.65959382057</v>
      </c>
      <c r="X18" s="227">
        <f>'[2]Link Out'!W$11</f>
        <v>465507.66959385574</v>
      </c>
    </row>
    <row r="20" spans="1:24" x14ac:dyDescent="0.25">
      <c r="A20" t="s">
        <v>275</v>
      </c>
      <c r="K20" s="227">
        <f>-('Sch J WPs'!R25-12000000)</f>
        <v>-4000000</v>
      </c>
    </row>
    <row r="21" spans="1:24" x14ac:dyDescent="0.25">
      <c r="A21" t="s">
        <v>274</v>
      </c>
      <c r="C21" s="229"/>
      <c r="D21" s="229"/>
      <c r="E21" s="229"/>
      <c r="F21" s="229"/>
      <c r="G21" s="229"/>
      <c r="H21" s="229"/>
      <c r="I21" s="229"/>
      <c r="J21" s="229"/>
      <c r="K21" s="230">
        <f>-('Sch J WPs'!R498-2500)</f>
        <v>-6000000</v>
      </c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</row>
    <row r="22" spans="1:24" x14ac:dyDescent="0.25">
      <c r="A22" t="s">
        <v>278</v>
      </c>
      <c r="C22" s="227">
        <f>C16+C18+C20+C21</f>
        <v>657720.92485179007</v>
      </c>
      <c r="D22" s="227">
        <f t="shared" ref="D22:X22" si="0">D16+D18+D20+D21</f>
        <v>1069586.1848517805</v>
      </c>
      <c r="E22" s="227">
        <f t="shared" si="0"/>
        <v>1095158.1848517954</v>
      </c>
      <c r="F22" s="227">
        <f t="shared" si="0"/>
        <v>864844.18485177867</v>
      </c>
      <c r="G22" s="227">
        <f t="shared" si="0"/>
        <v>-510988.48872130411</v>
      </c>
      <c r="H22" s="227">
        <f t="shared" si="0"/>
        <v>-951692.87331491103</v>
      </c>
      <c r="I22" s="227">
        <f t="shared" si="0"/>
        <v>592284.88240360282</v>
      </c>
      <c r="J22" s="227">
        <f t="shared" si="0"/>
        <v>2211108.9989747433</v>
      </c>
      <c r="K22" s="227">
        <f t="shared" si="0"/>
        <v>-23309993.455908474</v>
      </c>
      <c r="L22" s="227">
        <f t="shared" si="0"/>
        <v>7001112.6725237062</v>
      </c>
      <c r="M22" s="227">
        <f t="shared" si="0"/>
        <v>-2893732.9329622313</v>
      </c>
      <c r="N22" s="227">
        <f t="shared" si="0"/>
        <v>-2231428.8179480997</v>
      </c>
      <c r="O22" s="227">
        <f t="shared" si="0"/>
        <v>3837649.8517450439</v>
      </c>
      <c r="P22" s="227">
        <f t="shared" si="0"/>
        <v>-1893849.2045381647</v>
      </c>
      <c r="Q22" s="227">
        <f t="shared" si="0"/>
        <v>-78994.463922554627</v>
      </c>
      <c r="R22" s="227">
        <f t="shared" si="0"/>
        <v>12097091.361046463</v>
      </c>
      <c r="S22" s="227">
        <f t="shared" si="0"/>
        <v>-3027754.1523998138</v>
      </c>
      <c r="T22" s="227">
        <f t="shared" si="0"/>
        <v>-1210597.1027744273</v>
      </c>
      <c r="U22" s="227">
        <f t="shared" si="0"/>
        <v>2421850.6416979553</v>
      </c>
      <c r="V22" s="227">
        <f t="shared" si="0"/>
        <v>-629047.56069598533</v>
      </c>
      <c r="W22" s="227">
        <f t="shared" si="0"/>
        <v>2851280.153735782</v>
      </c>
      <c r="X22" s="227">
        <f t="shared" si="0"/>
        <v>5912658.1670664353</v>
      </c>
    </row>
    <row r="26" spans="1:24" x14ac:dyDescent="0.25">
      <c r="A26" t="s">
        <v>280</v>
      </c>
    </row>
  </sheetData>
  <pageMargins left="0.7" right="0.7" top="0.75" bottom="0.75" header="0.3" footer="0.3"/>
  <pageSetup orientation="landscape" horizontalDpi="1200" verticalDpi="1200" r:id="rId1"/>
  <colBreaks count="2" manualBreakCount="2">
    <brk id="10" max="25" man="1"/>
    <brk id="17" max="2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zoomScaleNormal="100" workbookViewId="0">
      <selection sqref="A1:Q1"/>
    </sheetView>
  </sheetViews>
  <sheetFormatPr defaultRowHeight="13.2" x14ac:dyDescent="0.25"/>
  <cols>
    <col min="1" max="1" width="4.6640625" customWidth="1"/>
    <col min="2" max="2" width="1.6640625" customWidth="1"/>
    <col min="3" max="3" width="16.88671875" customWidth="1"/>
    <col min="4" max="4" width="1.6640625" customWidth="1"/>
    <col min="5" max="5" width="15.6640625" customWidth="1"/>
    <col min="6" max="6" width="1.6640625" customWidth="1"/>
    <col min="7" max="7" width="14.109375" customWidth="1"/>
    <col min="8" max="8" width="1.6640625" customWidth="1"/>
    <col min="9" max="9" width="13.6640625" customWidth="1"/>
    <col min="10" max="10" width="1.6640625" customWidth="1"/>
    <col min="11" max="11" width="13.6640625" customWidth="1"/>
    <col min="12" max="12" width="1.6640625" customWidth="1"/>
    <col min="13" max="13" width="16.33203125" customWidth="1"/>
    <col min="14" max="14" width="1.6640625" customWidth="1"/>
    <col min="15" max="15" width="8.5546875" customWidth="1"/>
    <col min="16" max="16" width="1.6640625" customWidth="1"/>
    <col min="17" max="17" width="15.6640625" customWidth="1"/>
    <col min="18" max="18" width="1.6640625" customWidth="1"/>
    <col min="19" max="19" width="8.88671875" customWidth="1"/>
    <col min="21" max="21" width="21.44140625" customWidth="1"/>
    <col min="22" max="22" width="4.5546875" customWidth="1"/>
    <col min="23" max="23" width="6" bestFit="1" customWidth="1"/>
  </cols>
  <sheetData>
    <row r="1" spans="1:19" ht="14.4" x14ac:dyDescent="0.3">
      <c r="A1" s="243" t="str">
        <f>Linkin!A1</f>
        <v>Kentucky American Water Company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9" ht="14.4" x14ac:dyDescent="0.3">
      <c r="A2" s="243" t="str">
        <f>Linkin!A3</f>
        <v>Case No. 2018-00358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71"/>
      <c r="S2" s="71"/>
    </row>
    <row r="3" spans="1:19" ht="14.4" x14ac:dyDescent="0.3">
      <c r="A3" s="243" t="str">
        <f>Linkin!E38</f>
        <v>Cost of Capital Summary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71"/>
      <c r="S3" s="71"/>
    </row>
    <row r="4" spans="1:19" ht="14.4" x14ac:dyDescent="0.3">
      <c r="A4" s="244" t="str">
        <f>Linkin!C12</f>
        <v>13-Month Average For Forecast Period Ending June 30 , 2020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71"/>
      <c r="S4" s="71"/>
    </row>
    <row r="5" spans="1:19" ht="14.4" x14ac:dyDescent="0.3">
      <c r="A5" s="67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4.4" x14ac:dyDescent="0.3">
      <c r="A6" s="197" t="s">
        <v>214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75" t="s">
        <v>165</v>
      </c>
      <c r="R6" s="67"/>
    </row>
    <row r="7" spans="1:19" ht="14.4" x14ac:dyDescent="0.3">
      <c r="A7" s="72" t="str">
        <f>Linkin!A17</f>
        <v>Type of Filing: __X__ Original  _____ Updated  _____ Revised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195" t="str">
        <f ca="1">RIGHT(CELL("filename",$A$2),LEN(CELL("filename",$A$2))-SEARCH("\Capital",CELL("filename",$A$2),1))</f>
        <v>Capital Structure\[KAWC 2018 Rate Case - Capital Structure.xlsx]Sch J-1</v>
      </c>
      <c r="R7" s="67"/>
    </row>
    <row r="8" spans="1:19" ht="14.4" x14ac:dyDescent="0.3">
      <c r="A8" s="72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195" t="str">
        <f>Linkin!G38</f>
        <v>Witness Responsible:   Scott Rungren</v>
      </c>
      <c r="R8" s="67"/>
    </row>
    <row r="9" spans="1:19" ht="14.4" x14ac:dyDescent="0.3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96" t="s">
        <v>178</v>
      </c>
      <c r="R9" s="67"/>
    </row>
    <row r="10" spans="1:19" ht="14.4" x14ac:dyDescent="0.3">
      <c r="A10" s="72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ht="14.4" x14ac:dyDescent="0.3">
      <c r="A11" s="72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19" ht="14.4" x14ac:dyDescent="0.3">
      <c r="A12" s="72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</row>
    <row r="13" spans="1:19" ht="14.4" x14ac:dyDescent="0.3">
      <c r="A13" s="85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</row>
    <row r="14" spans="1:19" ht="14.4" x14ac:dyDescent="0.3">
      <c r="A14" s="72"/>
      <c r="B14" s="72"/>
      <c r="C14" s="72"/>
      <c r="D14" s="72"/>
      <c r="E14" s="72"/>
      <c r="F14" s="72"/>
      <c r="G14" s="80" t="s">
        <v>175</v>
      </c>
      <c r="H14" s="80"/>
      <c r="I14" s="72"/>
      <c r="J14" s="72"/>
      <c r="K14" s="72"/>
      <c r="L14" s="72"/>
      <c r="M14" s="72"/>
      <c r="N14" s="72"/>
      <c r="O14" s="72"/>
      <c r="P14" s="72"/>
      <c r="Q14" s="80" t="s">
        <v>175</v>
      </c>
      <c r="R14" s="72"/>
      <c r="S14" s="72"/>
    </row>
    <row r="15" spans="1:19" ht="14.4" x14ac:dyDescent="0.3">
      <c r="A15" s="81" t="s">
        <v>22</v>
      </c>
      <c r="B15" s="67"/>
      <c r="C15" s="81" t="s">
        <v>23</v>
      </c>
      <c r="D15" s="72"/>
      <c r="E15" s="67"/>
      <c r="F15" s="67"/>
      <c r="G15" s="81" t="s">
        <v>167</v>
      </c>
      <c r="H15" s="81"/>
      <c r="I15" s="67"/>
      <c r="J15" s="67"/>
      <c r="K15" s="67"/>
      <c r="L15" s="67"/>
      <c r="M15" s="81" t="s">
        <v>25</v>
      </c>
      <c r="N15" s="81"/>
      <c r="O15" s="67"/>
      <c r="P15" s="67"/>
      <c r="Q15" s="81" t="s">
        <v>26</v>
      </c>
      <c r="R15" s="67"/>
      <c r="S15" s="67"/>
    </row>
    <row r="16" spans="1:19" ht="15" thickBot="1" x14ac:dyDescent="0.35">
      <c r="A16" s="82" t="s">
        <v>27</v>
      </c>
      <c r="B16" s="83"/>
      <c r="C16" s="82" t="s">
        <v>28</v>
      </c>
      <c r="D16" s="83"/>
      <c r="E16" s="82" t="s">
        <v>29</v>
      </c>
      <c r="F16" s="83"/>
      <c r="G16" s="82" t="s">
        <v>168</v>
      </c>
      <c r="H16" s="84"/>
      <c r="I16" s="82" t="s">
        <v>31</v>
      </c>
      <c r="J16" s="84"/>
      <c r="K16" s="82" t="s">
        <v>32</v>
      </c>
      <c r="L16" s="84"/>
      <c r="M16" s="82" t="s">
        <v>28</v>
      </c>
      <c r="N16" s="84"/>
      <c r="O16" s="82" t="s">
        <v>33</v>
      </c>
      <c r="P16" s="84"/>
      <c r="Q16" s="82" t="s">
        <v>35</v>
      </c>
      <c r="R16" s="83"/>
      <c r="S16" s="84"/>
    </row>
    <row r="17" spans="1:23" ht="14.4" x14ac:dyDescent="0.3">
      <c r="A17" s="80">
        <v>1</v>
      </c>
      <c r="B17" s="85"/>
      <c r="C17" s="85"/>
      <c r="D17" s="72"/>
      <c r="E17" s="85"/>
      <c r="F17" s="85"/>
      <c r="G17" s="85"/>
      <c r="H17" s="86"/>
      <c r="I17" s="85"/>
      <c r="J17" s="86"/>
      <c r="K17" s="85"/>
      <c r="L17" s="86"/>
      <c r="M17" s="85"/>
      <c r="N17" s="86"/>
      <c r="O17" s="85"/>
      <c r="P17" s="86"/>
      <c r="Q17" s="85"/>
      <c r="R17" s="67"/>
      <c r="S17" s="85"/>
    </row>
    <row r="18" spans="1:23" ht="14.4" x14ac:dyDescent="0.3">
      <c r="A18" s="80">
        <f>A17+1</f>
        <v>2</v>
      </c>
      <c r="B18" s="67"/>
      <c r="C18" s="72" t="s">
        <v>36</v>
      </c>
      <c r="D18" s="72"/>
      <c r="E18" s="81" t="str">
        <f>Linkin!C26</f>
        <v>W/P - 7-3</v>
      </c>
      <c r="F18" s="67"/>
      <c r="G18" s="121">
        <f>'Sch J WPs'!AF444</f>
        <v>4637155.9601647807</v>
      </c>
      <c r="H18" s="88"/>
      <c r="I18" s="89">
        <f>ROUND(G18/$G$26,5)</f>
        <v>1.044E-2</v>
      </c>
      <c r="J18" s="88"/>
      <c r="K18" s="121">
        <f>ROUND(I18*$G$32,5)</f>
        <v>2137.5691200000001</v>
      </c>
      <c r="L18" s="88"/>
      <c r="M18" s="121">
        <f>G18+K18</f>
        <v>4639293.5292847808</v>
      </c>
      <c r="N18" s="88"/>
      <c r="O18" s="89">
        <f>'Sch J WPs'!AF448</f>
        <v>3.2738847995791229E-2</v>
      </c>
      <c r="P18" s="89"/>
      <c r="Q18" s="89">
        <f>ROUND(O18*I18,4)</f>
        <v>2.9999999999999997E-4</v>
      </c>
      <c r="R18" s="67"/>
      <c r="S18" s="134"/>
      <c r="U18" s="68"/>
      <c r="V18" s="68"/>
      <c r="W18" s="68"/>
    </row>
    <row r="19" spans="1:23" ht="14.4" x14ac:dyDescent="0.3">
      <c r="A19" s="80">
        <f t="shared" ref="A19:A32" si="0">A18+1</f>
        <v>3</v>
      </c>
      <c r="B19" s="67"/>
      <c r="C19" s="67"/>
      <c r="D19" s="67"/>
      <c r="E19" s="81"/>
      <c r="F19" s="67"/>
      <c r="G19" s="72"/>
      <c r="H19" s="90"/>
      <c r="I19" s="91"/>
      <c r="J19" s="90"/>
      <c r="K19" s="72"/>
      <c r="L19" s="90"/>
      <c r="M19" s="72"/>
      <c r="N19" s="90"/>
      <c r="O19" s="91"/>
      <c r="P19" s="91"/>
      <c r="Q19" s="89"/>
      <c r="R19" s="67"/>
      <c r="S19" s="134"/>
      <c r="U19" s="67" t="s">
        <v>220</v>
      </c>
      <c r="V19" s="68"/>
      <c r="W19" s="68"/>
    </row>
    <row r="20" spans="1:23" ht="14.4" x14ac:dyDescent="0.3">
      <c r="A20" s="80">
        <f t="shared" si="0"/>
        <v>4</v>
      </c>
      <c r="B20" s="67"/>
      <c r="C20" s="72" t="s">
        <v>38</v>
      </c>
      <c r="D20" s="67"/>
      <c r="E20" s="81" t="str">
        <f>Linkin!C27</f>
        <v>W/P - 7-4</v>
      </c>
      <c r="F20" s="67"/>
      <c r="G20" s="72">
        <f>'Sch J WPs'!AX35</f>
        <v>220061621.47666666</v>
      </c>
      <c r="H20" s="93"/>
      <c r="I20" s="89">
        <f t="shared" ref="I20" si="1">ROUND(G20/$G$26,5)</f>
        <v>0.49562</v>
      </c>
      <c r="J20" s="93"/>
      <c r="K20" s="72">
        <f>ROUND(I20*$G$32,5)</f>
        <v>101477.20376</v>
      </c>
      <c r="L20" s="93"/>
      <c r="M20" s="72">
        <f>G20+K20</f>
        <v>220163098.68042666</v>
      </c>
      <c r="N20" s="93"/>
      <c r="O20" s="89">
        <f>'Sch J WPs'!AL40</f>
        <v>5.8999999999999997E-2</v>
      </c>
      <c r="P20" s="89"/>
      <c r="Q20" s="89">
        <f>ROUND(O20*I20,4)</f>
        <v>2.92E-2</v>
      </c>
      <c r="R20" s="67"/>
      <c r="S20" s="134"/>
      <c r="U20" s="67"/>
      <c r="V20" s="68"/>
      <c r="W20" s="68"/>
    </row>
    <row r="21" spans="1:23" ht="14.4" x14ac:dyDescent="0.3">
      <c r="A21" s="80">
        <f t="shared" si="0"/>
        <v>5</v>
      </c>
      <c r="B21" s="67"/>
      <c r="C21" s="67"/>
      <c r="D21" s="67"/>
      <c r="E21" s="81"/>
      <c r="F21" s="67"/>
      <c r="G21" s="72"/>
      <c r="H21" s="90"/>
      <c r="I21" s="91"/>
      <c r="J21" s="90"/>
      <c r="K21" s="72"/>
      <c r="L21" s="90"/>
      <c r="M21" s="72"/>
      <c r="N21" s="90"/>
      <c r="O21" s="91"/>
      <c r="P21" s="91"/>
      <c r="Q21" s="91"/>
      <c r="R21" s="67"/>
      <c r="S21" s="67"/>
      <c r="U21" s="72" t="s">
        <v>19</v>
      </c>
      <c r="V21" s="68"/>
      <c r="W21" s="130">
        <f>Q26</f>
        <v>8.2699999999999996E-2</v>
      </c>
    </row>
    <row r="22" spans="1:23" ht="14.4" x14ac:dyDescent="0.3">
      <c r="A22" s="80">
        <f t="shared" si="0"/>
        <v>6</v>
      </c>
      <c r="B22" s="67"/>
      <c r="C22" s="72" t="s">
        <v>5</v>
      </c>
      <c r="D22" s="67"/>
      <c r="E22" s="81" t="str">
        <f>Linkin!C28</f>
        <v>W/P - 7-5</v>
      </c>
      <c r="F22" s="67"/>
      <c r="G22" s="72">
        <f>'Sch J WPs'!AV295</f>
        <v>2243433.2400000002</v>
      </c>
      <c r="H22" s="93"/>
      <c r="I22" s="89">
        <f t="shared" ref="I22" si="2">ROUND(G22/$G$26,5)</f>
        <v>5.0499999999999998E-3</v>
      </c>
      <c r="J22" s="93"/>
      <c r="K22" s="72">
        <f>ROUND(I22*$G$32,5)</f>
        <v>1033.9774</v>
      </c>
      <c r="L22" s="93"/>
      <c r="M22" s="72">
        <f>G22+K22</f>
        <v>2244467.2174000004</v>
      </c>
      <c r="N22" s="93"/>
      <c r="O22" s="89">
        <f>'Sch J WPs'!AL299</f>
        <v>8.5099999999999995E-2</v>
      </c>
      <c r="P22" s="89"/>
      <c r="Q22" s="89">
        <f>ROUND(O22*I22,4)</f>
        <v>4.0000000000000002E-4</v>
      </c>
      <c r="R22" s="67"/>
      <c r="S22" s="67"/>
      <c r="U22" s="67"/>
      <c r="V22" s="68"/>
      <c r="W22" s="67"/>
    </row>
    <row r="23" spans="1:23" ht="14.4" x14ac:dyDescent="0.3">
      <c r="A23" s="80">
        <f t="shared" si="0"/>
        <v>7</v>
      </c>
      <c r="B23" s="67"/>
      <c r="C23" s="67"/>
      <c r="D23" s="67"/>
      <c r="E23" s="81"/>
      <c r="F23" s="67"/>
      <c r="G23" s="72"/>
      <c r="H23" s="90"/>
      <c r="I23" s="91"/>
      <c r="J23" s="90"/>
      <c r="K23" s="72"/>
      <c r="L23" s="90"/>
      <c r="M23" s="72"/>
      <c r="N23" s="90"/>
      <c r="O23" s="91"/>
      <c r="P23" s="91"/>
      <c r="Q23" s="91"/>
      <c r="R23" s="67"/>
      <c r="S23" s="67"/>
      <c r="U23" s="72" t="s">
        <v>20</v>
      </c>
      <c r="V23" s="68"/>
      <c r="W23" s="130">
        <f>Q18+Q20</f>
        <v>2.9500000000000002E-2</v>
      </c>
    </row>
    <row r="24" spans="1:23" ht="14.4" x14ac:dyDescent="0.3">
      <c r="A24" s="80">
        <f t="shared" si="0"/>
        <v>8</v>
      </c>
      <c r="B24" s="67"/>
      <c r="C24" s="72" t="s">
        <v>4</v>
      </c>
      <c r="D24" s="67"/>
      <c r="E24" s="81" t="str">
        <f>Linkin!C29</f>
        <v>W/P - 7-6</v>
      </c>
      <c r="F24" s="67"/>
      <c r="G24" s="120">
        <f>'Sch J WPs'!AF493</f>
        <v>217071552.06070197</v>
      </c>
      <c r="H24" s="93"/>
      <c r="I24" s="96">
        <f>1-SUM(I18:I22)</f>
        <v>0.48889000000000005</v>
      </c>
      <c r="J24" s="93"/>
      <c r="K24" s="120">
        <f>ROUND(I24*$G$32,5)</f>
        <v>100099.24972000001</v>
      </c>
      <c r="L24" s="93"/>
      <c r="M24" s="120">
        <f>G24+K24</f>
        <v>217171651.31042197</v>
      </c>
      <c r="N24" s="93"/>
      <c r="O24" s="97">
        <v>0.108</v>
      </c>
      <c r="P24" s="97"/>
      <c r="Q24" s="96">
        <f>ROUND(O24*I24,4)</f>
        <v>5.28E-2</v>
      </c>
      <c r="R24" s="67"/>
      <c r="S24" s="67"/>
    </row>
    <row r="25" spans="1:23" ht="14.4" x14ac:dyDescent="0.3">
      <c r="A25" s="80">
        <f t="shared" si="0"/>
        <v>9</v>
      </c>
      <c r="B25" s="67"/>
      <c r="C25" s="67"/>
      <c r="D25" s="67"/>
      <c r="E25" s="81"/>
      <c r="F25" s="67"/>
      <c r="G25" s="122"/>
      <c r="H25" s="86"/>
      <c r="I25" s="89"/>
      <c r="J25" s="86"/>
      <c r="K25" s="122"/>
      <c r="L25" s="86"/>
      <c r="M25" s="122"/>
      <c r="N25" s="86"/>
      <c r="O25" s="98"/>
      <c r="P25" s="98"/>
      <c r="Q25" s="89"/>
      <c r="R25" s="67"/>
      <c r="S25" s="67"/>
    </row>
    <row r="26" spans="1:23" ht="15" thickBot="1" x14ac:dyDescent="0.35">
      <c r="A26" s="80">
        <f t="shared" si="0"/>
        <v>10</v>
      </c>
      <c r="B26" s="67"/>
      <c r="C26" s="72" t="s">
        <v>41</v>
      </c>
      <c r="D26" s="67"/>
      <c r="E26" s="81"/>
      <c r="F26" s="67"/>
      <c r="G26" s="123">
        <f>SUM(G18:G24)</f>
        <v>444013762.73753345</v>
      </c>
      <c r="H26" s="88"/>
      <c r="I26" s="99">
        <f>SUM(I18:I24)</f>
        <v>1</v>
      </c>
      <c r="J26" s="88"/>
      <c r="K26" s="123">
        <f>SUM(K18:K24)</f>
        <v>204748</v>
      </c>
      <c r="L26" s="88"/>
      <c r="M26" s="123">
        <f>SUM(M18:M24)</f>
        <v>444218510.73753345</v>
      </c>
      <c r="N26" s="88"/>
      <c r="O26" s="91"/>
      <c r="P26" s="91"/>
      <c r="Q26" s="99">
        <f>SUM(Q18:Q24)</f>
        <v>8.2699999999999996E-2</v>
      </c>
      <c r="R26" s="90"/>
      <c r="S26" s="67"/>
    </row>
    <row r="27" spans="1:23" ht="15" thickTop="1" x14ac:dyDescent="0.3">
      <c r="A27" s="80">
        <f t="shared" si="0"/>
        <v>11</v>
      </c>
      <c r="B27" s="67"/>
      <c r="C27" s="67"/>
      <c r="D27" s="67"/>
      <c r="E27" s="67"/>
      <c r="F27" s="67"/>
      <c r="G27" s="85"/>
      <c r="H27" s="86"/>
      <c r="I27" s="85"/>
      <c r="J27" s="86"/>
      <c r="K27" s="85"/>
      <c r="L27" s="86"/>
      <c r="M27" s="85"/>
      <c r="N27" s="86"/>
      <c r="O27" s="67"/>
      <c r="P27" s="86"/>
      <c r="Q27" s="85"/>
      <c r="R27" s="86"/>
      <c r="S27" s="67"/>
    </row>
    <row r="28" spans="1:23" ht="14.4" x14ac:dyDescent="0.3">
      <c r="A28" s="80">
        <f t="shared" si="0"/>
        <v>12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</row>
    <row r="29" spans="1:23" ht="14.4" x14ac:dyDescent="0.3">
      <c r="A29" s="80">
        <f t="shared" si="0"/>
        <v>13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100"/>
      <c r="N29" s="100"/>
      <c r="O29" s="67"/>
      <c r="P29" s="67"/>
      <c r="Q29" s="67"/>
      <c r="R29" s="67"/>
      <c r="S29" s="67"/>
    </row>
    <row r="30" spans="1:23" ht="14.4" x14ac:dyDescent="0.3">
      <c r="A30" s="80">
        <f t="shared" si="0"/>
        <v>14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100"/>
      <c r="N30" s="100"/>
      <c r="O30" s="67"/>
      <c r="P30" s="67"/>
      <c r="Q30" s="67"/>
      <c r="R30" s="67"/>
      <c r="S30" s="67"/>
    </row>
    <row r="31" spans="1:23" ht="14.4" x14ac:dyDescent="0.3">
      <c r="A31" s="80">
        <f t="shared" si="0"/>
        <v>15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23" ht="15" thickBot="1" x14ac:dyDescent="0.35">
      <c r="A32" s="80">
        <f t="shared" si="0"/>
        <v>16</v>
      </c>
      <c r="B32" s="67"/>
      <c r="C32" s="72" t="s">
        <v>46</v>
      </c>
      <c r="D32" s="67"/>
      <c r="E32" s="81" t="str">
        <f>Linkin!C30</f>
        <v>W/P - 7-7</v>
      </c>
      <c r="F32" s="67"/>
      <c r="G32" s="123">
        <f>'Sch J WPs'!AF523</f>
        <v>204748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</row>
    <row r="33" spans="1:17" ht="13.8" thickTop="1" x14ac:dyDescent="0.25"/>
    <row r="35" spans="1:17" x14ac:dyDescent="0.25">
      <c r="A35" s="211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</row>
    <row r="36" spans="1:17" ht="14.4" x14ac:dyDescent="0.3">
      <c r="A36" s="212"/>
      <c r="B36" s="211"/>
      <c r="C36" s="211"/>
      <c r="D36" s="211"/>
      <c r="E36" s="211"/>
      <c r="F36" s="211"/>
      <c r="G36" s="121"/>
      <c r="H36" s="88"/>
      <c r="I36" s="89"/>
      <c r="J36" s="88"/>
      <c r="K36" s="121"/>
      <c r="L36" s="88"/>
      <c r="M36" s="121"/>
      <c r="N36" s="88"/>
      <c r="O36" s="89"/>
      <c r="P36" s="89"/>
      <c r="Q36" s="89"/>
    </row>
    <row r="37" spans="1:17" ht="14.4" x14ac:dyDescent="0.3">
      <c r="A37" s="83"/>
      <c r="B37" s="83"/>
      <c r="C37" s="83"/>
      <c r="D37" s="83"/>
      <c r="E37" s="83"/>
      <c r="F37" s="83"/>
      <c r="G37" s="72"/>
      <c r="H37" s="90"/>
      <c r="I37" s="91"/>
      <c r="J37" s="90"/>
      <c r="K37" s="72"/>
      <c r="L37" s="90"/>
      <c r="M37" s="72"/>
      <c r="N37" s="90"/>
      <c r="O37" s="91"/>
      <c r="P37" s="91"/>
      <c r="Q37" s="89"/>
    </row>
    <row r="38" spans="1:17" ht="14.4" x14ac:dyDescent="0.3">
      <c r="A38" s="133"/>
      <c r="B38" s="90"/>
      <c r="C38" s="133"/>
      <c r="D38" s="83"/>
      <c r="E38" s="90"/>
      <c r="F38" s="90"/>
      <c r="G38" s="83"/>
      <c r="H38" s="93"/>
      <c r="I38" s="98"/>
      <c r="J38" s="93"/>
      <c r="K38" s="83"/>
      <c r="L38" s="93"/>
      <c r="M38" s="83"/>
      <c r="N38" s="93"/>
      <c r="O38" s="98"/>
      <c r="P38" s="98"/>
      <c r="Q38" s="98"/>
    </row>
    <row r="39" spans="1:17" ht="14.4" x14ac:dyDescent="0.3">
      <c r="A39" s="84"/>
      <c r="B39" s="83"/>
      <c r="C39" s="84"/>
      <c r="D39" s="83"/>
      <c r="E39" s="84"/>
      <c r="F39" s="83"/>
      <c r="G39" s="83"/>
      <c r="H39" s="90"/>
      <c r="I39" s="97"/>
      <c r="J39" s="90"/>
      <c r="K39" s="83"/>
      <c r="L39" s="90"/>
      <c r="M39" s="83"/>
      <c r="N39" s="90"/>
      <c r="O39" s="97"/>
      <c r="P39" s="97"/>
      <c r="Q39" s="97"/>
    </row>
    <row r="40" spans="1:17" ht="14.4" x14ac:dyDescent="0.3">
      <c r="A40" s="84"/>
      <c r="B40" s="86"/>
      <c r="C40" s="86"/>
      <c r="D40" s="83"/>
      <c r="E40" s="86"/>
      <c r="F40" s="86"/>
      <c r="G40" s="83"/>
      <c r="H40" s="93"/>
      <c r="I40" s="98"/>
      <c r="J40" s="93"/>
      <c r="K40" s="83"/>
      <c r="L40" s="93"/>
      <c r="M40" s="83"/>
      <c r="N40" s="93"/>
      <c r="O40" s="98"/>
      <c r="P40" s="98"/>
      <c r="Q40" s="98"/>
    </row>
    <row r="41" spans="1:17" ht="14.4" x14ac:dyDescent="0.3">
      <c r="A41" s="84"/>
      <c r="B41" s="90"/>
      <c r="C41" s="83"/>
      <c r="D41" s="83"/>
      <c r="E41" s="133"/>
      <c r="F41" s="90"/>
      <c r="G41" s="83"/>
      <c r="H41" s="90"/>
      <c r="I41" s="97"/>
      <c r="J41" s="90"/>
      <c r="K41" s="83"/>
      <c r="L41" s="90"/>
      <c r="M41" s="83"/>
      <c r="N41" s="90"/>
      <c r="O41" s="97"/>
      <c r="P41" s="97"/>
      <c r="Q41" s="97"/>
    </row>
    <row r="42" spans="1:17" ht="14.4" x14ac:dyDescent="0.3">
      <c r="A42" s="84"/>
      <c r="B42" s="90"/>
      <c r="C42" s="90"/>
      <c r="D42" s="90"/>
      <c r="E42" s="133"/>
      <c r="F42" s="90"/>
      <c r="G42" s="83"/>
      <c r="H42" s="93"/>
      <c r="I42" s="97"/>
      <c r="J42" s="93"/>
      <c r="K42" s="83"/>
      <c r="L42" s="93"/>
      <c r="M42" s="83"/>
      <c r="N42" s="93"/>
      <c r="O42" s="97"/>
      <c r="P42" s="97"/>
      <c r="Q42" s="97"/>
    </row>
    <row r="43" spans="1:17" ht="14.4" x14ac:dyDescent="0.3">
      <c r="A43" s="84"/>
      <c r="B43" s="90"/>
      <c r="C43" s="83"/>
      <c r="D43" s="90"/>
      <c r="E43" s="133"/>
      <c r="F43" s="90"/>
      <c r="G43" s="149"/>
      <c r="H43" s="86"/>
      <c r="I43" s="98"/>
      <c r="J43" s="86"/>
      <c r="K43" s="149"/>
      <c r="L43" s="86"/>
      <c r="M43" s="149"/>
      <c r="N43" s="86"/>
      <c r="O43" s="98"/>
      <c r="P43" s="98"/>
      <c r="Q43" s="98"/>
    </row>
    <row r="44" spans="1:17" ht="14.4" x14ac:dyDescent="0.3">
      <c r="A44" s="84"/>
      <c r="B44" s="90"/>
      <c r="C44" s="90"/>
      <c r="D44" s="90"/>
      <c r="E44" s="133"/>
      <c r="F44" s="90"/>
      <c r="G44" s="160"/>
      <c r="H44" s="88"/>
      <c r="I44" s="97"/>
      <c r="J44" s="88"/>
      <c r="K44" s="160"/>
      <c r="L44" s="88"/>
      <c r="M44" s="160"/>
      <c r="N44" s="88"/>
      <c r="O44" s="97"/>
      <c r="P44" s="97"/>
      <c r="Q44" s="97"/>
    </row>
    <row r="45" spans="1:17" ht="14.4" x14ac:dyDescent="0.3">
      <c r="A45" s="84"/>
      <c r="B45" s="90"/>
      <c r="C45" s="83"/>
      <c r="D45" s="90"/>
      <c r="E45" s="133"/>
      <c r="F45" s="90"/>
      <c r="G45" s="83"/>
      <c r="H45" s="93"/>
      <c r="I45" s="98"/>
      <c r="J45" s="93"/>
      <c r="K45" s="83"/>
      <c r="L45" s="93"/>
      <c r="M45" s="83"/>
      <c r="N45" s="93"/>
      <c r="O45" s="98"/>
      <c r="P45" s="98"/>
      <c r="Q45" s="98"/>
    </row>
    <row r="46" spans="1:17" ht="14.4" x14ac:dyDescent="0.3">
      <c r="A46" s="84"/>
      <c r="B46" s="90"/>
      <c r="C46" s="90"/>
      <c r="D46" s="90"/>
      <c r="E46" s="133"/>
      <c r="F46" s="90"/>
      <c r="G46" s="83"/>
      <c r="H46" s="90"/>
      <c r="I46" s="97"/>
      <c r="J46" s="90"/>
      <c r="K46" s="83"/>
      <c r="L46" s="90"/>
      <c r="M46" s="83"/>
      <c r="N46" s="90"/>
      <c r="O46" s="97"/>
      <c r="P46" s="97"/>
      <c r="Q46" s="97"/>
    </row>
    <row r="47" spans="1:17" ht="14.4" x14ac:dyDescent="0.3">
      <c r="A47" s="84"/>
      <c r="B47" s="90"/>
      <c r="C47" s="83"/>
      <c r="D47" s="90"/>
      <c r="E47" s="133"/>
      <c r="F47" s="90"/>
      <c r="G47" s="83"/>
      <c r="H47" s="93"/>
      <c r="I47" s="97"/>
      <c r="J47" s="93"/>
      <c r="K47" s="83"/>
      <c r="L47" s="93"/>
      <c r="M47" s="83"/>
      <c r="N47" s="93"/>
      <c r="O47" s="97"/>
      <c r="P47" s="97"/>
      <c r="Q47" s="97"/>
    </row>
    <row r="48" spans="1:17" ht="14.4" x14ac:dyDescent="0.3">
      <c r="A48" s="84"/>
      <c r="B48" s="90"/>
      <c r="C48" s="90"/>
      <c r="D48" s="90"/>
      <c r="E48" s="133"/>
      <c r="F48" s="90"/>
      <c r="G48" s="149"/>
      <c r="H48" s="86"/>
      <c r="I48" s="98"/>
      <c r="J48" s="86"/>
      <c r="K48" s="149"/>
      <c r="L48" s="86"/>
      <c r="M48" s="149"/>
      <c r="N48" s="86"/>
      <c r="O48" s="98"/>
      <c r="P48" s="98"/>
      <c r="Q48" s="98"/>
    </row>
    <row r="49" spans="1:17" ht="14.4" x14ac:dyDescent="0.3">
      <c r="A49" s="84"/>
      <c r="B49" s="90"/>
      <c r="C49" s="83"/>
      <c r="D49" s="90"/>
      <c r="E49" s="133"/>
      <c r="F49" s="90"/>
      <c r="G49" s="160"/>
      <c r="H49" s="88"/>
      <c r="I49" s="97"/>
      <c r="J49" s="88"/>
      <c r="K49" s="160"/>
      <c r="L49" s="88"/>
      <c r="M49" s="160"/>
      <c r="N49" s="88"/>
      <c r="O49" s="97"/>
      <c r="P49" s="97"/>
      <c r="Q49" s="97"/>
    </row>
    <row r="50" spans="1:17" ht="14.4" x14ac:dyDescent="0.3">
      <c r="A50" s="84"/>
      <c r="B50" s="90"/>
      <c r="C50" s="90"/>
      <c r="D50" s="90"/>
      <c r="E50" s="90"/>
      <c r="F50" s="90"/>
      <c r="G50" s="86"/>
      <c r="H50" s="86"/>
      <c r="I50" s="86"/>
      <c r="J50" s="86"/>
      <c r="K50" s="86"/>
      <c r="L50" s="86"/>
      <c r="M50" s="86"/>
      <c r="N50" s="86"/>
      <c r="O50" s="90"/>
      <c r="P50" s="86"/>
      <c r="Q50" s="86"/>
    </row>
    <row r="51" spans="1:17" ht="14.4" x14ac:dyDescent="0.3">
      <c r="A51" s="84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</row>
    <row r="52" spans="1:17" ht="14.4" x14ac:dyDescent="0.3">
      <c r="A52" s="84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113"/>
      <c r="N52" s="113"/>
      <c r="O52" s="90"/>
      <c r="P52" s="90"/>
      <c r="Q52" s="90"/>
    </row>
    <row r="53" spans="1:17" ht="14.4" x14ac:dyDescent="0.3">
      <c r="A53" s="84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113"/>
      <c r="N53" s="113"/>
      <c r="O53" s="90"/>
      <c r="P53" s="90"/>
      <c r="Q53" s="90"/>
    </row>
    <row r="54" spans="1:17" ht="14.4" x14ac:dyDescent="0.3">
      <c r="A54" s="84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</row>
    <row r="55" spans="1:17" ht="14.4" x14ac:dyDescent="0.3">
      <c r="A55" s="84"/>
      <c r="B55" s="90"/>
      <c r="C55" s="83"/>
      <c r="D55" s="90"/>
      <c r="E55" s="133"/>
      <c r="F55" s="90"/>
      <c r="G55" s="160"/>
      <c r="H55" s="90"/>
      <c r="I55" s="90"/>
      <c r="J55" s="90"/>
      <c r="K55" s="90"/>
      <c r="L55" s="90"/>
      <c r="M55" s="90"/>
      <c r="N55" s="90"/>
      <c r="O55" s="90"/>
      <c r="P55" s="90"/>
      <c r="Q55" s="90"/>
    </row>
  </sheetData>
  <mergeCells count="4">
    <mergeCell ref="A2:Q2"/>
    <mergeCell ref="A3:Q3"/>
    <mergeCell ref="A4:Q4"/>
    <mergeCell ref="A1:Q1"/>
  </mergeCells>
  <printOptions horizontalCentered="1"/>
  <pageMargins left="0.75" right="0.75" top="1" bottom="0.5" header="0.3" footer="0.3"/>
  <pageSetup scale="85" orientation="landscape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CM479"/>
  <sheetViews>
    <sheetView zoomScaleNormal="100" workbookViewId="0">
      <selection activeCell="M26" sqref="M26"/>
    </sheetView>
  </sheetViews>
  <sheetFormatPr defaultColWidth="16.6640625" defaultRowHeight="13.8" x14ac:dyDescent="0.25"/>
  <cols>
    <col min="1" max="1" width="4.6640625" style="68" customWidth="1"/>
    <col min="2" max="2" width="1.6640625" style="68" customWidth="1"/>
    <col min="3" max="3" width="16.88671875" style="68" customWidth="1"/>
    <col min="4" max="4" width="1.6640625" style="68" customWidth="1"/>
    <col min="5" max="5" width="15.6640625" style="68" customWidth="1"/>
    <col min="6" max="6" width="1.6640625" style="68" customWidth="1"/>
    <col min="7" max="7" width="14.109375" style="68" customWidth="1"/>
    <col min="8" max="8" width="1.6640625" style="68" customWidth="1"/>
    <col min="9" max="9" width="13.6640625" style="68" customWidth="1"/>
    <col min="10" max="10" width="1.6640625" style="68" customWidth="1"/>
    <col min="11" max="11" width="13.6640625" style="68" customWidth="1"/>
    <col min="12" max="12" width="1.6640625" style="68" customWidth="1"/>
    <col min="13" max="13" width="16.33203125" style="68" customWidth="1"/>
    <col min="14" max="14" width="1.6640625" style="68" customWidth="1"/>
    <col min="15" max="15" width="8.5546875" style="68" customWidth="1"/>
    <col min="16" max="16" width="1.6640625" style="68" customWidth="1"/>
    <col min="17" max="17" width="15.6640625" style="68" customWidth="1"/>
    <col min="18" max="18" width="1.6640625" style="68" customWidth="1"/>
    <col min="19" max="38" width="9.109375" style="68" customWidth="1"/>
    <col min="39" max="16384" width="16.6640625" style="68"/>
  </cols>
  <sheetData>
    <row r="1" spans="1:25" ht="14.4" x14ac:dyDescent="0.3">
      <c r="A1" s="243" t="str">
        <f>Linkin!A1</f>
        <v>Kentucky American Water Company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71"/>
      <c r="S1" s="71"/>
      <c r="T1" s="72"/>
      <c r="V1" s="69"/>
    </row>
    <row r="2" spans="1:25" ht="14.4" x14ac:dyDescent="0.3">
      <c r="A2" s="243" t="str">
        <f>Linkin!A3</f>
        <v>Case No. 2018-00358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71"/>
      <c r="S2" s="71"/>
      <c r="T2" s="72"/>
      <c r="V2" s="69"/>
    </row>
    <row r="3" spans="1:25" ht="14.4" x14ac:dyDescent="0.3">
      <c r="A3" s="243" t="str">
        <f>Linkin!E39</f>
        <v>Cost of Capital Summary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71"/>
      <c r="S3" s="71"/>
      <c r="T3" s="72"/>
      <c r="V3" s="69"/>
    </row>
    <row r="4" spans="1:25" ht="14.4" x14ac:dyDescent="0.3">
      <c r="A4" s="243" t="str">
        <f>Linkin!C11</f>
        <v>As of June 30, 2020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71"/>
      <c r="S4" s="71"/>
      <c r="T4" s="72"/>
      <c r="V4" s="69"/>
    </row>
    <row r="5" spans="1:25" ht="14.4" x14ac:dyDescent="0.3">
      <c r="A5" s="73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/>
      <c r="V5" s="69"/>
    </row>
    <row r="6" spans="1:25" ht="14.4" x14ac:dyDescent="0.3">
      <c r="A6" s="197" t="s">
        <v>214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5" t="s">
        <v>215</v>
      </c>
      <c r="R6" s="71"/>
      <c r="U6" s="74"/>
      <c r="V6" s="69"/>
      <c r="W6" s="67"/>
    </row>
    <row r="7" spans="1:25" ht="14.4" x14ac:dyDescent="0.3">
      <c r="A7" s="72" t="str">
        <f>Linkin!A17</f>
        <v>Type of Filing: __X__ Original  _____ Updated  _____ Revised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196" t="str">
        <f ca="1">RIGHT(CELL("filename",$A$1),LEN(CELL("filename",$A$1))-SEARCH("\Capital",CELL("filename",$A$1),1))</f>
        <v>Capital Structure\[KAWC 2018 Rate Case - Capital Structure.xlsx]Sch J-2</v>
      </c>
      <c r="R7" s="67"/>
      <c r="U7" s="74"/>
      <c r="V7" s="69"/>
      <c r="W7" s="67"/>
    </row>
    <row r="8" spans="1:25" ht="14.4" x14ac:dyDescent="0.3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00" t="str">
        <f>Linkin!G39</f>
        <v>Witness Responsible:   Scott Rungren</v>
      </c>
      <c r="R8" s="67"/>
      <c r="U8" s="76"/>
      <c r="V8" s="77"/>
      <c r="W8" s="72"/>
      <c r="Y8" s="130"/>
    </row>
    <row r="9" spans="1:25" ht="14.4" x14ac:dyDescent="0.3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196" t="s">
        <v>176</v>
      </c>
      <c r="R9" s="67"/>
      <c r="U9" s="74"/>
      <c r="V9" s="69"/>
      <c r="W9" s="67"/>
      <c r="Y9" s="67"/>
    </row>
    <row r="10" spans="1:25" ht="14.4" x14ac:dyDescent="0.3">
      <c r="A10" s="72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75"/>
      <c r="U10" s="76"/>
      <c r="V10" s="77"/>
      <c r="W10" s="72"/>
      <c r="Y10" s="130"/>
    </row>
    <row r="11" spans="1:25" ht="14.4" x14ac:dyDescent="0.3">
      <c r="A11" s="72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75"/>
      <c r="U11" s="76"/>
      <c r="V11" s="77"/>
      <c r="W11" s="78"/>
      <c r="Y11" s="79"/>
    </row>
    <row r="12" spans="1:25" ht="14.4" x14ac:dyDescent="0.3">
      <c r="A12" s="72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75"/>
      <c r="U12" s="76"/>
      <c r="V12" s="77"/>
      <c r="W12" s="78"/>
      <c r="Y12" s="79"/>
    </row>
    <row r="13" spans="1:25" ht="14.4" x14ac:dyDescent="0.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90"/>
      <c r="T13" s="67"/>
      <c r="U13" s="74"/>
      <c r="V13" s="69"/>
    </row>
    <row r="14" spans="1:25" ht="14.4" x14ac:dyDescent="0.3">
      <c r="A14" s="72"/>
      <c r="B14" s="72"/>
      <c r="C14" s="72"/>
      <c r="D14" s="72"/>
      <c r="E14" s="72"/>
      <c r="F14" s="72"/>
      <c r="G14" s="80" t="s">
        <v>21</v>
      </c>
      <c r="H14" s="80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84"/>
      <c r="T14" s="72"/>
      <c r="U14" s="74"/>
      <c r="V14" s="69"/>
    </row>
    <row r="15" spans="1:25" ht="14.4" x14ac:dyDescent="0.3">
      <c r="A15" s="81" t="s">
        <v>22</v>
      </c>
      <c r="B15" s="67"/>
      <c r="C15" s="81" t="s">
        <v>23</v>
      </c>
      <c r="D15" s="67"/>
      <c r="E15" s="67"/>
      <c r="F15" s="67"/>
      <c r="G15" s="81" t="s">
        <v>24</v>
      </c>
      <c r="H15" s="81"/>
      <c r="I15" s="67"/>
      <c r="J15" s="67"/>
      <c r="K15" s="67"/>
      <c r="L15" s="67"/>
      <c r="M15" s="81" t="s">
        <v>25</v>
      </c>
      <c r="N15" s="81"/>
      <c r="O15" s="67"/>
      <c r="P15" s="67"/>
      <c r="Q15" s="81" t="s">
        <v>107</v>
      </c>
      <c r="R15" s="67"/>
      <c r="S15" s="133"/>
      <c r="T15" s="67"/>
      <c r="U15" s="74"/>
      <c r="V15" s="69"/>
    </row>
    <row r="16" spans="1:25" ht="15" thickBot="1" x14ac:dyDescent="0.35">
      <c r="A16" s="82" t="s">
        <v>27</v>
      </c>
      <c r="B16" s="83"/>
      <c r="C16" s="82" t="s">
        <v>28</v>
      </c>
      <c r="D16" s="83"/>
      <c r="E16" s="82" t="s">
        <v>29</v>
      </c>
      <c r="F16" s="83"/>
      <c r="G16" s="82" t="s">
        <v>30</v>
      </c>
      <c r="H16" s="84"/>
      <c r="I16" s="82" t="s">
        <v>31</v>
      </c>
      <c r="J16" s="84"/>
      <c r="K16" s="82" t="s">
        <v>32</v>
      </c>
      <c r="L16" s="84"/>
      <c r="M16" s="82" t="s">
        <v>28</v>
      </c>
      <c r="N16" s="84"/>
      <c r="O16" s="82" t="s">
        <v>33</v>
      </c>
      <c r="P16" s="84"/>
      <c r="Q16" s="82" t="s">
        <v>35</v>
      </c>
      <c r="R16" s="83"/>
      <c r="S16" s="84"/>
      <c r="T16" s="83"/>
      <c r="U16" s="74"/>
      <c r="V16" s="69"/>
    </row>
    <row r="17" spans="1:90" ht="14.4" x14ac:dyDescent="0.3">
      <c r="A17" s="80">
        <v>1</v>
      </c>
      <c r="B17" s="85"/>
      <c r="C17" s="85"/>
      <c r="D17" s="85"/>
      <c r="E17" s="85"/>
      <c r="F17" s="85"/>
      <c r="G17" s="85"/>
      <c r="H17" s="86"/>
      <c r="I17" s="85"/>
      <c r="J17" s="86"/>
      <c r="K17" s="85"/>
      <c r="L17" s="86"/>
      <c r="M17" s="85"/>
      <c r="N17" s="86"/>
      <c r="O17" s="85"/>
      <c r="P17" s="85"/>
      <c r="Q17" s="85"/>
      <c r="R17" s="85"/>
      <c r="S17" s="86"/>
      <c r="T17" s="85"/>
      <c r="U17" s="74"/>
      <c r="V17" s="69"/>
    </row>
    <row r="18" spans="1:90" ht="14.4" x14ac:dyDescent="0.3">
      <c r="A18" s="80">
        <f>A17+1</f>
        <v>2</v>
      </c>
      <c r="B18" s="67"/>
      <c r="C18" s="72" t="s">
        <v>36</v>
      </c>
      <c r="D18" s="67"/>
      <c r="E18" s="80" t="s">
        <v>37</v>
      </c>
      <c r="F18" s="67"/>
      <c r="G18" s="121">
        <f>'Sch J-3'!G21</f>
        <v>18696695.555414919</v>
      </c>
      <c r="H18" s="88"/>
      <c r="I18" s="89">
        <f>ROUND(G18/$G$26,5)</f>
        <v>4.0689999999999997E-2</v>
      </c>
      <c r="J18" s="88"/>
      <c r="K18" s="121">
        <f>ROUND(I18*$G$32,0)</f>
        <v>6890</v>
      </c>
      <c r="L18" s="88"/>
      <c r="M18" s="121">
        <f>G18+K18</f>
        <v>18703585.555414919</v>
      </c>
      <c r="N18" s="88"/>
      <c r="O18" s="89">
        <f>'Sch J-3'!G24</f>
        <v>3.3377991544647899E-2</v>
      </c>
      <c r="P18" s="89"/>
      <c r="Q18" s="89">
        <f>ROUND(O18*I18,4)</f>
        <v>1.4E-3</v>
      </c>
      <c r="R18" s="67"/>
      <c r="S18" s="98"/>
      <c r="T18" s="67"/>
      <c r="U18" s="74"/>
      <c r="V18" s="69"/>
    </row>
    <row r="19" spans="1:90" ht="14.4" x14ac:dyDescent="0.3">
      <c r="A19" s="80">
        <f t="shared" ref="A19:A32" si="0">A18+1</f>
        <v>3</v>
      </c>
      <c r="B19" s="67"/>
      <c r="C19" s="67"/>
      <c r="D19" s="67"/>
      <c r="E19" s="67"/>
      <c r="F19" s="67"/>
      <c r="G19" s="72"/>
      <c r="H19" s="90"/>
      <c r="I19" s="91"/>
      <c r="J19" s="90"/>
      <c r="K19" s="72"/>
      <c r="L19" s="90"/>
      <c r="M19" s="72"/>
      <c r="N19" s="90"/>
      <c r="O19" s="91"/>
      <c r="P19" s="91"/>
      <c r="Q19" s="89"/>
      <c r="R19" s="67"/>
      <c r="S19" s="97"/>
      <c r="T19" s="67"/>
      <c r="U19" s="74"/>
      <c r="V19" s="69"/>
    </row>
    <row r="20" spans="1:90" ht="14.4" x14ac:dyDescent="0.3">
      <c r="A20" s="80">
        <f t="shared" si="0"/>
        <v>4</v>
      </c>
      <c r="B20" s="67"/>
      <c r="C20" s="72" t="s">
        <v>38</v>
      </c>
      <c r="D20" s="67"/>
      <c r="E20" s="80" t="s">
        <v>39</v>
      </c>
      <c r="F20" s="67"/>
      <c r="G20" s="72">
        <f>'Sch J-4'!AC39</f>
        <v>220513482.65000004</v>
      </c>
      <c r="H20" s="93"/>
      <c r="I20" s="89">
        <f>ROUND(G20/$G$26,5)</f>
        <v>0.47986000000000001</v>
      </c>
      <c r="J20" s="93"/>
      <c r="K20" s="72">
        <f>ROUND(I20*$G$32,0)</f>
        <v>81254</v>
      </c>
      <c r="L20" s="93"/>
      <c r="M20" s="72">
        <f>G20+K20</f>
        <v>220594736.65000004</v>
      </c>
      <c r="N20" s="93"/>
      <c r="O20" s="89">
        <f>'Sch J-4'!I42</f>
        <v>5.8799999999999998E-2</v>
      </c>
      <c r="P20" s="89"/>
      <c r="Q20" s="89">
        <f>ROUND(O20*I20,4)</f>
        <v>2.8199999999999999E-2</v>
      </c>
      <c r="R20" s="67"/>
      <c r="S20" s="98"/>
      <c r="T20" s="67"/>
      <c r="U20" s="74"/>
      <c r="V20" s="69"/>
    </row>
    <row r="21" spans="1:90" ht="14.4" x14ac:dyDescent="0.3">
      <c r="A21" s="80">
        <f t="shared" si="0"/>
        <v>5</v>
      </c>
      <c r="B21" s="67"/>
      <c r="C21" s="67"/>
      <c r="D21" s="67"/>
      <c r="E21" s="67"/>
      <c r="F21" s="67"/>
      <c r="G21" s="72"/>
      <c r="H21" s="90"/>
      <c r="I21" s="91"/>
      <c r="J21" s="90"/>
      <c r="K21" s="72"/>
      <c r="L21" s="90"/>
      <c r="M21" s="72"/>
      <c r="N21" s="90"/>
      <c r="O21" s="91"/>
      <c r="P21" s="91"/>
      <c r="Q21" s="91"/>
      <c r="R21" s="67"/>
      <c r="S21" s="97"/>
      <c r="T21" s="67"/>
      <c r="U21" s="74"/>
      <c r="V21" s="69"/>
    </row>
    <row r="22" spans="1:90" ht="14.4" x14ac:dyDescent="0.3">
      <c r="A22" s="80">
        <f t="shared" si="0"/>
        <v>6</v>
      </c>
      <c r="B22" s="67"/>
      <c r="C22" s="72" t="s">
        <v>5</v>
      </c>
      <c r="D22" s="67"/>
      <c r="E22" s="80" t="s">
        <v>40</v>
      </c>
      <c r="F22" s="67"/>
      <c r="G22" s="72">
        <f>'Sch J-5'!O27</f>
        <v>2243626.38</v>
      </c>
      <c r="H22" s="93"/>
      <c r="I22" s="89">
        <f>ROUND(G22/$G$26,5)</f>
        <v>4.8799999999999998E-3</v>
      </c>
      <c r="J22" s="93"/>
      <c r="K22" s="72">
        <f>ROUND(I22*$G$32,0)</f>
        <v>826</v>
      </c>
      <c r="L22" s="93"/>
      <c r="M22" s="72">
        <f>G22+K22</f>
        <v>2244452.38</v>
      </c>
      <c r="N22" s="93"/>
      <c r="O22" s="89">
        <f>'Sch J-5'!G30</f>
        <v>8.5099999999999995E-2</v>
      </c>
      <c r="P22" s="89"/>
      <c r="Q22" s="89">
        <f>ROUND(O22*I22,4)</f>
        <v>4.0000000000000002E-4</v>
      </c>
      <c r="R22" s="67"/>
      <c r="S22" s="98"/>
      <c r="T22" s="67"/>
      <c r="U22" s="74"/>
      <c r="V22" s="69"/>
    </row>
    <row r="23" spans="1:90" ht="14.4" x14ac:dyDescent="0.3">
      <c r="A23" s="80">
        <f t="shared" si="0"/>
        <v>7</v>
      </c>
      <c r="B23" s="67"/>
      <c r="C23" s="67"/>
      <c r="D23" s="67"/>
      <c r="E23" s="67"/>
      <c r="F23" s="67"/>
      <c r="G23" s="72"/>
      <c r="H23" s="90"/>
      <c r="I23" s="91"/>
      <c r="J23" s="90"/>
      <c r="K23" s="72"/>
      <c r="L23" s="90"/>
      <c r="M23" s="72"/>
      <c r="N23" s="90"/>
      <c r="O23" s="91"/>
      <c r="P23" s="91"/>
      <c r="Q23" s="91"/>
      <c r="R23" s="67"/>
      <c r="S23" s="97"/>
      <c r="T23" s="67"/>
      <c r="U23" s="74"/>
      <c r="V23" s="69"/>
    </row>
    <row r="24" spans="1:90" ht="14.4" x14ac:dyDescent="0.3">
      <c r="A24" s="80">
        <f t="shared" si="0"/>
        <v>8</v>
      </c>
      <c r="B24" s="67"/>
      <c r="C24" s="72" t="s">
        <v>4</v>
      </c>
      <c r="D24" s="67"/>
      <c r="E24" s="80" t="str">
        <f>Linkin!C29</f>
        <v>W/P - 7-6</v>
      </c>
      <c r="F24" s="67"/>
      <c r="G24" s="120">
        <f>'Sch J WPs'!AE493</f>
        <v>218084143.42169979</v>
      </c>
      <c r="H24" s="93"/>
      <c r="I24" s="96">
        <f>1-SUM(I18:I22)</f>
        <v>0.47457000000000005</v>
      </c>
      <c r="J24" s="93"/>
      <c r="K24" s="120">
        <f>G32-SUM(K18:K22)</f>
        <v>80357.619999999937</v>
      </c>
      <c r="L24" s="93"/>
      <c r="M24" s="120">
        <f>G24+K24</f>
        <v>218164501.0416998</v>
      </c>
      <c r="N24" s="93"/>
      <c r="O24" s="97">
        <f>'Sch J-1'!O24</f>
        <v>0.108</v>
      </c>
      <c r="P24" s="97"/>
      <c r="Q24" s="96">
        <f>ROUND(O24*I24,4)</f>
        <v>5.1299999999999998E-2</v>
      </c>
      <c r="R24" s="67"/>
      <c r="S24" s="98"/>
      <c r="T24" s="67"/>
      <c r="U24" s="74"/>
      <c r="V24" s="69"/>
    </row>
    <row r="25" spans="1:90" ht="14.4" x14ac:dyDescent="0.3">
      <c r="A25" s="80">
        <f t="shared" si="0"/>
        <v>9</v>
      </c>
      <c r="B25" s="67"/>
      <c r="C25" s="67"/>
      <c r="D25" s="67"/>
      <c r="E25" s="67"/>
      <c r="F25" s="67"/>
      <c r="G25" s="122"/>
      <c r="H25" s="86"/>
      <c r="I25" s="89"/>
      <c r="J25" s="86"/>
      <c r="K25" s="122"/>
      <c r="L25" s="86"/>
      <c r="M25" s="122"/>
      <c r="N25" s="86"/>
      <c r="O25" s="98"/>
      <c r="P25" s="98"/>
      <c r="Q25" s="89"/>
      <c r="R25" s="67"/>
      <c r="S25" s="98"/>
      <c r="T25" s="67"/>
      <c r="U25" s="74"/>
      <c r="V25" s="69"/>
    </row>
    <row r="26" spans="1:90" ht="15" thickBot="1" x14ac:dyDescent="0.35">
      <c r="A26" s="80">
        <f t="shared" si="0"/>
        <v>10</v>
      </c>
      <c r="B26" s="67"/>
      <c r="C26" s="72" t="s">
        <v>41</v>
      </c>
      <c r="D26" s="67"/>
      <c r="E26" s="67"/>
      <c r="F26" s="67"/>
      <c r="G26" s="123">
        <f>SUM(G18:G24)</f>
        <v>459537948.00711477</v>
      </c>
      <c r="H26" s="88"/>
      <c r="I26" s="99">
        <f>SUM(I18:I24)</f>
        <v>1</v>
      </c>
      <c r="J26" s="88"/>
      <c r="K26" s="123">
        <f>SUM(K18:K24)</f>
        <v>169327.61999999994</v>
      </c>
      <c r="L26" s="88"/>
      <c r="M26" s="123">
        <f>SUM(M18:M24)</f>
        <v>459707275.62711477</v>
      </c>
      <c r="N26" s="88"/>
      <c r="O26" s="91"/>
      <c r="P26" s="91"/>
      <c r="Q26" s="99">
        <f>SUM(Q18:Q24)</f>
        <v>8.1299999999999997E-2</v>
      </c>
      <c r="R26" s="67"/>
      <c r="S26" s="97"/>
      <c r="T26" s="67"/>
      <c r="U26" s="74"/>
      <c r="V26" s="69"/>
      <c r="CK26" s="68" t="e">
        <f>#REF!</f>
        <v>#REF!</v>
      </c>
      <c r="CL26" s="68" t="e">
        <f>CK26-#REF!</f>
        <v>#REF!</v>
      </c>
    </row>
    <row r="27" spans="1:90" ht="15" thickTop="1" x14ac:dyDescent="0.3">
      <c r="A27" s="80">
        <f t="shared" si="0"/>
        <v>11</v>
      </c>
      <c r="B27" s="67"/>
      <c r="C27" s="67"/>
      <c r="D27" s="67"/>
      <c r="E27" s="67"/>
      <c r="F27" s="67"/>
      <c r="G27" s="85"/>
      <c r="H27" s="86"/>
      <c r="I27" s="85"/>
      <c r="J27" s="86"/>
      <c r="K27" s="85"/>
      <c r="L27" s="86"/>
      <c r="M27" s="85"/>
      <c r="N27" s="86"/>
      <c r="O27" s="67"/>
      <c r="P27" s="67"/>
      <c r="Q27" s="85"/>
      <c r="R27" s="67"/>
      <c r="S27" s="86"/>
      <c r="T27" s="67"/>
      <c r="U27" s="74"/>
      <c r="V27" s="69"/>
      <c r="CK27" s="68" t="e">
        <f>#REF!</f>
        <v>#REF!</v>
      </c>
      <c r="CL27" s="68" t="e">
        <f>CK27-#REF!</f>
        <v>#REF!</v>
      </c>
    </row>
    <row r="28" spans="1:90" ht="14.4" x14ac:dyDescent="0.3">
      <c r="A28" s="80">
        <f t="shared" si="0"/>
        <v>12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90"/>
      <c r="T28" s="67"/>
      <c r="U28" s="74"/>
      <c r="V28" s="69"/>
      <c r="CK28" s="68" t="e">
        <f>#REF!</f>
        <v>#REF!</v>
      </c>
      <c r="CL28" s="68" t="e">
        <f>CK28-#REF!</f>
        <v>#REF!</v>
      </c>
    </row>
    <row r="29" spans="1:90" ht="14.4" x14ac:dyDescent="0.3">
      <c r="A29" s="80">
        <f t="shared" si="0"/>
        <v>13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74"/>
      <c r="V29" s="69"/>
      <c r="CK29" s="68" t="e">
        <f>#REF!</f>
        <v>#REF!</v>
      </c>
      <c r="CL29" s="68" t="e">
        <f>CK29-#REF!</f>
        <v>#REF!</v>
      </c>
    </row>
    <row r="30" spans="1:90" ht="14.4" x14ac:dyDescent="0.3">
      <c r="A30" s="80">
        <f t="shared" si="0"/>
        <v>14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100"/>
      <c r="N30" s="100"/>
      <c r="O30" s="67"/>
      <c r="P30" s="67"/>
      <c r="Q30" s="67"/>
      <c r="R30" s="67"/>
      <c r="S30" s="67"/>
      <c r="T30" s="67"/>
      <c r="U30" s="74"/>
      <c r="V30" s="69"/>
      <c r="CK30" s="68" t="e">
        <f>#REF!</f>
        <v>#REF!</v>
      </c>
      <c r="CL30" s="68" t="e">
        <f>CK30-#REF!</f>
        <v>#REF!</v>
      </c>
    </row>
    <row r="31" spans="1:90" ht="14.4" x14ac:dyDescent="0.3">
      <c r="A31" s="80">
        <f t="shared" si="0"/>
        <v>15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74"/>
      <c r="V31" s="69"/>
      <c r="CK31" s="68" t="e">
        <f>#REF!</f>
        <v>#REF!</v>
      </c>
      <c r="CL31" s="68" t="e">
        <f>CK31-#REF!</f>
        <v>#REF!</v>
      </c>
    </row>
    <row r="32" spans="1:90" ht="15" thickBot="1" x14ac:dyDescent="0.35">
      <c r="A32" s="80">
        <f t="shared" si="0"/>
        <v>16</v>
      </c>
      <c r="B32" s="67"/>
      <c r="C32" s="72" t="s">
        <v>42</v>
      </c>
      <c r="D32" s="67"/>
      <c r="E32" s="198" t="str">
        <f>Linkin!C30</f>
        <v>W/P - 7-7</v>
      </c>
      <c r="F32" s="67"/>
      <c r="G32" s="112">
        <f>'Sch J WPs'!AE523</f>
        <v>169327.61999999994</v>
      </c>
      <c r="H32" s="67"/>
      <c r="I32" s="9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74"/>
      <c r="V32" s="69"/>
      <c r="CK32" s="68" t="e">
        <f>#REF!</f>
        <v>#REF!</v>
      </c>
      <c r="CL32" s="68" t="e">
        <f>CK32-#REF!</f>
        <v>#REF!</v>
      </c>
    </row>
    <row r="33" spans="1:91" ht="15" thickTop="1" x14ac:dyDescent="0.3">
      <c r="A33" s="80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74"/>
      <c r="V33" s="69"/>
      <c r="CK33" s="68" t="e">
        <f>#REF!</f>
        <v>#REF!</v>
      </c>
      <c r="CL33" s="68" t="e">
        <f>CK33-#REF!</f>
        <v>#REF!</v>
      </c>
    </row>
    <row r="34" spans="1:91" ht="14.4" x14ac:dyDescent="0.3">
      <c r="A34" s="80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74"/>
      <c r="V34" s="69"/>
      <c r="CK34" s="68" t="e">
        <f>#REF!</f>
        <v>#REF!</v>
      </c>
      <c r="CL34" s="68" t="e">
        <f>CK34-#REF!</f>
        <v>#REF!</v>
      </c>
    </row>
    <row r="35" spans="1:91" ht="14.4" x14ac:dyDescent="0.3">
      <c r="A35" s="80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74"/>
      <c r="V35" s="69"/>
      <c r="CK35" s="68" t="e">
        <f>#REF!</f>
        <v>#REF!</v>
      </c>
      <c r="CL35" s="68" t="e">
        <f>CK35-#REF!</f>
        <v>#REF!</v>
      </c>
    </row>
    <row r="36" spans="1:91" ht="14.4" x14ac:dyDescent="0.3">
      <c r="A36" s="80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74"/>
      <c r="V36" s="69"/>
      <c r="CK36" s="68" t="e">
        <f>#REF!</f>
        <v>#REF!</v>
      </c>
      <c r="CL36" s="68" t="e">
        <f>CK36-#REF!</f>
        <v>#REF!</v>
      </c>
    </row>
    <row r="37" spans="1:91" ht="14.4" x14ac:dyDescent="0.3">
      <c r="A37" s="8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74"/>
      <c r="V37" s="69"/>
      <c r="CK37" s="68" t="e">
        <f>#REF!</f>
        <v>#REF!</v>
      </c>
      <c r="CL37" s="68" t="e">
        <f>CK37-#REF!</f>
        <v>#REF!</v>
      </c>
    </row>
    <row r="38" spans="1:91" ht="14.4" x14ac:dyDescent="0.3">
      <c r="A38" s="80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74"/>
      <c r="V38" s="69"/>
      <c r="CK38" s="68" t="e">
        <f>#REF!</f>
        <v>#REF!</v>
      </c>
      <c r="CL38" s="68" t="e">
        <f>CK38-#REF!</f>
        <v>#REF!</v>
      </c>
    </row>
    <row r="39" spans="1:91" ht="14.4" x14ac:dyDescent="0.3">
      <c r="A39" s="243" t="str">
        <f>A1</f>
        <v>Kentucky American Water Company</v>
      </c>
      <c r="B39" s="243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70"/>
      <c r="S39" s="70"/>
      <c r="T39" s="101"/>
      <c r="V39" s="69"/>
    </row>
    <row r="40" spans="1:91" ht="14.4" x14ac:dyDescent="0.3">
      <c r="A40" s="243" t="str">
        <f>A2</f>
        <v>Case No. 2018-00358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70"/>
      <c r="S40" s="70"/>
      <c r="T40" s="101"/>
      <c r="V40" s="69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</row>
    <row r="41" spans="1:91" ht="14.4" x14ac:dyDescent="0.3">
      <c r="A41" s="243" t="str">
        <f>Linkin!E40</f>
        <v>Cost of Capital Summary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70"/>
      <c r="S41" s="70"/>
      <c r="T41" s="101"/>
      <c r="V41" s="69"/>
    </row>
    <row r="42" spans="1:91" ht="14.4" x14ac:dyDescent="0.3">
      <c r="A42" s="243" t="str">
        <f>Linkin!C6</f>
        <v>As of February 28, 2019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70"/>
      <c r="S42" s="70"/>
      <c r="T42" s="101"/>
      <c r="V42" s="69"/>
    </row>
    <row r="43" spans="1:91" ht="14.4" x14ac:dyDescent="0.3">
      <c r="A43" s="67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U43" s="74"/>
      <c r="V43" s="69"/>
    </row>
    <row r="44" spans="1:91" ht="14.4" x14ac:dyDescent="0.3">
      <c r="A44" s="197" t="s">
        <v>216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75" t="s">
        <v>215</v>
      </c>
      <c r="R44" s="67"/>
      <c r="U44" s="74"/>
      <c r="V44" s="69"/>
    </row>
    <row r="45" spans="1:91" ht="14.4" x14ac:dyDescent="0.3">
      <c r="A45" s="67" t="str">
        <f>Linkin!A17</f>
        <v>Type of Filing: __X__ Original  _____ Updated  _____ Revised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96" t="str">
        <f ca="1">RIGHT(CELL("filename",$A$1),LEN(CELL("filename",$A$1))-SEARCH("\Capital",CELL("filename",$A$1),1))</f>
        <v>Capital Structure\[KAWC 2018 Rate Case - Capital Structure.xlsx]Sch J-2</v>
      </c>
      <c r="R45" s="67"/>
      <c r="U45" s="74"/>
      <c r="V45" s="69"/>
    </row>
    <row r="46" spans="1:91" ht="14.4" x14ac:dyDescent="0.3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200" t="str">
        <f>Linkin!G40</f>
        <v>Witness Responsible:   Scott Rungren</v>
      </c>
      <c r="R46" s="67"/>
      <c r="U46" s="74"/>
      <c r="V46" s="69"/>
    </row>
    <row r="47" spans="1:91" ht="14.4" x14ac:dyDescent="0.3">
      <c r="A47" s="72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196" t="s">
        <v>177</v>
      </c>
      <c r="R47" s="67"/>
      <c r="U47" s="74"/>
      <c r="V47" s="69"/>
    </row>
    <row r="48" spans="1:91" ht="14.4" x14ac:dyDescent="0.3">
      <c r="A48" s="72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75"/>
      <c r="U48" s="74"/>
      <c r="V48" s="69"/>
    </row>
    <row r="49" spans="1:22" ht="14.4" x14ac:dyDescent="0.3">
      <c r="A49" s="72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75"/>
      <c r="U49" s="74"/>
      <c r="V49" s="69"/>
    </row>
    <row r="50" spans="1:22" ht="14.4" x14ac:dyDescent="0.3">
      <c r="A50" s="72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75"/>
      <c r="U50" s="74"/>
      <c r="V50" s="69"/>
    </row>
    <row r="51" spans="1:22" ht="14.4" x14ac:dyDescent="0.3">
      <c r="A51" s="85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74"/>
      <c r="V51" s="69"/>
    </row>
    <row r="52" spans="1:22" ht="14.4" x14ac:dyDescent="0.3">
      <c r="A52" s="72"/>
      <c r="B52" s="72"/>
      <c r="C52" s="72"/>
      <c r="D52" s="72"/>
      <c r="E52" s="72"/>
      <c r="F52" s="72"/>
      <c r="G52" s="80" t="s">
        <v>21</v>
      </c>
      <c r="H52" s="80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4"/>
      <c r="V52" s="69"/>
    </row>
    <row r="53" spans="1:22" ht="14.4" x14ac:dyDescent="0.3">
      <c r="A53" s="81" t="s">
        <v>22</v>
      </c>
      <c r="B53" s="67"/>
      <c r="C53" s="81" t="s">
        <v>23</v>
      </c>
      <c r="D53" s="67"/>
      <c r="E53" s="67"/>
      <c r="F53" s="67"/>
      <c r="G53" s="81" t="s">
        <v>24</v>
      </c>
      <c r="H53" s="81"/>
      <c r="I53" s="67"/>
      <c r="J53" s="67"/>
      <c r="K53" s="67"/>
      <c r="L53" s="67"/>
      <c r="M53" s="81" t="s">
        <v>25</v>
      </c>
      <c r="N53" s="81"/>
      <c r="O53" s="67"/>
      <c r="P53" s="67"/>
      <c r="Q53" s="81" t="s">
        <v>107</v>
      </c>
      <c r="R53" s="67"/>
      <c r="S53" s="67"/>
      <c r="T53" s="67"/>
      <c r="U53" s="74"/>
      <c r="V53" s="69"/>
    </row>
    <row r="54" spans="1:22" ht="15" thickBot="1" x14ac:dyDescent="0.35">
      <c r="A54" s="82" t="s">
        <v>27</v>
      </c>
      <c r="B54" s="83"/>
      <c r="C54" s="82" t="s">
        <v>28</v>
      </c>
      <c r="D54" s="83"/>
      <c r="E54" s="82" t="s">
        <v>29</v>
      </c>
      <c r="F54" s="83"/>
      <c r="G54" s="82" t="s">
        <v>30</v>
      </c>
      <c r="H54" s="84"/>
      <c r="I54" s="82" t="s">
        <v>31</v>
      </c>
      <c r="J54" s="84"/>
      <c r="K54" s="82" t="s">
        <v>32</v>
      </c>
      <c r="L54" s="84"/>
      <c r="M54" s="82" t="s">
        <v>28</v>
      </c>
      <c r="N54" s="84"/>
      <c r="O54" s="82" t="s">
        <v>33</v>
      </c>
      <c r="P54" s="84"/>
      <c r="Q54" s="82" t="s">
        <v>35</v>
      </c>
      <c r="R54" s="83"/>
      <c r="S54" s="84"/>
      <c r="T54" s="83"/>
      <c r="U54" s="74"/>
      <c r="V54" s="69"/>
    </row>
    <row r="55" spans="1:22" ht="14.4" x14ac:dyDescent="0.3">
      <c r="A55" s="80">
        <v>1</v>
      </c>
      <c r="B55" s="85"/>
      <c r="C55" s="85"/>
      <c r="D55" s="85"/>
      <c r="E55" s="85"/>
      <c r="F55" s="85"/>
      <c r="G55" s="85"/>
      <c r="H55" s="86"/>
      <c r="I55" s="85"/>
      <c r="J55" s="86"/>
      <c r="K55" s="85"/>
      <c r="L55" s="86"/>
      <c r="M55" s="85"/>
      <c r="N55" s="86"/>
      <c r="O55" s="85"/>
      <c r="P55" s="86"/>
      <c r="Q55" s="85"/>
      <c r="R55" s="85"/>
      <c r="S55" s="85"/>
      <c r="T55" s="85"/>
      <c r="U55" s="74"/>
      <c r="V55" s="69"/>
    </row>
    <row r="56" spans="1:22" ht="14.4" x14ac:dyDescent="0.3">
      <c r="A56" s="80">
        <f>A55+1</f>
        <v>2</v>
      </c>
      <c r="B56" s="67"/>
      <c r="C56" s="72" t="s">
        <v>36</v>
      </c>
      <c r="D56" s="67"/>
      <c r="E56" s="80" t="s">
        <v>43</v>
      </c>
      <c r="F56" s="67"/>
      <c r="G56" s="121">
        <f>'Sch J-3'!G51</f>
        <v>17047056.517370932</v>
      </c>
      <c r="H56" s="88"/>
      <c r="I56" s="89">
        <f>ROUND(G56/$G$64,6)</f>
        <v>3.9604E-2</v>
      </c>
      <c r="J56" s="88"/>
      <c r="K56" s="121">
        <f>ROUND(I56*$G$70,0)</f>
        <v>10447</v>
      </c>
      <c r="L56" s="88"/>
      <c r="M56" s="121">
        <f>G56+K56</f>
        <v>17057503.517370932</v>
      </c>
      <c r="N56" s="88"/>
      <c r="O56" s="89">
        <f>'Sch J-3'!G54</f>
        <v>2.8686581219739198E-2</v>
      </c>
      <c r="P56" s="89"/>
      <c r="Q56" s="89">
        <f>ROUND(O56*I56,4)</f>
        <v>1.1000000000000001E-3</v>
      </c>
      <c r="R56" s="67"/>
      <c r="S56" s="67"/>
      <c r="T56" s="67"/>
      <c r="U56" s="74"/>
      <c r="V56" s="69"/>
    </row>
    <row r="57" spans="1:22" ht="14.4" x14ac:dyDescent="0.3">
      <c r="A57" s="80">
        <f t="shared" ref="A57:A70" si="1">A56+1</f>
        <v>3</v>
      </c>
      <c r="B57" s="67"/>
      <c r="C57" s="67"/>
      <c r="D57" s="67"/>
      <c r="E57" s="67"/>
      <c r="F57" s="67"/>
      <c r="G57" s="72"/>
      <c r="H57" s="90"/>
      <c r="I57" s="91"/>
      <c r="J57" s="90"/>
      <c r="K57" s="72"/>
      <c r="L57" s="90"/>
      <c r="M57" s="72"/>
      <c r="N57" s="90"/>
      <c r="O57" s="91"/>
      <c r="P57" s="91"/>
      <c r="Q57" s="89"/>
      <c r="R57" s="67"/>
      <c r="S57" s="67"/>
      <c r="T57" s="67"/>
      <c r="U57" s="74"/>
      <c r="V57" s="69"/>
    </row>
    <row r="58" spans="1:22" ht="14.4" x14ac:dyDescent="0.3">
      <c r="A58" s="80">
        <f t="shared" si="1"/>
        <v>4</v>
      </c>
      <c r="B58" s="67"/>
      <c r="C58" s="72" t="s">
        <v>38</v>
      </c>
      <c r="D58" s="67"/>
      <c r="E58" s="80" t="s">
        <v>44</v>
      </c>
      <c r="F58" s="67"/>
      <c r="G58" s="72">
        <f>'Sch J-4'!AC87</f>
        <v>204313965.86999997</v>
      </c>
      <c r="H58" s="93"/>
      <c r="I58" s="89">
        <f>ROUND(G58/$G$64,6)</f>
        <v>0.474665</v>
      </c>
      <c r="J58" s="93"/>
      <c r="K58" s="72">
        <f>ROUND(I58*$G$70,0)</f>
        <v>125208</v>
      </c>
      <c r="L58" s="93"/>
      <c r="M58" s="72">
        <f>G58+K58</f>
        <v>204439173.86999997</v>
      </c>
      <c r="N58" s="93"/>
      <c r="O58" s="89">
        <f>'Sch J-4'!I90</f>
        <v>5.9900000000000002E-2</v>
      </c>
      <c r="P58" s="89"/>
      <c r="Q58" s="89">
        <f>ROUND(O58*I58,4)</f>
        <v>2.8400000000000002E-2</v>
      </c>
      <c r="R58" s="67"/>
      <c r="S58" s="67"/>
      <c r="T58" s="67"/>
      <c r="U58" s="74"/>
      <c r="V58" s="69"/>
    </row>
    <row r="59" spans="1:22" ht="14.4" x14ac:dyDescent="0.3">
      <c r="A59" s="80">
        <f t="shared" si="1"/>
        <v>5</v>
      </c>
      <c r="B59" s="67"/>
      <c r="C59" s="67"/>
      <c r="D59" s="67"/>
      <c r="E59" s="67"/>
      <c r="F59" s="67"/>
      <c r="G59" s="72"/>
      <c r="H59" s="90"/>
      <c r="I59" s="91"/>
      <c r="J59" s="90"/>
      <c r="K59" s="72"/>
      <c r="L59" s="90"/>
      <c r="M59" s="72"/>
      <c r="N59" s="90"/>
      <c r="O59" s="91"/>
      <c r="P59" s="91"/>
      <c r="Q59" s="91"/>
      <c r="R59" s="67"/>
      <c r="S59" s="67"/>
      <c r="T59" s="67"/>
      <c r="U59" s="74"/>
      <c r="V59" s="69"/>
    </row>
    <row r="60" spans="1:22" ht="14.4" x14ac:dyDescent="0.3">
      <c r="A60" s="80">
        <f t="shared" si="1"/>
        <v>6</v>
      </c>
      <c r="B60" s="67"/>
      <c r="C60" s="72" t="s">
        <v>5</v>
      </c>
      <c r="D60" s="67"/>
      <c r="E60" s="80" t="s">
        <v>45</v>
      </c>
      <c r="F60" s="67"/>
      <c r="G60" s="72">
        <f>'Sch J-5'!O66</f>
        <v>2243111.34</v>
      </c>
      <c r="H60" s="93"/>
      <c r="I60" s="89">
        <f>ROUND(G60/$G$64,6)</f>
        <v>5.2110000000000004E-3</v>
      </c>
      <c r="J60" s="93"/>
      <c r="K60" s="72">
        <f>ROUND(I60*$G$70,0)</f>
        <v>1375</v>
      </c>
      <c r="L60" s="93"/>
      <c r="M60" s="72">
        <f>G60+K60</f>
        <v>2244486.34</v>
      </c>
      <c r="N60" s="93"/>
      <c r="O60" s="89">
        <f>'Sch J-5'!G69</f>
        <v>8.5099999999999995E-2</v>
      </c>
      <c r="P60" s="89"/>
      <c r="Q60" s="89">
        <f>ROUND(O60*I60,4)</f>
        <v>4.0000000000000002E-4</v>
      </c>
      <c r="R60" s="67"/>
      <c r="S60" s="67"/>
      <c r="T60" s="67"/>
      <c r="U60" s="74"/>
      <c r="V60" s="69"/>
    </row>
    <row r="61" spans="1:22" ht="14.4" x14ac:dyDescent="0.3">
      <c r="A61" s="80">
        <f t="shared" si="1"/>
        <v>7</v>
      </c>
      <c r="B61" s="67"/>
      <c r="C61" s="67"/>
      <c r="D61" s="67"/>
      <c r="E61" s="67"/>
      <c r="F61" s="67"/>
      <c r="G61" s="72"/>
      <c r="H61" s="90"/>
      <c r="I61" s="91"/>
      <c r="J61" s="90"/>
      <c r="K61" s="72"/>
      <c r="L61" s="90"/>
      <c r="M61" s="72"/>
      <c r="N61" s="90"/>
      <c r="O61" s="91"/>
      <c r="P61" s="91"/>
      <c r="Q61" s="91"/>
      <c r="R61" s="67"/>
      <c r="S61" s="67"/>
      <c r="T61" s="67"/>
      <c r="U61" s="74"/>
      <c r="V61" s="69"/>
    </row>
    <row r="62" spans="1:22" ht="14.4" x14ac:dyDescent="0.3">
      <c r="A62" s="80">
        <f t="shared" si="1"/>
        <v>8</v>
      </c>
      <c r="B62" s="67"/>
      <c r="C62" s="72" t="s">
        <v>4</v>
      </c>
      <c r="D62" s="67"/>
      <c r="E62" s="81" t="str">
        <f>Linkin!C29</f>
        <v>W/P - 7-6</v>
      </c>
      <c r="F62" s="67"/>
      <c r="G62" s="120">
        <f>'Sch J WPs'!O493</f>
        <v>206833861.29197243</v>
      </c>
      <c r="H62" s="93"/>
      <c r="I62" s="96">
        <f>ROUND(G62/$G$64,6)</f>
        <v>0.48052</v>
      </c>
      <c r="J62" s="93"/>
      <c r="K62" s="120">
        <f>G70-SUM(K56:K60)</f>
        <v>126750.89999999973</v>
      </c>
      <c r="L62" s="93"/>
      <c r="M62" s="120">
        <f>G62+K62</f>
        <v>206960612.19197243</v>
      </c>
      <c r="N62" s="93"/>
      <c r="O62" s="97">
        <f>O24</f>
        <v>0.108</v>
      </c>
      <c r="P62" s="97"/>
      <c r="Q62" s="96">
        <f>ROUND(O62*I62,4)</f>
        <v>5.1900000000000002E-2</v>
      </c>
      <c r="R62" s="67"/>
      <c r="S62" s="67"/>
      <c r="T62" s="67"/>
      <c r="U62" s="74"/>
      <c r="V62" s="69"/>
    </row>
    <row r="63" spans="1:22" ht="14.4" x14ac:dyDescent="0.3">
      <c r="A63" s="80">
        <f t="shared" si="1"/>
        <v>9</v>
      </c>
      <c r="B63" s="67"/>
      <c r="C63" s="67"/>
      <c r="D63" s="67"/>
      <c r="E63" s="67"/>
      <c r="F63" s="67"/>
      <c r="G63" s="122"/>
      <c r="H63" s="86"/>
      <c r="I63" s="89"/>
      <c r="J63" s="86"/>
      <c r="K63" s="122"/>
      <c r="L63" s="86"/>
      <c r="M63" s="122"/>
      <c r="N63" s="86"/>
      <c r="O63" s="98"/>
      <c r="P63" s="98"/>
      <c r="Q63" s="89"/>
      <c r="R63" s="67"/>
      <c r="S63" s="67"/>
      <c r="T63" s="67"/>
      <c r="U63" s="74"/>
      <c r="V63" s="69"/>
    </row>
    <row r="64" spans="1:22" ht="15" thickBot="1" x14ac:dyDescent="0.35">
      <c r="A64" s="80">
        <f t="shared" si="1"/>
        <v>10</v>
      </c>
      <c r="B64" s="67"/>
      <c r="C64" s="72" t="s">
        <v>41</v>
      </c>
      <c r="D64" s="67"/>
      <c r="E64" s="67"/>
      <c r="F64" s="67"/>
      <c r="G64" s="123">
        <f>SUM(G56:G62)</f>
        <v>430437995.01934338</v>
      </c>
      <c r="H64" s="88"/>
      <c r="I64" s="99">
        <f>SUM(I56:I62)</f>
        <v>1</v>
      </c>
      <c r="J64" s="88"/>
      <c r="K64" s="123">
        <f>SUM(K56:K62)</f>
        <v>263780.89999999973</v>
      </c>
      <c r="L64" s="88"/>
      <c r="M64" s="123">
        <f>SUM(M56:M62)</f>
        <v>430701775.91934335</v>
      </c>
      <c r="N64" s="88"/>
      <c r="O64" s="91"/>
      <c r="P64" s="91"/>
      <c r="Q64" s="99">
        <f>SUM(Q56:Q62)</f>
        <v>8.1800000000000012E-2</v>
      </c>
      <c r="R64" s="67"/>
      <c r="S64" s="67"/>
      <c r="T64" s="67"/>
      <c r="U64" s="74"/>
      <c r="V64" s="69"/>
    </row>
    <row r="65" spans="1:22" ht="15" thickTop="1" x14ac:dyDescent="0.3">
      <c r="A65" s="80">
        <f t="shared" si="1"/>
        <v>11</v>
      </c>
      <c r="B65" s="67"/>
      <c r="C65" s="67"/>
      <c r="D65" s="67"/>
      <c r="E65" s="67"/>
      <c r="F65" s="67"/>
      <c r="G65" s="85"/>
      <c r="H65" s="86"/>
      <c r="I65" s="85"/>
      <c r="J65" s="86"/>
      <c r="K65" s="85"/>
      <c r="L65" s="86"/>
      <c r="M65" s="85"/>
      <c r="N65" s="86"/>
      <c r="O65" s="67"/>
      <c r="P65" s="86"/>
      <c r="Q65" s="85"/>
      <c r="R65" s="67"/>
      <c r="S65" s="67"/>
      <c r="T65" s="67"/>
      <c r="U65" s="74"/>
      <c r="V65" s="69"/>
    </row>
    <row r="66" spans="1:22" ht="14.4" x14ac:dyDescent="0.3">
      <c r="A66" s="80">
        <f t="shared" si="1"/>
        <v>12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74"/>
      <c r="V66" s="69"/>
    </row>
    <row r="67" spans="1:22" ht="14.4" x14ac:dyDescent="0.3">
      <c r="A67" s="80">
        <f t="shared" si="1"/>
        <v>13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74"/>
      <c r="V67" s="69"/>
    </row>
    <row r="68" spans="1:22" ht="14.4" x14ac:dyDescent="0.3">
      <c r="A68" s="80">
        <f t="shared" si="1"/>
        <v>14</v>
      </c>
      <c r="B68" s="67"/>
      <c r="C68" s="67"/>
      <c r="D68" s="67"/>
      <c r="E68" s="67"/>
      <c r="F68" s="67"/>
      <c r="G68" s="100"/>
      <c r="H68" s="100"/>
      <c r="I68" s="67"/>
      <c r="J68" s="67"/>
      <c r="K68" s="67"/>
      <c r="L68" s="67"/>
      <c r="M68" s="100"/>
      <c r="N68" s="100"/>
      <c r="O68" s="67"/>
      <c r="P68" s="67"/>
      <c r="Q68" s="67"/>
      <c r="R68" s="67"/>
      <c r="S68" s="67"/>
      <c r="T68" s="67"/>
      <c r="U68" s="74"/>
      <c r="V68" s="69"/>
    </row>
    <row r="69" spans="1:22" ht="14.4" x14ac:dyDescent="0.3">
      <c r="A69" s="80">
        <f t="shared" si="1"/>
        <v>15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100"/>
      <c r="N69" s="100"/>
      <c r="O69" s="67"/>
      <c r="P69" s="67"/>
      <c r="Q69" s="67"/>
      <c r="R69" s="67"/>
      <c r="S69" s="67"/>
      <c r="T69" s="67"/>
      <c r="U69" s="74"/>
      <c r="V69" s="69"/>
    </row>
    <row r="70" spans="1:22" ht="15" thickBot="1" x14ac:dyDescent="0.35">
      <c r="A70" s="80">
        <f t="shared" si="1"/>
        <v>16</v>
      </c>
      <c r="B70" s="67"/>
      <c r="C70" s="72" t="s">
        <v>46</v>
      </c>
      <c r="D70" s="67"/>
      <c r="E70" s="199" t="str">
        <f>Linkin!C30</f>
        <v>W/P - 7-7</v>
      </c>
      <c r="F70" s="67"/>
      <c r="G70" s="123">
        <f>'Sch J WPs'!O523</f>
        <v>263780.89999999973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74"/>
      <c r="V70" s="69"/>
    </row>
    <row r="71" spans="1:22" ht="15" thickTop="1" x14ac:dyDescent="0.3">
      <c r="A71" s="80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74"/>
      <c r="V71" s="69"/>
    </row>
    <row r="72" spans="1:22" ht="14.4" x14ac:dyDescent="0.3">
      <c r="A72" s="80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74"/>
      <c r="V72" s="69"/>
    </row>
    <row r="73" spans="1:22" ht="14.4" x14ac:dyDescent="0.3">
      <c r="A73" s="80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74"/>
      <c r="V73" s="69"/>
    </row>
    <row r="74" spans="1:22" ht="14.4" x14ac:dyDescent="0.3">
      <c r="A74" s="80"/>
      <c r="B74" s="67"/>
      <c r="C74" s="67"/>
      <c r="D74" s="67"/>
      <c r="E74" s="67"/>
      <c r="F74" s="67"/>
      <c r="G74" s="67"/>
      <c r="H74" s="67"/>
      <c r="I74" s="67"/>
      <c r="J74" s="67"/>
      <c r="K74" s="67" t="s">
        <v>122</v>
      </c>
      <c r="L74" s="67"/>
      <c r="M74" s="67"/>
      <c r="N74" s="67"/>
      <c r="O74" s="67"/>
      <c r="P74" s="67"/>
      <c r="Q74" s="67"/>
      <c r="R74" s="67"/>
      <c r="S74" s="67"/>
      <c r="T74" s="67"/>
      <c r="U74" s="74"/>
      <c r="V74" s="69"/>
    </row>
    <row r="75" spans="1:22" ht="14.4" x14ac:dyDescent="0.3">
      <c r="A75" s="80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74"/>
      <c r="V75" s="69"/>
    </row>
    <row r="76" spans="1:22" ht="14.4" x14ac:dyDescent="0.3">
      <c r="A76" s="80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74"/>
      <c r="V76" s="69"/>
    </row>
    <row r="77" spans="1:22" ht="14.4" x14ac:dyDescent="0.3">
      <c r="A77" s="80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74"/>
      <c r="V77" s="69"/>
    </row>
    <row r="78" spans="1:22" ht="14.4" x14ac:dyDescent="0.3">
      <c r="A78" s="80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74"/>
      <c r="V78" s="69"/>
    </row>
    <row r="79" spans="1:22" ht="14.4" x14ac:dyDescent="0.3">
      <c r="A79" s="80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74"/>
      <c r="V79" s="69"/>
    </row>
    <row r="80" spans="1:22" ht="14.4" x14ac:dyDescent="0.3">
      <c r="A80" s="80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74"/>
      <c r="V80" s="69"/>
    </row>
    <row r="81" spans="1:22" ht="14.4" x14ac:dyDescent="0.3">
      <c r="A81" s="80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74"/>
      <c r="V81" s="69"/>
    </row>
    <row r="82" spans="1:22" ht="14.4" x14ac:dyDescent="0.3">
      <c r="A82" s="80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74"/>
      <c r="V82" s="69"/>
    </row>
    <row r="83" spans="1:22" ht="14.4" x14ac:dyDescent="0.3">
      <c r="A83" s="80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74"/>
      <c r="V83" s="69"/>
    </row>
    <row r="84" spans="1:22" ht="14.4" x14ac:dyDescent="0.3">
      <c r="A84" s="80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74"/>
      <c r="V84" s="69"/>
    </row>
    <row r="85" spans="1:22" ht="14.4" x14ac:dyDescent="0.3">
      <c r="A85" s="80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74"/>
      <c r="V85" s="69"/>
    </row>
    <row r="86" spans="1:22" ht="14.4" x14ac:dyDescent="0.3">
      <c r="A86" s="80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74"/>
      <c r="V86" s="69"/>
    </row>
    <row r="87" spans="1:22" ht="14.4" x14ac:dyDescent="0.3">
      <c r="A87" s="80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74"/>
      <c r="V87" s="69"/>
    </row>
    <row r="88" spans="1:22" ht="14.4" x14ac:dyDescent="0.3">
      <c r="A88" s="80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74"/>
      <c r="V88" s="69"/>
    </row>
    <row r="89" spans="1:22" ht="14.4" x14ac:dyDescent="0.3">
      <c r="A89" s="80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74"/>
      <c r="V89" s="69"/>
    </row>
    <row r="90" spans="1:22" ht="14.4" x14ac:dyDescent="0.3">
      <c r="A90" s="80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74"/>
      <c r="V90" s="69"/>
    </row>
    <row r="91" spans="1:22" x14ac:dyDescent="0.25">
      <c r="V91" s="69"/>
    </row>
    <row r="92" spans="1:22" x14ac:dyDescent="0.25">
      <c r="V92" s="69"/>
    </row>
    <row r="93" spans="1:22" x14ac:dyDescent="0.25">
      <c r="V93" s="69"/>
    </row>
    <row r="94" spans="1:22" x14ac:dyDescent="0.25">
      <c r="V94" s="69"/>
    </row>
    <row r="95" spans="1:22" x14ac:dyDescent="0.25">
      <c r="V95" s="69"/>
    </row>
    <row r="96" spans="1:22" x14ac:dyDescent="0.25">
      <c r="V96" s="69"/>
    </row>
    <row r="97" spans="22:22" x14ac:dyDescent="0.25">
      <c r="V97" s="69"/>
    </row>
    <row r="98" spans="22:22" x14ac:dyDescent="0.25">
      <c r="V98" s="69"/>
    </row>
    <row r="99" spans="22:22" x14ac:dyDescent="0.25">
      <c r="V99" s="69"/>
    </row>
    <row r="100" spans="22:22" x14ac:dyDescent="0.25">
      <c r="V100" s="69"/>
    </row>
    <row r="101" spans="22:22" x14ac:dyDescent="0.25">
      <c r="V101" s="69"/>
    </row>
    <row r="102" spans="22:22" x14ac:dyDescent="0.25">
      <c r="V102" s="69"/>
    </row>
    <row r="103" spans="22:22" x14ac:dyDescent="0.25">
      <c r="V103" s="69"/>
    </row>
    <row r="104" spans="22:22" x14ac:dyDescent="0.25">
      <c r="V104" s="69"/>
    </row>
    <row r="105" spans="22:22" x14ac:dyDescent="0.25">
      <c r="V105" s="69"/>
    </row>
    <row r="106" spans="22:22" x14ac:dyDescent="0.25">
      <c r="V106" s="69"/>
    </row>
    <row r="107" spans="22:22" x14ac:dyDescent="0.25">
      <c r="V107" s="69"/>
    </row>
    <row r="108" spans="22:22" x14ac:dyDescent="0.25">
      <c r="V108" s="69"/>
    </row>
    <row r="109" spans="22:22" x14ac:dyDescent="0.25">
      <c r="V109" s="69"/>
    </row>
    <row r="110" spans="22:22" x14ac:dyDescent="0.25">
      <c r="V110" s="69"/>
    </row>
    <row r="111" spans="22:22" x14ac:dyDescent="0.25">
      <c r="V111" s="69"/>
    </row>
    <row r="112" spans="22:22" x14ac:dyDescent="0.25">
      <c r="V112" s="69"/>
    </row>
    <row r="113" spans="22:22" x14ac:dyDescent="0.25">
      <c r="V113" s="69"/>
    </row>
    <row r="114" spans="22:22" x14ac:dyDescent="0.25">
      <c r="V114" s="69"/>
    </row>
    <row r="115" spans="22:22" x14ac:dyDescent="0.25">
      <c r="V115" s="69"/>
    </row>
    <row r="116" spans="22:22" x14ac:dyDescent="0.25">
      <c r="V116" s="69"/>
    </row>
    <row r="117" spans="22:22" x14ac:dyDescent="0.25">
      <c r="V117" s="69"/>
    </row>
    <row r="118" spans="22:22" x14ac:dyDescent="0.25">
      <c r="V118" s="69"/>
    </row>
    <row r="119" spans="22:22" x14ac:dyDescent="0.25">
      <c r="V119" s="69"/>
    </row>
    <row r="120" spans="22:22" x14ac:dyDescent="0.25">
      <c r="V120" s="69"/>
    </row>
    <row r="121" spans="22:22" x14ac:dyDescent="0.25">
      <c r="V121" s="69"/>
    </row>
    <row r="122" spans="22:22" x14ac:dyDescent="0.25">
      <c r="V122" s="69"/>
    </row>
    <row r="123" spans="22:22" x14ac:dyDescent="0.25">
      <c r="V123" s="69"/>
    </row>
    <row r="124" spans="22:22" x14ac:dyDescent="0.25">
      <c r="V124" s="69"/>
    </row>
    <row r="125" spans="22:22" x14ac:dyDescent="0.25">
      <c r="V125" s="69"/>
    </row>
    <row r="126" spans="22:22" x14ac:dyDescent="0.25">
      <c r="V126" s="69"/>
    </row>
    <row r="127" spans="22:22" x14ac:dyDescent="0.25">
      <c r="V127" s="69"/>
    </row>
    <row r="128" spans="22:22" x14ac:dyDescent="0.25">
      <c r="V128" s="69"/>
    </row>
    <row r="129" spans="22:22" x14ac:dyDescent="0.25">
      <c r="V129" s="69"/>
    </row>
    <row r="130" spans="22:22" x14ac:dyDescent="0.25">
      <c r="V130" s="69"/>
    </row>
    <row r="131" spans="22:22" x14ac:dyDescent="0.25">
      <c r="V131" s="69"/>
    </row>
    <row r="132" spans="22:22" x14ac:dyDescent="0.25">
      <c r="V132" s="69"/>
    </row>
    <row r="133" spans="22:22" x14ac:dyDescent="0.25">
      <c r="V133" s="69"/>
    </row>
    <row r="134" spans="22:22" x14ac:dyDescent="0.25">
      <c r="V134" s="69"/>
    </row>
    <row r="135" spans="22:22" x14ac:dyDescent="0.25">
      <c r="V135" s="69"/>
    </row>
    <row r="136" spans="22:22" x14ac:dyDescent="0.25">
      <c r="V136" s="69"/>
    </row>
    <row r="137" spans="22:22" x14ac:dyDescent="0.25">
      <c r="V137" s="69"/>
    </row>
    <row r="138" spans="22:22" x14ac:dyDescent="0.25">
      <c r="V138" s="69"/>
    </row>
    <row r="139" spans="22:22" x14ac:dyDescent="0.25">
      <c r="V139" s="69"/>
    </row>
    <row r="140" spans="22:22" x14ac:dyDescent="0.25">
      <c r="V140" s="69"/>
    </row>
    <row r="141" spans="22:22" x14ac:dyDescent="0.25">
      <c r="V141" s="69"/>
    </row>
    <row r="142" spans="22:22" x14ac:dyDescent="0.25">
      <c r="V142" s="69"/>
    </row>
    <row r="143" spans="22:22" x14ac:dyDescent="0.25">
      <c r="V143" s="69"/>
    </row>
    <row r="144" spans="22:22" x14ac:dyDescent="0.25">
      <c r="V144" s="69"/>
    </row>
    <row r="145" spans="22:22" x14ac:dyDescent="0.25">
      <c r="V145" s="69"/>
    </row>
    <row r="146" spans="22:22" x14ac:dyDescent="0.25">
      <c r="V146" s="69"/>
    </row>
    <row r="147" spans="22:22" x14ac:dyDescent="0.25">
      <c r="V147" s="69"/>
    </row>
    <row r="148" spans="22:22" x14ac:dyDescent="0.25">
      <c r="V148" s="69"/>
    </row>
    <row r="149" spans="22:22" x14ac:dyDescent="0.25">
      <c r="V149" s="69"/>
    </row>
    <row r="150" spans="22:22" x14ac:dyDescent="0.25">
      <c r="V150" s="69"/>
    </row>
    <row r="151" spans="22:22" x14ac:dyDescent="0.25">
      <c r="V151" s="69"/>
    </row>
    <row r="152" spans="22:22" x14ac:dyDescent="0.25">
      <c r="V152" s="69"/>
    </row>
    <row r="153" spans="22:22" x14ac:dyDescent="0.25">
      <c r="V153" s="69"/>
    </row>
    <row r="154" spans="22:22" x14ac:dyDescent="0.25">
      <c r="V154" s="69"/>
    </row>
    <row r="155" spans="22:22" x14ac:dyDescent="0.25">
      <c r="V155" s="69"/>
    </row>
    <row r="156" spans="22:22" x14ac:dyDescent="0.25">
      <c r="V156" s="69"/>
    </row>
    <row r="157" spans="22:22" x14ac:dyDescent="0.25">
      <c r="V157" s="69"/>
    </row>
    <row r="158" spans="22:22" x14ac:dyDescent="0.25">
      <c r="V158" s="69"/>
    </row>
    <row r="159" spans="22:22" x14ac:dyDescent="0.25">
      <c r="V159" s="69"/>
    </row>
    <row r="160" spans="22:22" x14ac:dyDescent="0.25">
      <c r="V160" s="69"/>
    </row>
    <row r="161" spans="22:22" x14ac:dyDescent="0.25">
      <c r="V161" s="69"/>
    </row>
    <row r="162" spans="22:22" x14ac:dyDescent="0.25">
      <c r="V162" s="69"/>
    </row>
    <row r="163" spans="22:22" x14ac:dyDescent="0.25">
      <c r="V163" s="69"/>
    </row>
    <row r="164" spans="22:22" x14ac:dyDescent="0.25">
      <c r="V164" s="69"/>
    </row>
    <row r="165" spans="22:22" x14ac:dyDescent="0.25">
      <c r="V165" s="69"/>
    </row>
    <row r="166" spans="22:22" x14ac:dyDescent="0.25">
      <c r="V166" s="69"/>
    </row>
    <row r="167" spans="22:22" x14ac:dyDescent="0.25">
      <c r="V167" s="69"/>
    </row>
    <row r="168" spans="22:22" x14ac:dyDescent="0.25">
      <c r="V168" s="69"/>
    </row>
    <row r="169" spans="22:22" x14ac:dyDescent="0.25">
      <c r="V169" s="69"/>
    </row>
    <row r="170" spans="22:22" x14ac:dyDescent="0.25">
      <c r="V170" s="69"/>
    </row>
    <row r="171" spans="22:22" x14ac:dyDescent="0.25">
      <c r="V171" s="69"/>
    </row>
    <row r="172" spans="22:22" x14ac:dyDescent="0.25">
      <c r="V172" s="69"/>
    </row>
    <row r="173" spans="22:22" x14ac:dyDescent="0.25">
      <c r="V173" s="69"/>
    </row>
    <row r="174" spans="22:22" x14ac:dyDescent="0.25">
      <c r="V174" s="69"/>
    </row>
    <row r="175" spans="22:22" x14ac:dyDescent="0.25">
      <c r="V175" s="69"/>
    </row>
    <row r="176" spans="22:22" x14ac:dyDescent="0.25">
      <c r="V176" s="69"/>
    </row>
    <row r="177" spans="22:22" x14ac:dyDescent="0.25">
      <c r="V177" s="69"/>
    </row>
    <row r="178" spans="22:22" x14ac:dyDescent="0.25">
      <c r="V178" s="69"/>
    </row>
    <row r="179" spans="22:22" x14ac:dyDescent="0.25">
      <c r="V179" s="69"/>
    </row>
    <row r="180" spans="22:22" x14ac:dyDescent="0.25">
      <c r="V180" s="69"/>
    </row>
    <row r="181" spans="22:22" x14ac:dyDescent="0.25">
      <c r="V181" s="69"/>
    </row>
    <row r="182" spans="22:22" x14ac:dyDescent="0.25">
      <c r="V182" s="69"/>
    </row>
    <row r="183" spans="22:22" x14ac:dyDescent="0.25">
      <c r="V183" s="69"/>
    </row>
    <row r="184" spans="22:22" x14ac:dyDescent="0.25">
      <c r="V184" s="69"/>
    </row>
    <row r="185" spans="22:22" x14ac:dyDescent="0.25">
      <c r="V185" s="69"/>
    </row>
    <row r="186" spans="22:22" x14ac:dyDescent="0.25">
      <c r="V186" s="69"/>
    </row>
    <row r="187" spans="22:22" x14ac:dyDescent="0.25">
      <c r="V187" s="69"/>
    </row>
    <row r="188" spans="22:22" x14ac:dyDescent="0.25">
      <c r="V188" s="69"/>
    </row>
    <row r="189" spans="22:22" x14ac:dyDescent="0.25">
      <c r="V189" s="69"/>
    </row>
    <row r="190" spans="22:22" x14ac:dyDescent="0.25">
      <c r="V190" s="69"/>
    </row>
    <row r="191" spans="22:22" x14ac:dyDescent="0.25">
      <c r="V191" s="69"/>
    </row>
    <row r="192" spans="22:22" x14ac:dyDescent="0.25">
      <c r="V192" s="69"/>
    </row>
    <row r="193" spans="22:22" x14ac:dyDescent="0.25">
      <c r="V193" s="69"/>
    </row>
    <row r="194" spans="22:22" x14ac:dyDescent="0.25">
      <c r="V194" s="69"/>
    </row>
    <row r="195" spans="22:22" x14ac:dyDescent="0.25">
      <c r="V195" s="69"/>
    </row>
    <row r="196" spans="22:22" x14ac:dyDescent="0.25">
      <c r="V196" s="69"/>
    </row>
    <row r="197" spans="22:22" x14ac:dyDescent="0.25">
      <c r="V197" s="69"/>
    </row>
    <row r="198" spans="22:22" x14ac:dyDescent="0.25">
      <c r="V198" s="69"/>
    </row>
    <row r="199" spans="22:22" x14ac:dyDescent="0.25">
      <c r="V199" s="69"/>
    </row>
    <row r="200" spans="22:22" x14ac:dyDescent="0.25">
      <c r="V200" s="69"/>
    </row>
    <row r="201" spans="22:22" x14ac:dyDescent="0.25">
      <c r="V201" s="69"/>
    </row>
    <row r="202" spans="22:22" x14ac:dyDescent="0.25">
      <c r="V202" s="69"/>
    </row>
    <row r="203" spans="22:22" x14ac:dyDescent="0.25">
      <c r="V203" s="69"/>
    </row>
    <row r="204" spans="22:22" x14ac:dyDescent="0.25">
      <c r="V204" s="69"/>
    </row>
    <row r="205" spans="22:22" x14ac:dyDescent="0.25">
      <c r="V205" s="69"/>
    </row>
    <row r="206" spans="22:22" x14ac:dyDescent="0.25">
      <c r="V206" s="69"/>
    </row>
    <row r="207" spans="22:22" x14ac:dyDescent="0.25">
      <c r="V207" s="69"/>
    </row>
    <row r="208" spans="22:22" x14ac:dyDescent="0.25">
      <c r="V208" s="69"/>
    </row>
    <row r="209" spans="22:22" x14ac:dyDescent="0.25">
      <c r="V209" s="69"/>
    </row>
    <row r="210" spans="22:22" x14ac:dyDescent="0.25">
      <c r="V210" s="69"/>
    </row>
    <row r="211" spans="22:22" x14ac:dyDescent="0.25">
      <c r="V211" s="69"/>
    </row>
    <row r="212" spans="22:22" x14ac:dyDescent="0.25">
      <c r="V212" s="69"/>
    </row>
    <row r="213" spans="22:22" x14ac:dyDescent="0.25">
      <c r="V213" s="69"/>
    </row>
    <row r="214" spans="22:22" x14ac:dyDescent="0.25">
      <c r="V214" s="69"/>
    </row>
    <row r="215" spans="22:22" x14ac:dyDescent="0.25">
      <c r="V215" s="69"/>
    </row>
    <row r="216" spans="22:22" x14ac:dyDescent="0.25">
      <c r="V216" s="69"/>
    </row>
    <row r="217" spans="22:22" x14ac:dyDescent="0.25">
      <c r="V217" s="69"/>
    </row>
    <row r="218" spans="22:22" x14ac:dyDescent="0.25">
      <c r="V218" s="69"/>
    </row>
    <row r="219" spans="22:22" x14ac:dyDescent="0.25">
      <c r="V219" s="69"/>
    </row>
    <row r="220" spans="22:22" x14ac:dyDescent="0.25">
      <c r="V220" s="69"/>
    </row>
    <row r="221" spans="22:22" x14ac:dyDescent="0.25">
      <c r="V221" s="69"/>
    </row>
    <row r="222" spans="22:22" x14ac:dyDescent="0.25">
      <c r="V222" s="69"/>
    </row>
    <row r="223" spans="22:22" x14ac:dyDescent="0.25">
      <c r="V223" s="69"/>
    </row>
    <row r="224" spans="22:22" x14ac:dyDescent="0.25">
      <c r="V224" s="69"/>
    </row>
    <row r="225" spans="22:22" x14ac:dyDescent="0.25">
      <c r="V225" s="69"/>
    </row>
    <row r="226" spans="22:22" x14ac:dyDescent="0.25">
      <c r="V226" s="69"/>
    </row>
    <row r="227" spans="22:22" x14ac:dyDescent="0.25">
      <c r="V227" s="69"/>
    </row>
    <row r="228" spans="22:22" x14ac:dyDescent="0.25">
      <c r="V228" s="69"/>
    </row>
    <row r="229" spans="22:22" x14ac:dyDescent="0.25">
      <c r="V229" s="69"/>
    </row>
    <row r="230" spans="22:22" x14ac:dyDescent="0.25">
      <c r="V230" s="69"/>
    </row>
    <row r="231" spans="22:22" x14ac:dyDescent="0.25">
      <c r="V231" s="69"/>
    </row>
    <row r="232" spans="22:22" x14ac:dyDescent="0.25">
      <c r="V232" s="69"/>
    </row>
    <row r="233" spans="22:22" x14ac:dyDescent="0.25">
      <c r="V233" s="69"/>
    </row>
    <row r="234" spans="22:22" x14ac:dyDescent="0.25">
      <c r="V234" s="69"/>
    </row>
    <row r="235" spans="22:22" x14ac:dyDescent="0.25">
      <c r="V235" s="69"/>
    </row>
    <row r="236" spans="22:22" x14ac:dyDescent="0.25">
      <c r="V236" s="69"/>
    </row>
    <row r="237" spans="22:22" x14ac:dyDescent="0.25">
      <c r="V237" s="69"/>
    </row>
    <row r="238" spans="22:22" x14ac:dyDescent="0.25">
      <c r="V238" s="69"/>
    </row>
    <row r="239" spans="22:22" x14ac:dyDescent="0.25">
      <c r="V239" s="69"/>
    </row>
    <row r="240" spans="22:22" x14ac:dyDescent="0.25">
      <c r="V240" s="69"/>
    </row>
    <row r="241" spans="22:22" x14ac:dyDescent="0.25">
      <c r="V241" s="69"/>
    </row>
    <row r="242" spans="22:22" x14ac:dyDescent="0.25">
      <c r="V242" s="69"/>
    </row>
    <row r="243" spans="22:22" x14ac:dyDescent="0.25">
      <c r="V243" s="69"/>
    </row>
    <row r="244" spans="22:22" x14ac:dyDescent="0.25">
      <c r="V244" s="69"/>
    </row>
    <row r="245" spans="22:22" x14ac:dyDescent="0.25">
      <c r="V245" s="69"/>
    </row>
    <row r="246" spans="22:22" x14ac:dyDescent="0.25">
      <c r="V246" s="69"/>
    </row>
    <row r="247" spans="22:22" x14ac:dyDescent="0.25">
      <c r="V247" s="69"/>
    </row>
    <row r="248" spans="22:22" x14ac:dyDescent="0.25">
      <c r="V248" s="69"/>
    </row>
    <row r="249" spans="22:22" x14ac:dyDescent="0.25">
      <c r="V249" s="69"/>
    </row>
    <row r="250" spans="22:22" x14ac:dyDescent="0.25">
      <c r="V250" s="69"/>
    </row>
    <row r="251" spans="22:22" x14ac:dyDescent="0.25">
      <c r="V251" s="69"/>
    </row>
    <row r="252" spans="22:22" x14ac:dyDescent="0.25">
      <c r="V252" s="69"/>
    </row>
    <row r="253" spans="22:22" x14ac:dyDescent="0.25">
      <c r="V253" s="69"/>
    </row>
    <row r="254" spans="22:22" x14ac:dyDescent="0.25">
      <c r="V254" s="69"/>
    </row>
    <row r="255" spans="22:22" x14ac:dyDescent="0.25">
      <c r="V255" s="69"/>
    </row>
    <row r="256" spans="22:22" x14ac:dyDescent="0.25">
      <c r="V256" s="69"/>
    </row>
    <row r="257" spans="22:22" x14ac:dyDescent="0.25">
      <c r="V257" s="69"/>
    </row>
    <row r="258" spans="22:22" x14ac:dyDescent="0.25">
      <c r="V258" s="69"/>
    </row>
    <row r="259" spans="22:22" x14ac:dyDescent="0.25">
      <c r="V259" s="69"/>
    </row>
    <row r="260" spans="22:22" x14ac:dyDescent="0.25">
      <c r="V260" s="69"/>
    </row>
    <row r="261" spans="22:22" x14ac:dyDescent="0.25">
      <c r="V261" s="69"/>
    </row>
    <row r="262" spans="22:22" x14ac:dyDescent="0.25">
      <c r="V262" s="69"/>
    </row>
    <row r="263" spans="22:22" x14ac:dyDescent="0.25">
      <c r="V263" s="69"/>
    </row>
    <row r="264" spans="22:22" x14ac:dyDescent="0.25">
      <c r="V264" s="69"/>
    </row>
    <row r="265" spans="22:22" x14ac:dyDescent="0.25">
      <c r="V265" s="69"/>
    </row>
    <row r="266" spans="22:22" x14ac:dyDescent="0.25">
      <c r="V266" s="69"/>
    </row>
    <row r="267" spans="22:22" x14ac:dyDescent="0.25">
      <c r="V267" s="69"/>
    </row>
    <row r="268" spans="22:22" x14ac:dyDescent="0.25">
      <c r="V268" s="69"/>
    </row>
    <row r="269" spans="22:22" x14ac:dyDescent="0.25">
      <c r="V269" s="69"/>
    </row>
    <row r="270" spans="22:22" x14ac:dyDescent="0.25">
      <c r="V270" s="69"/>
    </row>
    <row r="271" spans="22:22" x14ac:dyDescent="0.25">
      <c r="V271" s="69"/>
    </row>
    <row r="272" spans="22:22" x14ac:dyDescent="0.25">
      <c r="V272" s="69"/>
    </row>
    <row r="273" spans="22:22" x14ac:dyDescent="0.25">
      <c r="V273" s="69"/>
    </row>
    <row r="274" spans="22:22" x14ac:dyDescent="0.25">
      <c r="V274" s="69"/>
    </row>
    <row r="275" spans="22:22" x14ac:dyDescent="0.25">
      <c r="V275" s="69"/>
    </row>
    <row r="276" spans="22:22" x14ac:dyDescent="0.25">
      <c r="V276" s="69"/>
    </row>
    <row r="277" spans="22:22" x14ac:dyDescent="0.25">
      <c r="V277" s="69"/>
    </row>
    <row r="278" spans="22:22" x14ac:dyDescent="0.25">
      <c r="V278" s="69"/>
    </row>
    <row r="279" spans="22:22" x14ac:dyDescent="0.25">
      <c r="V279" s="69"/>
    </row>
    <row r="280" spans="22:22" x14ac:dyDescent="0.25">
      <c r="V280" s="69"/>
    </row>
    <row r="281" spans="22:22" x14ac:dyDescent="0.25">
      <c r="V281" s="69"/>
    </row>
    <row r="282" spans="22:22" x14ac:dyDescent="0.25">
      <c r="V282" s="69"/>
    </row>
    <row r="283" spans="22:22" x14ac:dyDescent="0.25">
      <c r="V283" s="69"/>
    </row>
    <row r="284" spans="22:22" x14ac:dyDescent="0.25">
      <c r="V284" s="69"/>
    </row>
    <row r="285" spans="22:22" x14ac:dyDescent="0.25">
      <c r="V285" s="69"/>
    </row>
    <row r="286" spans="22:22" x14ac:dyDescent="0.25">
      <c r="V286" s="69"/>
    </row>
    <row r="287" spans="22:22" x14ac:dyDescent="0.25">
      <c r="V287" s="69"/>
    </row>
    <row r="288" spans="22:22" x14ac:dyDescent="0.25">
      <c r="V288" s="69"/>
    </row>
    <row r="289" spans="22:22" x14ac:dyDescent="0.25">
      <c r="V289" s="69"/>
    </row>
    <row r="290" spans="22:22" x14ac:dyDescent="0.25">
      <c r="V290" s="69"/>
    </row>
    <row r="291" spans="22:22" x14ac:dyDescent="0.25">
      <c r="V291" s="69"/>
    </row>
    <row r="292" spans="22:22" x14ac:dyDescent="0.25">
      <c r="V292" s="69"/>
    </row>
    <row r="293" spans="22:22" x14ac:dyDescent="0.25">
      <c r="V293" s="69"/>
    </row>
    <row r="294" spans="22:22" x14ac:dyDescent="0.25">
      <c r="V294" s="69"/>
    </row>
    <row r="295" spans="22:22" x14ac:dyDescent="0.25">
      <c r="V295" s="69"/>
    </row>
    <row r="296" spans="22:22" x14ac:dyDescent="0.25">
      <c r="V296" s="69"/>
    </row>
    <row r="297" spans="22:22" x14ac:dyDescent="0.25">
      <c r="V297" s="69"/>
    </row>
    <row r="298" spans="22:22" x14ac:dyDescent="0.25">
      <c r="V298" s="69"/>
    </row>
    <row r="299" spans="22:22" x14ac:dyDescent="0.25">
      <c r="V299" s="69"/>
    </row>
    <row r="300" spans="22:22" x14ac:dyDescent="0.25">
      <c r="V300" s="69"/>
    </row>
    <row r="301" spans="22:22" x14ac:dyDescent="0.25">
      <c r="V301" s="69"/>
    </row>
    <row r="302" spans="22:22" x14ac:dyDescent="0.25">
      <c r="V302" s="69"/>
    </row>
    <row r="303" spans="22:22" x14ac:dyDescent="0.25">
      <c r="V303" s="69"/>
    </row>
    <row r="304" spans="22:22" x14ac:dyDescent="0.25">
      <c r="V304" s="69"/>
    </row>
    <row r="305" spans="22:22" x14ac:dyDescent="0.25">
      <c r="V305" s="69"/>
    </row>
    <row r="306" spans="22:22" x14ac:dyDescent="0.25">
      <c r="V306" s="69"/>
    </row>
    <row r="307" spans="22:22" x14ac:dyDescent="0.25">
      <c r="V307" s="69"/>
    </row>
    <row r="308" spans="22:22" x14ac:dyDescent="0.25">
      <c r="V308" s="69"/>
    </row>
    <row r="309" spans="22:22" x14ac:dyDescent="0.25">
      <c r="V309" s="69"/>
    </row>
    <row r="310" spans="22:22" x14ac:dyDescent="0.25">
      <c r="V310" s="69"/>
    </row>
    <row r="311" spans="22:22" x14ac:dyDescent="0.25">
      <c r="V311" s="69"/>
    </row>
    <row r="312" spans="22:22" x14ac:dyDescent="0.25">
      <c r="V312" s="69"/>
    </row>
    <row r="313" spans="22:22" x14ac:dyDescent="0.25">
      <c r="V313" s="69"/>
    </row>
    <row r="314" spans="22:22" x14ac:dyDescent="0.25">
      <c r="V314" s="69"/>
    </row>
    <row r="315" spans="22:22" x14ac:dyDescent="0.25">
      <c r="V315" s="69"/>
    </row>
    <row r="316" spans="22:22" x14ac:dyDescent="0.25">
      <c r="V316" s="69"/>
    </row>
    <row r="317" spans="22:22" x14ac:dyDescent="0.25">
      <c r="V317" s="69"/>
    </row>
    <row r="318" spans="22:22" x14ac:dyDescent="0.25">
      <c r="V318" s="69"/>
    </row>
    <row r="319" spans="22:22" x14ac:dyDescent="0.25">
      <c r="V319" s="69"/>
    </row>
    <row r="320" spans="22:22" x14ac:dyDescent="0.25">
      <c r="V320" s="69"/>
    </row>
    <row r="321" spans="22:22" x14ac:dyDescent="0.25">
      <c r="V321" s="69"/>
    </row>
    <row r="322" spans="22:22" x14ac:dyDescent="0.25">
      <c r="V322" s="69"/>
    </row>
    <row r="323" spans="22:22" x14ac:dyDescent="0.25">
      <c r="V323" s="69"/>
    </row>
    <row r="324" spans="22:22" x14ac:dyDescent="0.25">
      <c r="V324" s="69"/>
    </row>
    <row r="325" spans="22:22" x14ac:dyDescent="0.25">
      <c r="V325" s="69"/>
    </row>
    <row r="326" spans="22:22" x14ac:dyDescent="0.25">
      <c r="V326" s="69"/>
    </row>
    <row r="327" spans="22:22" x14ac:dyDescent="0.25">
      <c r="V327" s="69"/>
    </row>
    <row r="328" spans="22:22" x14ac:dyDescent="0.25">
      <c r="V328" s="69"/>
    </row>
    <row r="329" spans="22:22" x14ac:dyDescent="0.25">
      <c r="V329" s="69"/>
    </row>
    <row r="330" spans="22:22" x14ac:dyDescent="0.25">
      <c r="V330" s="69"/>
    </row>
    <row r="331" spans="22:22" x14ac:dyDescent="0.25">
      <c r="V331" s="69"/>
    </row>
    <row r="332" spans="22:22" x14ac:dyDescent="0.25">
      <c r="V332" s="69"/>
    </row>
    <row r="333" spans="22:22" x14ac:dyDescent="0.25">
      <c r="V333" s="69"/>
    </row>
    <row r="334" spans="22:22" x14ac:dyDescent="0.25">
      <c r="V334" s="69"/>
    </row>
    <row r="335" spans="22:22" x14ac:dyDescent="0.25">
      <c r="V335" s="103"/>
    </row>
    <row r="336" spans="22:22" x14ac:dyDescent="0.25">
      <c r="V336" s="69"/>
    </row>
    <row r="337" spans="22:22" x14ac:dyDescent="0.25">
      <c r="V337" s="69"/>
    </row>
    <row r="338" spans="22:22" x14ac:dyDescent="0.25">
      <c r="V338" s="69"/>
    </row>
    <row r="339" spans="22:22" x14ac:dyDescent="0.25">
      <c r="V339" s="69"/>
    </row>
    <row r="340" spans="22:22" x14ac:dyDescent="0.25">
      <c r="V340" s="69"/>
    </row>
    <row r="341" spans="22:22" x14ac:dyDescent="0.25">
      <c r="V341" s="69"/>
    </row>
    <row r="342" spans="22:22" x14ac:dyDescent="0.25">
      <c r="V342" s="69"/>
    </row>
    <row r="343" spans="22:22" x14ac:dyDescent="0.25">
      <c r="V343" s="69"/>
    </row>
    <row r="344" spans="22:22" x14ac:dyDescent="0.25">
      <c r="V344" s="69"/>
    </row>
    <row r="345" spans="22:22" x14ac:dyDescent="0.25">
      <c r="V345" s="69"/>
    </row>
    <row r="346" spans="22:22" x14ac:dyDescent="0.25">
      <c r="V346" s="69"/>
    </row>
    <row r="347" spans="22:22" x14ac:dyDescent="0.25">
      <c r="V347" s="69"/>
    </row>
    <row r="348" spans="22:22" x14ac:dyDescent="0.25">
      <c r="V348" s="69"/>
    </row>
    <row r="349" spans="22:22" x14ac:dyDescent="0.25">
      <c r="V349" s="69"/>
    </row>
    <row r="350" spans="22:22" x14ac:dyDescent="0.25">
      <c r="V350" s="69"/>
    </row>
    <row r="351" spans="22:22" x14ac:dyDescent="0.25">
      <c r="V351" s="69"/>
    </row>
    <row r="352" spans="22:22" x14ac:dyDescent="0.25">
      <c r="V352" s="69"/>
    </row>
    <row r="353" spans="22:22" x14ac:dyDescent="0.25">
      <c r="V353" s="69"/>
    </row>
    <row r="354" spans="22:22" x14ac:dyDescent="0.25">
      <c r="V354" s="69"/>
    </row>
    <row r="355" spans="22:22" x14ac:dyDescent="0.25">
      <c r="V355" s="69"/>
    </row>
    <row r="356" spans="22:22" x14ac:dyDescent="0.25">
      <c r="V356" s="69"/>
    </row>
    <row r="357" spans="22:22" x14ac:dyDescent="0.25">
      <c r="V357" s="69"/>
    </row>
    <row r="358" spans="22:22" x14ac:dyDescent="0.25">
      <c r="V358" s="69"/>
    </row>
    <row r="359" spans="22:22" x14ac:dyDescent="0.25">
      <c r="V359" s="69"/>
    </row>
    <row r="360" spans="22:22" x14ac:dyDescent="0.25">
      <c r="V360" s="69"/>
    </row>
    <row r="361" spans="22:22" x14ac:dyDescent="0.25">
      <c r="V361" s="69"/>
    </row>
    <row r="362" spans="22:22" x14ac:dyDescent="0.25">
      <c r="V362" s="69"/>
    </row>
    <row r="363" spans="22:22" x14ac:dyDescent="0.25">
      <c r="V363" s="69"/>
    </row>
    <row r="364" spans="22:22" x14ac:dyDescent="0.25">
      <c r="V364" s="69"/>
    </row>
    <row r="365" spans="22:22" x14ac:dyDescent="0.25">
      <c r="V365" s="69"/>
    </row>
    <row r="366" spans="22:22" x14ac:dyDescent="0.25">
      <c r="V366" s="69"/>
    </row>
    <row r="367" spans="22:22" x14ac:dyDescent="0.25">
      <c r="V367" s="69"/>
    </row>
    <row r="368" spans="22:22" x14ac:dyDescent="0.25">
      <c r="V368" s="69"/>
    </row>
    <row r="369" spans="22:22" x14ac:dyDescent="0.25">
      <c r="V369" s="69"/>
    </row>
    <row r="370" spans="22:22" x14ac:dyDescent="0.25">
      <c r="V370" s="69"/>
    </row>
    <row r="371" spans="22:22" x14ac:dyDescent="0.25">
      <c r="V371" s="69"/>
    </row>
    <row r="372" spans="22:22" x14ac:dyDescent="0.25">
      <c r="V372" s="69"/>
    </row>
    <row r="373" spans="22:22" x14ac:dyDescent="0.25">
      <c r="V373" s="69"/>
    </row>
    <row r="374" spans="22:22" x14ac:dyDescent="0.25">
      <c r="V374" s="69"/>
    </row>
    <row r="375" spans="22:22" x14ac:dyDescent="0.25">
      <c r="V375" s="69"/>
    </row>
    <row r="376" spans="22:22" x14ac:dyDescent="0.25">
      <c r="V376" s="69"/>
    </row>
    <row r="377" spans="22:22" x14ac:dyDescent="0.25">
      <c r="V377" s="69"/>
    </row>
    <row r="378" spans="22:22" x14ac:dyDescent="0.25">
      <c r="V378" s="69"/>
    </row>
    <row r="379" spans="22:22" x14ac:dyDescent="0.25">
      <c r="V379" s="69"/>
    </row>
    <row r="380" spans="22:22" x14ac:dyDescent="0.25">
      <c r="V380" s="69"/>
    </row>
    <row r="381" spans="22:22" x14ac:dyDescent="0.25">
      <c r="V381" s="69"/>
    </row>
    <row r="382" spans="22:22" x14ac:dyDescent="0.25">
      <c r="V382" s="69"/>
    </row>
    <row r="383" spans="22:22" x14ac:dyDescent="0.25">
      <c r="V383" s="69"/>
    </row>
    <row r="384" spans="22:22" x14ac:dyDescent="0.25">
      <c r="V384" s="69"/>
    </row>
    <row r="385" spans="22:22" x14ac:dyDescent="0.25">
      <c r="V385" s="69"/>
    </row>
    <row r="386" spans="22:22" x14ac:dyDescent="0.25">
      <c r="V386" s="69"/>
    </row>
    <row r="387" spans="22:22" x14ac:dyDescent="0.25">
      <c r="V387" s="69"/>
    </row>
    <row r="388" spans="22:22" x14ac:dyDescent="0.25">
      <c r="V388" s="69"/>
    </row>
    <row r="389" spans="22:22" x14ac:dyDescent="0.25">
      <c r="V389" s="69"/>
    </row>
    <row r="390" spans="22:22" x14ac:dyDescent="0.25">
      <c r="V390" s="69"/>
    </row>
    <row r="391" spans="22:22" x14ac:dyDescent="0.25">
      <c r="V391" s="69"/>
    </row>
    <row r="392" spans="22:22" x14ac:dyDescent="0.25">
      <c r="V392" s="69"/>
    </row>
    <row r="393" spans="22:22" x14ac:dyDescent="0.25">
      <c r="V393" s="69"/>
    </row>
    <row r="394" spans="22:22" x14ac:dyDescent="0.25">
      <c r="V394" s="69"/>
    </row>
    <row r="395" spans="22:22" x14ac:dyDescent="0.25">
      <c r="V395" s="69"/>
    </row>
    <row r="396" spans="22:22" x14ac:dyDescent="0.25">
      <c r="V396" s="69"/>
    </row>
    <row r="397" spans="22:22" x14ac:dyDescent="0.25">
      <c r="V397" s="69"/>
    </row>
    <row r="398" spans="22:22" x14ac:dyDescent="0.25">
      <c r="V398" s="69"/>
    </row>
    <row r="399" spans="22:22" x14ac:dyDescent="0.25">
      <c r="V399" s="69"/>
    </row>
    <row r="400" spans="22:22" x14ac:dyDescent="0.25">
      <c r="V400" s="69"/>
    </row>
    <row r="401" spans="22:22" x14ac:dyDescent="0.25">
      <c r="V401" s="69"/>
    </row>
    <row r="402" spans="22:22" x14ac:dyDescent="0.25">
      <c r="V402" s="69"/>
    </row>
    <row r="403" spans="22:22" x14ac:dyDescent="0.25">
      <c r="V403" s="69"/>
    </row>
    <row r="404" spans="22:22" x14ac:dyDescent="0.25">
      <c r="V404" s="69"/>
    </row>
    <row r="405" spans="22:22" x14ac:dyDescent="0.25">
      <c r="V405" s="69"/>
    </row>
    <row r="406" spans="22:22" x14ac:dyDescent="0.25">
      <c r="V406" s="69"/>
    </row>
    <row r="407" spans="22:22" x14ac:dyDescent="0.25">
      <c r="V407" s="69"/>
    </row>
    <row r="408" spans="22:22" x14ac:dyDescent="0.25">
      <c r="V408" s="69"/>
    </row>
    <row r="409" spans="22:22" x14ac:dyDescent="0.25">
      <c r="V409" s="69"/>
    </row>
    <row r="410" spans="22:22" x14ac:dyDescent="0.25">
      <c r="V410" s="69"/>
    </row>
    <row r="411" spans="22:22" x14ac:dyDescent="0.25">
      <c r="V411" s="69"/>
    </row>
    <row r="412" spans="22:22" x14ac:dyDescent="0.25">
      <c r="V412" s="69"/>
    </row>
    <row r="413" spans="22:22" x14ac:dyDescent="0.25">
      <c r="V413" s="69"/>
    </row>
    <row r="414" spans="22:22" x14ac:dyDescent="0.25">
      <c r="V414" s="69"/>
    </row>
    <row r="415" spans="22:22" x14ac:dyDescent="0.25">
      <c r="V415" s="69"/>
    </row>
    <row r="416" spans="22:22" x14ac:dyDescent="0.25">
      <c r="V416" s="69"/>
    </row>
    <row r="417" spans="22:22" x14ac:dyDescent="0.25">
      <c r="V417" s="69"/>
    </row>
    <row r="418" spans="22:22" x14ac:dyDescent="0.25">
      <c r="V418" s="69"/>
    </row>
    <row r="419" spans="22:22" x14ac:dyDescent="0.25">
      <c r="V419" s="69"/>
    </row>
    <row r="420" spans="22:22" x14ac:dyDescent="0.25">
      <c r="V420" s="69"/>
    </row>
    <row r="421" spans="22:22" x14ac:dyDescent="0.25">
      <c r="V421" s="69"/>
    </row>
    <row r="422" spans="22:22" x14ac:dyDescent="0.25">
      <c r="V422" s="69"/>
    </row>
    <row r="423" spans="22:22" x14ac:dyDescent="0.25">
      <c r="V423" s="69"/>
    </row>
    <row r="424" spans="22:22" x14ac:dyDescent="0.25">
      <c r="V424" s="69"/>
    </row>
    <row r="425" spans="22:22" x14ac:dyDescent="0.25">
      <c r="V425" s="69"/>
    </row>
    <row r="426" spans="22:22" x14ac:dyDescent="0.25">
      <c r="V426" s="69"/>
    </row>
    <row r="427" spans="22:22" x14ac:dyDescent="0.25">
      <c r="V427" s="69"/>
    </row>
    <row r="428" spans="22:22" x14ac:dyDescent="0.25">
      <c r="V428" s="69"/>
    </row>
    <row r="429" spans="22:22" x14ac:dyDescent="0.25">
      <c r="V429" s="69"/>
    </row>
    <row r="430" spans="22:22" x14ac:dyDescent="0.25">
      <c r="V430" s="69"/>
    </row>
    <row r="431" spans="22:22" x14ac:dyDescent="0.25">
      <c r="V431" s="69"/>
    </row>
    <row r="432" spans="22:22" x14ac:dyDescent="0.25">
      <c r="V432" s="69"/>
    </row>
    <row r="433" spans="22:22" x14ac:dyDescent="0.25">
      <c r="V433" s="69"/>
    </row>
    <row r="434" spans="22:22" x14ac:dyDescent="0.25">
      <c r="V434" s="69"/>
    </row>
    <row r="435" spans="22:22" x14ac:dyDescent="0.25">
      <c r="V435" s="69"/>
    </row>
    <row r="436" spans="22:22" x14ac:dyDescent="0.25">
      <c r="V436" s="69"/>
    </row>
    <row r="437" spans="22:22" x14ac:dyDescent="0.25">
      <c r="V437" s="69"/>
    </row>
    <row r="438" spans="22:22" x14ac:dyDescent="0.25">
      <c r="V438" s="69"/>
    </row>
    <row r="439" spans="22:22" x14ac:dyDescent="0.25">
      <c r="V439" s="69"/>
    </row>
    <row r="440" spans="22:22" x14ac:dyDescent="0.25">
      <c r="V440" s="69"/>
    </row>
    <row r="441" spans="22:22" x14ac:dyDescent="0.25">
      <c r="V441" s="69"/>
    </row>
    <row r="442" spans="22:22" x14ac:dyDescent="0.25">
      <c r="V442" s="69"/>
    </row>
    <row r="443" spans="22:22" x14ac:dyDescent="0.25">
      <c r="V443" s="69"/>
    </row>
    <row r="444" spans="22:22" x14ac:dyDescent="0.25">
      <c r="V444" s="69"/>
    </row>
    <row r="445" spans="22:22" x14ac:dyDescent="0.25">
      <c r="V445" s="69"/>
    </row>
    <row r="446" spans="22:22" x14ac:dyDescent="0.25">
      <c r="V446" s="69"/>
    </row>
    <row r="447" spans="22:22" x14ac:dyDescent="0.25">
      <c r="V447" s="69"/>
    </row>
    <row r="448" spans="22:22" x14ac:dyDescent="0.25">
      <c r="V448" s="69"/>
    </row>
    <row r="449" spans="22:22" x14ac:dyDescent="0.25">
      <c r="V449" s="69"/>
    </row>
    <row r="450" spans="22:22" x14ac:dyDescent="0.25">
      <c r="V450" s="69"/>
    </row>
    <row r="451" spans="22:22" x14ac:dyDescent="0.25">
      <c r="V451" s="69"/>
    </row>
    <row r="452" spans="22:22" x14ac:dyDescent="0.25">
      <c r="V452" s="69"/>
    </row>
    <row r="453" spans="22:22" x14ac:dyDescent="0.25">
      <c r="V453" s="69"/>
    </row>
    <row r="454" spans="22:22" x14ac:dyDescent="0.25">
      <c r="V454" s="69"/>
    </row>
    <row r="455" spans="22:22" x14ac:dyDescent="0.25">
      <c r="V455" s="69"/>
    </row>
    <row r="456" spans="22:22" x14ac:dyDescent="0.25">
      <c r="V456" s="69"/>
    </row>
    <row r="457" spans="22:22" x14ac:dyDescent="0.25">
      <c r="V457" s="69"/>
    </row>
    <row r="458" spans="22:22" x14ac:dyDescent="0.25">
      <c r="V458" s="69"/>
    </row>
    <row r="459" spans="22:22" x14ac:dyDescent="0.25">
      <c r="V459" s="69"/>
    </row>
    <row r="460" spans="22:22" x14ac:dyDescent="0.25">
      <c r="V460" s="69"/>
    </row>
    <row r="461" spans="22:22" x14ac:dyDescent="0.25">
      <c r="V461" s="69"/>
    </row>
    <row r="462" spans="22:22" x14ac:dyDescent="0.25">
      <c r="V462" s="69"/>
    </row>
    <row r="463" spans="22:22" x14ac:dyDescent="0.25">
      <c r="V463" s="69"/>
    </row>
    <row r="464" spans="22:22" x14ac:dyDescent="0.25">
      <c r="V464" s="69"/>
    </row>
    <row r="465" spans="22:22" x14ac:dyDescent="0.25">
      <c r="V465" s="69"/>
    </row>
    <row r="466" spans="22:22" x14ac:dyDescent="0.25">
      <c r="V466" s="69"/>
    </row>
    <row r="467" spans="22:22" x14ac:dyDescent="0.25">
      <c r="V467" s="69"/>
    </row>
    <row r="468" spans="22:22" x14ac:dyDescent="0.25">
      <c r="V468" s="69"/>
    </row>
    <row r="469" spans="22:22" x14ac:dyDescent="0.25">
      <c r="V469" s="69"/>
    </row>
    <row r="470" spans="22:22" x14ac:dyDescent="0.25">
      <c r="V470" s="69"/>
    </row>
    <row r="471" spans="22:22" x14ac:dyDescent="0.25">
      <c r="V471" s="69"/>
    </row>
    <row r="472" spans="22:22" x14ac:dyDescent="0.25">
      <c r="V472" s="69"/>
    </row>
    <row r="473" spans="22:22" x14ac:dyDescent="0.25">
      <c r="V473" s="69"/>
    </row>
    <row r="474" spans="22:22" x14ac:dyDescent="0.25">
      <c r="V474" s="69"/>
    </row>
    <row r="475" spans="22:22" x14ac:dyDescent="0.25">
      <c r="V475" s="69"/>
    </row>
    <row r="476" spans="22:22" x14ac:dyDescent="0.25">
      <c r="V476" s="69"/>
    </row>
    <row r="477" spans="22:22" x14ac:dyDescent="0.25">
      <c r="V477" s="69"/>
    </row>
    <row r="478" spans="22:22" x14ac:dyDescent="0.25">
      <c r="V478" s="69"/>
    </row>
    <row r="479" spans="22:22" x14ac:dyDescent="0.25">
      <c r="V479" s="69"/>
    </row>
  </sheetData>
  <customSheetViews>
    <customSheetView guid="{42E2132E-130A-11D4-8702-444553540000}" scale="87" printArea="1" showRuler="0">
      <rowBreaks count="8" manualBreakCount="8">
        <brk id="62" max="14" man="1"/>
        <brk id="124" max="14" man="1"/>
        <brk id="186" max="14" man="1"/>
        <brk id="248" max="14" man="1"/>
        <brk id="310" max="14" man="1"/>
        <brk id="372" max="14" man="1"/>
        <brk id="434" max="14" man="1"/>
        <brk id="496" max="14" man="1"/>
      </rowBreaks>
      <pageMargins left="0.5" right="0.5" top="0.65" bottom="0.5" header="0" footer="0.25"/>
      <printOptions horizontalCentered="1"/>
      <pageSetup scale="61" orientation="landscape" r:id="rId1"/>
      <headerFooter alignWithMargins="0">
        <oddFooter>&amp;L&amp;D       &amp;T&amp;C&amp;F        &amp;A&amp;RPage &amp;P of &amp;N</oddFooter>
      </headerFooter>
    </customSheetView>
    <customSheetView guid="{3504B94A-F634-11D2-9451-0008C780B76A}" scale="75" showPageBreaks="1" printArea="1" showRuler="0" topLeftCell="J1">
      <selection activeCell="O131" activeCellId="5" sqref="O441 O379 O317 O255 O193 O131"/>
      <pageMargins left="0.25" right="0.25" top="0.75" bottom="0.47" header="0" footer="0.25"/>
      <printOptions horizontalCentered="1"/>
      <pageSetup scale="64" orientation="landscape" r:id="rId2"/>
      <headerFooter alignWithMargins="0"/>
    </customSheetView>
    <customSheetView guid="{3504B94B-F634-11D2-9451-0008C780B76A}" scale="75" showPageBreaks="1" printArea="1" showRuler="0" topLeftCell="J1">
      <selection activeCell="O131" activeCellId="5" sqref="O441 O379 O317 O255 O193 O131"/>
      <pageMargins left="0.25" right="0.25" top="0.75" bottom="0.47" header="0" footer="0.25"/>
      <printOptions horizontalCentered="1"/>
      <pageSetup scale="64" orientation="landscape" r:id="rId3"/>
      <headerFooter alignWithMargins="0"/>
    </customSheetView>
    <customSheetView guid="{3504B94C-F634-11D2-9451-0008C780B76A}" scale="75" showPageBreaks="1" printArea="1" showRuler="0" topLeftCell="J1">
      <selection activeCell="O131" activeCellId="5" sqref="O441 O379 O317 O255 O193 O131"/>
      <pageMargins left="0.25" right="0.25" top="0.75" bottom="0.47" header="0" footer="0.25"/>
      <printOptions horizontalCentered="1"/>
      <pageSetup scale="64" orientation="landscape" r:id="rId4"/>
      <headerFooter alignWithMargins="0"/>
    </customSheetView>
    <customSheetView guid="{3504B94D-F634-11D2-9451-0008C780B76A}" scale="75" showPageBreaks="1" printArea="1" showRuler="0" topLeftCell="J1">
      <selection activeCell="O131" activeCellId="5" sqref="O441 O379 O317 O255 O193 O131"/>
      <pageMargins left="0.25" right="0.25" top="0.75" bottom="0.47" header="0" footer="0.25"/>
      <printOptions horizontalCentered="1"/>
      <pageSetup scale="64" orientation="landscape" r:id="rId5"/>
      <headerFooter alignWithMargins="0"/>
    </customSheetView>
    <customSheetView guid="{3504B94E-F634-11D2-9451-0008C780B76A}" scale="75" showPageBreaks="1" printArea="1" showRuler="0" topLeftCell="J1">
      <selection activeCell="O131" activeCellId="5" sqref="O441 O379 O317 O255 O193 O131"/>
      <pageMargins left="0.25" right="0.25" top="0.75" bottom="0.47" header="0" footer="0.25"/>
      <printOptions horizontalCentered="1"/>
      <pageSetup scale="64" orientation="landscape" r:id="rId6"/>
      <headerFooter alignWithMargins="0"/>
    </customSheetView>
    <customSheetView guid="{3504B950-F634-11D2-9451-0008C780B76A}" scale="75" showPageBreaks="1" printArea="1" showRuler="0" topLeftCell="J1">
      <selection activeCell="O131" activeCellId="5" sqref="O441 O379 O317 O255 O193 O131"/>
      <pageMargins left="0.25" right="0.25" top="0.75" bottom="0.47" header="0" footer="0.25"/>
      <printOptions horizontalCentered="1"/>
      <pageSetup scale="64" orientation="landscape" r:id="rId7"/>
      <headerFooter alignWithMargins="0"/>
    </customSheetView>
    <customSheetView guid="{3504B951-F634-11D2-9451-0008C780B76A}" scale="75" showPageBreaks="1" printArea="1" showRuler="0" topLeftCell="J1">
      <selection activeCell="O131" activeCellId="5" sqref="O441 O379 O317 O255 O193 O131"/>
      <pageMargins left="0.25" right="0.25" top="0.75" bottom="0.47" header="0" footer="0.25"/>
      <printOptions horizontalCentered="1"/>
      <pageSetup scale="64" orientation="landscape" r:id="rId8"/>
      <headerFooter alignWithMargins="0"/>
    </customSheetView>
    <customSheetView guid="{3504B952-F634-11D2-9451-0008C780B76A}" scale="75" showPageBreaks="1" printArea="1" showRuler="0" topLeftCell="J1">
      <selection activeCell="O131" activeCellId="5" sqref="O441 O379 O317 O255 O193 O131"/>
      <pageMargins left="0.25" right="0.25" top="0.75" bottom="0.47" header="0" footer="0.25"/>
      <printOptions horizontalCentered="1"/>
      <pageSetup scale="64" orientation="landscape" r:id="rId9"/>
      <headerFooter alignWithMargins="0"/>
    </customSheetView>
    <customSheetView guid="{3504B953-F634-11D2-9451-0008C780B76A}" scale="75" showPageBreaks="1" printArea="1" showRuler="0" topLeftCell="J1">
      <selection activeCell="O131" activeCellId="5" sqref="O441 O379 O317 O255 O193 O131"/>
      <pageMargins left="0.25" right="0.25" top="0.75" bottom="0.47" header="0" footer="0.25"/>
      <printOptions horizontalCentered="1"/>
      <pageSetup scale="64" orientation="landscape" r:id="rId10"/>
      <headerFooter alignWithMargins="0"/>
    </customSheetView>
    <customSheetView guid="{3504B954-F634-11D2-9451-0008C780B76A}" scale="75" showPageBreaks="1" printArea="1" showRuler="0" topLeftCell="J1">
      <selection activeCell="O131" activeCellId="5" sqref="O441 O379 O317 O255 O193 O131"/>
      <pageMargins left="0.25" right="0.25" top="0.75" bottom="0.47" header="0" footer="0.25"/>
      <printOptions horizontalCentered="1"/>
      <pageSetup scale="64" orientation="landscape" r:id="rId11"/>
      <headerFooter alignWithMargins="0"/>
    </customSheetView>
    <customSheetView guid="{3504B955-F634-11D2-9451-0008C780B76A}" scale="75" showPageBreaks="1" printArea="1" showRuler="0" topLeftCell="J1">
      <selection activeCell="O131" activeCellId="5" sqref="O441 O379 O317 O255 O193 O131"/>
      <pageMargins left="0.25" right="0.25" top="0.75" bottom="0.47" header="0" footer="0.25"/>
      <printOptions horizontalCentered="1"/>
      <pageSetup scale="64" orientation="landscape" r:id="rId12"/>
      <headerFooter alignWithMargins="0"/>
    </customSheetView>
    <customSheetView guid="{3504B956-F634-11D2-9451-0008C780B76A}" scale="75" showPageBreaks="1" printArea="1" showRuler="0" topLeftCell="J1">
      <selection activeCell="O131" activeCellId="5" sqref="O441 O379 O317 O255 O193 O131"/>
      <pageMargins left="0.25" right="0.25" top="0.75" bottom="0.47" header="0" footer="0.25"/>
      <printOptions horizontalCentered="1"/>
      <pageSetup scale="64" orientation="landscape" r:id="rId13"/>
      <headerFooter alignWithMargins="0"/>
    </customSheetView>
    <customSheetView guid="{3504B966-F634-11D2-9451-0008C780B76A}" scale="75" showPageBreaks="1" printArea="1" showRuler="0" topLeftCell="J1">
      <selection activeCell="O131" activeCellId="5" sqref="O441 O379 O317 O255 O193 O131"/>
      <pageMargins left="0.25" right="0.25" top="0.75" bottom="0.47" header="0" footer="0.25"/>
      <printOptions horizontalCentered="1"/>
      <pageSetup scale="64" orientation="landscape" r:id="rId14"/>
      <headerFooter alignWithMargins="0"/>
    </customSheetView>
  </customSheetViews>
  <mergeCells count="8">
    <mergeCell ref="A41:Q41"/>
    <mergeCell ref="A42:Q42"/>
    <mergeCell ref="A1:Q1"/>
    <mergeCell ref="A2:Q2"/>
    <mergeCell ref="A3:Q3"/>
    <mergeCell ref="A4:Q4"/>
    <mergeCell ref="A39:Q39"/>
    <mergeCell ref="A40:Q40"/>
  </mergeCells>
  <phoneticPr fontId="0" type="noConversion"/>
  <printOptions horizontalCentered="1"/>
  <pageMargins left="0.75" right="0.75" top="1" bottom="0.5" header="0" footer="0.25"/>
  <pageSetup scale="85" orientation="landscape" r:id="rId15"/>
  <headerFooter alignWithMargins="0"/>
  <rowBreaks count="1" manualBreakCount="1">
    <brk id="38" max="17" man="1"/>
  </rowBreaks>
  <customProperties>
    <customPr name="_pios_id" r:id="rId16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CH124"/>
  <sheetViews>
    <sheetView zoomScaleNormal="100" zoomScaleSheetLayoutView="100" workbookViewId="0">
      <selection sqref="A1:W1"/>
    </sheetView>
  </sheetViews>
  <sheetFormatPr defaultColWidth="16.6640625" defaultRowHeight="13.8" x14ac:dyDescent="0.25"/>
  <cols>
    <col min="1" max="1" width="4.6640625" style="68" customWidth="1"/>
    <col min="2" max="2" width="1.6640625" style="68" customWidth="1"/>
    <col min="3" max="3" width="32.109375" style="68" bestFit="1" customWidth="1"/>
    <col min="4" max="4" width="1.6640625" style="68" customWidth="1"/>
    <col min="5" max="5" width="10.109375" style="68" bestFit="1" customWidth="1"/>
    <col min="6" max="6" width="1.6640625" style="68" customWidth="1"/>
    <col min="7" max="7" width="13" style="68" customWidth="1"/>
    <col min="8" max="8" width="1.6640625" style="68" customWidth="1"/>
    <col min="9" max="9" width="8.109375" style="68" customWidth="1"/>
    <col min="10" max="10" width="1.6640625" style="68" customWidth="1"/>
    <col min="11" max="12" width="13.33203125" style="68" customWidth="1"/>
    <col min="13" max="13" width="15.6640625" style="68" customWidth="1"/>
    <col min="14" max="14" width="14.44140625" style="68" bestFit="1" customWidth="1"/>
    <col min="15" max="15" width="15" style="68" bestFit="1" customWidth="1"/>
    <col min="16" max="16" width="19.44140625" style="68" customWidth="1"/>
    <col min="17" max="21" width="16.6640625" style="68"/>
    <col min="22" max="22" width="6.88671875" style="68" customWidth="1"/>
    <col min="23" max="30" width="16.6640625" style="68"/>
    <col min="31" max="31" width="15" style="68" customWidth="1"/>
    <col min="32" max="16384" width="16.6640625" style="68"/>
  </cols>
  <sheetData>
    <row r="1" spans="1:86" ht="14.4" x14ac:dyDescent="0.3">
      <c r="A1" s="243" t="str">
        <f>Linkin!A1</f>
        <v>Kentucky American Water Company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71"/>
      <c r="O1" s="72"/>
      <c r="P1" s="72"/>
    </row>
    <row r="2" spans="1:86" ht="14.4" x14ac:dyDescent="0.3">
      <c r="A2" s="243" t="str">
        <f>Linkin!A3</f>
        <v>Case No. 2018-00358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71"/>
      <c r="O2" s="72"/>
      <c r="P2" s="72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</row>
    <row r="3" spans="1:86" ht="14.4" x14ac:dyDescent="0.3">
      <c r="A3" s="243" t="str">
        <f>Linkin!E41</f>
        <v>Embedded Cost of Short-Term Debt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71"/>
      <c r="O3" s="72"/>
      <c r="P3" s="72"/>
    </row>
    <row r="4" spans="1:86" ht="14.4" x14ac:dyDescent="0.3">
      <c r="A4" s="243" t="str">
        <f>Linkin!C11</f>
        <v>As of June 30, 2020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71"/>
      <c r="O4" s="72"/>
      <c r="P4" s="72"/>
    </row>
    <row r="5" spans="1:86" ht="14.4" x14ac:dyDescent="0.3">
      <c r="A5" s="70"/>
      <c r="B5" s="104"/>
      <c r="C5" s="70"/>
      <c r="D5" s="70"/>
      <c r="E5" s="70"/>
      <c r="F5" s="70"/>
      <c r="G5" s="71"/>
      <c r="H5" s="71"/>
      <c r="I5" s="71"/>
      <c r="J5" s="71"/>
      <c r="K5" s="71"/>
      <c r="L5" s="71"/>
      <c r="M5" s="71"/>
      <c r="N5" s="71"/>
      <c r="O5" s="71"/>
      <c r="P5" s="71"/>
      <c r="Q5" s="74"/>
    </row>
    <row r="6" spans="1:86" ht="14.4" x14ac:dyDescent="0.3">
      <c r="A6" s="197" t="s">
        <v>214</v>
      </c>
      <c r="B6" s="104"/>
      <c r="C6" s="70"/>
      <c r="D6" s="70"/>
      <c r="E6" s="70"/>
      <c r="F6" s="70"/>
      <c r="G6" s="71"/>
      <c r="H6" s="71"/>
      <c r="I6" s="71"/>
      <c r="J6" s="71"/>
      <c r="K6" s="71"/>
      <c r="L6" s="71"/>
      <c r="M6" s="75" t="s">
        <v>217</v>
      </c>
      <c r="O6" s="71"/>
      <c r="P6" s="71"/>
      <c r="Q6" s="74"/>
    </row>
    <row r="7" spans="1:86" ht="14.4" x14ac:dyDescent="0.3">
      <c r="A7" s="67" t="str">
        <f>Linkin!A17</f>
        <v>Type of Filing: __X__ Original  _____ Updated  _____ Revised</v>
      </c>
      <c r="B7" s="104"/>
      <c r="C7" s="70"/>
      <c r="D7" s="70"/>
      <c r="E7" s="70"/>
      <c r="F7" s="70"/>
      <c r="G7" s="71"/>
      <c r="H7" s="71"/>
      <c r="I7" s="71"/>
      <c r="J7" s="71"/>
      <c r="K7" s="71"/>
      <c r="L7" s="71"/>
      <c r="M7" s="196" t="str">
        <f ca="1">RIGHT(CELL("filename",$A$1),LEN(CELL("filename",$A$1))-SEARCH("\Capital",CELL("filename",$A$1),1))</f>
        <v>Capital Structure\[KAWC 2018 Rate Case - Capital Structure.xlsx]Sch J-3</v>
      </c>
      <c r="O7" s="71"/>
      <c r="Q7" s="74"/>
    </row>
    <row r="8" spans="1:86" ht="14.4" x14ac:dyDescent="0.3"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75" t="str">
        <f>Linkin!G41</f>
        <v>Witness Responsible:   Scott Rungren</v>
      </c>
      <c r="O8" s="67"/>
      <c r="Q8" s="74"/>
    </row>
    <row r="9" spans="1:86" ht="14.4" x14ac:dyDescent="0.3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196" t="s">
        <v>176</v>
      </c>
      <c r="O9" s="67"/>
      <c r="Q9" s="74"/>
    </row>
    <row r="10" spans="1:86" ht="14.4" x14ac:dyDescent="0.3">
      <c r="A10" s="72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75"/>
      <c r="O10" s="67"/>
      <c r="Q10" s="74"/>
    </row>
    <row r="11" spans="1:86" ht="14.4" x14ac:dyDescent="0.3">
      <c r="A11" s="72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75"/>
      <c r="O11" s="67"/>
      <c r="Q11" s="74"/>
    </row>
    <row r="12" spans="1:86" ht="14.4" x14ac:dyDescent="0.3">
      <c r="A12" s="72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75"/>
      <c r="Q12" s="74"/>
    </row>
    <row r="13" spans="1:86" ht="14.4" x14ac:dyDescent="0.3">
      <c r="A13" s="72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75"/>
      <c r="Q13" s="74"/>
    </row>
    <row r="14" spans="1:86" ht="14.4" x14ac:dyDescent="0.3">
      <c r="A14" s="85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74"/>
    </row>
    <row r="15" spans="1:86" ht="14.4" x14ac:dyDescent="0.3">
      <c r="A15" s="72"/>
      <c r="B15" s="83"/>
      <c r="C15" s="72"/>
      <c r="D15" s="83"/>
      <c r="E15" s="83"/>
      <c r="F15" s="83"/>
      <c r="G15" s="72"/>
      <c r="H15" s="83"/>
      <c r="I15" s="72"/>
      <c r="J15" s="72"/>
      <c r="K15" s="72"/>
      <c r="L15" s="72"/>
      <c r="M15" s="72"/>
      <c r="N15" s="72"/>
      <c r="O15" s="72"/>
      <c r="P15" s="83"/>
      <c r="Q15" s="74"/>
    </row>
    <row r="16" spans="1:86" ht="14.4" x14ac:dyDescent="0.3">
      <c r="A16" s="81" t="s">
        <v>22</v>
      </c>
      <c r="B16" s="67"/>
      <c r="C16" s="67"/>
      <c r="D16" s="67"/>
      <c r="E16" s="67"/>
      <c r="F16" s="67"/>
      <c r="G16" s="81" t="s">
        <v>30</v>
      </c>
      <c r="H16" s="67"/>
      <c r="I16" s="81" t="s">
        <v>47</v>
      </c>
      <c r="J16" s="67"/>
      <c r="K16" s="81" t="s">
        <v>47</v>
      </c>
      <c r="L16" s="81"/>
      <c r="M16" s="67"/>
      <c r="N16" s="67"/>
      <c r="O16" s="67"/>
      <c r="P16" s="67"/>
      <c r="Q16" s="74"/>
    </row>
    <row r="17" spans="1:86" ht="15" thickBot="1" x14ac:dyDescent="0.35">
      <c r="A17" s="82" t="s">
        <v>27</v>
      </c>
      <c r="B17" s="83"/>
      <c r="C17" s="82" t="s">
        <v>48</v>
      </c>
      <c r="D17" s="83"/>
      <c r="E17" s="82" t="s">
        <v>29</v>
      </c>
      <c r="F17" s="83"/>
      <c r="G17" s="82" t="s">
        <v>49</v>
      </c>
      <c r="H17" s="84"/>
      <c r="I17" s="82" t="s">
        <v>50</v>
      </c>
      <c r="J17" s="84"/>
      <c r="K17" s="82" t="s">
        <v>51</v>
      </c>
      <c r="L17" s="84"/>
      <c r="M17" s="84"/>
      <c r="N17" s="83"/>
      <c r="O17" s="84"/>
      <c r="P17" s="83"/>
      <c r="Q17" s="74"/>
    </row>
    <row r="18" spans="1:86" ht="14.4" x14ac:dyDescent="0.3">
      <c r="A18" s="80">
        <v>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74"/>
    </row>
    <row r="19" spans="1:86" ht="14.4" x14ac:dyDescent="0.3">
      <c r="A19" s="80">
        <f>A18+1</f>
        <v>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74"/>
    </row>
    <row r="20" spans="1:86" ht="14.4" x14ac:dyDescent="0.3">
      <c r="A20" s="80">
        <f t="shared" ref="A20:A24" si="0">A19+1</f>
        <v>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74"/>
    </row>
    <row r="21" spans="1:86" ht="15" thickBot="1" x14ac:dyDescent="0.35">
      <c r="A21" s="80">
        <f t="shared" si="0"/>
        <v>4</v>
      </c>
      <c r="B21" s="67"/>
      <c r="C21" s="72" t="s">
        <v>52</v>
      </c>
      <c r="D21" s="72"/>
      <c r="E21" s="80" t="str">
        <f>Linkin!C26</f>
        <v>W/P - 7-3</v>
      </c>
      <c r="F21" s="72"/>
      <c r="G21" s="112">
        <f>'Sch J WPs'!AE444</f>
        <v>18696695.555414919</v>
      </c>
      <c r="H21" s="67"/>
      <c r="I21" s="99">
        <f>'Sch J WPs'!AE448</f>
        <v>3.3377991544647899E-2</v>
      </c>
      <c r="J21" s="67"/>
      <c r="K21" s="112">
        <f>ROUND(I21*G21,0)</f>
        <v>624058</v>
      </c>
      <c r="L21" s="113"/>
      <c r="M21" s="67"/>
      <c r="N21" s="67"/>
      <c r="O21" s="67"/>
      <c r="P21" s="67"/>
      <c r="Q21" s="74"/>
    </row>
    <row r="22" spans="1:86" ht="15" thickTop="1" x14ac:dyDescent="0.3">
      <c r="A22" s="80">
        <f t="shared" si="0"/>
        <v>5</v>
      </c>
      <c r="B22" s="67"/>
      <c r="C22" s="67"/>
      <c r="D22" s="67"/>
      <c r="E22" s="67"/>
      <c r="F22" s="67"/>
      <c r="G22" s="85"/>
      <c r="H22" s="67"/>
      <c r="I22" s="85"/>
      <c r="J22" s="67"/>
      <c r="K22" s="85"/>
      <c r="L22" s="85"/>
      <c r="M22" s="67"/>
      <c r="N22" s="67"/>
      <c r="O22" s="67"/>
      <c r="P22" s="67"/>
      <c r="Q22" s="74"/>
    </row>
    <row r="23" spans="1:86" ht="14.4" x14ac:dyDescent="0.3">
      <c r="A23" s="80">
        <f t="shared" si="0"/>
        <v>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74"/>
    </row>
    <row r="24" spans="1:86" ht="15" thickBot="1" x14ac:dyDescent="0.35">
      <c r="A24" s="80">
        <f t="shared" si="0"/>
        <v>7</v>
      </c>
      <c r="B24" s="67"/>
      <c r="C24" s="72" t="s">
        <v>53</v>
      </c>
      <c r="D24" s="72"/>
      <c r="E24" s="72"/>
      <c r="F24" s="72"/>
      <c r="G24" s="99">
        <f>I21</f>
        <v>3.3377991544647899E-2</v>
      </c>
      <c r="H24" s="67"/>
      <c r="I24" s="67"/>
      <c r="J24" s="67"/>
      <c r="K24" s="67"/>
      <c r="L24" s="67"/>
      <c r="M24" s="67"/>
      <c r="N24" s="67"/>
      <c r="O24" s="67"/>
      <c r="P24" s="67"/>
      <c r="Q24" s="74"/>
    </row>
    <row r="25" spans="1:86" ht="15" thickTop="1" x14ac:dyDescent="0.3">
      <c r="A25" s="80"/>
      <c r="B25" s="67"/>
      <c r="C25" s="67"/>
      <c r="D25" s="67"/>
      <c r="E25" s="67"/>
      <c r="F25" s="67"/>
      <c r="G25" s="85"/>
      <c r="H25" s="67"/>
      <c r="I25" s="67"/>
      <c r="J25" s="67"/>
      <c r="K25" s="67"/>
      <c r="L25" s="67"/>
      <c r="M25" s="67"/>
      <c r="N25" s="67"/>
      <c r="O25" s="67"/>
      <c r="P25" s="67"/>
      <c r="Q25" s="74"/>
    </row>
    <row r="26" spans="1:86" ht="14.4" x14ac:dyDescent="0.3">
      <c r="A26" s="80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74"/>
    </row>
    <row r="27" spans="1:86" ht="14.4" x14ac:dyDescent="0.3">
      <c r="A27" s="80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74"/>
    </row>
    <row r="28" spans="1:86" ht="14.4" x14ac:dyDescent="0.3">
      <c r="A28" s="80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74"/>
    </row>
    <row r="29" spans="1:86" ht="14.4" x14ac:dyDescent="0.3">
      <c r="A29" s="80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74"/>
    </row>
    <row r="30" spans="1:86" ht="14.4" x14ac:dyDescent="0.3">
      <c r="A30" s="80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74"/>
    </row>
    <row r="31" spans="1:86" ht="14.4" x14ac:dyDescent="0.3">
      <c r="A31" s="243" t="str">
        <f>A1</f>
        <v>Kentucky American Water Company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71"/>
      <c r="O31" s="72"/>
      <c r="P31" s="72"/>
      <c r="Q31" s="74"/>
    </row>
    <row r="32" spans="1:86" ht="14.4" x14ac:dyDescent="0.3">
      <c r="A32" s="243" t="str">
        <f>A2</f>
        <v>Case No. 2018-00358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71"/>
      <c r="O32" s="72"/>
      <c r="P32" s="72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</row>
    <row r="33" spans="1:17" ht="14.4" x14ac:dyDescent="0.3">
      <c r="A33" s="243" t="str">
        <f>Linkin!E42</f>
        <v>Embedded Cost of Short-Term Debt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71"/>
      <c r="O33" s="72"/>
      <c r="P33" s="72"/>
    </row>
    <row r="34" spans="1:17" ht="14.4" x14ac:dyDescent="0.3">
      <c r="A34" s="243" t="str">
        <f>Linkin!C6</f>
        <v>As of February 28, 2019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71"/>
      <c r="O34" s="72"/>
      <c r="P34" s="72"/>
    </row>
    <row r="35" spans="1:17" ht="14.4" x14ac:dyDescent="0.3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2"/>
      <c r="P35" s="72"/>
    </row>
    <row r="36" spans="1:17" ht="14.4" x14ac:dyDescent="0.3">
      <c r="A36" s="197" t="s">
        <v>216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5" t="s">
        <v>217</v>
      </c>
      <c r="O36" s="71"/>
      <c r="P36" s="71"/>
      <c r="Q36" s="74"/>
    </row>
    <row r="37" spans="1:17" ht="14.4" x14ac:dyDescent="0.3">
      <c r="A37" s="72" t="str">
        <f>Linkin!A17</f>
        <v>Type of Filing: __X__ Original  _____ Updated  _____ Revised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196" t="str">
        <f ca="1">RIGHT(CELL("filename",$A$1),LEN(CELL("filename",$A$1))-SEARCH("\Capital",CELL("filename",$A$1),1))</f>
        <v>Capital Structure\[KAWC 2018 Rate Case - Capital Structure.xlsx]Sch J-3</v>
      </c>
      <c r="O37" s="71"/>
      <c r="Q37" s="74"/>
    </row>
    <row r="38" spans="1:17" ht="14.4" x14ac:dyDescent="0.3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196" t="str">
        <f>Linkin!G42</f>
        <v>Witness Responsible:   Scott Rungren</v>
      </c>
      <c r="O38" s="67"/>
      <c r="Q38" s="74"/>
    </row>
    <row r="39" spans="1:17" ht="14.4" x14ac:dyDescent="0.3">
      <c r="A39" s="72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196" t="s">
        <v>177</v>
      </c>
      <c r="O39" s="67"/>
      <c r="Q39" s="74"/>
    </row>
    <row r="40" spans="1:17" ht="14.4" x14ac:dyDescent="0.3">
      <c r="A40" s="72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75"/>
      <c r="O40" s="67"/>
      <c r="Q40" s="74"/>
    </row>
    <row r="41" spans="1:17" ht="14.4" x14ac:dyDescent="0.3">
      <c r="A41" s="72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75"/>
      <c r="O41" s="67"/>
      <c r="Q41" s="74"/>
    </row>
    <row r="42" spans="1:17" ht="14.4" x14ac:dyDescent="0.3">
      <c r="A42" s="72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75"/>
      <c r="Q42" s="74"/>
    </row>
    <row r="43" spans="1:17" ht="14.4" x14ac:dyDescent="0.3">
      <c r="A43" s="72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75"/>
      <c r="Q43" s="74"/>
    </row>
    <row r="44" spans="1:17" ht="14.4" x14ac:dyDescent="0.3">
      <c r="A44" s="85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74"/>
    </row>
    <row r="45" spans="1:17" ht="14.4" x14ac:dyDescent="0.3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4"/>
    </row>
    <row r="46" spans="1:17" ht="14.4" x14ac:dyDescent="0.3">
      <c r="A46" s="81" t="s">
        <v>22</v>
      </c>
      <c r="B46" s="67"/>
      <c r="C46" s="67"/>
      <c r="D46" s="67"/>
      <c r="E46" s="67"/>
      <c r="F46" s="67"/>
      <c r="G46" s="81" t="s">
        <v>30</v>
      </c>
      <c r="H46" s="67"/>
      <c r="I46" s="81" t="s">
        <v>47</v>
      </c>
      <c r="J46" s="67"/>
      <c r="K46" s="81" t="s">
        <v>47</v>
      </c>
      <c r="L46" s="81"/>
      <c r="M46" s="67"/>
      <c r="N46" s="67"/>
      <c r="O46" s="67"/>
      <c r="P46" s="67"/>
      <c r="Q46" s="74"/>
    </row>
    <row r="47" spans="1:17" ht="15" thickBot="1" x14ac:dyDescent="0.35">
      <c r="A47" s="82" t="s">
        <v>27</v>
      </c>
      <c r="B47" s="83"/>
      <c r="C47" s="82" t="s">
        <v>48</v>
      </c>
      <c r="D47" s="83"/>
      <c r="E47" s="82" t="s">
        <v>29</v>
      </c>
      <c r="F47" s="83"/>
      <c r="G47" s="82" t="s">
        <v>49</v>
      </c>
      <c r="H47" s="84"/>
      <c r="I47" s="82" t="s">
        <v>50</v>
      </c>
      <c r="J47" s="84"/>
      <c r="K47" s="82" t="s">
        <v>51</v>
      </c>
      <c r="L47" s="84"/>
      <c r="M47" s="84"/>
      <c r="N47" s="83"/>
      <c r="O47" s="84"/>
      <c r="P47" s="83"/>
      <c r="Q47" s="74"/>
    </row>
    <row r="48" spans="1:17" ht="14.4" x14ac:dyDescent="0.3">
      <c r="A48" s="80">
        <v>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74"/>
    </row>
    <row r="49" spans="1:17" ht="14.4" x14ac:dyDescent="0.3">
      <c r="A49" s="80">
        <f>A48+1</f>
        <v>2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74"/>
    </row>
    <row r="50" spans="1:17" ht="14.4" x14ac:dyDescent="0.3">
      <c r="A50" s="80">
        <f t="shared" ref="A50:A54" si="1">A49+1</f>
        <v>3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74"/>
    </row>
    <row r="51" spans="1:17" ht="15" thickBot="1" x14ac:dyDescent="0.35">
      <c r="A51" s="80">
        <f t="shared" si="1"/>
        <v>4</v>
      </c>
      <c r="B51" s="67"/>
      <c r="C51" s="72" t="s">
        <v>52</v>
      </c>
      <c r="D51" s="72"/>
      <c r="E51" s="80" t="str">
        <f>Linkin!C26</f>
        <v>W/P - 7-3</v>
      </c>
      <c r="F51" s="72"/>
      <c r="G51" s="112">
        <f>'Sch J WPs'!O444</f>
        <v>17047056.517370932</v>
      </c>
      <c r="H51" s="67"/>
      <c r="I51" s="99">
        <f>'Sch J WPs'!O448</f>
        <v>2.8686581219739198E-2</v>
      </c>
      <c r="J51" s="67"/>
      <c r="K51" s="112">
        <f>ROUND(I51*G51,0)</f>
        <v>489022</v>
      </c>
      <c r="L51" s="113"/>
      <c r="M51" s="67"/>
      <c r="N51" s="67"/>
      <c r="O51" s="67"/>
      <c r="P51" s="67"/>
      <c r="Q51" s="74"/>
    </row>
    <row r="52" spans="1:17" ht="15" thickTop="1" x14ac:dyDescent="0.3">
      <c r="A52" s="80">
        <f t="shared" si="1"/>
        <v>5</v>
      </c>
      <c r="B52" s="67"/>
      <c r="C52" s="67"/>
      <c r="D52" s="67"/>
      <c r="E52" s="67"/>
      <c r="F52" s="67"/>
      <c r="G52" s="85"/>
      <c r="H52" s="67"/>
      <c r="I52" s="85"/>
      <c r="J52" s="67"/>
      <c r="K52" s="85"/>
      <c r="L52" s="85"/>
      <c r="M52" s="67"/>
      <c r="N52" s="67"/>
      <c r="O52" s="67"/>
      <c r="P52" s="67"/>
      <c r="Q52" s="74"/>
    </row>
    <row r="53" spans="1:17" ht="14.4" x14ac:dyDescent="0.3">
      <c r="A53" s="80">
        <f t="shared" si="1"/>
        <v>6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74"/>
    </row>
    <row r="54" spans="1:17" ht="15" thickBot="1" x14ac:dyDescent="0.35">
      <c r="A54" s="80">
        <f t="shared" si="1"/>
        <v>7</v>
      </c>
      <c r="B54" s="67"/>
      <c r="C54" s="72" t="s">
        <v>53</v>
      </c>
      <c r="D54" s="72"/>
      <c r="E54" s="72"/>
      <c r="F54" s="72"/>
      <c r="G54" s="99">
        <f>I51</f>
        <v>2.8686581219739198E-2</v>
      </c>
      <c r="H54" s="67"/>
      <c r="I54" s="67"/>
      <c r="J54" s="67"/>
      <c r="K54" s="67"/>
      <c r="L54" s="67"/>
      <c r="M54" s="67"/>
      <c r="N54" s="67"/>
      <c r="O54" s="67"/>
      <c r="P54" s="67"/>
      <c r="Q54" s="74"/>
    </row>
    <row r="55" spans="1:17" ht="15" thickTop="1" x14ac:dyDescent="0.3">
      <c r="A55" s="80"/>
      <c r="B55" s="67"/>
      <c r="C55" s="67"/>
      <c r="D55" s="67"/>
      <c r="E55" s="67"/>
      <c r="F55" s="67"/>
      <c r="G55" s="85"/>
      <c r="H55" s="67"/>
      <c r="I55" s="67"/>
      <c r="J55" s="67"/>
      <c r="K55" s="67"/>
      <c r="L55" s="67"/>
      <c r="M55" s="67"/>
      <c r="N55" s="67"/>
      <c r="O55" s="67"/>
      <c r="P55" s="67"/>
      <c r="Q55" s="74"/>
    </row>
    <row r="56" spans="1:17" ht="14.4" x14ac:dyDescent="0.3">
      <c r="A56" s="80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74"/>
    </row>
    <row r="57" spans="1:17" ht="14.4" x14ac:dyDescent="0.3">
      <c r="A57" s="80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74"/>
    </row>
    <row r="58" spans="1:17" ht="14.4" x14ac:dyDescent="0.3">
      <c r="A58" s="80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74"/>
    </row>
    <row r="59" spans="1:17" ht="14.4" x14ac:dyDescent="0.3">
      <c r="A59" s="80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74"/>
    </row>
    <row r="60" spans="1:17" ht="14.4" x14ac:dyDescent="0.3">
      <c r="A60" s="80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74"/>
    </row>
    <row r="61" spans="1:17" ht="14.4" x14ac:dyDescent="0.3">
      <c r="A61" s="80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74"/>
    </row>
    <row r="62" spans="1:17" ht="14.4" x14ac:dyDescent="0.3">
      <c r="A62" s="80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74"/>
    </row>
    <row r="63" spans="1:17" ht="14.4" x14ac:dyDescent="0.3">
      <c r="A63" s="80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74"/>
    </row>
    <row r="64" spans="1:17" ht="14.4" x14ac:dyDescent="0.3">
      <c r="A64" s="80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74"/>
    </row>
    <row r="65" spans="1:17" ht="14.4" x14ac:dyDescent="0.3">
      <c r="A65" s="80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74"/>
    </row>
    <row r="66" spans="1:17" ht="14.4" x14ac:dyDescent="0.3">
      <c r="A66" s="80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74"/>
    </row>
    <row r="67" spans="1:17" ht="14.4" x14ac:dyDescent="0.3">
      <c r="A67" s="80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74"/>
    </row>
    <row r="68" spans="1:17" ht="14.4" x14ac:dyDescent="0.3">
      <c r="A68" s="80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74"/>
    </row>
    <row r="69" spans="1:17" ht="14.4" x14ac:dyDescent="0.3">
      <c r="A69" s="80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4"/>
    </row>
    <row r="70" spans="1:17" ht="14.4" x14ac:dyDescent="0.3">
      <c r="A70" s="80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74"/>
    </row>
    <row r="71" spans="1:17" ht="14.4" x14ac:dyDescent="0.3">
      <c r="A71" s="80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74"/>
    </row>
    <row r="72" spans="1:17" ht="14.4" x14ac:dyDescent="0.3">
      <c r="A72" s="80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74"/>
    </row>
    <row r="73" spans="1:17" ht="14.4" x14ac:dyDescent="0.3">
      <c r="A73" s="80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74"/>
    </row>
    <row r="74" spans="1:17" ht="14.4" x14ac:dyDescent="0.3">
      <c r="A74" s="80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4"/>
    </row>
    <row r="75" spans="1:17" ht="14.4" x14ac:dyDescent="0.3">
      <c r="A75" s="80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74"/>
    </row>
    <row r="76" spans="1:17" ht="14.4" x14ac:dyDescent="0.3">
      <c r="A76" s="80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74"/>
    </row>
    <row r="77" spans="1:17" ht="14.4" x14ac:dyDescent="0.3">
      <c r="A77" s="80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74"/>
    </row>
    <row r="78" spans="1:17" ht="14.4" x14ac:dyDescent="0.3">
      <c r="A78" s="80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74"/>
    </row>
    <row r="79" spans="1:17" ht="14.4" x14ac:dyDescent="0.3">
      <c r="A79" s="80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74"/>
    </row>
    <row r="80" spans="1:17" ht="14.4" x14ac:dyDescent="0.3">
      <c r="A80" s="80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74"/>
    </row>
    <row r="81" spans="1:86" ht="14.4" x14ac:dyDescent="0.3">
      <c r="A81" s="80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74"/>
    </row>
    <row r="82" spans="1:86" ht="14.4" x14ac:dyDescent="0.3">
      <c r="A82" s="80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74"/>
    </row>
    <row r="83" spans="1:86" ht="14.4" x14ac:dyDescent="0.3">
      <c r="A83" s="80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74"/>
    </row>
    <row r="84" spans="1:86" ht="14.4" x14ac:dyDescent="0.3">
      <c r="A84" s="80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74"/>
    </row>
    <row r="85" spans="1:86" ht="14.4" x14ac:dyDescent="0.3">
      <c r="A85" s="80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74"/>
    </row>
    <row r="86" spans="1:86" ht="14.4" x14ac:dyDescent="0.3">
      <c r="A86" s="80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74"/>
    </row>
    <row r="87" spans="1:86" ht="14.4" x14ac:dyDescent="0.3">
      <c r="A87" s="80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74"/>
    </row>
    <row r="88" spans="1:86" ht="14.4" x14ac:dyDescent="0.3">
      <c r="A88" s="80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74"/>
    </row>
    <row r="89" spans="1:86" ht="14.4" x14ac:dyDescent="0.3">
      <c r="A89" s="80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</row>
    <row r="90" spans="1:86" ht="14.4" x14ac:dyDescent="0.3">
      <c r="A90" s="80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</row>
    <row r="91" spans="1:86" ht="14.4" x14ac:dyDescent="0.3">
      <c r="A91" s="80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</row>
    <row r="92" spans="1:86" ht="14.4" x14ac:dyDescent="0.3">
      <c r="A92" s="80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</row>
    <row r="93" spans="1:86" x14ac:dyDescent="0.25">
      <c r="A93" s="77"/>
    </row>
    <row r="94" spans="1:86" x14ac:dyDescent="0.25">
      <c r="A94" s="77"/>
    </row>
    <row r="95" spans="1:86" x14ac:dyDescent="0.25">
      <c r="A95" s="77"/>
    </row>
    <row r="124" spans="2:17" x14ac:dyDescent="0.25">
      <c r="B124" s="105"/>
      <c r="D124" s="105"/>
      <c r="E124" s="105"/>
      <c r="F124" s="105"/>
      <c r="H124" s="105"/>
      <c r="P124" s="105"/>
      <c r="Q124" s="105"/>
    </row>
  </sheetData>
  <mergeCells count="8">
    <mergeCell ref="A32:M32"/>
    <mergeCell ref="A33:M33"/>
    <mergeCell ref="A34:M34"/>
    <mergeCell ref="A1:M1"/>
    <mergeCell ref="A2:M2"/>
    <mergeCell ref="A3:M3"/>
    <mergeCell ref="A4:M4"/>
    <mergeCell ref="A31:M31"/>
  </mergeCells>
  <printOptions horizontalCentered="1"/>
  <pageMargins left="0.75" right="0.75" top="1" bottom="0.5" header="0" footer="0.25"/>
  <pageSetup orientation="landscape" r:id="rId1"/>
  <headerFooter alignWithMargins="0"/>
  <rowBreaks count="1" manualBreakCount="1">
    <brk id="30" max="11" man="1"/>
  </row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CU121"/>
  <sheetViews>
    <sheetView zoomScaleNormal="100" zoomScaleSheetLayoutView="100" workbookViewId="0"/>
  </sheetViews>
  <sheetFormatPr defaultColWidth="16.6640625" defaultRowHeight="13.8" x14ac:dyDescent="0.25"/>
  <cols>
    <col min="1" max="1" width="4.6640625" style="68" customWidth="1"/>
    <col min="2" max="2" width="1.6640625" style="68" customWidth="1"/>
    <col min="3" max="3" width="21" style="68" bestFit="1" customWidth="1"/>
    <col min="4" max="4" width="1.6640625" style="68" customWidth="1"/>
    <col min="5" max="5" width="17.88671875" style="68" bestFit="1" customWidth="1"/>
    <col min="6" max="6" width="1.6640625" style="68" customWidth="1"/>
    <col min="7" max="7" width="10.6640625" style="68" bestFit="1" customWidth="1"/>
    <col min="8" max="8" width="1.6640625" style="68" customWidth="1"/>
    <col min="9" max="9" width="13.6640625" style="68" bestFit="1" customWidth="1"/>
    <col min="10" max="10" width="1.6640625" style="68" customWidth="1"/>
    <col min="11" max="11" width="8.44140625" style="68" bestFit="1" customWidth="1"/>
    <col min="12" max="12" width="1.88671875" style="68" customWidth="1"/>
    <col min="13" max="13" width="10" style="68" bestFit="1" customWidth="1"/>
    <col min="14" max="14" width="1.6640625" style="68" customWidth="1"/>
    <col min="15" max="15" width="10.44140625" style="68" bestFit="1" customWidth="1"/>
    <col min="16" max="16" width="1.6640625" style="68" customWidth="1"/>
    <col min="17" max="17" width="12.5546875" style="68" bestFit="1" customWidth="1"/>
    <col min="18" max="18" width="1.6640625" style="68" customWidth="1"/>
    <col min="19" max="19" width="13.6640625" style="68" bestFit="1" customWidth="1"/>
    <col min="20" max="20" width="1.6640625" style="68" customWidth="1"/>
    <col min="21" max="21" width="12.33203125" style="68" bestFit="1" customWidth="1"/>
    <col min="22" max="22" width="1.6640625" style="68" customWidth="1"/>
    <col min="23" max="23" width="11.109375" style="68" bestFit="1" customWidth="1"/>
    <col min="24" max="24" width="1.6640625" style="68" customWidth="1"/>
    <col min="25" max="25" width="11.5546875" style="68" bestFit="1" customWidth="1"/>
    <col min="26" max="26" width="1.6640625" style="68" customWidth="1"/>
    <col min="27" max="27" width="11.109375" style="68" bestFit="1" customWidth="1"/>
    <col min="28" max="28" width="1.6640625" style="68" customWidth="1"/>
    <col min="29" max="29" width="13.44140625" style="68" customWidth="1"/>
    <col min="30" max="30" width="16.6640625" style="68"/>
    <col min="31" max="31" width="16.88671875" style="68" bestFit="1" customWidth="1"/>
    <col min="32" max="34" width="16.6640625" style="68"/>
    <col min="35" max="35" width="6.88671875" style="68" customWidth="1"/>
    <col min="36" max="43" width="16.6640625" style="68"/>
    <col min="44" max="44" width="15" style="68" customWidth="1"/>
    <col min="45" max="16384" width="16.6640625" style="68"/>
  </cols>
  <sheetData>
    <row r="1" spans="1:99" ht="14.4" x14ac:dyDescent="0.3">
      <c r="A1" s="70" t="str">
        <f>Linkin!A1</f>
        <v>Kentucky American Water Company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4"/>
    </row>
    <row r="2" spans="1:99" ht="14.4" x14ac:dyDescent="0.3">
      <c r="A2" s="70" t="str">
        <f>Linkin!A3</f>
        <v>Case No. 2018-00358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</row>
    <row r="3" spans="1:99" ht="14.4" x14ac:dyDescent="0.3">
      <c r="A3" s="70" t="str">
        <f>Linkin!E43</f>
        <v>Embedded Cost of Long-Term Debt</v>
      </c>
      <c r="B3" s="7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4"/>
    </row>
    <row r="4" spans="1:99" ht="14.4" x14ac:dyDescent="0.3">
      <c r="A4" s="73" t="str">
        <f>Linkin!C11</f>
        <v>As of June 30, 2020</v>
      </c>
      <c r="B4" s="73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4"/>
    </row>
    <row r="5" spans="1:99" ht="14.4" x14ac:dyDescent="0.3">
      <c r="A5" s="73"/>
      <c r="B5" s="73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4"/>
    </row>
    <row r="6" spans="1:99" ht="14.4" x14ac:dyDescent="0.3">
      <c r="A6" s="197" t="s">
        <v>214</v>
      </c>
      <c r="B6" s="67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5" t="s">
        <v>218</v>
      </c>
      <c r="AD6" s="74"/>
    </row>
    <row r="7" spans="1:99" ht="14.4" x14ac:dyDescent="0.3">
      <c r="A7" s="72" t="str">
        <f>Linkin!A17</f>
        <v>Type of Filing: __X__ Original  _____ Updated  _____ Revised</v>
      </c>
      <c r="B7" s="72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196" t="str">
        <f ca="1">RIGHT(CELL("filename",$A$1),LEN(CELL("filename",$A$1))-SEARCH("\Capital",CELL("filename",$A$1),1))</f>
        <v>Capital Structure\[KAWC 2018 Rate Case - Capital Structure.xlsx]Sch J-4</v>
      </c>
      <c r="AD7" s="74"/>
    </row>
    <row r="8" spans="1:99" ht="14.4" x14ac:dyDescent="0.3">
      <c r="A8" s="67" t="str">
        <f>"Workpaper Reference No(s):  " &amp;Linkin!C27</f>
        <v>Workpaper Reference No(s):  W/P - 7-4</v>
      </c>
      <c r="B8" s="72"/>
      <c r="C8" s="67"/>
      <c r="D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196" t="str">
        <f>Linkin!G43</f>
        <v>Witness Responsible:   Scott Rungren</v>
      </c>
      <c r="AD8" s="74"/>
    </row>
    <row r="9" spans="1:99" ht="14.4" x14ac:dyDescent="0.3">
      <c r="B9" s="7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196" t="s">
        <v>176</v>
      </c>
      <c r="AD9" s="74"/>
    </row>
    <row r="10" spans="1:99" ht="14.4" x14ac:dyDescent="0.3">
      <c r="A10" s="72"/>
      <c r="B10" s="72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75"/>
      <c r="AD10" s="74"/>
    </row>
    <row r="11" spans="1:99" ht="14.4" x14ac:dyDescent="0.3">
      <c r="A11" s="72"/>
      <c r="B11" s="72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75"/>
      <c r="AD11" s="74"/>
    </row>
    <row r="12" spans="1:99" ht="14.4" x14ac:dyDescent="0.3">
      <c r="A12" s="72"/>
      <c r="B12" s="72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75"/>
      <c r="AD12" s="74"/>
    </row>
    <row r="13" spans="1:99" ht="14.4" x14ac:dyDescent="0.3">
      <c r="A13" s="72"/>
      <c r="B13" s="7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75"/>
      <c r="AD13" s="74"/>
    </row>
    <row r="14" spans="1:99" ht="14.4" x14ac:dyDescent="0.3">
      <c r="A14" s="85"/>
      <c r="B14" s="86"/>
      <c r="C14" s="67"/>
      <c r="D14" s="90"/>
      <c r="E14" s="67"/>
      <c r="F14" s="90"/>
      <c r="G14" s="67"/>
      <c r="H14" s="67"/>
      <c r="I14" s="67"/>
      <c r="J14" s="67"/>
      <c r="K14" s="67"/>
      <c r="L14" s="67"/>
      <c r="M14" s="90"/>
      <c r="N14" s="67"/>
      <c r="O14" s="90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74"/>
    </row>
    <row r="15" spans="1:99" ht="14.4" x14ac:dyDescent="0.3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80" t="s">
        <v>54</v>
      </c>
      <c r="V15" s="80"/>
      <c r="X15" s="80"/>
      <c r="Y15" s="72"/>
      <c r="Z15" s="72"/>
      <c r="AA15" s="72"/>
      <c r="AB15" s="72"/>
      <c r="AC15" s="72"/>
      <c r="AD15" s="74"/>
    </row>
    <row r="16" spans="1:99" ht="14.4" x14ac:dyDescent="0.3">
      <c r="A16" s="81" t="s">
        <v>22</v>
      </c>
      <c r="B16" s="67"/>
      <c r="C16" s="81" t="s">
        <v>56</v>
      </c>
      <c r="D16" s="71"/>
      <c r="E16" s="81" t="s">
        <v>48</v>
      </c>
      <c r="F16" s="81"/>
      <c r="G16" s="81" t="s">
        <v>57</v>
      </c>
      <c r="H16" s="81"/>
      <c r="I16" s="81" t="s">
        <v>30</v>
      </c>
      <c r="J16" s="81"/>
      <c r="K16" s="81" t="s">
        <v>33</v>
      </c>
      <c r="L16" s="81"/>
      <c r="M16" s="81" t="s">
        <v>33</v>
      </c>
      <c r="N16" s="81"/>
      <c r="O16" s="81" t="s">
        <v>58</v>
      </c>
      <c r="P16" s="81"/>
      <c r="Q16" s="81" t="s">
        <v>59</v>
      </c>
      <c r="R16" s="81"/>
      <c r="S16" s="81" t="s">
        <v>60</v>
      </c>
      <c r="T16" s="81"/>
      <c r="U16" s="81" t="s">
        <v>61</v>
      </c>
      <c r="V16" s="81"/>
      <c r="W16" s="80" t="s">
        <v>55</v>
      </c>
      <c r="X16" s="81"/>
      <c r="Y16" s="81" t="s">
        <v>55</v>
      </c>
      <c r="Z16" s="81"/>
      <c r="AA16" s="81" t="s">
        <v>55</v>
      </c>
      <c r="AB16" s="81"/>
      <c r="AC16" s="81" t="s">
        <v>24</v>
      </c>
      <c r="AD16" s="74"/>
    </row>
    <row r="17" spans="1:30" ht="15" thickBot="1" x14ac:dyDescent="0.35">
      <c r="A17" s="82" t="s">
        <v>27</v>
      </c>
      <c r="B17" s="84"/>
      <c r="C17" s="82" t="s">
        <v>62</v>
      </c>
      <c r="D17" s="106"/>
      <c r="E17" s="82" t="s">
        <v>63</v>
      </c>
      <c r="F17" s="84"/>
      <c r="G17" s="82" t="s">
        <v>63</v>
      </c>
      <c r="H17" s="84"/>
      <c r="I17" s="82" t="s">
        <v>49</v>
      </c>
      <c r="J17" s="84"/>
      <c r="K17" s="82" t="s">
        <v>64</v>
      </c>
      <c r="L17" s="84"/>
      <c r="M17" s="82" t="s">
        <v>65</v>
      </c>
      <c r="N17" s="84"/>
      <c r="O17" s="82" t="s">
        <v>64</v>
      </c>
      <c r="P17" s="84"/>
      <c r="Q17" s="82" t="s">
        <v>47</v>
      </c>
      <c r="R17" s="84"/>
      <c r="S17" s="82" t="s">
        <v>30</v>
      </c>
      <c r="T17" s="84"/>
      <c r="U17" s="82" t="s">
        <v>66</v>
      </c>
      <c r="V17" s="84"/>
      <c r="W17" s="82" t="s">
        <v>80</v>
      </c>
      <c r="X17" s="84"/>
      <c r="Y17" s="82" t="s">
        <v>67</v>
      </c>
      <c r="Z17" s="84"/>
      <c r="AA17" s="82" t="s">
        <v>68</v>
      </c>
      <c r="AB17" s="84"/>
      <c r="AC17" s="82" t="s">
        <v>69</v>
      </c>
      <c r="AD17" s="74"/>
    </row>
    <row r="18" spans="1:30" ht="14.4" x14ac:dyDescent="0.3">
      <c r="A18" s="80">
        <v>1</v>
      </c>
      <c r="B18" s="80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74"/>
    </row>
    <row r="19" spans="1:30" ht="14.4" x14ac:dyDescent="0.3">
      <c r="A19" s="80">
        <f>A18+1</f>
        <v>2</v>
      </c>
      <c r="B19" s="80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74"/>
    </row>
    <row r="20" spans="1:30" ht="14.4" x14ac:dyDescent="0.3">
      <c r="A20" s="80">
        <f t="shared" ref="A20:A42" si="0">A19+1</f>
        <v>3</v>
      </c>
      <c r="B20" s="80"/>
      <c r="C20" s="107" t="s">
        <v>70</v>
      </c>
      <c r="D20" s="10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74"/>
    </row>
    <row r="21" spans="1:30" ht="14.4" x14ac:dyDescent="0.3">
      <c r="A21" s="80">
        <f t="shared" si="0"/>
        <v>4</v>
      </c>
      <c r="B21" s="80"/>
      <c r="C21" s="75"/>
      <c r="D21" s="75"/>
      <c r="E21" s="108"/>
      <c r="F21" s="108"/>
      <c r="G21" s="108"/>
      <c r="H21" s="108"/>
      <c r="I21" s="100"/>
      <c r="J21" s="100"/>
      <c r="K21" s="89"/>
      <c r="L21" s="89"/>
      <c r="M21" s="89"/>
      <c r="N21" s="89"/>
      <c r="O21" s="80"/>
      <c r="P21" s="80"/>
      <c r="Q21" s="100"/>
      <c r="R21" s="100"/>
      <c r="S21" s="100"/>
      <c r="T21" s="100"/>
      <c r="U21" s="87"/>
      <c r="V21" s="87"/>
      <c r="W21" s="100"/>
      <c r="X21" s="100"/>
      <c r="Y21" s="100"/>
      <c r="Z21" s="100"/>
      <c r="AA21" s="100"/>
      <c r="AB21" s="100"/>
      <c r="AC21" s="100"/>
      <c r="AD21" s="74"/>
    </row>
    <row r="22" spans="1:30" ht="14.4" x14ac:dyDescent="0.3">
      <c r="A22" s="80">
        <f t="shared" si="0"/>
        <v>5</v>
      </c>
      <c r="B22" s="80"/>
      <c r="C22" s="75" t="str">
        <f>+'Sch J WPs'!B14</f>
        <v xml:space="preserve">    Series 6.96%   GMB</v>
      </c>
      <c r="D22" s="75"/>
      <c r="E22" s="108">
        <v>34304</v>
      </c>
      <c r="F22" s="108"/>
      <c r="G22" s="108">
        <f>DATE(23,12,1)</f>
        <v>8736</v>
      </c>
      <c r="H22" s="108"/>
      <c r="I22" s="100">
        <f>'Sch J WPs'!AE14</f>
        <v>7000000</v>
      </c>
      <c r="J22" s="100"/>
      <c r="K22" s="129">
        <f>'Sch J WPs'!C14</f>
        <v>6.9599999999999995E-2</v>
      </c>
      <c r="L22" s="116"/>
      <c r="M22" s="129">
        <f t="shared" ref="M22:M34" si="1">IF(I22=0,0,ROUND((I22*K22+U22)/I22,5))</f>
        <v>7.0059999999999997E-2</v>
      </c>
      <c r="N22" s="126"/>
      <c r="O22" s="127" t="s">
        <v>71</v>
      </c>
      <c r="P22" s="127"/>
      <c r="Q22" s="100">
        <f t="shared" ref="Q22:Q31" si="2">ROUND(M22*I22,0)</f>
        <v>490420</v>
      </c>
      <c r="R22" s="125"/>
      <c r="S22" s="100">
        <f t="shared" ref="S22:S31" si="3">I22</f>
        <v>7000000</v>
      </c>
      <c r="T22" s="125"/>
      <c r="U22" s="100">
        <f>SUM('Sch J WPs'!T107:AE107)+SUM('Sch J WPs'!T120:AE120)</f>
        <v>3223.4399999999996</v>
      </c>
      <c r="V22" s="126"/>
      <c r="W22" s="128">
        <v>0</v>
      </c>
      <c r="X22" s="126"/>
      <c r="Y22" s="100">
        <f>'Sch J WPs'!AE61+'Sch J WPs'!AE74</f>
        <v>11029.17999999998</v>
      </c>
      <c r="Z22" s="126"/>
      <c r="AA22" s="128">
        <v>0</v>
      </c>
      <c r="AB22" s="126"/>
      <c r="AC22" s="100">
        <f>I22+W22-Y22+AA22</f>
        <v>6988970.8200000003</v>
      </c>
      <c r="AD22" s="109"/>
    </row>
    <row r="23" spans="1:30" ht="14.4" x14ac:dyDescent="0.3">
      <c r="A23" s="80">
        <f t="shared" si="0"/>
        <v>6</v>
      </c>
      <c r="B23" s="80"/>
      <c r="C23" s="75" t="str">
        <f>+'Sch J WPs'!B15</f>
        <v xml:space="preserve">    Series 7.15%   GMB</v>
      </c>
      <c r="D23" s="75"/>
      <c r="E23" s="108">
        <v>35462</v>
      </c>
      <c r="F23" s="108"/>
      <c r="G23" s="108">
        <f>DATE(27,2,1)</f>
        <v>9894</v>
      </c>
      <c r="H23" s="108"/>
      <c r="I23" s="92">
        <f>'Sch J WPs'!AE15</f>
        <v>7500000</v>
      </c>
      <c r="J23" s="92"/>
      <c r="K23" s="129">
        <f>'Sch J WPs'!C15</f>
        <v>7.1499999999999994E-2</v>
      </c>
      <c r="L23" s="94"/>
      <c r="M23" s="129">
        <f t="shared" si="1"/>
        <v>7.1819999999999995E-2</v>
      </c>
      <c r="N23" s="126"/>
      <c r="O23" s="127" t="s">
        <v>71</v>
      </c>
      <c r="P23" s="127"/>
      <c r="Q23" s="92">
        <f t="shared" si="2"/>
        <v>538650</v>
      </c>
      <c r="R23" s="72"/>
      <c r="S23" s="92">
        <f t="shared" si="3"/>
        <v>7500000</v>
      </c>
      <c r="T23" s="72"/>
      <c r="U23" s="92">
        <f>SUM('Sch J WPs'!T108:AE108)</f>
        <v>2426.52</v>
      </c>
      <c r="V23" s="122"/>
      <c r="W23" s="122">
        <v>0</v>
      </c>
      <c r="X23" s="122"/>
      <c r="Y23" s="92">
        <f>'Sch J WPs'!AE62</f>
        <v>15987.690000000024</v>
      </c>
      <c r="Z23" s="122"/>
      <c r="AA23" s="122">
        <v>0</v>
      </c>
      <c r="AB23" s="122"/>
      <c r="AC23" s="92">
        <f t="shared" ref="AC23:AC31" si="4">I23+W23-Y23+AA23</f>
        <v>7484012.3099999996</v>
      </c>
      <c r="AD23" s="109"/>
    </row>
    <row r="24" spans="1:30" ht="14.4" x14ac:dyDescent="0.3">
      <c r="A24" s="80">
        <f t="shared" si="0"/>
        <v>7</v>
      </c>
      <c r="B24" s="80"/>
      <c r="C24" s="75" t="str">
        <f>+'Sch J WPs'!B16</f>
        <v xml:space="preserve">    Series 6.99%   GMB</v>
      </c>
      <c r="D24" s="75"/>
      <c r="E24" s="108">
        <v>35947</v>
      </c>
      <c r="F24" s="108"/>
      <c r="G24" s="108">
        <f>DATE(28,6,1)</f>
        <v>10380</v>
      </c>
      <c r="H24" s="108"/>
      <c r="I24" s="92">
        <f>'Sch J WPs'!AE16</f>
        <v>9000000</v>
      </c>
      <c r="J24" s="92"/>
      <c r="K24" s="129">
        <f>'Sch J WPs'!C16</f>
        <v>6.9900000000000004E-2</v>
      </c>
      <c r="L24" s="94"/>
      <c r="M24" s="129">
        <f t="shared" si="1"/>
        <v>7.0260000000000003E-2</v>
      </c>
      <c r="N24" s="126"/>
      <c r="O24" s="127" t="s">
        <v>71</v>
      </c>
      <c r="P24" s="127"/>
      <c r="Q24" s="92">
        <f t="shared" si="2"/>
        <v>632340</v>
      </c>
      <c r="R24" s="72"/>
      <c r="S24" s="92">
        <f t="shared" si="3"/>
        <v>9000000</v>
      </c>
      <c r="T24" s="72"/>
      <c r="U24" s="92">
        <f>SUM('Sch J WPs'!T109:AE109)</f>
        <v>3260.6399999999267</v>
      </c>
      <c r="V24" s="122"/>
      <c r="W24" s="122">
        <v>0</v>
      </c>
      <c r="X24" s="122"/>
      <c r="Y24" s="92">
        <f>'Sch J WPs'!AE63</f>
        <v>25813.920000000166</v>
      </c>
      <c r="Z24" s="122"/>
      <c r="AA24" s="122">
        <v>0</v>
      </c>
      <c r="AB24" s="122"/>
      <c r="AC24" s="92">
        <f t="shared" si="4"/>
        <v>8974186.0800000001</v>
      </c>
      <c r="AD24" s="109"/>
    </row>
    <row r="25" spans="1:30" ht="14.4" x14ac:dyDescent="0.3">
      <c r="A25" s="80">
        <f t="shared" si="0"/>
        <v>8</v>
      </c>
      <c r="B25" s="80"/>
      <c r="C25" s="75"/>
      <c r="D25" s="75"/>
      <c r="E25" s="108"/>
      <c r="F25" s="108"/>
      <c r="G25" s="108"/>
      <c r="H25" s="108"/>
      <c r="I25" s="92"/>
      <c r="J25" s="92"/>
      <c r="K25" s="129"/>
      <c r="L25" s="94"/>
      <c r="M25" s="129"/>
      <c r="N25" s="126"/>
      <c r="O25" s="127"/>
      <c r="P25" s="127"/>
      <c r="Q25" s="92"/>
      <c r="R25" s="72"/>
      <c r="S25" s="92"/>
      <c r="T25" s="72"/>
      <c r="U25" s="92"/>
      <c r="V25" s="122"/>
      <c r="W25" s="122"/>
      <c r="X25" s="122"/>
      <c r="Y25" s="92"/>
      <c r="Z25" s="122"/>
      <c r="AA25" s="122"/>
      <c r="AB25" s="122"/>
      <c r="AC25" s="92"/>
      <c r="AD25" s="109"/>
    </row>
    <row r="26" spans="1:30" ht="14.4" x14ac:dyDescent="0.3">
      <c r="A26" s="80">
        <f t="shared" si="0"/>
        <v>9</v>
      </c>
      <c r="B26" s="80"/>
      <c r="C26" s="107" t="s">
        <v>269</v>
      </c>
      <c r="D26" s="75"/>
      <c r="E26" s="108"/>
      <c r="F26" s="108"/>
      <c r="G26" s="108"/>
      <c r="H26" s="108"/>
      <c r="I26" s="92"/>
      <c r="J26" s="92"/>
      <c r="K26" s="129"/>
      <c r="L26" s="94"/>
      <c r="M26" s="129"/>
      <c r="N26" s="126"/>
      <c r="O26" s="127"/>
      <c r="P26" s="127"/>
      <c r="Q26" s="92"/>
      <c r="R26" s="72"/>
      <c r="S26" s="92"/>
      <c r="T26" s="72"/>
      <c r="U26" s="92"/>
      <c r="V26" s="122"/>
      <c r="W26" s="122"/>
      <c r="X26" s="122"/>
      <c r="Y26" s="92"/>
      <c r="Z26" s="122"/>
      <c r="AA26" s="122"/>
      <c r="AB26" s="122"/>
      <c r="AC26" s="92"/>
      <c r="AD26" s="109"/>
    </row>
    <row r="27" spans="1:30" ht="14.4" x14ac:dyDescent="0.3">
      <c r="A27" s="80">
        <f t="shared" si="0"/>
        <v>10</v>
      </c>
      <c r="B27" s="80"/>
      <c r="C27" s="75"/>
      <c r="D27" s="75"/>
      <c r="E27" s="108"/>
      <c r="F27" s="108"/>
      <c r="G27" s="108"/>
      <c r="H27" s="108"/>
      <c r="I27" s="92"/>
      <c r="J27" s="92"/>
      <c r="K27" s="129"/>
      <c r="L27" s="94"/>
      <c r="M27" s="129"/>
      <c r="N27" s="126"/>
      <c r="O27" s="127"/>
      <c r="P27" s="127"/>
      <c r="Q27" s="92"/>
      <c r="R27" s="72"/>
      <c r="S27" s="92"/>
      <c r="T27" s="72"/>
      <c r="U27" s="92"/>
      <c r="V27" s="122"/>
      <c r="W27" s="122"/>
      <c r="X27" s="122"/>
      <c r="Y27" s="92"/>
      <c r="Z27" s="122"/>
      <c r="AA27" s="122"/>
      <c r="AB27" s="122"/>
      <c r="AC27" s="92"/>
      <c r="AD27" s="109"/>
    </row>
    <row r="28" spans="1:30" ht="14.4" x14ac:dyDescent="0.3">
      <c r="A28" s="80">
        <f t="shared" si="0"/>
        <v>11</v>
      </c>
      <c r="B28" s="80"/>
      <c r="C28" s="75" t="str">
        <f>+'Sch J WPs'!B17</f>
        <v xml:space="preserve">    Series 6.593%  Note</v>
      </c>
      <c r="D28" s="75"/>
      <c r="E28" s="108">
        <v>39377</v>
      </c>
      <c r="F28" s="108"/>
      <c r="G28" s="108">
        <v>50328</v>
      </c>
      <c r="H28" s="110"/>
      <c r="I28" s="92">
        <f>'Sch J WPs'!AE17</f>
        <v>47000000</v>
      </c>
      <c r="J28" s="92"/>
      <c r="K28" s="129">
        <f>'Sch J WPs'!C17</f>
        <v>6.5930000000000002E-2</v>
      </c>
      <c r="L28" s="94"/>
      <c r="M28" s="129">
        <f t="shared" si="1"/>
        <v>6.6280000000000006E-2</v>
      </c>
      <c r="N28" s="126"/>
      <c r="O28" s="127" t="s">
        <v>71</v>
      </c>
      <c r="P28" s="127"/>
      <c r="Q28" s="92">
        <f t="shared" si="2"/>
        <v>3115160</v>
      </c>
      <c r="R28" s="72"/>
      <c r="S28" s="92">
        <f t="shared" si="3"/>
        <v>47000000</v>
      </c>
      <c r="T28" s="72"/>
      <c r="U28" s="92">
        <f>SUM('Sch J WPs'!T110:AE110)</f>
        <v>16594.560000000005</v>
      </c>
      <c r="V28" s="122"/>
      <c r="W28" s="122">
        <v>0</v>
      </c>
      <c r="X28" s="122"/>
      <c r="Y28" s="92">
        <f>'Sch J WPs'!AE64</f>
        <v>286994.49999999988</v>
      </c>
      <c r="Z28" s="122"/>
      <c r="AA28" s="122">
        <v>0</v>
      </c>
      <c r="AB28" s="122"/>
      <c r="AC28" s="92">
        <f t="shared" si="4"/>
        <v>46713005.5</v>
      </c>
      <c r="AD28" s="109"/>
    </row>
    <row r="29" spans="1:30" ht="14.4" x14ac:dyDescent="0.3">
      <c r="A29" s="80">
        <f t="shared" si="0"/>
        <v>12</v>
      </c>
      <c r="B29" s="80"/>
      <c r="C29" s="75" t="str">
        <f>+'Sch J WPs'!B18</f>
        <v xml:space="preserve">    Series 6.25%    Note</v>
      </c>
      <c r="D29" s="75"/>
      <c r="E29" s="108">
        <v>39987</v>
      </c>
      <c r="F29" s="110"/>
      <c r="G29" s="110">
        <v>50922</v>
      </c>
      <c r="H29" s="110"/>
      <c r="I29" s="92">
        <f>'Sch J WPs'!AE18</f>
        <v>45390000</v>
      </c>
      <c r="J29" s="92"/>
      <c r="K29" s="129">
        <f>'Sch J WPs'!C18</f>
        <v>6.25E-2</v>
      </c>
      <c r="L29" s="94"/>
      <c r="M29" s="129">
        <f t="shared" si="1"/>
        <v>6.2950000000000006E-2</v>
      </c>
      <c r="N29" s="126"/>
      <c r="O29" s="127" t="s">
        <v>71</v>
      </c>
      <c r="P29" s="127"/>
      <c r="Q29" s="92">
        <f t="shared" si="2"/>
        <v>2857301</v>
      </c>
      <c r="R29" s="72"/>
      <c r="S29" s="92">
        <f t="shared" si="3"/>
        <v>45390000</v>
      </c>
      <c r="T29" s="72"/>
      <c r="U29" s="92">
        <f>SUM('Sch J WPs'!T111:AE111)</f>
        <v>20380.679999999997</v>
      </c>
      <c r="V29" s="122"/>
      <c r="W29" s="122">
        <v>0</v>
      </c>
      <c r="X29" s="122"/>
      <c r="Y29" s="92">
        <f>'Sch J WPs'!AE65</f>
        <v>385647.02999999962</v>
      </c>
      <c r="Z29" s="122"/>
      <c r="AA29" s="122">
        <v>0</v>
      </c>
      <c r="AB29" s="122"/>
      <c r="AC29" s="92">
        <f t="shared" si="4"/>
        <v>45004352.969999999</v>
      </c>
      <c r="AD29" s="109"/>
    </row>
    <row r="30" spans="1:30" ht="14.4" x14ac:dyDescent="0.3">
      <c r="A30" s="80">
        <f t="shared" si="0"/>
        <v>13</v>
      </c>
      <c r="B30" s="80"/>
      <c r="C30" s="75" t="str">
        <f>+'Sch J WPs'!B19</f>
        <v xml:space="preserve">    Series 5.625%  Note</v>
      </c>
      <c r="D30" s="75"/>
      <c r="E30" s="108">
        <v>40066</v>
      </c>
      <c r="F30" s="108"/>
      <c r="G30" s="108">
        <v>51014</v>
      </c>
      <c r="H30" s="108"/>
      <c r="I30" s="92">
        <f>'Sch J WPs'!AE19</f>
        <v>26000000</v>
      </c>
      <c r="J30" s="92"/>
      <c r="K30" s="129">
        <f>'Sch J WPs'!C19</f>
        <v>5.6250000000000001E-2</v>
      </c>
      <c r="L30" s="94"/>
      <c r="M30" s="129">
        <f t="shared" si="1"/>
        <v>5.6750000000000002E-2</v>
      </c>
      <c r="N30" s="126"/>
      <c r="O30" s="127" t="s">
        <v>71</v>
      </c>
      <c r="P30" s="127"/>
      <c r="Q30" s="92">
        <f t="shared" si="2"/>
        <v>1475500</v>
      </c>
      <c r="R30" s="72"/>
      <c r="S30" s="92">
        <f t="shared" si="3"/>
        <v>26000000</v>
      </c>
      <c r="T30" s="72"/>
      <c r="U30" s="92">
        <f>SUM('Sch J WPs'!T112:AE112)</f>
        <v>13002.240000000003</v>
      </c>
      <c r="V30" s="122"/>
      <c r="W30" s="122">
        <v>0</v>
      </c>
      <c r="X30" s="122"/>
      <c r="Y30" s="92">
        <f>'Sch J WPs'!AE66</f>
        <v>249281.69999999984</v>
      </c>
      <c r="Z30" s="122"/>
      <c r="AA30" s="122">
        <v>0</v>
      </c>
      <c r="AB30" s="122"/>
      <c r="AC30" s="92">
        <f t="shared" si="4"/>
        <v>25750718.300000001</v>
      </c>
      <c r="AD30" s="109"/>
    </row>
    <row r="31" spans="1:30" ht="14.4" x14ac:dyDescent="0.3">
      <c r="A31" s="80">
        <f t="shared" si="0"/>
        <v>14</v>
      </c>
      <c r="B31" s="80"/>
      <c r="C31" s="75" t="str">
        <f>+'Sch J WPs'!B20</f>
        <v xml:space="preserve">    Series 5.375%  Note</v>
      </c>
      <c r="D31" s="75"/>
      <c r="E31" s="108">
        <v>40353</v>
      </c>
      <c r="F31" s="108"/>
      <c r="G31" s="108">
        <v>51288</v>
      </c>
      <c r="H31" s="108"/>
      <c r="I31" s="92">
        <f>'Sch J WPs'!AE20</f>
        <v>26000000</v>
      </c>
      <c r="J31" s="92"/>
      <c r="K31" s="129">
        <f>'Sch J WPs'!C20</f>
        <v>5.3749999999999999E-2</v>
      </c>
      <c r="L31" s="94"/>
      <c r="M31" s="129">
        <f t="shared" si="1"/>
        <v>5.4170000000000003E-2</v>
      </c>
      <c r="N31" s="126"/>
      <c r="O31" s="127" t="s">
        <v>71</v>
      </c>
      <c r="P31" s="127"/>
      <c r="Q31" s="92">
        <f t="shared" si="2"/>
        <v>1408420</v>
      </c>
      <c r="R31" s="72"/>
      <c r="S31" s="92">
        <f t="shared" si="3"/>
        <v>26000000</v>
      </c>
      <c r="T31" s="72"/>
      <c r="U31" s="92">
        <f>SUM('Sch J WPs'!T113:AE113)</f>
        <v>10860.599999999999</v>
      </c>
      <c r="V31" s="122"/>
      <c r="W31" s="122">
        <v>0</v>
      </c>
      <c r="X31" s="122"/>
      <c r="Y31" s="92">
        <f>'Sch J WPs'!AE67</f>
        <v>216369.04000000033</v>
      </c>
      <c r="Z31" s="122"/>
      <c r="AA31" s="122">
        <v>0</v>
      </c>
      <c r="AB31" s="122"/>
      <c r="AC31" s="92">
        <f t="shared" si="4"/>
        <v>25783630.960000001</v>
      </c>
      <c r="AD31" s="109"/>
    </row>
    <row r="32" spans="1:30" ht="14.4" x14ac:dyDescent="0.3">
      <c r="A32" s="80">
        <f t="shared" si="0"/>
        <v>15</v>
      </c>
      <c r="B32" s="80"/>
      <c r="C32" s="75" t="str">
        <f>+'Sch J WPs'!B21</f>
        <v xml:space="preserve">    Series 5.05%    Note</v>
      </c>
      <c r="D32" s="75"/>
      <c r="E32" s="108">
        <v>40868</v>
      </c>
      <c r="F32" s="108"/>
      <c r="G32" s="108">
        <v>50328</v>
      </c>
      <c r="H32" s="108"/>
      <c r="I32" s="92">
        <f>'Sch J WPs'!AE21</f>
        <v>20000000</v>
      </c>
      <c r="J32" s="92"/>
      <c r="K32" s="129">
        <f>'Sch J WPs'!C21</f>
        <v>5.0500000000000003E-2</v>
      </c>
      <c r="L32" s="94"/>
      <c r="M32" s="129">
        <f t="shared" si="1"/>
        <v>5.0500000000000003E-2</v>
      </c>
      <c r="N32" s="126"/>
      <c r="O32" s="127" t="s">
        <v>71</v>
      </c>
      <c r="P32" s="127"/>
      <c r="Q32" s="92">
        <f>ROUND(M32*I32,0)</f>
        <v>1010000</v>
      </c>
      <c r="R32" s="72"/>
      <c r="S32" s="92">
        <f>I32</f>
        <v>20000000</v>
      </c>
      <c r="T32" s="72"/>
      <c r="U32" s="92">
        <f>SUM('Sch J WPs'!T114:AE114)</f>
        <v>0</v>
      </c>
      <c r="V32" s="122"/>
      <c r="W32" s="122">
        <v>0</v>
      </c>
      <c r="X32" s="122"/>
      <c r="Y32" s="92">
        <f>'Sch J WPs'!AE68</f>
        <v>0</v>
      </c>
      <c r="Z32" s="122"/>
      <c r="AA32" s="122">
        <v>0</v>
      </c>
      <c r="AB32" s="122"/>
      <c r="AC32" s="92">
        <f>I32+W32-Y32+AA32</f>
        <v>20000000</v>
      </c>
      <c r="AD32" s="109"/>
    </row>
    <row r="33" spans="1:30" ht="14.4" x14ac:dyDescent="0.3">
      <c r="A33" s="80">
        <f t="shared" si="0"/>
        <v>16</v>
      </c>
      <c r="B33" s="80"/>
      <c r="C33" s="75" t="str">
        <f>+'Sch J WPs'!B22</f>
        <v xml:space="preserve">    Series 4.00%    Note</v>
      </c>
      <c r="D33" s="75"/>
      <c r="E33" s="108">
        <v>41409</v>
      </c>
      <c r="F33" s="108"/>
      <c r="G33" s="108">
        <v>50328</v>
      </c>
      <c r="H33" s="108"/>
      <c r="I33" s="92">
        <f>'Sch J WPs'!AE22</f>
        <v>7859000</v>
      </c>
      <c r="J33" s="92"/>
      <c r="K33" s="129">
        <f>'Sch J WPs'!C22</f>
        <v>0.04</v>
      </c>
      <c r="L33" s="94"/>
      <c r="M33" s="129">
        <f t="shared" si="1"/>
        <v>0.04</v>
      </c>
      <c r="N33" s="126"/>
      <c r="O33" s="127" t="s">
        <v>71</v>
      </c>
      <c r="P33" s="127"/>
      <c r="Q33" s="92">
        <f>ROUND(M33*I33,0)</f>
        <v>314360</v>
      </c>
      <c r="R33" s="72"/>
      <c r="S33" s="92">
        <f>I33</f>
        <v>7859000</v>
      </c>
      <c r="T33" s="72"/>
      <c r="U33" s="92">
        <f>SUM('Sch J WPs'!T115:AE115)</f>
        <v>0</v>
      </c>
      <c r="V33" s="122"/>
      <c r="W33" s="122">
        <v>0</v>
      </c>
      <c r="X33" s="122"/>
      <c r="Y33" s="92">
        <f>'Sch J WPs'!AE69</f>
        <v>0</v>
      </c>
      <c r="Z33" s="122"/>
      <c r="AA33" s="122">
        <v>0</v>
      </c>
      <c r="AB33" s="122"/>
      <c r="AC33" s="92">
        <f>I33+W33-Y33+AA33</f>
        <v>7859000</v>
      </c>
      <c r="AD33" s="109"/>
    </row>
    <row r="34" spans="1:30" ht="14.4" x14ac:dyDescent="0.3">
      <c r="A34" s="80">
        <f t="shared" si="0"/>
        <v>17</v>
      </c>
      <c r="B34" s="80"/>
      <c r="C34" s="75" t="str">
        <f>+'Sch J WPs'!B23</f>
        <v xml:space="preserve">    Series 4.00%    Note</v>
      </c>
      <c r="D34" s="75"/>
      <c r="E34" s="108">
        <v>42536</v>
      </c>
      <c r="F34" s="108"/>
      <c r="G34" s="108">
        <v>53493</v>
      </c>
      <c r="H34" s="108"/>
      <c r="I34" s="92">
        <f>'Sch J WPs'!AE23</f>
        <v>5000000</v>
      </c>
      <c r="J34" s="92"/>
      <c r="K34" s="129">
        <f>'Sch J WPs'!C23</f>
        <v>0.04</v>
      </c>
      <c r="L34" s="94"/>
      <c r="M34" s="129">
        <f t="shared" si="1"/>
        <v>4.0629999999999999E-2</v>
      </c>
      <c r="N34" s="126"/>
      <c r="O34" s="127" t="s">
        <v>71</v>
      </c>
      <c r="P34" s="127"/>
      <c r="Q34" s="92">
        <f>ROUND(M34*I34,0)</f>
        <v>203150</v>
      </c>
      <c r="R34" s="72"/>
      <c r="S34" s="92">
        <f>I34</f>
        <v>5000000</v>
      </c>
      <c r="T34" s="72"/>
      <c r="U34" s="92">
        <f>SUM('Sch J WPs'!T116:AE116)+'Sch J WPs'!AF208</f>
        <v>3133.2000000000007</v>
      </c>
      <c r="V34" s="122"/>
      <c r="W34" s="122">
        <f>'Sch J WPs'!AE162</f>
        <v>36583.939999999951</v>
      </c>
      <c r="X34" s="122"/>
      <c r="Y34" s="92">
        <f>'Sch J WPs'!AE70</f>
        <v>47814.500000000044</v>
      </c>
      <c r="Z34" s="122"/>
      <c r="AA34" s="122">
        <v>0</v>
      </c>
      <c r="AB34" s="122"/>
      <c r="AC34" s="92">
        <f>I34+W34-Y34+AA34</f>
        <v>4988769.4400000004</v>
      </c>
      <c r="AD34" s="109"/>
    </row>
    <row r="35" spans="1:30" ht="14.4" x14ac:dyDescent="0.3">
      <c r="A35" s="80">
        <f t="shared" si="0"/>
        <v>18</v>
      </c>
      <c r="B35" s="80"/>
      <c r="C35" s="75" t="str">
        <f>+'Sch J WPs'!B24</f>
        <v xml:space="preserve">    Series 3.75%    Note</v>
      </c>
      <c r="D35" s="72"/>
      <c r="E35" s="108">
        <v>42991</v>
      </c>
      <c r="F35" s="108"/>
      <c r="G35" s="108">
        <v>53936</v>
      </c>
      <c r="H35" s="67"/>
      <c r="I35" s="92">
        <f>'Sch J WPs'!AE24</f>
        <v>5000000</v>
      </c>
      <c r="J35" s="67"/>
      <c r="K35" s="129">
        <f>'Sch J WPs'!C24</f>
        <v>3.7499999999999999E-2</v>
      </c>
      <c r="L35" s="94"/>
      <c r="M35" s="129">
        <f t="shared" ref="M35" si="5">IF(I35=0,0,ROUND((I35*K35+U35)/I35,5))</f>
        <v>3.7949999999999998E-2</v>
      </c>
      <c r="N35" s="67"/>
      <c r="O35" s="127" t="s">
        <v>71</v>
      </c>
      <c r="P35" s="67"/>
      <c r="Q35" s="92">
        <f>ROUND(M35*I35,0)</f>
        <v>189750</v>
      </c>
      <c r="R35" s="72"/>
      <c r="S35" s="92">
        <f>I35</f>
        <v>5000000</v>
      </c>
      <c r="T35" s="67"/>
      <c r="U35" s="92">
        <f>SUM('Sch J WPs'!T117:AE117)+'Sch J WPs'!AF209</f>
        <v>2243.8799999999997</v>
      </c>
      <c r="V35" s="122"/>
      <c r="W35" s="122">
        <f>'Sch J WPs'!AE163</f>
        <v>13898.539999999981</v>
      </c>
      <c r="X35" s="122"/>
      <c r="Y35" s="92">
        <f>'Sch J WPs'!AE71</f>
        <v>47062.269999999924</v>
      </c>
      <c r="Z35" s="122"/>
      <c r="AA35" s="122">
        <v>0</v>
      </c>
      <c r="AB35" s="122"/>
      <c r="AC35" s="92">
        <f>I35+W35-Y35+AA35</f>
        <v>4966836.2700000005</v>
      </c>
      <c r="AD35" s="74"/>
    </row>
    <row r="36" spans="1:30" ht="14.4" x14ac:dyDescent="0.3">
      <c r="A36" s="80">
        <f t="shared" si="0"/>
        <v>19</v>
      </c>
      <c r="B36" s="80"/>
      <c r="C36" s="75" t="str">
        <f>+'Sch J WPs'!B25</f>
        <v xml:space="preserve">    Proposed 4.55%    Note</v>
      </c>
      <c r="D36" s="72"/>
      <c r="E36" s="108">
        <v>43600</v>
      </c>
      <c r="F36" s="108"/>
      <c r="G36" s="108">
        <v>54544</v>
      </c>
      <c r="H36" s="67"/>
      <c r="I36" s="92">
        <f>'Sch J WPs'!AE25</f>
        <v>16000000</v>
      </c>
      <c r="J36" s="67"/>
      <c r="K36" s="129">
        <f>'Sch J WPs'!C25</f>
        <v>4.5499999999999999E-2</v>
      </c>
      <c r="L36" s="94"/>
      <c r="M36" s="129">
        <f t="shared" ref="M36" si="6">IF(I36=0,0,ROUND((I36*K36+U36)/I36,5))</f>
        <v>4.6170000000000003E-2</v>
      </c>
      <c r="N36" s="67"/>
      <c r="O36" s="127" t="s">
        <v>71</v>
      </c>
      <c r="P36" s="67"/>
      <c r="Q36" s="92">
        <f>ROUND(M36*I36,0)</f>
        <v>738720</v>
      </c>
      <c r="R36" s="72"/>
      <c r="S36" s="92">
        <f>I36</f>
        <v>16000000</v>
      </c>
      <c r="T36" s="67"/>
      <c r="U36" s="92">
        <f>SUM('Sch J WPs'!T118:AE118)+'Sch J WPs'!AF210</f>
        <v>10666.666666666666</v>
      </c>
      <c r="V36" s="122"/>
      <c r="W36" s="122">
        <f>'Sch J WPs'!AE164</f>
        <v>154000.00000000009</v>
      </c>
      <c r="X36" s="122"/>
      <c r="Y36" s="92">
        <f>'Sch J WPs'!AE72</f>
        <v>154000.00000000009</v>
      </c>
      <c r="Z36" s="122"/>
      <c r="AA36" s="122">
        <v>0</v>
      </c>
      <c r="AB36" s="122"/>
      <c r="AC36" s="92">
        <f>I36+W36-Y36+AA36</f>
        <v>16000000</v>
      </c>
      <c r="AD36" s="74"/>
    </row>
    <row r="37" spans="1:30" ht="14.4" x14ac:dyDescent="0.3">
      <c r="A37" s="80">
        <f t="shared" si="0"/>
        <v>20</v>
      </c>
      <c r="B37" s="80"/>
      <c r="C37" s="67"/>
      <c r="D37" s="67"/>
      <c r="E37" s="67"/>
      <c r="F37" s="67"/>
      <c r="G37" s="67"/>
      <c r="H37" s="67"/>
      <c r="I37" s="95"/>
      <c r="J37" s="93"/>
      <c r="K37" s="89"/>
      <c r="L37" s="89"/>
      <c r="M37" s="89"/>
      <c r="N37" s="89"/>
      <c r="O37" s="80"/>
      <c r="P37" s="80"/>
      <c r="Q37" s="95"/>
      <c r="R37" s="93"/>
      <c r="S37" s="111"/>
      <c r="T37" s="102"/>
      <c r="U37" s="111"/>
      <c r="V37" s="102"/>
      <c r="W37" s="111"/>
      <c r="X37" s="102"/>
      <c r="Y37" s="111"/>
      <c r="Z37" s="102"/>
      <c r="AA37" s="111"/>
      <c r="AB37" s="102"/>
      <c r="AC37" s="111"/>
      <c r="AD37" s="74"/>
    </row>
    <row r="38" spans="1:30" ht="14.4" x14ac:dyDescent="0.3">
      <c r="A38" s="80">
        <f t="shared" si="0"/>
        <v>21</v>
      </c>
      <c r="B38" s="80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90"/>
      <c r="S38" s="67"/>
      <c r="T38" s="90"/>
      <c r="U38" s="67"/>
      <c r="V38" s="90"/>
      <c r="W38" s="67"/>
      <c r="X38" s="90"/>
      <c r="Y38" s="67"/>
      <c r="Z38" s="90"/>
      <c r="AA38" s="67"/>
      <c r="AB38" s="90"/>
      <c r="AC38" s="67"/>
      <c r="AD38" s="74"/>
    </row>
    <row r="39" spans="1:30" ht="15" thickBot="1" x14ac:dyDescent="0.35">
      <c r="A39" s="80">
        <f t="shared" si="0"/>
        <v>22</v>
      </c>
      <c r="B39" s="80"/>
      <c r="C39" s="71" t="s">
        <v>72</v>
      </c>
      <c r="D39" s="71"/>
      <c r="E39" s="71"/>
      <c r="F39" s="71"/>
      <c r="G39" s="71"/>
      <c r="H39" s="71"/>
      <c r="I39" s="112">
        <f>SUM(I21:I37)</f>
        <v>221749000</v>
      </c>
      <c r="J39" s="88"/>
      <c r="K39" s="67"/>
      <c r="L39" s="67"/>
      <c r="M39" s="67"/>
      <c r="N39" s="67"/>
      <c r="O39" s="67"/>
      <c r="P39" s="67"/>
      <c r="Q39" s="112">
        <f>SUM(Q21:Q37)</f>
        <v>12973771</v>
      </c>
      <c r="R39" s="88"/>
      <c r="S39" s="112">
        <f>SUM(S21:S37)</f>
        <v>221749000</v>
      </c>
      <c r="T39" s="88"/>
      <c r="U39" s="112">
        <f>SUM(U21:U37)</f>
        <v>85792.426666666608</v>
      </c>
      <c r="V39" s="88"/>
      <c r="W39" s="112">
        <f>SUM(W21:W37)</f>
        <v>204482.48</v>
      </c>
      <c r="X39" s="113"/>
      <c r="Y39" s="112">
        <f>SUM(Y21:Y37)</f>
        <v>1439999.8299999998</v>
      </c>
      <c r="Z39" s="88"/>
      <c r="AA39" s="112">
        <f>SUM(AA21:AA37)</f>
        <v>0</v>
      </c>
      <c r="AB39" s="113"/>
      <c r="AC39" s="112">
        <f>SUM(AC21:AC37)</f>
        <v>220513482.65000004</v>
      </c>
      <c r="AD39" s="109"/>
    </row>
    <row r="40" spans="1:30" ht="15" thickTop="1" x14ac:dyDescent="0.3">
      <c r="A40" s="80">
        <f t="shared" si="0"/>
        <v>23</v>
      </c>
      <c r="B40" s="80"/>
      <c r="C40" s="67"/>
      <c r="D40" s="67"/>
      <c r="E40" s="67"/>
      <c r="F40" s="67"/>
      <c r="G40" s="67"/>
      <c r="H40" s="67"/>
      <c r="I40" s="85"/>
      <c r="J40" s="85"/>
      <c r="K40" s="67"/>
      <c r="L40" s="67"/>
      <c r="M40" s="67"/>
      <c r="N40" s="67"/>
      <c r="O40" s="67"/>
      <c r="P40" s="67"/>
      <c r="Q40" s="85"/>
      <c r="R40" s="86"/>
      <c r="S40" s="85"/>
      <c r="T40" s="86"/>
      <c r="U40" s="85"/>
      <c r="V40" s="86"/>
      <c r="W40" s="85"/>
      <c r="X40" s="86"/>
      <c r="Y40" s="85"/>
      <c r="Z40" s="86"/>
      <c r="AA40" s="85"/>
      <c r="AB40" s="86"/>
      <c r="AC40" s="85"/>
      <c r="AD40" s="74"/>
    </row>
    <row r="41" spans="1:30" ht="14.4" x14ac:dyDescent="0.3">
      <c r="A41" s="80">
        <f t="shared" si="0"/>
        <v>24</v>
      </c>
      <c r="B41" s="80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90"/>
      <c r="Y41" s="67"/>
      <c r="Z41" s="90"/>
      <c r="AA41" s="67"/>
      <c r="AB41" s="90"/>
      <c r="AC41" s="67"/>
      <c r="AD41" s="74"/>
    </row>
    <row r="42" spans="1:30" ht="15" thickBot="1" x14ac:dyDescent="0.35">
      <c r="A42" s="80">
        <f t="shared" si="0"/>
        <v>25</v>
      </c>
      <c r="B42" s="80"/>
      <c r="C42" s="67"/>
      <c r="D42" s="67"/>
      <c r="E42" s="114" t="s">
        <v>73</v>
      </c>
      <c r="F42" s="114"/>
      <c r="G42" s="67"/>
      <c r="H42" s="67"/>
      <c r="I42" s="99">
        <f>ROUND(Q39/AC39,4)</f>
        <v>5.8799999999999998E-2</v>
      </c>
      <c r="J42" s="9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74"/>
    </row>
    <row r="43" spans="1:30" ht="15" thickTop="1" x14ac:dyDescent="0.3">
      <c r="A43" s="80"/>
      <c r="B43" s="80"/>
      <c r="C43" s="67"/>
      <c r="D43" s="67"/>
      <c r="E43" s="67"/>
      <c r="F43" s="67"/>
      <c r="G43" s="67"/>
      <c r="H43" s="67"/>
      <c r="I43" s="85"/>
      <c r="J43" s="85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74"/>
    </row>
    <row r="44" spans="1:30" ht="14.4" x14ac:dyDescent="0.3">
      <c r="A44" s="80"/>
      <c r="B44" s="80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74"/>
    </row>
    <row r="45" spans="1:30" ht="14.4" x14ac:dyDescent="0.3">
      <c r="A45" s="80"/>
      <c r="B45" s="80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74"/>
    </row>
    <row r="46" spans="1:30" ht="14.4" x14ac:dyDescent="0.3">
      <c r="A46" s="80"/>
      <c r="B46" s="80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74"/>
    </row>
    <row r="47" spans="1:30" ht="14.4" x14ac:dyDescent="0.3">
      <c r="A47" s="80"/>
      <c r="B47" s="80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74"/>
    </row>
    <row r="48" spans="1:30" ht="14.4" x14ac:dyDescent="0.3">
      <c r="A48" s="80"/>
      <c r="B48" s="80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74"/>
    </row>
    <row r="49" spans="1:99" ht="14.4" x14ac:dyDescent="0.3">
      <c r="A49" s="80"/>
      <c r="B49" s="80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74"/>
    </row>
    <row r="50" spans="1:99" ht="14.4" x14ac:dyDescent="0.3">
      <c r="A50" s="70" t="str">
        <f>A1</f>
        <v>Kentucky American Water Company</v>
      </c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4"/>
    </row>
    <row r="51" spans="1:99" ht="14.4" x14ac:dyDescent="0.3">
      <c r="A51" s="70" t="str">
        <f>A2</f>
        <v>Case No. 2018-00358</v>
      </c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</row>
    <row r="52" spans="1:99" ht="14.4" x14ac:dyDescent="0.3">
      <c r="A52" s="70" t="str">
        <f>Linkin!E44</f>
        <v>Embedded Cost of Long-Term Debt</v>
      </c>
      <c r="B52" s="70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4"/>
    </row>
    <row r="53" spans="1:99" ht="14.4" x14ac:dyDescent="0.3">
      <c r="A53" s="70" t="str">
        <f>Linkin!C6</f>
        <v>As of February 28, 2019</v>
      </c>
      <c r="B53" s="70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4"/>
    </row>
    <row r="54" spans="1:99" ht="14.4" x14ac:dyDescent="0.3">
      <c r="A54" s="70"/>
      <c r="B54" s="70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4"/>
    </row>
    <row r="55" spans="1:99" ht="14.4" x14ac:dyDescent="0.3">
      <c r="A55" s="197" t="s">
        <v>216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5" t="s">
        <v>218</v>
      </c>
      <c r="AD55" s="74"/>
    </row>
    <row r="56" spans="1:99" ht="14.4" x14ac:dyDescent="0.3">
      <c r="A56" s="67" t="str">
        <f>Linkin!A17</f>
        <v>Type of Filing: __X__ Original  _____ Updated  _____ Revised</v>
      </c>
      <c r="B56" s="72"/>
      <c r="C56" s="71"/>
      <c r="D56" s="71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196" t="str">
        <f ca="1">RIGHT(CELL("filename",$A$1),LEN(CELL("filename",$A$1))-SEARCH("\Capital",CELL("filename",$A$1),1))</f>
        <v>Capital Structure\[KAWC 2018 Rate Case - Capital Structure.xlsx]Sch J-4</v>
      </c>
      <c r="AD56" s="74"/>
    </row>
    <row r="57" spans="1:99" ht="14.4" x14ac:dyDescent="0.3">
      <c r="A57" s="67" t="str">
        <f>"Workpaper Reference No(s):  " &amp;Linkin!C27</f>
        <v>Workpaper Reference No(s):  W/P - 7-4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196" t="str">
        <f>Linkin!G44</f>
        <v>Witness Responsible:   Scott Rungren</v>
      </c>
      <c r="AD57" s="74"/>
    </row>
    <row r="58" spans="1:99" ht="14.4" x14ac:dyDescent="0.3">
      <c r="A58" s="72"/>
      <c r="B58" s="72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196" t="s">
        <v>177</v>
      </c>
      <c r="AD58" s="74"/>
    </row>
    <row r="59" spans="1:99" ht="14.4" x14ac:dyDescent="0.3">
      <c r="A59" s="72"/>
      <c r="B59" s="72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75"/>
      <c r="AD59" s="74"/>
    </row>
    <row r="60" spans="1:99" ht="14.4" x14ac:dyDescent="0.3">
      <c r="A60" s="72"/>
      <c r="B60" s="72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75"/>
      <c r="AD60" s="74"/>
    </row>
    <row r="61" spans="1:99" ht="14.4" x14ac:dyDescent="0.3">
      <c r="A61" s="72"/>
      <c r="B61" s="72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75"/>
      <c r="AD61" s="74"/>
    </row>
    <row r="62" spans="1:99" ht="14.4" x14ac:dyDescent="0.3">
      <c r="A62" s="72"/>
      <c r="B62" s="72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75"/>
      <c r="AD62" s="74"/>
    </row>
    <row r="63" spans="1:99" ht="14.4" x14ac:dyDescent="0.3"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74"/>
    </row>
    <row r="64" spans="1:99" ht="14.4" x14ac:dyDescent="0.3">
      <c r="A64" s="85"/>
      <c r="B64" s="85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80" t="s">
        <v>54</v>
      </c>
      <c r="V64" s="80"/>
      <c r="X64" s="80"/>
      <c r="Y64" s="72"/>
      <c r="Z64" s="72"/>
      <c r="AA64" s="72"/>
      <c r="AB64" s="72"/>
      <c r="AC64" s="72"/>
      <c r="AD64" s="74"/>
    </row>
    <row r="65" spans="1:30" ht="14.4" x14ac:dyDescent="0.3">
      <c r="A65" s="81" t="s">
        <v>22</v>
      </c>
      <c r="B65" s="81"/>
      <c r="C65" s="81" t="s">
        <v>56</v>
      </c>
      <c r="D65" s="71"/>
      <c r="E65" s="81" t="s">
        <v>48</v>
      </c>
      <c r="F65" s="81"/>
      <c r="G65" s="81" t="s">
        <v>57</v>
      </c>
      <c r="H65" s="81"/>
      <c r="I65" s="81" t="s">
        <v>30</v>
      </c>
      <c r="J65" s="81"/>
      <c r="K65" s="81" t="s">
        <v>33</v>
      </c>
      <c r="L65" s="81"/>
      <c r="M65" s="81" t="s">
        <v>33</v>
      </c>
      <c r="N65" s="81"/>
      <c r="O65" s="81" t="s">
        <v>58</v>
      </c>
      <c r="P65" s="81"/>
      <c r="Q65" s="81" t="s">
        <v>59</v>
      </c>
      <c r="R65" s="81"/>
      <c r="S65" s="81" t="s">
        <v>60</v>
      </c>
      <c r="T65" s="81"/>
      <c r="U65" s="81" t="s">
        <v>61</v>
      </c>
      <c r="V65" s="81"/>
      <c r="W65" s="80" t="s">
        <v>55</v>
      </c>
      <c r="X65" s="81"/>
      <c r="Y65" s="81" t="s">
        <v>55</v>
      </c>
      <c r="Z65" s="81"/>
      <c r="AA65" s="81" t="s">
        <v>55</v>
      </c>
      <c r="AB65" s="81"/>
      <c r="AC65" s="81" t="s">
        <v>24</v>
      </c>
      <c r="AD65" s="74"/>
    </row>
    <row r="66" spans="1:30" ht="15" thickBot="1" x14ac:dyDescent="0.35">
      <c r="A66" s="82" t="s">
        <v>27</v>
      </c>
      <c r="B66" s="84"/>
      <c r="C66" s="82" t="s">
        <v>62</v>
      </c>
      <c r="D66" s="106"/>
      <c r="E66" s="82" t="s">
        <v>63</v>
      </c>
      <c r="F66" s="84"/>
      <c r="G66" s="82" t="s">
        <v>63</v>
      </c>
      <c r="H66" s="84"/>
      <c r="I66" s="82" t="s">
        <v>49</v>
      </c>
      <c r="J66" s="84"/>
      <c r="K66" s="82" t="s">
        <v>64</v>
      </c>
      <c r="L66" s="84"/>
      <c r="M66" s="82" t="s">
        <v>65</v>
      </c>
      <c r="N66" s="84"/>
      <c r="O66" s="82" t="s">
        <v>64</v>
      </c>
      <c r="P66" s="84"/>
      <c r="Q66" s="82" t="s">
        <v>47</v>
      </c>
      <c r="R66" s="84"/>
      <c r="S66" s="82" t="s">
        <v>30</v>
      </c>
      <c r="T66" s="84"/>
      <c r="U66" s="82" t="s">
        <v>66</v>
      </c>
      <c r="V66" s="84"/>
      <c r="W66" s="82" t="s">
        <v>80</v>
      </c>
      <c r="X66" s="84"/>
      <c r="Y66" s="82" t="s">
        <v>67</v>
      </c>
      <c r="Z66" s="84"/>
      <c r="AA66" s="82" t="s">
        <v>68</v>
      </c>
      <c r="AB66" s="84"/>
      <c r="AC66" s="82" t="s">
        <v>69</v>
      </c>
      <c r="AD66" s="74"/>
    </row>
    <row r="67" spans="1:30" ht="14.4" x14ac:dyDescent="0.3">
      <c r="A67" s="80">
        <v>1</v>
      </c>
      <c r="B67" s="84"/>
      <c r="C67" s="85"/>
      <c r="D67" s="86"/>
      <c r="E67" s="85"/>
      <c r="F67" s="86"/>
      <c r="G67" s="85"/>
      <c r="H67" s="85"/>
      <c r="I67" s="85"/>
      <c r="J67" s="85"/>
      <c r="K67" s="85"/>
      <c r="L67" s="85"/>
      <c r="M67" s="86"/>
      <c r="N67" s="86"/>
      <c r="O67" s="86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</row>
    <row r="68" spans="1:30" ht="14.4" x14ac:dyDescent="0.3">
      <c r="A68" s="80">
        <f>A67+1</f>
        <v>2</v>
      </c>
      <c r="B68" s="80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74"/>
    </row>
    <row r="69" spans="1:30" ht="14.4" x14ac:dyDescent="0.3">
      <c r="A69" s="80">
        <f t="shared" ref="A69:A90" si="7">A68+1</f>
        <v>3</v>
      </c>
      <c r="B69" s="80"/>
      <c r="C69" s="107" t="s">
        <v>70</v>
      </c>
      <c r="D69" s="107"/>
      <c r="E69" s="67"/>
      <c r="F69" s="67"/>
      <c r="G69" s="67"/>
      <c r="H69" s="67"/>
      <c r="I69" s="100"/>
      <c r="J69" s="100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74"/>
    </row>
    <row r="70" spans="1:30" ht="14.4" x14ac:dyDescent="0.3">
      <c r="A70" s="80">
        <f t="shared" si="7"/>
        <v>4</v>
      </c>
      <c r="B70" s="80"/>
      <c r="C70" s="75"/>
      <c r="D70" s="75"/>
      <c r="E70" s="108"/>
      <c r="F70" s="108"/>
      <c r="G70" s="108"/>
      <c r="H70" s="108"/>
      <c r="I70" s="100"/>
      <c r="J70" s="100"/>
      <c r="K70" s="89"/>
      <c r="L70" s="89"/>
      <c r="M70" s="89"/>
      <c r="N70" s="89"/>
      <c r="O70" s="80"/>
      <c r="P70" s="80"/>
      <c r="Q70" s="100"/>
      <c r="R70" s="100"/>
      <c r="S70" s="100"/>
      <c r="T70" s="100"/>
      <c r="U70" s="100"/>
      <c r="V70" s="100"/>
      <c r="W70" s="100"/>
      <c r="X70" s="100"/>
      <c r="Y70" s="87"/>
      <c r="Z70" s="87"/>
      <c r="AA70" s="87"/>
      <c r="AB70" s="87"/>
      <c r="AC70" s="100"/>
      <c r="AD70" s="74"/>
    </row>
    <row r="71" spans="1:30" ht="14.4" x14ac:dyDescent="0.3">
      <c r="A71" s="80">
        <f t="shared" si="7"/>
        <v>5</v>
      </c>
      <c r="B71" s="80"/>
      <c r="C71" s="75" t="str">
        <f>C22</f>
        <v xml:space="preserve">    Series 6.96%   GMB</v>
      </c>
      <c r="D71" s="75"/>
      <c r="E71" s="108">
        <f>E22</f>
        <v>34304</v>
      </c>
      <c r="F71" s="108"/>
      <c r="G71" s="108">
        <f>G22</f>
        <v>8736</v>
      </c>
      <c r="H71" s="108"/>
      <c r="I71" s="100">
        <f>'Sch J WPs'!O14</f>
        <v>7000000</v>
      </c>
      <c r="J71" s="100"/>
      <c r="K71" s="129">
        <f>'Sch J WPs'!C14</f>
        <v>6.9599999999999995E-2</v>
      </c>
      <c r="L71" s="116"/>
      <c r="M71" s="129">
        <f t="shared" ref="M71:M83" si="8">IF(I71=0,0,ROUND((I71*K71+U71)/I71,5))</f>
        <v>7.0059999999999997E-2</v>
      </c>
      <c r="N71" s="126"/>
      <c r="O71" s="127" t="s">
        <v>71</v>
      </c>
      <c r="P71" s="127"/>
      <c r="Q71" s="100">
        <f t="shared" ref="Q71:Q83" si="9">ROUND(M71*I71,0)</f>
        <v>490420</v>
      </c>
      <c r="R71" s="125"/>
      <c r="S71" s="100">
        <f t="shared" ref="S71:S83" si="10">I71</f>
        <v>7000000</v>
      </c>
      <c r="T71" s="125"/>
      <c r="U71" s="100">
        <f>ROUND(('Sch J WPs'!O107+'Sch J WPs'!O120)*12,0)</f>
        <v>3223</v>
      </c>
      <c r="V71" s="126"/>
      <c r="W71" s="100">
        <v>0</v>
      </c>
      <c r="X71" s="126"/>
      <c r="Y71" s="100">
        <f>'Sch J WPs'!O61+'Sch J WPs'!O74</f>
        <v>15327.099999999991</v>
      </c>
      <c r="Z71" s="126"/>
      <c r="AA71" s="100">
        <v>0</v>
      </c>
      <c r="AB71" s="126"/>
      <c r="AC71" s="100">
        <f>I71-W71-Y71+AA71</f>
        <v>6984672.9000000004</v>
      </c>
      <c r="AD71" s="74"/>
    </row>
    <row r="72" spans="1:30" ht="14.4" x14ac:dyDescent="0.3">
      <c r="A72" s="80">
        <f t="shared" si="7"/>
        <v>6</v>
      </c>
      <c r="B72" s="80"/>
      <c r="C72" s="75" t="str">
        <f>C23</f>
        <v xml:space="preserve">    Series 7.15%   GMB</v>
      </c>
      <c r="D72" s="75"/>
      <c r="E72" s="108">
        <f>E23</f>
        <v>35462</v>
      </c>
      <c r="F72" s="108"/>
      <c r="G72" s="108">
        <f>G23</f>
        <v>9894</v>
      </c>
      <c r="H72" s="108"/>
      <c r="I72" s="92">
        <f>'Sch J WPs'!O15</f>
        <v>7500000</v>
      </c>
      <c r="J72" s="92"/>
      <c r="K72" s="129">
        <f>'Sch J WPs'!C15</f>
        <v>7.1499999999999994E-2</v>
      </c>
      <c r="L72" s="94"/>
      <c r="M72" s="129">
        <f t="shared" si="8"/>
        <v>7.1819999999999995E-2</v>
      </c>
      <c r="N72" s="126"/>
      <c r="O72" s="127" t="s">
        <v>71</v>
      </c>
      <c r="P72" s="127"/>
      <c r="Q72" s="92">
        <f t="shared" si="9"/>
        <v>538650</v>
      </c>
      <c r="R72" s="72"/>
      <c r="S72" s="92">
        <f t="shared" si="10"/>
        <v>7500000</v>
      </c>
      <c r="T72" s="72"/>
      <c r="U72" s="92">
        <f>ROUND('Sch J WPs'!O108*12,0)</f>
        <v>2427</v>
      </c>
      <c r="V72" s="122"/>
      <c r="W72" s="92">
        <v>0</v>
      </c>
      <c r="X72" s="122"/>
      <c r="Y72" s="92">
        <f>'Sch J WPs'!O62</f>
        <v>19223.05000000001</v>
      </c>
      <c r="Z72" s="122"/>
      <c r="AA72" s="92">
        <v>0</v>
      </c>
      <c r="AB72" s="122"/>
      <c r="AC72" s="100">
        <f t="shared" ref="AC72:AC73" si="11">I72-W72-Y72+AA72</f>
        <v>7480776.9500000002</v>
      </c>
      <c r="AD72" s="74"/>
    </row>
    <row r="73" spans="1:30" ht="14.4" x14ac:dyDescent="0.3">
      <c r="A73" s="80">
        <f t="shared" si="7"/>
        <v>7</v>
      </c>
      <c r="B73" s="80"/>
      <c r="C73" s="115" t="str">
        <f>C24</f>
        <v xml:space="preserve">    Series 6.99%   GMB</v>
      </c>
      <c r="D73" s="115"/>
      <c r="E73" s="108">
        <f>E24</f>
        <v>35947</v>
      </c>
      <c r="F73" s="108"/>
      <c r="G73" s="108">
        <f>G24</f>
        <v>10380</v>
      </c>
      <c r="H73" s="108"/>
      <c r="I73" s="92">
        <f>'Sch J WPs'!O16</f>
        <v>9000000</v>
      </c>
      <c r="J73" s="92"/>
      <c r="K73" s="129">
        <f>'Sch J WPs'!C16</f>
        <v>6.9900000000000004E-2</v>
      </c>
      <c r="L73" s="94"/>
      <c r="M73" s="129">
        <f t="shared" si="8"/>
        <v>7.0260000000000003E-2</v>
      </c>
      <c r="N73" s="126"/>
      <c r="O73" s="127" t="s">
        <v>71</v>
      </c>
      <c r="P73" s="127"/>
      <c r="Q73" s="92">
        <f t="shared" si="9"/>
        <v>632340</v>
      </c>
      <c r="R73" s="72"/>
      <c r="S73" s="92">
        <f t="shared" si="10"/>
        <v>9000000</v>
      </c>
      <c r="T73" s="72"/>
      <c r="U73" s="92">
        <f>ROUND('Sch J WPs'!O109*12,0)</f>
        <v>3261</v>
      </c>
      <c r="V73" s="122"/>
      <c r="W73" s="92">
        <v>0</v>
      </c>
      <c r="X73" s="122"/>
      <c r="Y73" s="92">
        <f>'Sch J WPs'!O63</f>
        <v>30161.440000000068</v>
      </c>
      <c r="Z73" s="122"/>
      <c r="AA73" s="92">
        <v>0</v>
      </c>
      <c r="AB73" s="122"/>
      <c r="AC73" s="100">
        <f t="shared" si="11"/>
        <v>8969838.5600000005</v>
      </c>
      <c r="AD73" s="74"/>
    </row>
    <row r="74" spans="1:30" ht="14.4" x14ac:dyDescent="0.3">
      <c r="A74" s="80">
        <f t="shared" si="7"/>
        <v>8</v>
      </c>
      <c r="B74" s="80"/>
      <c r="C74" s="115"/>
      <c r="D74" s="115"/>
      <c r="E74" s="108"/>
      <c r="F74" s="108"/>
      <c r="G74" s="108"/>
      <c r="H74" s="108"/>
      <c r="I74" s="92"/>
      <c r="J74" s="92"/>
      <c r="K74" s="129"/>
      <c r="L74" s="94"/>
      <c r="M74" s="129"/>
      <c r="N74" s="126"/>
      <c r="O74" s="127"/>
      <c r="P74" s="127"/>
      <c r="Q74" s="92"/>
      <c r="R74" s="72"/>
      <c r="S74" s="92"/>
      <c r="T74" s="72"/>
      <c r="U74" s="92"/>
      <c r="V74" s="122"/>
      <c r="W74" s="92"/>
      <c r="X74" s="122"/>
      <c r="Y74" s="92"/>
      <c r="Z74" s="122"/>
      <c r="AA74" s="92"/>
      <c r="AB74" s="122"/>
      <c r="AC74" s="92"/>
      <c r="AD74" s="74"/>
    </row>
    <row r="75" spans="1:30" ht="14.4" x14ac:dyDescent="0.3">
      <c r="A75" s="80">
        <f t="shared" si="7"/>
        <v>9</v>
      </c>
      <c r="B75" s="80"/>
      <c r="C75" s="107" t="str">
        <f t="shared" ref="C75" si="12">C26</f>
        <v>AWCC Inter-Company Notes:</v>
      </c>
      <c r="D75" s="115"/>
      <c r="E75" s="108"/>
      <c r="F75" s="108"/>
      <c r="G75" s="108"/>
      <c r="H75" s="108"/>
      <c r="I75" s="92"/>
      <c r="J75" s="92"/>
      <c r="K75" s="129"/>
      <c r="L75" s="94"/>
      <c r="M75" s="129"/>
      <c r="N75" s="126"/>
      <c r="O75" s="127"/>
      <c r="P75" s="127"/>
      <c r="Q75" s="92"/>
      <c r="R75" s="72"/>
      <c r="S75" s="92"/>
      <c r="T75" s="72"/>
      <c r="U75" s="92"/>
      <c r="V75" s="122"/>
      <c r="W75" s="92"/>
      <c r="X75" s="122"/>
      <c r="Y75" s="92"/>
      <c r="Z75" s="122"/>
      <c r="AA75" s="92"/>
      <c r="AB75" s="122"/>
      <c r="AC75" s="92"/>
      <c r="AD75" s="74"/>
    </row>
    <row r="76" spans="1:30" ht="14.4" x14ac:dyDescent="0.3">
      <c r="A76" s="80">
        <f t="shared" si="7"/>
        <v>10</v>
      </c>
      <c r="B76" s="80"/>
      <c r="C76" s="115"/>
      <c r="D76" s="115"/>
      <c r="E76" s="108"/>
      <c r="F76" s="108"/>
      <c r="G76" s="108"/>
      <c r="H76" s="108"/>
      <c r="I76" s="92"/>
      <c r="J76" s="92"/>
      <c r="K76" s="129"/>
      <c r="L76" s="94"/>
      <c r="M76" s="129"/>
      <c r="N76" s="126"/>
      <c r="O76" s="127"/>
      <c r="P76" s="127"/>
      <c r="Q76" s="92"/>
      <c r="R76" s="72"/>
      <c r="S76" s="92"/>
      <c r="T76" s="72"/>
      <c r="U76" s="92"/>
      <c r="V76" s="122"/>
      <c r="W76" s="92"/>
      <c r="X76" s="122"/>
      <c r="Y76" s="92"/>
      <c r="Z76" s="122"/>
      <c r="AA76" s="92"/>
      <c r="AB76" s="122"/>
      <c r="AC76" s="92"/>
      <c r="AD76" s="74"/>
    </row>
    <row r="77" spans="1:30" ht="14.4" x14ac:dyDescent="0.3">
      <c r="A77" s="80">
        <f t="shared" si="7"/>
        <v>11</v>
      </c>
      <c r="B77" s="80"/>
      <c r="C77" s="115" t="str">
        <f t="shared" ref="C77:C84" si="13">C28</f>
        <v xml:space="preserve">    Series 6.593%  Note</v>
      </c>
      <c r="D77" s="115"/>
      <c r="E77" s="108">
        <f t="shared" ref="E77:E84" si="14">E28</f>
        <v>39377</v>
      </c>
      <c r="F77" s="108"/>
      <c r="G77" s="108">
        <f t="shared" ref="G77:G84" si="15">G28</f>
        <v>50328</v>
      </c>
      <c r="H77" s="108"/>
      <c r="I77" s="92">
        <f>'Sch J WPs'!O17</f>
        <v>47000000</v>
      </c>
      <c r="J77" s="92"/>
      <c r="K77" s="129">
        <f>'Sch J WPs'!C17</f>
        <v>6.5930000000000002E-2</v>
      </c>
      <c r="L77" s="94"/>
      <c r="M77" s="129">
        <f t="shared" si="8"/>
        <v>6.6280000000000006E-2</v>
      </c>
      <c r="N77" s="126"/>
      <c r="O77" s="127" t="s">
        <v>71</v>
      </c>
      <c r="P77" s="127"/>
      <c r="Q77" s="92">
        <f t="shared" si="9"/>
        <v>3115160</v>
      </c>
      <c r="R77" s="72"/>
      <c r="S77" s="92">
        <f t="shared" si="10"/>
        <v>47000000</v>
      </c>
      <c r="T77" s="72"/>
      <c r="U77" s="92">
        <f>ROUND('Sch J WPs'!O110*12,0)</f>
        <v>16595</v>
      </c>
      <c r="V77" s="122"/>
      <c r="W77" s="92">
        <v>0</v>
      </c>
      <c r="X77" s="122"/>
      <c r="Y77" s="92">
        <f>'Sch J WPs'!O64</f>
        <v>309120.57999999996</v>
      </c>
      <c r="Z77" s="122"/>
      <c r="AA77" s="92">
        <v>0</v>
      </c>
      <c r="AB77" s="122"/>
      <c r="AC77" s="92">
        <f>I77-W77-Y77+AA77</f>
        <v>46690879.420000002</v>
      </c>
      <c r="AD77" s="74"/>
    </row>
    <row r="78" spans="1:30" ht="14.4" x14ac:dyDescent="0.3">
      <c r="A78" s="80">
        <f t="shared" si="7"/>
        <v>12</v>
      </c>
      <c r="B78" s="80"/>
      <c r="C78" s="115" t="str">
        <f t="shared" si="13"/>
        <v xml:space="preserve">    Series 6.25%    Note</v>
      </c>
      <c r="D78" s="115"/>
      <c r="E78" s="108">
        <f t="shared" si="14"/>
        <v>39987</v>
      </c>
      <c r="F78" s="108"/>
      <c r="G78" s="108">
        <f t="shared" si="15"/>
        <v>50922</v>
      </c>
      <c r="H78" s="108"/>
      <c r="I78" s="92">
        <f>'Sch J WPs'!O18</f>
        <v>45390000</v>
      </c>
      <c r="J78" s="92"/>
      <c r="K78" s="129">
        <f>'Sch J WPs'!C18</f>
        <v>6.25E-2</v>
      </c>
      <c r="L78" s="94"/>
      <c r="M78" s="129">
        <f t="shared" si="8"/>
        <v>6.2950000000000006E-2</v>
      </c>
      <c r="N78" s="126"/>
      <c r="O78" s="127" t="s">
        <v>71</v>
      </c>
      <c r="P78" s="127"/>
      <c r="Q78" s="92">
        <f t="shared" si="9"/>
        <v>2857301</v>
      </c>
      <c r="R78" s="72"/>
      <c r="S78" s="92">
        <f t="shared" si="10"/>
        <v>45390000</v>
      </c>
      <c r="T78" s="72"/>
      <c r="U78" s="92">
        <f>ROUND('Sch J WPs'!O111*12,0)</f>
        <v>20381</v>
      </c>
      <c r="V78" s="122"/>
      <c r="W78" s="92">
        <v>0</v>
      </c>
      <c r="X78" s="122"/>
      <c r="Y78" s="92">
        <f>'Sch J WPs'!O65</f>
        <v>412821.26999999984</v>
      </c>
      <c r="Z78" s="122"/>
      <c r="AA78" s="92">
        <v>0</v>
      </c>
      <c r="AB78" s="122"/>
      <c r="AC78" s="92">
        <f t="shared" ref="AC78:AC84" si="16">I78-W78-Y78+AA78</f>
        <v>44977178.729999997</v>
      </c>
      <c r="AD78" s="74"/>
    </row>
    <row r="79" spans="1:30" ht="14.4" x14ac:dyDescent="0.3">
      <c r="A79" s="80">
        <f t="shared" si="7"/>
        <v>13</v>
      </c>
      <c r="B79" s="80"/>
      <c r="C79" s="115" t="str">
        <f t="shared" si="13"/>
        <v xml:space="preserve">    Series 5.625%  Note</v>
      </c>
      <c r="D79" s="115"/>
      <c r="E79" s="108">
        <f t="shared" si="14"/>
        <v>40066</v>
      </c>
      <c r="F79" s="108"/>
      <c r="G79" s="108">
        <f t="shared" si="15"/>
        <v>51014</v>
      </c>
      <c r="H79" s="108"/>
      <c r="I79" s="92">
        <f>'Sch J WPs'!O19</f>
        <v>26000000</v>
      </c>
      <c r="J79" s="92"/>
      <c r="K79" s="129">
        <f>'Sch J WPs'!C19</f>
        <v>5.6250000000000001E-2</v>
      </c>
      <c r="L79" s="94"/>
      <c r="M79" s="129">
        <f t="shared" si="8"/>
        <v>5.6750000000000002E-2</v>
      </c>
      <c r="N79" s="126"/>
      <c r="O79" s="127" t="s">
        <v>71</v>
      </c>
      <c r="P79" s="127"/>
      <c r="Q79" s="92">
        <f t="shared" si="9"/>
        <v>1475500</v>
      </c>
      <c r="R79" s="72"/>
      <c r="S79" s="92">
        <f t="shared" si="10"/>
        <v>26000000</v>
      </c>
      <c r="T79" s="72"/>
      <c r="U79" s="92">
        <f>ROUND('Sch J WPs'!O112*12,0)</f>
        <v>13002</v>
      </c>
      <c r="V79" s="122"/>
      <c r="W79" s="92">
        <v>0</v>
      </c>
      <c r="X79" s="122"/>
      <c r="Y79" s="92">
        <f>'Sch J WPs'!O66</f>
        <v>266618.01999999979</v>
      </c>
      <c r="Z79" s="122"/>
      <c r="AA79" s="92">
        <v>0</v>
      </c>
      <c r="AB79" s="122"/>
      <c r="AC79" s="92">
        <f t="shared" si="16"/>
        <v>25733381.98</v>
      </c>
      <c r="AD79" s="74"/>
    </row>
    <row r="80" spans="1:30" ht="14.4" x14ac:dyDescent="0.3">
      <c r="A80" s="80">
        <f t="shared" si="7"/>
        <v>14</v>
      </c>
      <c r="B80" s="80"/>
      <c r="C80" s="115" t="str">
        <f t="shared" si="13"/>
        <v xml:space="preserve">    Series 5.375%  Note</v>
      </c>
      <c r="D80" s="115"/>
      <c r="E80" s="108">
        <f t="shared" si="14"/>
        <v>40353</v>
      </c>
      <c r="F80" s="108"/>
      <c r="G80" s="108">
        <f t="shared" si="15"/>
        <v>51288</v>
      </c>
      <c r="H80" s="108"/>
      <c r="I80" s="92">
        <f>'Sch J WPs'!O20</f>
        <v>26000000</v>
      </c>
      <c r="J80" s="92"/>
      <c r="K80" s="129">
        <f>'Sch J WPs'!C20</f>
        <v>5.3749999999999999E-2</v>
      </c>
      <c r="L80" s="94"/>
      <c r="M80" s="129">
        <f t="shared" si="8"/>
        <v>5.4170000000000003E-2</v>
      </c>
      <c r="N80" s="126"/>
      <c r="O80" s="127" t="s">
        <v>71</v>
      </c>
      <c r="P80" s="127"/>
      <c r="Q80" s="92">
        <f t="shared" si="9"/>
        <v>1408420</v>
      </c>
      <c r="R80" s="72"/>
      <c r="S80" s="92">
        <f t="shared" si="10"/>
        <v>26000000</v>
      </c>
      <c r="T80" s="72"/>
      <c r="U80" s="92">
        <f>ROUND('Sch J WPs'!O113*12,0)</f>
        <v>10861</v>
      </c>
      <c r="V80" s="122"/>
      <c r="W80" s="92">
        <v>0</v>
      </c>
      <c r="X80" s="122"/>
      <c r="Y80" s="92">
        <f>'Sch J WPs'!O67</f>
        <v>230849.84000000014</v>
      </c>
      <c r="Z80" s="122"/>
      <c r="AA80" s="92">
        <v>0</v>
      </c>
      <c r="AB80" s="122"/>
      <c r="AC80" s="92">
        <f t="shared" si="16"/>
        <v>25769150.16</v>
      </c>
      <c r="AD80" s="74"/>
    </row>
    <row r="81" spans="1:30" ht="14.4" x14ac:dyDescent="0.3">
      <c r="A81" s="80">
        <f t="shared" si="7"/>
        <v>15</v>
      </c>
      <c r="B81" s="80"/>
      <c r="C81" s="115" t="str">
        <f t="shared" si="13"/>
        <v xml:space="preserve">    Series 5.05%    Note</v>
      </c>
      <c r="D81" s="115"/>
      <c r="E81" s="108">
        <f t="shared" si="14"/>
        <v>40868</v>
      </c>
      <c r="F81" s="108"/>
      <c r="G81" s="108">
        <f t="shared" si="15"/>
        <v>50328</v>
      </c>
      <c r="H81" s="108"/>
      <c r="I81" s="92">
        <f>'Sch J WPs'!O21</f>
        <v>20000000</v>
      </c>
      <c r="J81" s="92"/>
      <c r="K81" s="129">
        <f>'Sch J WPs'!C21</f>
        <v>5.0500000000000003E-2</v>
      </c>
      <c r="L81" s="94"/>
      <c r="M81" s="129">
        <f t="shared" si="8"/>
        <v>5.0500000000000003E-2</v>
      </c>
      <c r="N81" s="126"/>
      <c r="O81" s="127" t="s">
        <v>71</v>
      </c>
      <c r="P81" s="127"/>
      <c r="Q81" s="92">
        <f t="shared" si="9"/>
        <v>1010000</v>
      </c>
      <c r="R81" s="72"/>
      <c r="S81" s="92">
        <f t="shared" si="10"/>
        <v>20000000</v>
      </c>
      <c r="T81" s="72"/>
      <c r="U81" s="92">
        <f>ROUND('Sch J WPs'!O114*12,0)</f>
        <v>0</v>
      </c>
      <c r="V81" s="122"/>
      <c r="W81" s="92">
        <v>0</v>
      </c>
      <c r="X81" s="122"/>
      <c r="Y81" s="92">
        <f>'Sch J WPs'!O68</f>
        <v>0</v>
      </c>
      <c r="Z81" s="122"/>
      <c r="AA81" s="92">
        <v>0</v>
      </c>
      <c r="AB81" s="122"/>
      <c r="AC81" s="92">
        <f t="shared" si="16"/>
        <v>20000000</v>
      </c>
      <c r="AD81" s="74"/>
    </row>
    <row r="82" spans="1:30" ht="14.4" x14ac:dyDescent="0.3">
      <c r="A82" s="80">
        <f t="shared" si="7"/>
        <v>16</v>
      </c>
      <c r="B82" s="80"/>
      <c r="C82" s="115" t="str">
        <f t="shared" si="13"/>
        <v xml:space="preserve">    Series 4.00%    Note</v>
      </c>
      <c r="D82" s="115"/>
      <c r="E82" s="108">
        <f t="shared" si="14"/>
        <v>41409</v>
      </c>
      <c r="F82" s="108"/>
      <c r="G82" s="108">
        <f t="shared" si="15"/>
        <v>50328</v>
      </c>
      <c r="H82" s="108"/>
      <c r="I82" s="92">
        <f>'Sch J WPs'!O22</f>
        <v>7859000</v>
      </c>
      <c r="J82" s="92"/>
      <c r="K82" s="129">
        <f>'Sch J WPs'!C22</f>
        <v>0.04</v>
      </c>
      <c r="L82" s="94"/>
      <c r="M82" s="129">
        <f t="shared" si="8"/>
        <v>0.04</v>
      </c>
      <c r="N82" s="126"/>
      <c r="O82" s="127" t="s">
        <v>71</v>
      </c>
      <c r="P82" s="127"/>
      <c r="Q82" s="92">
        <f t="shared" si="9"/>
        <v>314360</v>
      </c>
      <c r="R82" s="72"/>
      <c r="S82" s="92">
        <f t="shared" si="10"/>
        <v>7859000</v>
      </c>
      <c r="T82" s="72"/>
      <c r="U82" s="92">
        <f>ROUND('Sch J WPs'!O115*12,0)</f>
        <v>0</v>
      </c>
      <c r="V82" s="122"/>
      <c r="W82" s="92">
        <v>0</v>
      </c>
      <c r="X82" s="122"/>
      <c r="Y82" s="92">
        <f>'Sch J WPs'!O69</f>
        <v>0</v>
      </c>
      <c r="Z82" s="122"/>
      <c r="AA82" s="92">
        <v>0</v>
      </c>
      <c r="AB82" s="122"/>
      <c r="AC82" s="92">
        <f t="shared" si="16"/>
        <v>7859000</v>
      </c>
      <c r="AD82" s="74"/>
    </row>
    <row r="83" spans="1:30" ht="14.4" x14ac:dyDescent="0.3">
      <c r="A83" s="80">
        <f t="shared" si="7"/>
        <v>17</v>
      </c>
      <c r="B83" s="80"/>
      <c r="C83" s="115" t="str">
        <f t="shared" si="13"/>
        <v xml:space="preserve">    Series 4.00%    Note</v>
      </c>
      <c r="D83" s="115"/>
      <c r="E83" s="108">
        <f t="shared" si="14"/>
        <v>42536</v>
      </c>
      <c r="F83" s="108"/>
      <c r="G83" s="108">
        <f t="shared" si="15"/>
        <v>53493</v>
      </c>
      <c r="H83" s="108"/>
      <c r="I83" s="92">
        <f>'Sch J WPs'!O23</f>
        <v>5000000</v>
      </c>
      <c r="J83" s="92"/>
      <c r="K83" s="129">
        <f>'Sch J WPs'!C23</f>
        <v>0.04</v>
      </c>
      <c r="L83" s="94"/>
      <c r="M83" s="129">
        <f t="shared" si="8"/>
        <v>4.0629999999999999E-2</v>
      </c>
      <c r="N83" s="126"/>
      <c r="O83" s="127" t="s">
        <v>71</v>
      </c>
      <c r="P83" s="127"/>
      <c r="Q83" s="92">
        <f t="shared" si="9"/>
        <v>203150</v>
      </c>
      <c r="R83" s="72"/>
      <c r="S83" s="92">
        <f t="shared" si="10"/>
        <v>5000000</v>
      </c>
      <c r="T83" s="72"/>
      <c r="U83" s="92">
        <f>ROUND(('Sch J WPs'!O116+'Sch J WPs'!O208)*12,0)</f>
        <v>3133</v>
      </c>
      <c r="V83" s="122"/>
      <c r="W83" s="92">
        <f>'Sch J WPs'!O162</f>
        <v>38430.339999999975</v>
      </c>
      <c r="X83" s="122"/>
      <c r="Y83" s="92">
        <f>'Sch J WPs'!O70</f>
        <v>48529.840000000033</v>
      </c>
      <c r="Z83" s="122"/>
      <c r="AA83" s="92">
        <v>0</v>
      </c>
      <c r="AB83" s="122"/>
      <c r="AC83" s="92">
        <f t="shared" si="16"/>
        <v>4913039.82</v>
      </c>
      <c r="AD83" s="74"/>
    </row>
    <row r="84" spans="1:30" ht="14.4" x14ac:dyDescent="0.3">
      <c r="A84" s="80">
        <f t="shared" si="7"/>
        <v>18</v>
      </c>
      <c r="B84" s="80"/>
      <c r="C84" s="115" t="str">
        <f t="shared" si="13"/>
        <v xml:space="preserve">    Series 3.75%    Note</v>
      </c>
      <c r="D84" s="67"/>
      <c r="E84" s="108">
        <f t="shared" si="14"/>
        <v>42991</v>
      </c>
      <c r="F84" s="108"/>
      <c r="G84" s="108">
        <f t="shared" si="15"/>
        <v>53936</v>
      </c>
      <c r="H84" s="67"/>
      <c r="I84" s="92">
        <f>'Sch J WPs'!O24</f>
        <v>5000000</v>
      </c>
      <c r="J84" s="92"/>
      <c r="K84" s="129">
        <f>'Sch J WPs'!C24</f>
        <v>3.7499999999999999E-2</v>
      </c>
      <c r="L84" s="94"/>
      <c r="M84" s="129">
        <f t="shared" ref="M84" si="17">IF(I84=0,0,ROUND((I84*K84+U84)/I84,5))</f>
        <v>3.7949999999999998E-2</v>
      </c>
      <c r="N84" s="67"/>
      <c r="O84" s="127" t="s">
        <v>71</v>
      </c>
      <c r="P84" s="67"/>
      <c r="Q84" s="92">
        <f t="shared" ref="Q84" si="18">ROUND(M84*I84,0)</f>
        <v>189750</v>
      </c>
      <c r="R84" s="72"/>
      <c r="S84" s="92">
        <f t="shared" ref="S84" si="19">I84</f>
        <v>5000000</v>
      </c>
      <c r="T84" s="72"/>
      <c r="U84" s="92">
        <f>ROUND(('Sch J WPs'!O117+'Sch J WPs'!O209)*12,0)</f>
        <v>2244</v>
      </c>
      <c r="V84" s="122"/>
      <c r="W84" s="92">
        <f>'Sch J WPs'!O163</f>
        <v>14581.579999999989</v>
      </c>
      <c r="X84" s="122"/>
      <c r="Y84" s="92">
        <f>'Sch J WPs'!O71</f>
        <v>49371.069999999971</v>
      </c>
      <c r="Z84" s="122"/>
      <c r="AA84" s="92">
        <v>0</v>
      </c>
      <c r="AB84" s="122"/>
      <c r="AC84" s="92">
        <f t="shared" si="16"/>
        <v>4936047.3499999996</v>
      </c>
      <c r="AD84" s="74"/>
    </row>
    <row r="85" spans="1:30" ht="14.4" x14ac:dyDescent="0.3">
      <c r="A85" s="80">
        <f t="shared" si="7"/>
        <v>19</v>
      </c>
      <c r="B85" s="80"/>
      <c r="C85" s="67"/>
      <c r="D85" s="67"/>
      <c r="E85" s="67"/>
      <c r="F85" s="67"/>
      <c r="G85" s="67"/>
      <c r="H85" s="67"/>
      <c r="I85" s="95"/>
      <c r="J85" s="93"/>
      <c r="K85" s="89"/>
      <c r="L85" s="89"/>
      <c r="M85" s="89"/>
      <c r="N85" s="89"/>
      <c r="O85" s="80"/>
      <c r="P85" s="80"/>
      <c r="Q85" s="95"/>
      <c r="R85" s="93"/>
      <c r="S85" s="111"/>
      <c r="T85" s="102"/>
      <c r="U85" s="111"/>
      <c r="V85" s="102"/>
      <c r="W85" s="111"/>
      <c r="X85" s="102"/>
      <c r="Y85" s="111"/>
      <c r="Z85" s="102"/>
      <c r="AA85" s="111"/>
      <c r="AB85" s="102"/>
      <c r="AC85" s="111"/>
      <c r="AD85" s="74"/>
    </row>
    <row r="86" spans="1:30" ht="14.4" x14ac:dyDescent="0.3">
      <c r="A86" s="80">
        <f t="shared" si="7"/>
        <v>20</v>
      </c>
      <c r="B86" s="80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90"/>
      <c r="S86" s="67"/>
      <c r="T86" s="90"/>
      <c r="U86" s="67"/>
      <c r="V86" s="90"/>
      <c r="W86" s="67"/>
      <c r="X86" s="90"/>
      <c r="Y86" s="67"/>
      <c r="Z86" s="90"/>
      <c r="AA86" s="67"/>
      <c r="AB86" s="90"/>
      <c r="AC86" s="67"/>
      <c r="AD86" s="74"/>
    </row>
    <row r="87" spans="1:30" ht="15" thickBot="1" x14ac:dyDescent="0.35">
      <c r="A87" s="80">
        <f t="shared" si="7"/>
        <v>21</v>
      </c>
      <c r="B87" s="80"/>
      <c r="C87" s="71" t="s">
        <v>72</v>
      </c>
      <c r="D87" s="71"/>
      <c r="E87" s="71"/>
      <c r="F87" s="71"/>
      <c r="G87" s="71"/>
      <c r="H87" s="71"/>
      <c r="I87" s="112">
        <f>SUM(I70:I85)</f>
        <v>205749000</v>
      </c>
      <c r="J87" s="88"/>
      <c r="K87" s="67"/>
      <c r="L87" s="67"/>
      <c r="M87" s="67"/>
      <c r="N87" s="67"/>
      <c r="O87" s="67"/>
      <c r="P87" s="67"/>
      <c r="Q87" s="112">
        <f t="shared" ref="Q87:AC87" si="20">SUM(Q70:Q85)</f>
        <v>12235051</v>
      </c>
      <c r="R87" s="88"/>
      <c r="S87" s="112">
        <f t="shared" si="20"/>
        <v>205749000</v>
      </c>
      <c r="T87" s="88"/>
      <c r="U87" s="112">
        <f t="shared" si="20"/>
        <v>75127</v>
      </c>
      <c r="V87" s="88"/>
      <c r="W87" s="112">
        <f t="shared" si="20"/>
        <v>53011.919999999962</v>
      </c>
      <c r="X87" s="113"/>
      <c r="Y87" s="112">
        <f t="shared" si="20"/>
        <v>1382022.21</v>
      </c>
      <c r="Z87" s="88"/>
      <c r="AA87" s="112">
        <f t="shared" si="20"/>
        <v>0</v>
      </c>
      <c r="AB87" s="113"/>
      <c r="AC87" s="112">
        <f t="shared" si="20"/>
        <v>204313965.86999997</v>
      </c>
      <c r="AD87" s="74"/>
    </row>
    <row r="88" spans="1:30" ht="15" thickTop="1" x14ac:dyDescent="0.3">
      <c r="A88" s="80">
        <f t="shared" si="7"/>
        <v>22</v>
      </c>
      <c r="B88" s="80"/>
      <c r="C88" s="67"/>
      <c r="D88" s="67"/>
      <c r="E88" s="67"/>
      <c r="F88" s="67"/>
      <c r="G88" s="67"/>
      <c r="H88" s="67"/>
      <c r="I88" s="116"/>
      <c r="J88" s="116"/>
      <c r="K88" s="67"/>
      <c r="L88" s="67"/>
      <c r="M88" s="67"/>
      <c r="N88" s="67"/>
      <c r="O88" s="67"/>
      <c r="P88" s="67"/>
      <c r="Q88" s="85"/>
      <c r="R88" s="86"/>
      <c r="S88" s="85"/>
      <c r="T88" s="86"/>
      <c r="U88" s="85"/>
      <c r="V88" s="86"/>
      <c r="W88" s="85"/>
      <c r="X88" s="86"/>
      <c r="Y88" s="85"/>
      <c r="Z88" s="86"/>
      <c r="AA88" s="85"/>
      <c r="AB88" s="86"/>
      <c r="AC88" s="85"/>
      <c r="AD88" s="74"/>
    </row>
    <row r="89" spans="1:30" ht="14.4" x14ac:dyDescent="0.3">
      <c r="A89" s="80">
        <f t="shared" si="7"/>
        <v>23</v>
      </c>
      <c r="B89" s="80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100"/>
      <c r="T89" s="100"/>
      <c r="U89" s="67"/>
      <c r="V89" s="67"/>
      <c r="W89" s="67"/>
      <c r="X89" s="67"/>
      <c r="Y89" s="67"/>
      <c r="Z89" s="67"/>
      <c r="AA89" s="67"/>
      <c r="AB89" s="67"/>
      <c r="AC89" s="100"/>
      <c r="AD89" s="74"/>
    </row>
    <row r="90" spans="1:30" ht="15" thickBot="1" x14ac:dyDescent="0.35">
      <c r="A90" s="80">
        <f t="shared" si="7"/>
        <v>24</v>
      </c>
      <c r="B90" s="80"/>
      <c r="C90" s="67"/>
      <c r="D90" s="67"/>
      <c r="E90" s="114" t="s">
        <v>73</v>
      </c>
      <c r="F90" s="114"/>
      <c r="G90" s="67"/>
      <c r="H90" s="67"/>
      <c r="I90" s="99">
        <f>ROUND(Q87/AC87,4)</f>
        <v>5.9900000000000002E-2</v>
      </c>
      <c r="J90" s="9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74"/>
    </row>
    <row r="91" spans="1:30" ht="15" thickTop="1" x14ac:dyDescent="0.3">
      <c r="A91" s="80"/>
      <c r="B91" s="80"/>
      <c r="C91" s="67"/>
      <c r="D91" s="67"/>
      <c r="E91" s="67"/>
      <c r="F91" s="67"/>
      <c r="G91" s="67"/>
      <c r="H91" s="67"/>
      <c r="I91" s="85"/>
      <c r="J91" s="85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74"/>
    </row>
    <row r="92" spans="1:30" ht="14.4" x14ac:dyDescent="0.3">
      <c r="A92" s="80"/>
      <c r="B92" s="80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74"/>
    </row>
    <row r="93" spans="1:30" ht="14.4" x14ac:dyDescent="0.3">
      <c r="A93" s="80"/>
      <c r="B93" s="80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74"/>
    </row>
    <row r="94" spans="1:30" ht="14.4" x14ac:dyDescent="0.3">
      <c r="A94" s="80"/>
      <c r="B94" s="80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74"/>
    </row>
    <row r="95" spans="1:30" ht="14.4" x14ac:dyDescent="0.3">
      <c r="A95" s="80"/>
      <c r="B95" s="80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74"/>
    </row>
    <row r="96" spans="1:30" ht="14.4" x14ac:dyDescent="0.3">
      <c r="A96" s="80"/>
      <c r="B96" s="80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74"/>
    </row>
    <row r="97" spans="1:30" ht="14.4" x14ac:dyDescent="0.3">
      <c r="A97" s="80"/>
      <c r="B97" s="80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74"/>
    </row>
    <row r="98" spans="1:30" ht="14.4" x14ac:dyDescent="0.3">
      <c r="A98" s="80"/>
      <c r="B98" s="80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74"/>
    </row>
    <row r="99" spans="1:30" ht="14.4" x14ac:dyDescent="0.3">
      <c r="A99" s="80"/>
      <c r="B99" s="80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74"/>
    </row>
    <row r="100" spans="1:30" ht="14.4" x14ac:dyDescent="0.3">
      <c r="A100" s="80"/>
      <c r="B100" s="80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74"/>
    </row>
    <row r="101" spans="1:30" ht="14.4" x14ac:dyDescent="0.3">
      <c r="A101" s="80"/>
      <c r="B101" s="80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74"/>
    </row>
    <row r="102" spans="1:30" ht="14.4" x14ac:dyDescent="0.3">
      <c r="A102" s="80"/>
      <c r="B102" s="80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74"/>
    </row>
    <row r="103" spans="1:30" ht="14.4" x14ac:dyDescent="0.3">
      <c r="A103" s="80"/>
      <c r="B103" s="80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74"/>
    </row>
    <row r="121" spans="2:15" x14ac:dyDescent="0.25">
      <c r="B121" s="105"/>
      <c r="D121" s="105"/>
      <c r="F121" s="105"/>
      <c r="M121" s="105"/>
      <c r="N121" s="105"/>
      <c r="O121" s="105"/>
    </row>
  </sheetData>
  <printOptions horizontalCentered="1"/>
  <pageMargins left="0.75" right="0.75" top="1" bottom="0.5" header="0" footer="0.25"/>
  <pageSetup scale="59" orientation="landscape" r:id="rId1"/>
  <headerFooter alignWithMargins="0"/>
  <rowBreaks count="1" manualBreakCount="1">
    <brk id="49" max="28" man="1"/>
  </row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CP88"/>
  <sheetViews>
    <sheetView zoomScaleNormal="100" workbookViewId="0">
      <selection sqref="A1:W1"/>
    </sheetView>
  </sheetViews>
  <sheetFormatPr defaultColWidth="16.6640625" defaultRowHeight="13.8" x14ac:dyDescent="0.25"/>
  <cols>
    <col min="1" max="1" width="4.6640625" style="68" customWidth="1"/>
    <col min="2" max="2" width="1.6640625" style="68" customWidth="1"/>
    <col min="3" max="3" width="20.109375" style="68" customWidth="1"/>
    <col min="4" max="4" width="1.6640625" style="68" customWidth="1"/>
    <col min="5" max="5" width="15.6640625" style="68" customWidth="1"/>
    <col min="6" max="6" width="1.6640625" style="68" customWidth="1"/>
    <col min="7" max="7" width="11.88671875" style="68" bestFit="1" customWidth="1"/>
    <col min="8" max="8" width="1.6640625" style="68" customWidth="1"/>
    <col min="9" max="9" width="11.44140625" style="68" bestFit="1" customWidth="1"/>
    <col min="10" max="10" width="1.6640625" style="68" customWidth="1"/>
    <col min="11" max="11" width="15.6640625" style="68" customWidth="1"/>
    <col min="12" max="12" width="1.6640625" style="68" customWidth="1"/>
    <col min="13" max="13" width="15.6640625" style="68" customWidth="1"/>
    <col min="14" max="14" width="1.6640625" style="68" customWidth="1"/>
    <col min="15" max="15" width="10.88671875" style="68" bestFit="1" customWidth="1"/>
    <col min="16" max="16" width="1.6640625" style="68" customWidth="1"/>
    <col min="17" max="17" width="14" style="68" bestFit="1" customWidth="1"/>
    <col min="18" max="18" width="1.6640625" style="68" customWidth="1"/>
    <col min="19" max="19" width="10.109375" style="68" customWidth="1"/>
    <col min="20" max="20" width="1.6640625" style="68" customWidth="1"/>
    <col min="21" max="21" width="11" style="68" customWidth="1"/>
    <col min="22" max="22" width="1.6640625" style="68" customWidth="1"/>
    <col min="23" max="23" width="15" style="68" bestFit="1" customWidth="1"/>
    <col min="24" max="24" width="19.44140625" style="68" customWidth="1"/>
    <col min="25" max="29" width="16.6640625" style="68"/>
    <col min="30" max="30" width="6.88671875" style="68" customWidth="1"/>
    <col min="31" max="38" width="16.6640625" style="68"/>
    <col min="39" max="39" width="15" style="68" customWidth="1"/>
    <col min="40" max="16384" width="16.6640625" style="68"/>
  </cols>
  <sheetData>
    <row r="1" spans="1:94" ht="14.4" x14ac:dyDescent="0.3">
      <c r="A1" s="243" t="str">
        <f>Linkin!A1</f>
        <v>Kentucky American Water Company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71"/>
      <c r="Y1" s="74"/>
    </row>
    <row r="2" spans="1:94" ht="14.4" x14ac:dyDescent="0.3">
      <c r="A2" s="243" t="str">
        <f>Linkin!A3</f>
        <v>Case No. 2018-00358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71"/>
      <c r="Y2" s="74"/>
    </row>
    <row r="3" spans="1:94" ht="14.4" x14ac:dyDescent="0.3">
      <c r="A3" s="243" t="str">
        <f>Linkin!E45</f>
        <v>Embedded Cost of Preferred Stock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71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</row>
    <row r="4" spans="1:94" ht="14.4" x14ac:dyDescent="0.3">
      <c r="A4" s="243" t="str">
        <f>Linkin!C11</f>
        <v>As of June 30, 2020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71"/>
      <c r="Y4" s="74"/>
    </row>
    <row r="5" spans="1:94" ht="14.4" x14ac:dyDescent="0.3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71"/>
      <c r="Y5" s="74"/>
    </row>
    <row r="6" spans="1:94" ht="14.4" x14ac:dyDescent="0.3">
      <c r="A6" s="197" t="s">
        <v>214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5" t="s">
        <v>219</v>
      </c>
      <c r="Y6" s="74"/>
    </row>
    <row r="7" spans="1:94" ht="14.4" x14ac:dyDescent="0.3">
      <c r="A7" s="72" t="str">
        <f>Linkin!A17</f>
        <v>Type of Filing: __X__ Original  _____ Updated  _____ Revised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196" t="str">
        <f ca="1">RIGHT(CELL("filename",$A$1),LEN(CELL("filename",$A$1))-SEARCH("\Capital",CELL("filename",$A$1),1))</f>
        <v>Capital Structure\[KAWC 2018 Rate Case - Capital Structure.xlsx]Sch J-5</v>
      </c>
      <c r="Y7" s="74"/>
    </row>
    <row r="8" spans="1:94" ht="14.4" x14ac:dyDescent="0.3">
      <c r="A8" s="67" t="str">
        <f>"Workpaper Reference No(s):  " &amp;Linkin!C28</f>
        <v>Workpaper Reference No(s):  W/P - 7-5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196" t="str">
        <f>Linkin!G45</f>
        <v>Witness Responsible:   Scott Rungren</v>
      </c>
      <c r="Y8" s="74"/>
    </row>
    <row r="9" spans="1:94" ht="14.4" x14ac:dyDescent="0.3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196" t="s">
        <v>176</v>
      </c>
      <c r="Y9" s="74"/>
    </row>
    <row r="10" spans="1:94" ht="14.4" x14ac:dyDescent="0.3">
      <c r="A10" s="72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75"/>
      <c r="Y10" s="74"/>
    </row>
    <row r="11" spans="1:94" ht="14.4" x14ac:dyDescent="0.3">
      <c r="A11" s="72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75"/>
      <c r="Y11" s="74"/>
    </row>
    <row r="12" spans="1:94" ht="14.4" x14ac:dyDescent="0.3">
      <c r="A12" s="72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75"/>
      <c r="Y12" s="74"/>
    </row>
    <row r="13" spans="1:94" ht="14.4" x14ac:dyDescent="0.3">
      <c r="A13" s="72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75"/>
      <c r="Y13" s="74"/>
    </row>
    <row r="14" spans="1:94" ht="14.4" x14ac:dyDescent="0.3">
      <c r="A14" s="101"/>
      <c r="B14" s="90"/>
      <c r="C14" s="67"/>
      <c r="D14" s="90"/>
      <c r="E14" s="67"/>
      <c r="F14" s="90"/>
      <c r="G14" s="67"/>
      <c r="H14" s="67"/>
      <c r="I14" s="67"/>
      <c r="J14" s="67"/>
      <c r="K14" s="67"/>
      <c r="L14" s="67"/>
      <c r="M14" s="90"/>
      <c r="N14" s="67"/>
      <c r="O14" s="90"/>
      <c r="P14" s="67"/>
      <c r="Q14" s="67"/>
      <c r="R14" s="67"/>
      <c r="S14" s="67"/>
      <c r="T14" s="67"/>
      <c r="U14" s="67"/>
      <c r="V14" s="67"/>
      <c r="W14" s="67"/>
      <c r="X14" s="67"/>
      <c r="Y14" s="74"/>
    </row>
    <row r="15" spans="1:94" ht="14.4" x14ac:dyDescent="0.3">
      <c r="A15" s="85"/>
      <c r="B15" s="72"/>
      <c r="C15" s="72"/>
      <c r="D15" s="72"/>
      <c r="E15" s="72"/>
      <c r="F15" s="72"/>
      <c r="G15" s="72"/>
      <c r="H15" s="72"/>
      <c r="I15" s="72"/>
      <c r="J15" s="72"/>
      <c r="K15" s="80" t="s">
        <v>55</v>
      </c>
      <c r="L15" s="80"/>
      <c r="M15" s="80" t="s">
        <v>74</v>
      </c>
      <c r="N15" s="80"/>
      <c r="O15" s="72"/>
      <c r="P15" s="72"/>
      <c r="Q15" s="80" t="s">
        <v>54</v>
      </c>
      <c r="R15" s="80"/>
      <c r="S15" s="72"/>
      <c r="T15" s="72"/>
      <c r="U15" s="72"/>
      <c r="V15" s="72"/>
      <c r="W15" s="72"/>
      <c r="X15" s="72"/>
      <c r="Y15" s="74"/>
    </row>
    <row r="16" spans="1:94" ht="14.4" x14ac:dyDescent="0.3">
      <c r="A16" s="80" t="s">
        <v>22</v>
      </c>
      <c r="B16" s="67"/>
      <c r="C16" s="71" t="s">
        <v>75</v>
      </c>
      <c r="D16" s="71"/>
      <c r="E16" s="67"/>
      <c r="F16" s="67"/>
      <c r="G16" s="81" t="s">
        <v>30</v>
      </c>
      <c r="H16" s="81"/>
      <c r="I16" s="81" t="s">
        <v>76</v>
      </c>
      <c r="J16" s="81"/>
      <c r="K16" s="81" t="s">
        <v>48</v>
      </c>
      <c r="L16" s="81"/>
      <c r="M16" s="81" t="s">
        <v>77</v>
      </c>
      <c r="N16" s="81"/>
      <c r="O16" s="81" t="s">
        <v>21</v>
      </c>
      <c r="P16" s="81"/>
      <c r="Q16" s="81" t="s">
        <v>61</v>
      </c>
      <c r="R16" s="81"/>
      <c r="S16" s="81" t="s">
        <v>33</v>
      </c>
      <c r="T16" s="81"/>
      <c r="U16" s="81" t="s">
        <v>33</v>
      </c>
      <c r="V16" s="81"/>
      <c r="W16" s="81" t="s">
        <v>59</v>
      </c>
      <c r="X16" s="67"/>
      <c r="Y16" s="74"/>
    </row>
    <row r="17" spans="1:25" ht="15" thickBot="1" x14ac:dyDescent="0.35">
      <c r="A17" s="82" t="s">
        <v>27</v>
      </c>
      <c r="B17" s="106"/>
      <c r="C17" s="82" t="s">
        <v>78</v>
      </c>
      <c r="D17" s="84"/>
      <c r="E17" s="82" t="s">
        <v>79</v>
      </c>
      <c r="F17" s="84"/>
      <c r="G17" s="82" t="s">
        <v>49</v>
      </c>
      <c r="H17" s="84"/>
      <c r="I17" s="82" t="s">
        <v>80</v>
      </c>
      <c r="J17" s="84"/>
      <c r="K17" s="82" t="s">
        <v>66</v>
      </c>
      <c r="L17" s="84"/>
      <c r="M17" s="82" t="s">
        <v>81</v>
      </c>
      <c r="N17" s="84"/>
      <c r="O17" s="82" t="s">
        <v>82</v>
      </c>
      <c r="P17" s="84"/>
      <c r="Q17" s="82" t="s">
        <v>66</v>
      </c>
      <c r="R17" s="84"/>
      <c r="S17" s="82" t="s">
        <v>64</v>
      </c>
      <c r="T17" s="84"/>
      <c r="U17" s="82" t="s">
        <v>65</v>
      </c>
      <c r="V17" s="84"/>
      <c r="W17" s="82" t="s">
        <v>83</v>
      </c>
      <c r="X17" s="84"/>
      <c r="Y17" s="74"/>
    </row>
    <row r="18" spans="1:25" ht="14.4" x14ac:dyDescent="0.3">
      <c r="A18" s="80">
        <v>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74"/>
    </row>
    <row r="19" spans="1:25" ht="14.4" x14ac:dyDescent="0.3">
      <c r="A19" s="80">
        <f>A18+1</f>
        <v>2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74"/>
    </row>
    <row r="20" spans="1:25" ht="14.4" x14ac:dyDescent="0.3">
      <c r="A20" s="80">
        <f t="shared" ref="A20:A30" si="0">A19+1</f>
        <v>3</v>
      </c>
      <c r="B20" s="67"/>
      <c r="C20" s="72"/>
      <c r="D20" s="72"/>
      <c r="E20" s="108"/>
      <c r="F20" s="108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89"/>
      <c r="T20" s="89"/>
      <c r="U20" s="89"/>
      <c r="V20" s="89"/>
      <c r="W20" s="100"/>
      <c r="X20" s="67"/>
      <c r="Y20" s="74"/>
    </row>
    <row r="21" spans="1:25" ht="14.4" x14ac:dyDescent="0.3">
      <c r="A21" s="80">
        <f t="shared" si="0"/>
        <v>4</v>
      </c>
      <c r="B21" s="67"/>
      <c r="C21" s="67"/>
      <c r="D21" s="67"/>
      <c r="E21" s="81"/>
      <c r="F21" s="81"/>
      <c r="G21" s="67"/>
      <c r="H21" s="90"/>
      <c r="I21" s="67"/>
      <c r="J21" s="90"/>
      <c r="K21" s="67"/>
      <c r="L21" s="90"/>
      <c r="M21" s="67"/>
      <c r="N21" s="90"/>
      <c r="O21" s="67"/>
      <c r="P21" s="67"/>
      <c r="Q21" s="67"/>
      <c r="R21" s="90"/>
      <c r="S21" s="91"/>
      <c r="T21" s="91"/>
      <c r="U21" s="91"/>
      <c r="V21" s="91"/>
      <c r="W21" s="67"/>
      <c r="X21" s="67"/>
      <c r="Y21" s="74"/>
    </row>
    <row r="22" spans="1:25" ht="14.4" x14ac:dyDescent="0.3">
      <c r="A22" s="80">
        <f t="shared" si="0"/>
        <v>5</v>
      </c>
      <c r="B22" s="67"/>
      <c r="C22" s="72" t="s">
        <v>84</v>
      </c>
      <c r="D22" s="72"/>
      <c r="E22" s="108">
        <f>DATE(92,1,24)</f>
        <v>33627</v>
      </c>
      <c r="F22" s="108"/>
      <c r="G22" s="124">
        <f>'Sch J WPs'!AE290</f>
        <v>2250000</v>
      </c>
      <c r="H22" s="102"/>
      <c r="I22" s="124">
        <v>0</v>
      </c>
      <c r="J22" s="102"/>
      <c r="K22" s="124">
        <f>'Sch J WPs'!AE326</f>
        <v>6373.6200000000108</v>
      </c>
      <c r="L22" s="102"/>
      <c r="M22" s="124">
        <v>0</v>
      </c>
      <c r="N22" s="102"/>
      <c r="O22" s="124">
        <f>G22+I22-K22+M22</f>
        <v>2243626.38</v>
      </c>
      <c r="P22" s="93"/>
      <c r="Q22" s="124">
        <f>SUM('Sch J WPs'!T366:AE366)</f>
        <v>386.28</v>
      </c>
      <c r="R22" s="102"/>
      <c r="S22" s="89">
        <f>'Sch J WPs'!C290</f>
        <v>8.4699999999999998E-2</v>
      </c>
      <c r="T22" s="89"/>
      <c r="U22" s="89">
        <f>ROUND((S22*G22+Q22)/O22,4)</f>
        <v>8.5099999999999995E-2</v>
      </c>
      <c r="V22" s="89"/>
      <c r="W22" s="124">
        <f>ROUND(U22*O22,0)</f>
        <v>190933</v>
      </c>
      <c r="X22" s="67"/>
      <c r="Y22" s="74"/>
    </row>
    <row r="23" spans="1:25" ht="14.4" x14ac:dyDescent="0.3">
      <c r="A23" s="80">
        <f t="shared" si="0"/>
        <v>6</v>
      </c>
      <c r="B23" s="67"/>
      <c r="C23" s="67"/>
      <c r="D23" s="67"/>
      <c r="E23" s="67"/>
      <c r="F23" s="67"/>
      <c r="G23" s="67"/>
      <c r="H23" s="90"/>
      <c r="I23" s="67"/>
      <c r="J23" s="90"/>
      <c r="K23" s="87"/>
      <c r="L23" s="90"/>
      <c r="M23" s="67"/>
      <c r="N23" s="90"/>
      <c r="O23" s="67"/>
      <c r="P23" s="67"/>
      <c r="Q23" s="67"/>
      <c r="R23" s="90"/>
      <c r="S23" s="67"/>
      <c r="T23" s="67"/>
      <c r="U23" s="67"/>
      <c r="V23" s="67"/>
      <c r="W23" s="67"/>
      <c r="X23" s="67"/>
      <c r="Y23" s="74"/>
    </row>
    <row r="24" spans="1:25" ht="14.4" x14ac:dyDescent="0.3">
      <c r="A24" s="80">
        <f t="shared" si="0"/>
        <v>7</v>
      </c>
      <c r="B24" s="67"/>
      <c r="C24" s="67"/>
      <c r="D24" s="67"/>
      <c r="E24" s="67"/>
      <c r="F24" s="67"/>
      <c r="G24" s="67"/>
      <c r="H24" s="90"/>
      <c r="I24" s="67"/>
      <c r="J24" s="90"/>
      <c r="K24" s="67"/>
      <c r="L24" s="90"/>
      <c r="M24" s="67"/>
      <c r="N24" s="90"/>
      <c r="O24" s="67"/>
      <c r="P24" s="67"/>
      <c r="Q24" s="67"/>
      <c r="R24" s="90"/>
      <c r="S24" s="67"/>
      <c r="T24" s="67"/>
      <c r="U24" s="67"/>
      <c r="V24" s="67"/>
      <c r="W24" s="67"/>
      <c r="X24" s="67"/>
      <c r="Y24" s="74"/>
    </row>
    <row r="25" spans="1:25" ht="14.4" x14ac:dyDescent="0.3">
      <c r="A25" s="80">
        <f t="shared" si="0"/>
        <v>8</v>
      </c>
      <c r="B25" s="67"/>
      <c r="C25" s="67"/>
      <c r="D25" s="67"/>
      <c r="E25" s="67"/>
      <c r="F25" s="67"/>
      <c r="G25" s="67"/>
      <c r="H25" s="90"/>
      <c r="I25" s="67"/>
      <c r="J25" s="90"/>
      <c r="K25" s="67"/>
      <c r="L25" s="90"/>
      <c r="M25" s="67"/>
      <c r="N25" s="90"/>
      <c r="O25" s="67"/>
      <c r="P25" s="67"/>
      <c r="Q25" s="67"/>
      <c r="R25" s="90"/>
      <c r="S25" s="67"/>
      <c r="T25" s="67"/>
      <c r="U25" s="67"/>
      <c r="V25" s="67"/>
      <c r="W25" s="67"/>
      <c r="X25" s="67"/>
      <c r="Y25" s="74"/>
    </row>
    <row r="26" spans="1:25" ht="14.4" x14ac:dyDescent="0.3">
      <c r="A26" s="80">
        <f t="shared" si="0"/>
        <v>9</v>
      </c>
      <c r="B26" s="67"/>
      <c r="C26" s="67"/>
      <c r="D26" s="67"/>
      <c r="E26" s="67"/>
      <c r="F26" s="67"/>
      <c r="G26" s="67"/>
      <c r="H26" s="90"/>
      <c r="I26" s="67"/>
      <c r="J26" s="90"/>
      <c r="K26" s="67"/>
      <c r="L26" s="90"/>
      <c r="M26" s="67"/>
      <c r="N26" s="90"/>
      <c r="O26" s="67"/>
      <c r="P26" s="67"/>
      <c r="Q26" s="67"/>
      <c r="R26" s="90"/>
      <c r="S26" s="67"/>
      <c r="T26" s="67"/>
      <c r="U26" s="67"/>
      <c r="V26" s="67"/>
      <c r="W26" s="67"/>
      <c r="X26" s="67"/>
      <c r="Y26" s="74"/>
    </row>
    <row r="27" spans="1:25" ht="15" thickBot="1" x14ac:dyDescent="0.35">
      <c r="A27" s="80">
        <f t="shared" si="0"/>
        <v>10</v>
      </c>
      <c r="B27" s="67"/>
      <c r="C27" s="75" t="s">
        <v>85</v>
      </c>
      <c r="D27" s="75"/>
      <c r="E27" s="67"/>
      <c r="F27" s="67"/>
      <c r="G27" s="112">
        <f t="shared" ref="G27:Q27" si="1">SUM(G20:G25)</f>
        <v>2250000</v>
      </c>
      <c r="H27" s="113"/>
      <c r="I27" s="112">
        <f t="shared" si="1"/>
        <v>0</v>
      </c>
      <c r="J27" s="113"/>
      <c r="K27" s="112">
        <f t="shared" si="1"/>
        <v>6373.6200000000108</v>
      </c>
      <c r="L27" s="113"/>
      <c r="M27" s="112">
        <f t="shared" si="1"/>
        <v>0</v>
      </c>
      <c r="N27" s="113"/>
      <c r="O27" s="112">
        <f t="shared" si="1"/>
        <v>2243626.38</v>
      </c>
      <c r="P27" s="113"/>
      <c r="Q27" s="112">
        <f t="shared" si="1"/>
        <v>386.28</v>
      </c>
      <c r="R27" s="88"/>
      <c r="S27" s="67"/>
      <c r="T27" s="67"/>
      <c r="U27" s="67"/>
      <c r="V27" s="67"/>
      <c r="W27" s="112">
        <f>SUM(W20:W25)</f>
        <v>190933</v>
      </c>
      <c r="X27" s="67"/>
      <c r="Y27" s="74"/>
    </row>
    <row r="28" spans="1:25" ht="15" thickTop="1" x14ac:dyDescent="0.3">
      <c r="A28" s="80">
        <f t="shared" si="0"/>
        <v>11</v>
      </c>
      <c r="B28" s="67"/>
      <c r="C28" s="67"/>
      <c r="D28" s="67"/>
      <c r="E28" s="67"/>
      <c r="F28" s="67"/>
      <c r="G28" s="85"/>
      <c r="H28" s="86"/>
      <c r="I28" s="85"/>
      <c r="J28" s="86"/>
      <c r="K28" s="85"/>
      <c r="L28" s="86"/>
      <c r="M28" s="85"/>
      <c r="N28" s="86"/>
      <c r="O28" s="85"/>
      <c r="P28" s="85"/>
      <c r="Q28" s="85"/>
      <c r="R28" s="86"/>
      <c r="S28" s="67"/>
      <c r="T28" s="67"/>
      <c r="U28" s="67"/>
      <c r="V28" s="67"/>
      <c r="W28" s="85"/>
      <c r="X28" s="67"/>
      <c r="Y28" s="74"/>
    </row>
    <row r="29" spans="1:25" ht="14.4" x14ac:dyDescent="0.3">
      <c r="A29" s="80">
        <f t="shared" si="0"/>
        <v>12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74"/>
    </row>
    <row r="30" spans="1:25" ht="15" thickBot="1" x14ac:dyDescent="0.35">
      <c r="A30" s="80">
        <f t="shared" si="0"/>
        <v>13</v>
      </c>
      <c r="B30" s="67"/>
      <c r="C30" s="114" t="s">
        <v>73</v>
      </c>
      <c r="D30" s="67"/>
      <c r="F30" s="67"/>
      <c r="G30" s="99">
        <f>ROUND(W27/O27,4)</f>
        <v>8.5099999999999995E-2</v>
      </c>
      <c r="H30" s="9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74"/>
    </row>
    <row r="31" spans="1:25" ht="15" thickTop="1" x14ac:dyDescent="0.3">
      <c r="A31" s="80"/>
      <c r="B31" s="67"/>
      <c r="C31" s="67"/>
      <c r="D31" s="67"/>
      <c r="E31" s="67"/>
      <c r="F31" s="67"/>
      <c r="G31" s="85"/>
      <c r="H31" s="85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74"/>
    </row>
    <row r="32" spans="1:25" ht="14.4" x14ac:dyDescent="0.3">
      <c r="A32" s="80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74"/>
    </row>
    <row r="33" spans="1:94" ht="14.4" x14ac:dyDescent="0.3">
      <c r="A33" s="80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74"/>
    </row>
    <row r="34" spans="1:94" ht="14.4" x14ac:dyDescent="0.3">
      <c r="A34" s="80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74"/>
    </row>
    <row r="35" spans="1:94" ht="14.4" x14ac:dyDescent="0.3">
      <c r="A35" s="80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74"/>
    </row>
    <row r="36" spans="1:94" ht="14.4" x14ac:dyDescent="0.3">
      <c r="A36" s="80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74"/>
    </row>
    <row r="37" spans="1:94" ht="14.4" x14ac:dyDescent="0.3">
      <c r="A37" s="80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74"/>
    </row>
    <row r="38" spans="1:94" ht="14.4" x14ac:dyDescent="0.3">
      <c r="A38" s="80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74"/>
    </row>
    <row r="39" spans="1:94" ht="14.4" x14ac:dyDescent="0.3">
      <c r="A39" s="80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74"/>
    </row>
    <row r="40" spans="1:94" ht="14.4" x14ac:dyDescent="0.3">
      <c r="A40" s="243" t="str">
        <f>A1</f>
        <v>Kentucky American Water Company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71"/>
      <c r="Y40" s="74"/>
    </row>
    <row r="41" spans="1:94" ht="14.4" x14ac:dyDescent="0.3">
      <c r="A41" s="243" t="str">
        <f>A2</f>
        <v>Case No. 2018-00358</v>
      </c>
      <c r="B41" s="243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71"/>
      <c r="Y41" s="74"/>
    </row>
    <row r="42" spans="1:94" ht="14.4" x14ac:dyDescent="0.3">
      <c r="A42" s="243" t="str">
        <f>Linkin!E46</f>
        <v>Embedded Cost of Preferred Stock</v>
      </c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71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</row>
    <row r="43" spans="1:94" ht="14.4" x14ac:dyDescent="0.3">
      <c r="A43" s="243" t="str">
        <f>Linkin!C6</f>
        <v>As of February 28, 2019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71"/>
      <c r="Y43" s="74"/>
    </row>
    <row r="44" spans="1:94" ht="14.4" x14ac:dyDescent="0.3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71"/>
      <c r="Y44" s="74"/>
    </row>
    <row r="45" spans="1:94" ht="14.4" x14ac:dyDescent="0.3">
      <c r="A45" s="197" t="s">
        <v>216</v>
      </c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5" t="s">
        <v>219</v>
      </c>
      <c r="Y45" s="74"/>
    </row>
    <row r="46" spans="1:94" ht="14.4" x14ac:dyDescent="0.3">
      <c r="A46" s="67" t="str">
        <f>Linkin!A17</f>
        <v>Type of Filing: __X__ Original  _____ Updated  _____ Revised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196" t="str">
        <f ca="1">RIGHT(CELL("filename",$A$1),LEN(CELL("filename",$A$1))-SEARCH("\Capital",CELL("filename",$A$1),1))</f>
        <v>Capital Structure\[KAWC 2018 Rate Case - Capital Structure.xlsx]Sch J-5</v>
      </c>
      <c r="Y46" s="74"/>
    </row>
    <row r="47" spans="1:94" ht="14.4" x14ac:dyDescent="0.3">
      <c r="A47" s="67" t="str">
        <f>"Workpaper Reference No(s):  " &amp;Linkin!C28</f>
        <v>Workpaper Reference No(s):  W/P - 7-5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196" t="str">
        <f>Linkin!G46</f>
        <v>Witness Responsible:   Scott Rungren</v>
      </c>
      <c r="Y47" s="74"/>
    </row>
    <row r="48" spans="1:94" ht="14.4" x14ac:dyDescent="0.3">
      <c r="A48" s="72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196" t="s">
        <v>177</v>
      </c>
      <c r="Y48" s="74"/>
    </row>
    <row r="49" spans="1:25" ht="14.4" x14ac:dyDescent="0.3">
      <c r="A49" s="72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Y49" s="74"/>
    </row>
    <row r="50" spans="1:25" ht="14.4" x14ac:dyDescent="0.3">
      <c r="A50" s="72"/>
      <c r="B50" s="90"/>
      <c r="C50" s="67"/>
      <c r="D50" s="90"/>
      <c r="E50" s="67"/>
      <c r="F50" s="90"/>
      <c r="G50" s="67"/>
      <c r="H50" s="67"/>
      <c r="I50" s="67"/>
      <c r="J50" s="67"/>
      <c r="K50" s="67"/>
      <c r="L50" s="67"/>
      <c r="M50" s="90"/>
      <c r="N50" s="90"/>
      <c r="O50" s="90"/>
      <c r="P50" s="67"/>
      <c r="Q50" s="67"/>
      <c r="R50" s="67"/>
      <c r="S50" s="67"/>
      <c r="T50" s="67"/>
      <c r="U50" s="67"/>
      <c r="V50" s="67"/>
      <c r="W50" s="75"/>
      <c r="Y50" s="74"/>
    </row>
    <row r="51" spans="1:25" ht="14.4" x14ac:dyDescent="0.3">
      <c r="A51" s="72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75"/>
      <c r="Y51" s="74"/>
    </row>
    <row r="52" spans="1:25" ht="14.4" x14ac:dyDescent="0.3">
      <c r="A52" s="72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75"/>
      <c r="Y52" s="74"/>
    </row>
    <row r="53" spans="1:25" ht="14.4" x14ac:dyDescent="0.3">
      <c r="A53" s="85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74"/>
    </row>
    <row r="54" spans="1:25" ht="14.4" x14ac:dyDescent="0.3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80" t="s">
        <v>55</v>
      </c>
      <c r="L54" s="80"/>
      <c r="M54" s="80" t="s">
        <v>74</v>
      </c>
      <c r="N54" s="80"/>
      <c r="O54" s="72"/>
      <c r="P54" s="72"/>
      <c r="Q54" s="80" t="s">
        <v>54</v>
      </c>
      <c r="R54" s="80"/>
      <c r="S54" s="72"/>
      <c r="T54" s="72"/>
      <c r="U54" s="72"/>
      <c r="V54" s="72"/>
      <c r="W54" s="72"/>
      <c r="X54" s="72"/>
      <c r="Y54" s="74"/>
    </row>
    <row r="55" spans="1:25" ht="14.4" x14ac:dyDescent="0.3">
      <c r="A55" s="80" t="s">
        <v>22</v>
      </c>
      <c r="B55" s="67"/>
      <c r="C55" s="71" t="s">
        <v>75</v>
      </c>
      <c r="D55" s="71"/>
      <c r="E55" s="67"/>
      <c r="F55" s="67"/>
      <c r="G55" s="81" t="s">
        <v>30</v>
      </c>
      <c r="H55" s="81"/>
      <c r="I55" s="81" t="s">
        <v>76</v>
      </c>
      <c r="J55" s="81"/>
      <c r="K55" s="81" t="s">
        <v>48</v>
      </c>
      <c r="L55" s="81"/>
      <c r="M55" s="81" t="s">
        <v>77</v>
      </c>
      <c r="N55" s="81"/>
      <c r="O55" s="81" t="s">
        <v>21</v>
      </c>
      <c r="P55" s="81"/>
      <c r="Q55" s="81" t="s">
        <v>61</v>
      </c>
      <c r="R55" s="81"/>
      <c r="S55" s="81" t="s">
        <v>33</v>
      </c>
      <c r="T55" s="81"/>
      <c r="U55" s="81" t="s">
        <v>33</v>
      </c>
      <c r="V55" s="81"/>
      <c r="W55" s="81" t="s">
        <v>59</v>
      </c>
      <c r="X55" s="67"/>
      <c r="Y55" s="74"/>
    </row>
    <row r="56" spans="1:25" ht="15" thickBot="1" x14ac:dyDescent="0.35">
      <c r="A56" s="82" t="s">
        <v>27</v>
      </c>
      <c r="B56" s="106"/>
      <c r="C56" s="82" t="s">
        <v>78</v>
      </c>
      <c r="D56" s="84"/>
      <c r="E56" s="82" t="s">
        <v>79</v>
      </c>
      <c r="F56" s="84"/>
      <c r="G56" s="82" t="s">
        <v>49</v>
      </c>
      <c r="H56" s="84"/>
      <c r="I56" s="82" t="s">
        <v>80</v>
      </c>
      <c r="J56" s="84"/>
      <c r="K56" s="82" t="s">
        <v>66</v>
      </c>
      <c r="L56" s="84"/>
      <c r="M56" s="82" t="s">
        <v>81</v>
      </c>
      <c r="N56" s="84"/>
      <c r="O56" s="82" t="s">
        <v>82</v>
      </c>
      <c r="P56" s="84"/>
      <c r="Q56" s="82" t="s">
        <v>66</v>
      </c>
      <c r="R56" s="84"/>
      <c r="S56" s="82" t="s">
        <v>64</v>
      </c>
      <c r="T56" s="84"/>
      <c r="U56" s="82" t="s">
        <v>65</v>
      </c>
      <c r="V56" s="84"/>
      <c r="W56" s="82" t="s">
        <v>83</v>
      </c>
      <c r="X56" s="84"/>
      <c r="Y56" s="74"/>
    </row>
    <row r="57" spans="1:25" ht="14.4" x14ac:dyDescent="0.3">
      <c r="A57" s="80">
        <v>1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74"/>
    </row>
    <row r="58" spans="1:25" ht="14.4" x14ac:dyDescent="0.3">
      <c r="A58" s="80">
        <f>A57+1</f>
        <v>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89"/>
      <c r="V58" s="89"/>
      <c r="W58" s="67"/>
      <c r="X58" s="67"/>
      <c r="Y58" s="74"/>
    </row>
    <row r="59" spans="1:25" ht="14.4" x14ac:dyDescent="0.3">
      <c r="A59" s="80">
        <f t="shared" ref="A59:A69" si="2">A58+1</f>
        <v>3</v>
      </c>
      <c r="B59" s="67"/>
      <c r="C59" s="72"/>
      <c r="D59" s="72"/>
      <c r="E59" s="108"/>
      <c r="F59" s="108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89"/>
      <c r="T59" s="89"/>
      <c r="U59" s="89"/>
      <c r="V59" s="89"/>
      <c r="W59" s="100"/>
      <c r="X59" s="67"/>
      <c r="Y59" s="74"/>
    </row>
    <row r="60" spans="1:25" ht="14.4" x14ac:dyDescent="0.3">
      <c r="A60" s="80">
        <f t="shared" si="2"/>
        <v>4</v>
      </c>
      <c r="B60" s="67"/>
      <c r="C60" s="67"/>
      <c r="D60" s="67"/>
      <c r="E60" s="81"/>
      <c r="F60" s="81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91"/>
      <c r="T60" s="91"/>
      <c r="U60" s="91"/>
      <c r="V60" s="91"/>
      <c r="W60" s="67"/>
      <c r="X60" s="67"/>
      <c r="Y60" s="74"/>
    </row>
    <row r="61" spans="1:25" ht="14.4" x14ac:dyDescent="0.3">
      <c r="A61" s="80">
        <f t="shared" si="2"/>
        <v>5</v>
      </c>
      <c r="B61" s="67"/>
      <c r="C61" s="72" t="s">
        <v>84</v>
      </c>
      <c r="D61" s="72"/>
      <c r="E61" s="108">
        <f>DATE(92,1,24)</f>
        <v>33627</v>
      </c>
      <c r="F61" s="108"/>
      <c r="G61" s="124">
        <f>'Sch J WPs'!O290</f>
        <v>2250000</v>
      </c>
      <c r="H61" s="102"/>
      <c r="I61" s="124">
        <v>0</v>
      </c>
      <c r="J61" s="102"/>
      <c r="K61" s="124">
        <f>'Sch J WPs'!O326</f>
        <v>6888.6600000000044</v>
      </c>
      <c r="L61" s="102"/>
      <c r="M61" s="124">
        <v>0</v>
      </c>
      <c r="N61" s="102"/>
      <c r="O61" s="124">
        <f>G61+I61-K61+M61</f>
        <v>2243111.34</v>
      </c>
      <c r="P61" s="93"/>
      <c r="Q61" s="124">
        <f>ROUND('Sch J WPs'!O366*12,0)</f>
        <v>386</v>
      </c>
      <c r="R61" s="102"/>
      <c r="S61" s="89">
        <f>S22</f>
        <v>8.4699999999999998E-2</v>
      </c>
      <c r="T61" s="89"/>
      <c r="U61" s="89">
        <f>ROUND((S61*G61+Q61)/O61,4)</f>
        <v>8.5099999999999995E-2</v>
      </c>
      <c r="V61" s="89"/>
      <c r="W61" s="124">
        <f>ROUND(U61*O61,0)</f>
        <v>190889</v>
      </c>
      <c r="X61" s="67"/>
      <c r="Y61" s="74"/>
    </row>
    <row r="62" spans="1:25" ht="14.4" x14ac:dyDescent="0.3">
      <c r="A62" s="80">
        <f t="shared" si="2"/>
        <v>6</v>
      </c>
      <c r="B62" s="67"/>
      <c r="C62" s="67"/>
      <c r="D62" s="67"/>
      <c r="E62" s="67"/>
      <c r="F62" s="67"/>
      <c r="G62" s="67"/>
      <c r="H62" s="90"/>
      <c r="I62" s="67"/>
      <c r="J62" s="90"/>
      <c r="K62" s="87"/>
      <c r="L62" s="90"/>
      <c r="M62" s="67"/>
      <c r="N62" s="90"/>
      <c r="O62" s="67"/>
      <c r="P62" s="67"/>
      <c r="Q62" s="67"/>
      <c r="R62" s="90"/>
      <c r="S62" s="67"/>
      <c r="T62" s="67"/>
      <c r="U62" s="67"/>
      <c r="V62" s="67"/>
      <c r="W62" s="67"/>
      <c r="X62" s="67"/>
      <c r="Y62" s="74"/>
    </row>
    <row r="63" spans="1:25" ht="14.4" x14ac:dyDescent="0.3">
      <c r="A63" s="80">
        <f t="shared" si="2"/>
        <v>7</v>
      </c>
      <c r="B63" s="67"/>
      <c r="C63" s="67"/>
      <c r="D63" s="67"/>
      <c r="E63" s="67"/>
      <c r="F63" s="67"/>
      <c r="G63" s="67"/>
      <c r="H63" s="90"/>
      <c r="I63" s="67"/>
      <c r="J63" s="90"/>
      <c r="K63" s="67"/>
      <c r="L63" s="90"/>
      <c r="M63" s="67"/>
      <c r="N63" s="90"/>
      <c r="O63" s="67"/>
      <c r="P63" s="67"/>
      <c r="Q63" s="67"/>
      <c r="R63" s="90"/>
      <c r="S63" s="67"/>
      <c r="T63" s="67"/>
      <c r="U63" s="67"/>
      <c r="V63" s="67"/>
      <c r="W63" s="67"/>
      <c r="X63" s="67"/>
      <c r="Y63" s="74"/>
    </row>
    <row r="64" spans="1:25" ht="14.4" x14ac:dyDescent="0.3">
      <c r="A64" s="80">
        <f t="shared" si="2"/>
        <v>8</v>
      </c>
      <c r="B64" s="67"/>
      <c r="C64" s="67"/>
      <c r="D64" s="67"/>
      <c r="E64" s="67"/>
      <c r="F64" s="67"/>
      <c r="G64" s="67"/>
      <c r="H64" s="90"/>
      <c r="I64" s="67"/>
      <c r="J64" s="90"/>
      <c r="K64" s="67"/>
      <c r="L64" s="90"/>
      <c r="M64" s="67"/>
      <c r="N64" s="90"/>
      <c r="O64" s="67"/>
      <c r="P64" s="67"/>
      <c r="Q64" s="67"/>
      <c r="R64" s="90"/>
      <c r="S64" s="67"/>
      <c r="T64" s="67"/>
      <c r="U64" s="67"/>
      <c r="V64" s="67"/>
      <c r="W64" s="67"/>
      <c r="X64" s="67"/>
      <c r="Y64" s="74"/>
    </row>
    <row r="65" spans="1:25" ht="14.4" x14ac:dyDescent="0.3">
      <c r="A65" s="80">
        <f t="shared" si="2"/>
        <v>9</v>
      </c>
      <c r="B65" s="67"/>
      <c r="C65" s="67"/>
      <c r="D65" s="67"/>
      <c r="E65" s="67"/>
      <c r="F65" s="67"/>
      <c r="G65" s="67"/>
      <c r="H65" s="90"/>
      <c r="I65" s="67"/>
      <c r="J65" s="90"/>
      <c r="K65" s="67"/>
      <c r="L65" s="90"/>
      <c r="M65" s="67"/>
      <c r="N65" s="90"/>
      <c r="O65" s="67"/>
      <c r="P65" s="67"/>
      <c r="Q65" s="67"/>
      <c r="R65" s="90"/>
      <c r="S65" s="67"/>
      <c r="T65" s="67"/>
      <c r="U65" s="67"/>
      <c r="V65" s="67"/>
      <c r="W65" s="67"/>
      <c r="X65" s="67"/>
      <c r="Y65" s="74"/>
    </row>
    <row r="66" spans="1:25" ht="15" thickBot="1" x14ac:dyDescent="0.35">
      <c r="A66" s="80">
        <f t="shared" si="2"/>
        <v>10</v>
      </c>
      <c r="B66" s="67"/>
      <c r="C66" s="75" t="s">
        <v>85</v>
      </c>
      <c r="D66" s="75"/>
      <c r="E66" s="67"/>
      <c r="F66" s="67"/>
      <c r="G66" s="112">
        <f t="shared" ref="G66:Q66" si="3">SUM(G59:G64)</f>
        <v>2250000</v>
      </c>
      <c r="H66" s="113"/>
      <c r="I66" s="112">
        <f t="shared" si="3"/>
        <v>0</v>
      </c>
      <c r="J66" s="113"/>
      <c r="K66" s="112">
        <f t="shared" si="3"/>
        <v>6888.6600000000044</v>
      </c>
      <c r="L66" s="113"/>
      <c r="M66" s="112">
        <f t="shared" si="3"/>
        <v>0</v>
      </c>
      <c r="N66" s="113"/>
      <c r="O66" s="112">
        <f t="shared" si="3"/>
        <v>2243111.34</v>
      </c>
      <c r="P66" s="113"/>
      <c r="Q66" s="112">
        <f t="shared" si="3"/>
        <v>386</v>
      </c>
      <c r="R66" s="88"/>
      <c r="S66" s="67"/>
      <c r="T66" s="67"/>
      <c r="U66" s="67"/>
      <c r="V66" s="67"/>
      <c r="W66" s="112">
        <f>SUM(W59:W64)</f>
        <v>190889</v>
      </c>
      <c r="X66" s="67"/>
      <c r="Y66" s="74"/>
    </row>
    <row r="67" spans="1:25" ht="15" thickTop="1" x14ac:dyDescent="0.3">
      <c r="A67" s="80">
        <f t="shared" si="2"/>
        <v>11</v>
      </c>
      <c r="B67" s="67"/>
      <c r="C67" s="67"/>
      <c r="D67" s="67"/>
      <c r="E67" s="67"/>
      <c r="F67" s="67"/>
      <c r="G67" s="85"/>
      <c r="H67" s="86"/>
      <c r="I67" s="85"/>
      <c r="J67" s="86"/>
      <c r="K67" s="85"/>
      <c r="L67" s="86"/>
      <c r="M67" s="85"/>
      <c r="N67" s="86"/>
      <c r="O67" s="85"/>
      <c r="P67" s="85"/>
      <c r="Q67" s="85"/>
      <c r="R67" s="86"/>
      <c r="S67" s="67"/>
      <c r="T67" s="67"/>
      <c r="U67" s="67"/>
      <c r="V67" s="67"/>
      <c r="W67" s="85"/>
      <c r="X67" s="67"/>
      <c r="Y67" s="74"/>
    </row>
    <row r="68" spans="1:25" ht="14.4" x14ac:dyDescent="0.3">
      <c r="A68" s="80">
        <f t="shared" si="2"/>
        <v>12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74"/>
    </row>
    <row r="69" spans="1:25" ht="15" thickBot="1" x14ac:dyDescent="0.35">
      <c r="A69" s="80">
        <f t="shared" si="2"/>
        <v>13</v>
      </c>
      <c r="B69" s="67"/>
      <c r="C69" s="114" t="s">
        <v>73</v>
      </c>
      <c r="D69" s="67"/>
      <c r="E69" s="67"/>
      <c r="F69" s="67"/>
      <c r="G69" s="99">
        <f>ROUND(W66/O66,4)</f>
        <v>8.5099999999999995E-2</v>
      </c>
      <c r="H69" s="9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74"/>
    </row>
    <row r="70" spans="1:25" ht="15" thickTop="1" x14ac:dyDescent="0.3">
      <c r="A70" s="80"/>
      <c r="B70" s="67"/>
      <c r="C70" s="67"/>
      <c r="D70" s="67"/>
      <c r="E70" s="67"/>
      <c r="F70" s="67"/>
      <c r="G70" s="85"/>
      <c r="H70" s="85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74"/>
    </row>
    <row r="71" spans="1:25" ht="14.4" x14ac:dyDescent="0.3">
      <c r="A71" s="80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74"/>
    </row>
    <row r="72" spans="1:25" ht="14.4" x14ac:dyDescent="0.3">
      <c r="A72" s="80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74"/>
    </row>
    <row r="73" spans="1:25" ht="14.4" x14ac:dyDescent="0.3">
      <c r="A73" s="80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74"/>
    </row>
    <row r="74" spans="1:25" ht="14.4" x14ac:dyDescent="0.3">
      <c r="A74" s="80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74"/>
    </row>
    <row r="75" spans="1:25" ht="14.4" x14ac:dyDescent="0.3">
      <c r="A75" s="80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74"/>
    </row>
    <row r="76" spans="1:25" ht="14.4" x14ac:dyDescent="0.3">
      <c r="A76" s="80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74"/>
    </row>
    <row r="77" spans="1:25" ht="14.4" x14ac:dyDescent="0.3">
      <c r="A77" s="80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74"/>
    </row>
    <row r="78" spans="1:25" ht="14.4" x14ac:dyDescent="0.3">
      <c r="A78" s="80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74"/>
    </row>
    <row r="88" spans="2:15" x14ac:dyDescent="0.25">
      <c r="B88" s="105"/>
      <c r="D88" s="105"/>
      <c r="F88" s="105"/>
      <c r="M88" s="105"/>
      <c r="N88" s="105"/>
      <c r="O88" s="105"/>
    </row>
  </sheetData>
  <mergeCells count="8">
    <mergeCell ref="A42:W42"/>
    <mergeCell ref="A43:W43"/>
    <mergeCell ref="A1:W1"/>
    <mergeCell ref="A2:W2"/>
    <mergeCell ref="A3:W3"/>
    <mergeCell ref="A4:W4"/>
    <mergeCell ref="A40:W40"/>
    <mergeCell ref="A41:W41"/>
  </mergeCells>
  <printOptions horizontalCentered="1"/>
  <pageMargins left="0.75" right="0.75" top="1" bottom="0.5" header="0" footer="0.25"/>
  <pageSetup scale="65" orientation="landscape" r:id="rId1"/>
  <headerFooter alignWithMargins="0"/>
  <rowBreaks count="1" manualBreakCount="1">
    <brk id="39" max="22" man="1"/>
  </row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8"/>
  <sheetViews>
    <sheetView zoomScale="90" zoomScaleNormal="90" zoomScaleSheetLayoutView="85" workbookViewId="0">
      <pane xSplit="3" ySplit="9" topLeftCell="W436" activePane="bottomRight" state="frozen"/>
      <selection sqref="A1:W1"/>
      <selection pane="topRight" sqref="A1:W1"/>
      <selection pane="bottomLeft" sqref="A1:W1"/>
      <selection pane="bottomRight" activeCell="AF444" sqref="AF444"/>
    </sheetView>
  </sheetViews>
  <sheetFormatPr defaultColWidth="11.6640625" defaultRowHeight="14.4" x14ac:dyDescent="0.3"/>
  <cols>
    <col min="1" max="1" width="6.88671875" style="67" customWidth="1"/>
    <col min="2" max="2" width="25.88671875" style="67" customWidth="1"/>
    <col min="3" max="3" width="16.33203125" style="81" customWidth="1"/>
    <col min="4" max="15" width="15.88671875" style="67" customWidth="1"/>
    <col min="16" max="16" width="15.88671875" style="85" customWidth="1"/>
    <col min="17" max="32" width="15.88671875" style="67" customWidth="1"/>
    <col min="33" max="33" width="6.33203125" style="67" customWidth="1"/>
    <col min="34" max="34" width="21.5546875" style="67" customWidth="1"/>
    <col min="35" max="35" width="14.33203125" style="67" customWidth="1"/>
    <col min="36" max="36" width="15" style="67" customWidth="1"/>
    <col min="37" max="37" width="1.6640625" style="67" customWidth="1"/>
    <col min="38" max="38" width="13.33203125" style="67" customWidth="1"/>
    <col min="39" max="39" width="1.6640625" style="67" customWidth="1"/>
    <col min="40" max="40" width="13.33203125" style="67" customWidth="1"/>
    <col min="41" max="41" width="1.6640625" style="67" customWidth="1"/>
    <col min="42" max="42" width="13.33203125" style="67" customWidth="1"/>
    <col min="43" max="43" width="1.6640625" style="67" customWidth="1"/>
    <col min="44" max="44" width="13.33203125" style="67" customWidth="1"/>
    <col min="45" max="45" width="1.6640625" style="67" customWidth="1"/>
    <col min="46" max="46" width="13.33203125" style="67" customWidth="1"/>
    <col min="47" max="47" width="1.6640625" style="67" customWidth="1"/>
    <col min="48" max="48" width="16.5546875" style="67" customWidth="1"/>
    <col min="49" max="49" width="1.6640625" style="67" customWidth="1"/>
    <col min="50" max="50" width="16.5546875" style="67" customWidth="1"/>
    <col min="51" max="51" width="1.6640625" style="67" customWidth="1"/>
    <col min="52" max="52" width="15.44140625" style="67" customWidth="1"/>
    <col min="53" max="53" width="1.6640625" style="67" customWidth="1"/>
    <col min="54" max="54" width="15.44140625" style="67" customWidth="1"/>
    <col min="55" max="55" width="1.6640625" style="67" customWidth="1"/>
    <col min="56" max="56" width="15.44140625" style="67" customWidth="1"/>
    <col min="57" max="57" width="1.6640625" style="67" customWidth="1"/>
    <col min="58" max="58" width="15.44140625" style="67" customWidth="1"/>
    <col min="59" max="59" width="1.6640625" style="67" customWidth="1"/>
    <col min="60" max="60" width="15.44140625" style="67" customWidth="1"/>
    <col min="61" max="61" width="1.6640625" style="67" customWidth="1"/>
    <col min="62" max="62" width="15.44140625" style="67" customWidth="1"/>
    <col min="63" max="63" width="1.6640625" style="67" customWidth="1"/>
    <col min="64" max="64" width="15.44140625" style="67" customWidth="1"/>
    <col min="65" max="65" width="11.6640625" style="67" customWidth="1"/>
    <col min="66" max="66" width="16.33203125" style="67" customWidth="1"/>
    <col min="67" max="67" width="16.44140625" style="67" customWidth="1"/>
    <col min="68" max="68" width="19.109375" style="67" customWidth="1"/>
    <col min="69" max="16384" width="11.6640625" style="67"/>
  </cols>
  <sheetData>
    <row r="1" spans="1:73" x14ac:dyDescent="0.3">
      <c r="A1" s="118" t="s">
        <v>169</v>
      </c>
      <c r="O1" s="119" t="str">
        <f>Linkin!C27</f>
        <v>W/P - 7-4</v>
      </c>
      <c r="AA1" s="119" t="str">
        <f>$O$1</f>
        <v>W/P - 7-4</v>
      </c>
      <c r="AF1" s="119" t="str">
        <f>$O$1</f>
        <v>W/P - 7-4</v>
      </c>
      <c r="AX1" s="119" t="str">
        <f>$O$1</f>
        <v>W/P - 7-4</v>
      </c>
    </row>
    <row r="2" spans="1:73" x14ac:dyDescent="0.3">
      <c r="A2" s="118" t="s">
        <v>170</v>
      </c>
      <c r="O2" s="119" t="str">
        <f ca="1">RIGHT(CELL("filename",$A$4),LEN(CELL("filename",$A$4))-SEARCH("\Capital",CELL("filename",$A$4),1))</f>
        <v>Capital Structure\[KAWC 2018 Rate Case - Capital Structure.xlsx]Sch J WPs</v>
      </c>
      <c r="AA2" s="119" t="str">
        <f ca="1">RIGHT(CELL("filename",$A$4),LEN(CELL("filename",$A$4))-SEARCH("\Capital",CELL("filename",$A$4),1))</f>
        <v>Capital Structure\[KAWC 2018 Rate Case - Capital Structure.xlsx]Sch J WPs</v>
      </c>
      <c r="AF2" s="119" t="str">
        <f ca="1">RIGHT(CELL("filename",$A$4),LEN(CELL("filename",$A$4))-SEARCH("\Capital",CELL("filename",$A$4),1))</f>
        <v>Capital Structure\[KAWC 2018 Rate Case - Capital Structure.xlsx]Sch J WPs</v>
      </c>
      <c r="AX2" s="119" t="str">
        <f ca="1">RIGHT(CELL("filename",$A$4),LEN(CELL("filename",$A$4))-SEARCH("\Capital",CELL("filename",$A$4),1))</f>
        <v>Capital Structure\[KAWC 2018 Rate Case - Capital Structure.xlsx]Sch J WPs</v>
      </c>
    </row>
    <row r="3" spans="1:73" x14ac:dyDescent="0.3">
      <c r="A3" s="118"/>
      <c r="O3" s="119"/>
    </row>
    <row r="4" spans="1:73" x14ac:dyDescent="0.3">
      <c r="A4" s="101" t="s">
        <v>18</v>
      </c>
      <c r="P4" s="135"/>
      <c r="Q4" s="136"/>
      <c r="R4" s="136"/>
      <c r="S4" s="136"/>
      <c r="T4" s="136">
        <v>6000000</v>
      </c>
      <c r="U4" s="136"/>
      <c r="V4" s="136"/>
      <c r="W4" s="136"/>
      <c r="X4" s="136"/>
      <c r="Y4" s="136"/>
      <c r="Z4" s="136"/>
      <c r="AB4" s="136"/>
      <c r="AC4" s="136"/>
      <c r="AD4" s="136"/>
      <c r="AE4" s="136"/>
      <c r="AG4" s="80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Z4" s="137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138"/>
      <c r="BO4" s="90"/>
      <c r="BP4" s="137"/>
      <c r="BQ4" s="90"/>
      <c r="BR4" s="90"/>
      <c r="BS4" s="90"/>
    </row>
    <row r="5" spans="1:73" x14ac:dyDescent="0.3">
      <c r="A5" s="101" t="s">
        <v>255</v>
      </c>
      <c r="P5" s="135"/>
      <c r="Q5" s="136"/>
      <c r="R5" s="136"/>
      <c r="S5" s="136"/>
      <c r="T5" s="136">
        <v>9000000</v>
      </c>
      <c r="U5" s="136"/>
      <c r="V5" s="136"/>
      <c r="W5" s="136"/>
      <c r="X5" s="136"/>
      <c r="Y5" s="136"/>
      <c r="Z5" s="136"/>
      <c r="AB5" s="136"/>
      <c r="AC5" s="136"/>
      <c r="AD5" s="136"/>
      <c r="AE5" s="136"/>
      <c r="AG5" s="80"/>
      <c r="AH5" s="137" t="s">
        <v>261</v>
      </c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Z5" s="137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138"/>
      <c r="BO5" s="90"/>
      <c r="BP5" s="137"/>
      <c r="BQ5" s="90"/>
      <c r="BR5" s="90"/>
      <c r="BS5" s="90"/>
    </row>
    <row r="6" spans="1:73" x14ac:dyDescent="0.3">
      <c r="A6" s="72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G6" s="80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Z6" s="137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137"/>
      <c r="BQ6" s="90"/>
      <c r="BR6" s="90"/>
      <c r="BS6" s="90"/>
      <c r="BT6" s="72"/>
    </row>
    <row r="7" spans="1:73" x14ac:dyDescent="0.3">
      <c r="A7" s="140"/>
      <c r="B7" s="140" t="s">
        <v>56</v>
      </c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80"/>
      <c r="AH7" s="140"/>
      <c r="AI7" s="140"/>
      <c r="AJ7" s="140"/>
      <c r="AK7" s="140"/>
      <c r="AL7" s="140"/>
      <c r="AM7" s="140"/>
      <c r="AN7" s="140"/>
      <c r="AO7" s="140"/>
      <c r="AP7" s="140" t="s">
        <v>86</v>
      </c>
      <c r="AQ7" s="140"/>
      <c r="AR7" s="140"/>
      <c r="AS7" s="140"/>
      <c r="AT7" s="140" t="s">
        <v>26</v>
      </c>
      <c r="AU7" s="140"/>
      <c r="AV7" s="140" t="s">
        <v>26</v>
      </c>
      <c r="AW7" s="140"/>
      <c r="AX7" s="140" t="s">
        <v>21</v>
      </c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90"/>
      <c r="BP7" s="90"/>
      <c r="BQ7" s="90"/>
      <c r="BR7" s="90"/>
      <c r="BS7" s="84"/>
      <c r="BU7" s="80"/>
    </row>
    <row r="8" spans="1:73" x14ac:dyDescent="0.3">
      <c r="A8" s="80" t="s">
        <v>22</v>
      </c>
      <c r="B8" s="80" t="s">
        <v>87</v>
      </c>
      <c r="C8" s="80" t="s">
        <v>47</v>
      </c>
      <c r="D8" s="80" t="s">
        <v>88</v>
      </c>
      <c r="E8" s="80" t="s">
        <v>88</v>
      </c>
      <c r="F8" s="80" t="s">
        <v>88</v>
      </c>
      <c r="G8" s="80" t="s">
        <v>88</v>
      </c>
      <c r="H8" s="80" t="s">
        <v>88</v>
      </c>
      <c r="I8" s="80" t="s">
        <v>88</v>
      </c>
      <c r="J8" s="80" t="s">
        <v>88</v>
      </c>
      <c r="K8" s="80" t="s">
        <v>88</v>
      </c>
      <c r="L8" s="80" t="s">
        <v>88</v>
      </c>
      <c r="M8" s="80" t="s">
        <v>88</v>
      </c>
      <c r="N8" s="80" t="s">
        <v>88</v>
      </c>
      <c r="O8" s="80" t="s">
        <v>88</v>
      </c>
      <c r="P8" s="80" t="s">
        <v>88</v>
      </c>
      <c r="Q8" s="80" t="s">
        <v>88</v>
      </c>
      <c r="R8" s="80" t="s">
        <v>88</v>
      </c>
      <c r="S8" s="80" t="s">
        <v>88</v>
      </c>
      <c r="T8" s="80" t="s">
        <v>88</v>
      </c>
      <c r="U8" s="80" t="s">
        <v>88</v>
      </c>
      <c r="V8" s="80" t="s">
        <v>88</v>
      </c>
      <c r="W8" s="80" t="s">
        <v>88</v>
      </c>
      <c r="X8" s="80" t="s">
        <v>88</v>
      </c>
      <c r="Y8" s="80" t="s">
        <v>88</v>
      </c>
      <c r="Z8" s="80" t="s">
        <v>88</v>
      </c>
      <c r="AA8" s="80" t="s">
        <v>88</v>
      </c>
      <c r="AB8" s="80" t="s">
        <v>88</v>
      </c>
      <c r="AC8" s="80" t="s">
        <v>88</v>
      </c>
      <c r="AD8" s="80" t="s">
        <v>88</v>
      </c>
      <c r="AE8" s="80" t="s">
        <v>88</v>
      </c>
      <c r="AF8" s="80" t="s">
        <v>175</v>
      </c>
      <c r="AG8" s="80"/>
      <c r="AH8" s="84" t="s">
        <v>56</v>
      </c>
      <c r="AI8" s="80"/>
      <c r="AJ8" s="80" t="s">
        <v>175</v>
      </c>
      <c r="AK8" s="80"/>
      <c r="AL8" s="80" t="s">
        <v>33</v>
      </c>
      <c r="AM8" s="80"/>
      <c r="AN8" s="80" t="s">
        <v>33</v>
      </c>
      <c r="AO8" s="80"/>
      <c r="AP8" s="80" t="s">
        <v>89</v>
      </c>
      <c r="AQ8" s="80"/>
      <c r="AR8" s="80" t="s">
        <v>59</v>
      </c>
      <c r="AS8" s="80"/>
      <c r="AT8" s="80" t="s">
        <v>55</v>
      </c>
      <c r="AU8" s="80"/>
      <c r="AV8" s="80" t="s">
        <v>55</v>
      </c>
      <c r="AW8" s="80"/>
      <c r="AX8" s="80" t="s">
        <v>24</v>
      </c>
      <c r="AZ8" s="106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90"/>
      <c r="BP8" s="90"/>
      <c r="BQ8" s="90"/>
      <c r="BR8" s="142"/>
      <c r="BS8" s="143"/>
      <c r="BU8" s="144"/>
    </row>
    <row r="9" spans="1:73" x14ac:dyDescent="0.3">
      <c r="A9" s="145" t="s">
        <v>27</v>
      </c>
      <c r="B9" s="145" t="s">
        <v>50</v>
      </c>
      <c r="C9" s="145" t="s">
        <v>50</v>
      </c>
      <c r="D9" s="146">
        <v>43190</v>
      </c>
      <c r="E9" s="146">
        <v>43220</v>
      </c>
      <c r="F9" s="146">
        <v>43251</v>
      </c>
      <c r="G9" s="146">
        <v>43281</v>
      </c>
      <c r="H9" s="146">
        <v>43312</v>
      </c>
      <c r="I9" s="146">
        <v>43343</v>
      </c>
      <c r="J9" s="146">
        <v>43373</v>
      </c>
      <c r="K9" s="146">
        <v>43404</v>
      </c>
      <c r="L9" s="146">
        <v>43434</v>
      </c>
      <c r="M9" s="146">
        <v>43465</v>
      </c>
      <c r="N9" s="146">
        <v>43496</v>
      </c>
      <c r="O9" s="146">
        <v>43524</v>
      </c>
      <c r="P9" s="146">
        <v>43555</v>
      </c>
      <c r="Q9" s="146">
        <v>43585</v>
      </c>
      <c r="R9" s="146">
        <v>43616</v>
      </c>
      <c r="S9" s="146">
        <v>43646</v>
      </c>
      <c r="T9" s="146">
        <v>43677</v>
      </c>
      <c r="U9" s="146">
        <v>43708</v>
      </c>
      <c r="V9" s="146">
        <v>43738</v>
      </c>
      <c r="W9" s="146">
        <v>43769</v>
      </c>
      <c r="X9" s="146">
        <v>43799</v>
      </c>
      <c r="Y9" s="146">
        <v>43830</v>
      </c>
      <c r="Z9" s="146">
        <v>43861</v>
      </c>
      <c r="AA9" s="146">
        <v>43890</v>
      </c>
      <c r="AB9" s="146">
        <v>43921</v>
      </c>
      <c r="AC9" s="146">
        <v>43951</v>
      </c>
      <c r="AD9" s="146">
        <v>43982</v>
      </c>
      <c r="AE9" s="146">
        <v>44012</v>
      </c>
      <c r="AF9" s="147" t="s">
        <v>26</v>
      </c>
      <c r="AG9" s="80"/>
      <c r="AH9" s="145" t="s">
        <v>62</v>
      </c>
      <c r="AI9" s="145"/>
      <c r="AJ9" s="147" t="s">
        <v>26</v>
      </c>
      <c r="AK9" s="147"/>
      <c r="AL9" s="145" t="s">
        <v>90</v>
      </c>
      <c r="AM9" s="145"/>
      <c r="AN9" s="145" t="s">
        <v>91</v>
      </c>
      <c r="AO9" s="145"/>
      <c r="AP9" s="145" t="s">
        <v>92</v>
      </c>
      <c r="AQ9" s="145"/>
      <c r="AR9" s="145" t="s">
        <v>34</v>
      </c>
      <c r="AS9" s="145"/>
      <c r="AT9" s="145" t="s">
        <v>80</v>
      </c>
      <c r="AU9" s="145"/>
      <c r="AV9" s="145" t="s">
        <v>93</v>
      </c>
      <c r="AW9" s="145"/>
      <c r="AX9" s="145" t="s">
        <v>69</v>
      </c>
      <c r="AZ9" s="148"/>
      <c r="BA9" s="84"/>
      <c r="BB9" s="148"/>
      <c r="BC9" s="148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90"/>
      <c r="BP9" s="90"/>
      <c r="BQ9" s="90"/>
      <c r="BR9" s="90"/>
      <c r="BS9" s="90"/>
      <c r="BT9" s="85"/>
    </row>
    <row r="10" spans="1:73" x14ac:dyDescent="0.3">
      <c r="A10" s="80">
        <v>1</v>
      </c>
      <c r="B10" s="122"/>
      <c r="C10" s="80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80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90"/>
      <c r="BP10" s="150"/>
      <c r="BQ10" s="86"/>
      <c r="BR10" s="149"/>
      <c r="BS10" s="149"/>
    </row>
    <row r="11" spans="1:73" x14ac:dyDescent="0.3">
      <c r="A11" s="80">
        <v>2</v>
      </c>
      <c r="P11" s="122"/>
      <c r="AG11" s="80"/>
      <c r="AP11" s="151"/>
      <c r="AQ11" s="151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150"/>
      <c r="BQ11" s="86"/>
      <c r="BR11" s="149"/>
      <c r="BS11" s="90"/>
      <c r="BT11" s="122"/>
    </row>
    <row r="12" spans="1:73" x14ac:dyDescent="0.3">
      <c r="A12" s="80">
        <v>3</v>
      </c>
      <c r="B12" s="107" t="s">
        <v>145</v>
      </c>
      <c r="P12" s="67"/>
      <c r="AG12" s="80"/>
      <c r="AH12" s="107"/>
      <c r="AZ12" s="83"/>
      <c r="BA12" s="90"/>
      <c r="BB12" s="88"/>
      <c r="BC12" s="88"/>
      <c r="BD12" s="98"/>
      <c r="BE12" s="98"/>
      <c r="BF12" s="98"/>
      <c r="BG12" s="98"/>
      <c r="BH12" s="88"/>
      <c r="BI12" s="88"/>
      <c r="BJ12" s="88"/>
      <c r="BK12" s="88"/>
      <c r="BL12" s="88"/>
      <c r="BM12" s="88"/>
      <c r="BN12" s="88"/>
      <c r="BO12" s="90"/>
      <c r="BP12" s="150"/>
      <c r="BQ12" s="86"/>
      <c r="BR12" s="149"/>
      <c r="BS12" s="90"/>
    </row>
    <row r="13" spans="1:73" x14ac:dyDescent="0.3">
      <c r="A13" s="80">
        <v>4</v>
      </c>
      <c r="B13" s="152"/>
      <c r="C13" s="153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94"/>
      <c r="Y13" s="87"/>
      <c r="Z13" s="87"/>
      <c r="AA13" s="87"/>
      <c r="AB13" s="87"/>
      <c r="AC13" s="87"/>
      <c r="AD13" s="87"/>
      <c r="AE13" s="87"/>
      <c r="AF13" s="87"/>
      <c r="AG13" s="80"/>
      <c r="AH13" s="154"/>
      <c r="AJ13" s="87"/>
      <c r="AK13" s="87"/>
      <c r="AL13" s="153"/>
      <c r="AM13" s="153"/>
      <c r="AN13" s="153"/>
      <c r="AO13" s="153"/>
      <c r="AP13" s="87"/>
      <c r="AQ13" s="87"/>
      <c r="AR13" s="87"/>
      <c r="AS13" s="87"/>
      <c r="AT13" s="87"/>
      <c r="AU13" s="87"/>
      <c r="AV13" s="87"/>
      <c r="AW13" s="87"/>
      <c r="AX13" s="87"/>
      <c r="AZ13" s="90"/>
      <c r="BA13" s="90"/>
      <c r="BB13" s="90"/>
      <c r="BC13" s="90"/>
      <c r="BD13" s="97"/>
      <c r="BE13" s="97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150"/>
      <c r="BQ13" s="86"/>
      <c r="BR13" s="149"/>
      <c r="BS13" s="90"/>
    </row>
    <row r="14" spans="1:73" x14ac:dyDescent="0.3">
      <c r="A14" s="80">
        <v>5</v>
      </c>
      <c r="B14" s="72" t="s">
        <v>151</v>
      </c>
      <c r="C14" s="153">
        <v>6.9599999999999995E-2</v>
      </c>
      <c r="D14" s="116">
        <v>7000000</v>
      </c>
      <c r="E14" s="116">
        <f t="shared" ref="E14:Z25" si="0">D14</f>
        <v>7000000</v>
      </c>
      <c r="F14" s="116">
        <f t="shared" si="0"/>
        <v>7000000</v>
      </c>
      <c r="G14" s="116">
        <f t="shared" si="0"/>
        <v>7000000</v>
      </c>
      <c r="H14" s="116">
        <f t="shared" si="0"/>
        <v>7000000</v>
      </c>
      <c r="I14" s="116">
        <f t="shared" si="0"/>
        <v>7000000</v>
      </c>
      <c r="J14" s="116">
        <f t="shared" si="0"/>
        <v>7000000</v>
      </c>
      <c r="K14" s="116">
        <f t="shared" si="0"/>
        <v>7000000</v>
      </c>
      <c r="L14" s="116">
        <f t="shared" si="0"/>
        <v>7000000</v>
      </c>
      <c r="M14" s="116">
        <f t="shared" si="0"/>
        <v>7000000</v>
      </c>
      <c r="N14" s="116">
        <f t="shared" si="0"/>
        <v>7000000</v>
      </c>
      <c r="O14" s="116">
        <f t="shared" si="0"/>
        <v>7000000</v>
      </c>
      <c r="P14" s="116">
        <f t="shared" si="0"/>
        <v>7000000</v>
      </c>
      <c r="Q14" s="116">
        <f t="shared" si="0"/>
        <v>7000000</v>
      </c>
      <c r="R14" s="116">
        <f t="shared" si="0"/>
        <v>7000000</v>
      </c>
      <c r="S14" s="116">
        <f t="shared" si="0"/>
        <v>7000000</v>
      </c>
      <c r="T14" s="116">
        <f t="shared" si="0"/>
        <v>7000000</v>
      </c>
      <c r="U14" s="116">
        <f t="shared" si="0"/>
        <v>7000000</v>
      </c>
      <c r="V14" s="116">
        <f t="shared" si="0"/>
        <v>7000000</v>
      </c>
      <c r="W14" s="116">
        <f t="shared" si="0"/>
        <v>7000000</v>
      </c>
      <c r="X14" s="116">
        <f t="shared" si="0"/>
        <v>7000000</v>
      </c>
      <c r="Y14" s="116">
        <f t="shared" si="0"/>
        <v>7000000</v>
      </c>
      <c r="Z14" s="116">
        <f t="shared" si="0"/>
        <v>7000000</v>
      </c>
      <c r="AA14" s="116">
        <f t="shared" ref="AA14:AA19" si="1">Z14</f>
        <v>7000000</v>
      </c>
      <c r="AB14" s="116">
        <f t="shared" ref="AB14:AB19" si="2">AA14</f>
        <v>7000000</v>
      </c>
      <c r="AC14" s="116">
        <f t="shared" ref="AC14:AC19" si="3">AB14</f>
        <v>7000000</v>
      </c>
      <c r="AD14" s="116">
        <f t="shared" ref="AD14:AD19" si="4">AC14</f>
        <v>7000000</v>
      </c>
      <c r="AE14" s="116">
        <f t="shared" ref="AE14:AE19" si="5">AD14</f>
        <v>7000000</v>
      </c>
      <c r="AF14" s="116">
        <f>AVERAGE(S14:AE14)</f>
        <v>7000000</v>
      </c>
      <c r="AG14" s="80"/>
      <c r="AH14" s="67" t="str">
        <f t="shared" ref="AH14:AH25" si="6">B14</f>
        <v xml:space="preserve">    Series 6.96%   GMB</v>
      </c>
      <c r="AJ14" s="116">
        <f t="shared" ref="AJ14:AJ21" si="7">AF14</f>
        <v>7000000</v>
      </c>
      <c r="AK14" s="116"/>
      <c r="AL14" s="153">
        <f t="shared" ref="AL14:AL21" si="8">C14</f>
        <v>6.9599999999999995E-2</v>
      </c>
      <c r="AM14" s="153"/>
      <c r="AN14" s="153">
        <f t="shared" ref="AN14:AN21" si="9">IF(AJ14=0,0,ROUND(((AJ14*AL14)+AP14)/AJ14,5))</f>
        <v>7.0059999999999997E-2</v>
      </c>
      <c r="AO14" s="153"/>
      <c r="AP14" s="116">
        <f>AF107+AF120</f>
        <v>3223.4399999999996</v>
      </c>
      <c r="AQ14" s="116"/>
      <c r="AR14" s="116">
        <f t="shared" ref="AR14:AR20" si="10">ROUND(AN14*AJ14,0)</f>
        <v>490420</v>
      </c>
      <c r="AS14" s="116"/>
      <c r="AT14" s="116">
        <f>AF153</f>
        <v>0</v>
      </c>
      <c r="AU14" s="116"/>
      <c r="AV14" s="116">
        <f>AF61+AF74</f>
        <v>12640.89999999998</v>
      </c>
      <c r="AW14" s="116"/>
      <c r="AX14" s="116">
        <f>AJ14-AT14-AV14</f>
        <v>6987359.0999999996</v>
      </c>
      <c r="AZ14" s="83"/>
      <c r="BA14" s="90"/>
      <c r="BB14" s="155"/>
      <c r="BC14" s="155"/>
      <c r="BD14" s="98"/>
      <c r="BE14" s="98"/>
      <c r="BF14" s="98"/>
      <c r="BG14" s="98"/>
      <c r="BH14" s="155"/>
      <c r="BI14" s="155"/>
      <c r="BJ14" s="155"/>
      <c r="BK14" s="155"/>
      <c r="BL14" s="155"/>
      <c r="BM14" s="155"/>
      <c r="BN14" s="155"/>
      <c r="BO14" s="90"/>
      <c r="BP14" s="150"/>
      <c r="BQ14" s="86"/>
      <c r="BR14" s="149"/>
      <c r="BS14" s="90"/>
    </row>
    <row r="15" spans="1:73" x14ac:dyDescent="0.3">
      <c r="A15" s="80">
        <v>6</v>
      </c>
      <c r="B15" s="72" t="s">
        <v>152</v>
      </c>
      <c r="C15" s="153">
        <v>7.1499999999999994E-2</v>
      </c>
      <c r="D15" s="94">
        <v>7500000</v>
      </c>
      <c r="E15" s="94">
        <f t="shared" si="0"/>
        <v>7500000</v>
      </c>
      <c r="F15" s="94">
        <f t="shared" si="0"/>
        <v>7500000</v>
      </c>
      <c r="G15" s="94">
        <f t="shared" si="0"/>
        <v>7500000</v>
      </c>
      <c r="H15" s="94">
        <f t="shared" si="0"/>
        <v>7500000</v>
      </c>
      <c r="I15" s="94">
        <f t="shared" si="0"/>
        <v>7500000</v>
      </c>
      <c r="J15" s="94">
        <f t="shared" si="0"/>
        <v>7500000</v>
      </c>
      <c r="K15" s="94">
        <f t="shared" si="0"/>
        <v>7500000</v>
      </c>
      <c r="L15" s="94">
        <f t="shared" si="0"/>
        <v>7500000</v>
      </c>
      <c r="M15" s="94">
        <f t="shared" si="0"/>
        <v>7500000</v>
      </c>
      <c r="N15" s="94">
        <f t="shared" si="0"/>
        <v>7500000</v>
      </c>
      <c r="O15" s="94">
        <f t="shared" si="0"/>
        <v>7500000</v>
      </c>
      <c r="P15" s="94">
        <f t="shared" si="0"/>
        <v>7500000</v>
      </c>
      <c r="Q15" s="94">
        <f t="shared" si="0"/>
        <v>7500000</v>
      </c>
      <c r="R15" s="94">
        <f t="shared" si="0"/>
        <v>7500000</v>
      </c>
      <c r="S15" s="94">
        <f t="shared" si="0"/>
        <v>7500000</v>
      </c>
      <c r="T15" s="94">
        <f t="shared" si="0"/>
        <v>7500000</v>
      </c>
      <c r="U15" s="94">
        <f t="shared" si="0"/>
        <v>7500000</v>
      </c>
      <c r="V15" s="94">
        <f t="shared" si="0"/>
        <v>7500000</v>
      </c>
      <c r="W15" s="94">
        <f t="shared" si="0"/>
        <v>7500000</v>
      </c>
      <c r="X15" s="94">
        <f t="shared" si="0"/>
        <v>7500000</v>
      </c>
      <c r="Y15" s="94">
        <f t="shared" si="0"/>
        <v>7500000</v>
      </c>
      <c r="Z15" s="94">
        <f t="shared" si="0"/>
        <v>7500000</v>
      </c>
      <c r="AA15" s="94">
        <f t="shared" si="1"/>
        <v>7500000</v>
      </c>
      <c r="AB15" s="94">
        <f t="shared" si="2"/>
        <v>7500000</v>
      </c>
      <c r="AC15" s="94">
        <f t="shared" si="3"/>
        <v>7500000</v>
      </c>
      <c r="AD15" s="94">
        <f t="shared" si="4"/>
        <v>7500000</v>
      </c>
      <c r="AE15" s="94">
        <f t="shared" si="5"/>
        <v>7500000</v>
      </c>
      <c r="AF15" s="94">
        <f t="shared" ref="AF15:AF25" si="11">AVERAGE(S15:AE15)</f>
        <v>7500000</v>
      </c>
      <c r="AG15" s="80"/>
      <c r="AH15" s="67" t="str">
        <f t="shared" si="6"/>
        <v xml:space="preserve">    Series 7.15%   GMB</v>
      </c>
      <c r="AJ15" s="94">
        <f t="shared" si="7"/>
        <v>7500000</v>
      </c>
      <c r="AK15" s="94"/>
      <c r="AL15" s="153">
        <f t="shared" si="8"/>
        <v>7.1499999999999994E-2</v>
      </c>
      <c r="AM15" s="153"/>
      <c r="AN15" s="153">
        <f t="shared" si="9"/>
        <v>7.1819999999999995E-2</v>
      </c>
      <c r="AO15" s="153"/>
      <c r="AP15" s="94">
        <f t="shared" ref="AP15:AP20" si="12">AF108</f>
        <v>2426.52</v>
      </c>
      <c r="AQ15" s="94"/>
      <c r="AR15" s="94">
        <f t="shared" si="10"/>
        <v>538650</v>
      </c>
      <c r="AS15" s="94"/>
      <c r="AT15" s="94">
        <f t="shared" ref="AT15:AT25" si="13">AF154</f>
        <v>0</v>
      </c>
      <c r="AU15" s="94"/>
      <c r="AV15" s="94">
        <f t="shared" ref="AV15:AV20" si="14">AF62</f>
        <v>17200.950000000019</v>
      </c>
      <c r="AW15" s="94"/>
      <c r="AX15" s="94">
        <f t="shared" ref="AX15:AX25" si="15">AJ15-AT15-AV15</f>
        <v>7482799.0499999998</v>
      </c>
      <c r="AZ15" s="90"/>
      <c r="BA15" s="90"/>
      <c r="BB15" s="102"/>
      <c r="BC15" s="102"/>
      <c r="BD15" s="97"/>
      <c r="BE15" s="97"/>
      <c r="BF15" s="90"/>
      <c r="BG15" s="90"/>
      <c r="BH15" s="102"/>
      <c r="BI15" s="102"/>
      <c r="BJ15" s="102"/>
      <c r="BK15" s="102"/>
      <c r="BL15" s="102"/>
      <c r="BM15" s="102"/>
      <c r="BN15" s="102"/>
      <c r="BO15" s="90"/>
      <c r="BP15" s="150"/>
      <c r="BQ15" s="156"/>
      <c r="BR15" s="149"/>
      <c r="BS15" s="90"/>
    </row>
    <row r="16" spans="1:73" x14ac:dyDescent="0.3">
      <c r="A16" s="80">
        <v>7</v>
      </c>
      <c r="B16" s="72" t="s">
        <v>153</v>
      </c>
      <c r="C16" s="153">
        <v>6.9900000000000004E-2</v>
      </c>
      <c r="D16" s="94">
        <v>9000000</v>
      </c>
      <c r="E16" s="94">
        <f t="shared" si="0"/>
        <v>9000000</v>
      </c>
      <c r="F16" s="94">
        <f t="shared" si="0"/>
        <v>9000000</v>
      </c>
      <c r="G16" s="94">
        <f t="shared" si="0"/>
        <v>9000000</v>
      </c>
      <c r="H16" s="94">
        <f t="shared" si="0"/>
        <v>9000000</v>
      </c>
      <c r="I16" s="94">
        <f t="shared" si="0"/>
        <v>9000000</v>
      </c>
      <c r="J16" s="94">
        <f t="shared" si="0"/>
        <v>9000000</v>
      </c>
      <c r="K16" s="94">
        <f t="shared" si="0"/>
        <v>9000000</v>
      </c>
      <c r="L16" s="94">
        <f t="shared" si="0"/>
        <v>9000000</v>
      </c>
      <c r="M16" s="94">
        <f t="shared" si="0"/>
        <v>9000000</v>
      </c>
      <c r="N16" s="94">
        <f t="shared" si="0"/>
        <v>9000000</v>
      </c>
      <c r="O16" s="94">
        <f t="shared" si="0"/>
        <v>9000000</v>
      </c>
      <c r="P16" s="94">
        <f t="shared" si="0"/>
        <v>9000000</v>
      </c>
      <c r="Q16" s="94">
        <f t="shared" si="0"/>
        <v>9000000</v>
      </c>
      <c r="R16" s="94">
        <f t="shared" si="0"/>
        <v>9000000</v>
      </c>
      <c r="S16" s="94">
        <f t="shared" si="0"/>
        <v>9000000</v>
      </c>
      <c r="T16" s="94">
        <f t="shared" si="0"/>
        <v>9000000</v>
      </c>
      <c r="U16" s="94">
        <f t="shared" si="0"/>
        <v>9000000</v>
      </c>
      <c r="V16" s="94">
        <f t="shared" si="0"/>
        <v>9000000</v>
      </c>
      <c r="W16" s="94">
        <f t="shared" si="0"/>
        <v>9000000</v>
      </c>
      <c r="X16" s="94">
        <f t="shared" si="0"/>
        <v>9000000</v>
      </c>
      <c r="Y16" s="94">
        <f t="shared" si="0"/>
        <v>9000000</v>
      </c>
      <c r="Z16" s="94">
        <f t="shared" si="0"/>
        <v>9000000</v>
      </c>
      <c r="AA16" s="94">
        <f t="shared" si="1"/>
        <v>9000000</v>
      </c>
      <c r="AB16" s="94">
        <f t="shared" si="2"/>
        <v>9000000</v>
      </c>
      <c r="AC16" s="94">
        <f t="shared" si="3"/>
        <v>9000000</v>
      </c>
      <c r="AD16" s="94">
        <f t="shared" si="4"/>
        <v>9000000</v>
      </c>
      <c r="AE16" s="94">
        <f t="shared" si="5"/>
        <v>9000000</v>
      </c>
      <c r="AF16" s="94">
        <f t="shared" si="11"/>
        <v>9000000</v>
      </c>
      <c r="AG16" s="80"/>
      <c r="AH16" s="67" t="str">
        <f t="shared" si="6"/>
        <v xml:space="preserve">    Series 6.99%   GMB</v>
      </c>
      <c r="AJ16" s="94">
        <f t="shared" si="7"/>
        <v>9000000</v>
      </c>
      <c r="AK16" s="94"/>
      <c r="AL16" s="153">
        <f t="shared" si="8"/>
        <v>6.9900000000000004E-2</v>
      </c>
      <c r="AM16" s="153"/>
      <c r="AN16" s="153">
        <f t="shared" si="9"/>
        <v>7.0260000000000003E-2</v>
      </c>
      <c r="AO16" s="153"/>
      <c r="AP16" s="94">
        <f t="shared" si="12"/>
        <v>3260.6399999999267</v>
      </c>
      <c r="AQ16" s="94"/>
      <c r="AR16" s="94">
        <f t="shared" si="10"/>
        <v>632340</v>
      </c>
      <c r="AS16" s="94"/>
      <c r="AT16" s="94">
        <f t="shared" si="13"/>
        <v>0</v>
      </c>
      <c r="AU16" s="94"/>
      <c r="AV16" s="94">
        <f t="shared" si="14"/>
        <v>27444.240000000125</v>
      </c>
      <c r="AW16" s="94"/>
      <c r="AX16" s="94">
        <f t="shared" si="15"/>
        <v>8972555.7599999998</v>
      </c>
      <c r="AZ16" s="83"/>
      <c r="BA16" s="90"/>
      <c r="BB16" s="102"/>
      <c r="BC16" s="102"/>
      <c r="BD16" s="98"/>
      <c r="BE16" s="98"/>
      <c r="BF16" s="98"/>
      <c r="BG16" s="98"/>
      <c r="BH16" s="102"/>
      <c r="BI16" s="102"/>
      <c r="BJ16" s="102"/>
      <c r="BK16" s="102"/>
      <c r="BL16" s="102"/>
      <c r="BM16" s="102"/>
      <c r="BN16" s="102"/>
      <c r="BO16" s="90"/>
      <c r="BP16" s="150"/>
      <c r="BQ16" s="86"/>
      <c r="BR16" s="149"/>
      <c r="BS16" s="90"/>
    </row>
    <row r="17" spans="1:72" x14ac:dyDescent="0.3">
      <c r="A17" s="80">
        <v>8</v>
      </c>
      <c r="B17" s="72" t="s">
        <v>146</v>
      </c>
      <c r="C17" s="153">
        <v>6.5930000000000002E-2</v>
      </c>
      <c r="D17" s="94">
        <v>47000000</v>
      </c>
      <c r="E17" s="94">
        <f>D17</f>
        <v>47000000</v>
      </c>
      <c r="F17" s="94">
        <f>E17</f>
        <v>47000000</v>
      </c>
      <c r="G17" s="94">
        <f t="shared" si="0"/>
        <v>47000000</v>
      </c>
      <c r="H17" s="94">
        <f t="shared" si="0"/>
        <v>47000000</v>
      </c>
      <c r="I17" s="94">
        <f>+H17</f>
        <v>47000000</v>
      </c>
      <c r="J17" s="94">
        <f>+I17</f>
        <v>47000000</v>
      </c>
      <c r="K17" s="94">
        <f>+J17</f>
        <v>47000000</v>
      </c>
      <c r="L17" s="94">
        <f t="shared" si="0"/>
        <v>47000000</v>
      </c>
      <c r="M17" s="94">
        <f>+L17</f>
        <v>47000000</v>
      </c>
      <c r="N17" s="94">
        <f t="shared" si="0"/>
        <v>47000000</v>
      </c>
      <c r="O17" s="94">
        <f t="shared" si="0"/>
        <v>47000000</v>
      </c>
      <c r="P17" s="94">
        <f t="shared" si="0"/>
        <v>47000000</v>
      </c>
      <c r="Q17" s="94">
        <f t="shared" si="0"/>
        <v>47000000</v>
      </c>
      <c r="R17" s="94">
        <f t="shared" si="0"/>
        <v>47000000</v>
      </c>
      <c r="S17" s="94">
        <f t="shared" si="0"/>
        <v>47000000</v>
      </c>
      <c r="T17" s="94">
        <f t="shared" si="0"/>
        <v>47000000</v>
      </c>
      <c r="U17" s="94">
        <f t="shared" si="0"/>
        <v>47000000</v>
      </c>
      <c r="V17" s="94">
        <f t="shared" si="0"/>
        <v>47000000</v>
      </c>
      <c r="W17" s="94">
        <f t="shared" si="0"/>
        <v>47000000</v>
      </c>
      <c r="X17" s="94">
        <f t="shared" si="0"/>
        <v>47000000</v>
      </c>
      <c r="Y17" s="94">
        <f t="shared" si="0"/>
        <v>47000000</v>
      </c>
      <c r="Z17" s="94">
        <f t="shared" si="0"/>
        <v>47000000</v>
      </c>
      <c r="AA17" s="94">
        <f t="shared" si="1"/>
        <v>47000000</v>
      </c>
      <c r="AB17" s="94">
        <f t="shared" si="2"/>
        <v>47000000</v>
      </c>
      <c r="AC17" s="94">
        <f t="shared" si="3"/>
        <v>47000000</v>
      </c>
      <c r="AD17" s="94">
        <f t="shared" si="4"/>
        <v>47000000</v>
      </c>
      <c r="AE17" s="94">
        <f t="shared" si="5"/>
        <v>47000000</v>
      </c>
      <c r="AF17" s="94">
        <f t="shared" si="11"/>
        <v>47000000</v>
      </c>
      <c r="AG17" s="80"/>
      <c r="AH17" s="67" t="str">
        <f t="shared" si="6"/>
        <v xml:space="preserve">    Series 6.593%  Note</v>
      </c>
      <c r="AJ17" s="94">
        <f t="shared" si="7"/>
        <v>47000000</v>
      </c>
      <c r="AK17" s="94"/>
      <c r="AL17" s="153">
        <f t="shared" si="8"/>
        <v>6.5930000000000002E-2</v>
      </c>
      <c r="AM17" s="153"/>
      <c r="AN17" s="153">
        <f t="shared" si="9"/>
        <v>6.6280000000000006E-2</v>
      </c>
      <c r="AO17" s="153"/>
      <c r="AP17" s="94">
        <f t="shared" si="12"/>
        <v>16594.560000000005</v>
      </c>
      <c r="AQ17" s="94"/>
      <c r="AR17" s="94">
        <f t="shared" si="10"/>
        <v>3115160</v>
      </c>
      <c r="AS17" s="94"/>
      <c r="AT17" s="94">
        <f t="shared" si="13"/>
        <v>0</v>
      </c>
      <c r="AU17" s="94"/>
      <c r="AV17" s="94">
        <f t="shared" si="14"/>
        <v>295291.77999999991</v>
      </c>
      <c r="AW17" s="94"/>
      <c r="AX17" s="94">
        <f t="shared" si="15"/>
        <v>46704708.219999999</v>
      </c>
      <c r="AZ17" s="90"/>
      <c r="BA17" s="90"/>
      <c r="BB17" s="102"/>
      <c r="BC17" s="102"/>
      <c r="BD17" s="97"/>
      <c r="BE17" s="97"/>
      <c r="BF17" s="90"/>
      <c r="BG17" s="90"/>
      <c r="BH17" s="102"/>
      <c r="BI17" s="102"/>
      <c r="BJ17" s="102"/>
      <c r="BK17" s="102"/>
      <c r="BL17" s="102"/>
      <c r="BM17" s="102"/>
      <c r="BN17" s="102"/>
      <c r="BO17" s="90"/>
      <c r="BP17" s="150"/>
      <c r="BQ17" s="86"/>
      <c r="BR17" s="149"/>
      <c r="BS17" s="90"/>
    </row>
    <row r="18" spans="1:72" x14ac:dyDescent="0.3">
      <c r="A18" s="80">
        <v>9</v>
      </c>
      <c r="B18" s="72" t="s">
        <v>150</v>
      </c>
      <c r="C18" s="153">
        <v>6.25E-2</v>
      </c>
      <c r="D18" s="94">
        <v>45390000</v>
      </c>
      <c r="E18" s="94">
        <f t="shared" ref="E18:M25" si="16">D18</f>
        <v>45390000</v>
      </c>
      <c r="F18" s="94">
        <f t="shared" si="16"/>
        <v>45390000</v>
      </c>
      <c r="G18" s="94">
        <f t="shared" si="16"/>
        <v>45390000</v>
      </c>
      <c r="H18" s="94">
        <f t="shared" si="16"/>
        <v>45390000</v>
      </c>
      <c r="I18" s="94">
        <f t="shared" si="16"/>
        <v>45390000</v>
      </c>
      <c r="J18" s="94">
        <f t="shared" si="16"/>
        <v>45390000</v>
      </c>
      <c r="K18" s="94">
        <f t="shared" si="16"/>
        <v>45390000</v>
      </c>
      <c r="L18" s="94">
        <f>+K18</f>
        <v>45390000</v>
      </c>
      <c r="M18" s="94">
        <f>+L18</f>
        <v>45390000</v>
      </c>
      <c r="N18" s="94">
        <f>+M18</f>
        <v>45390000</v>
      </c>
      <c r="O18" s="94">
        <f t="shared" si="0"/>
        <v>45390000</v>
      </c>
      <c r="P18" s="94">
        <f t="shared" si="0"/>
        <v>45390000</v>
      </c>
      <c r="Q18" s="94">
        <f t="shared" si="0"/>
        <v>45390000</v>
      </c>
      <c r="R18" s="94">
        <f t="shared" si="0"/>
        <v>45390000</v>
      </c>
      <c r="S18" s="94">
        <f t="shared" si="0"/>
        <v>45390000</v>
      </c>
      <c r="T18" s="94">
        <f t="shared" si="0"/>
        <v>45390000</v>
      </c>
      <c r="U18" s="94">
        <f t="shared" si="0"/>
        <v>45390000</v>
      </c>
      <c r="V18" s="94">
        <f t="shared" si="0"/>
        <v>45390000</v>
      </c>
      <c r="W18" s="94">
        <f t="shared" si="0"/>
        <v>45390000</v>
      </c>
      <c r="X18" s="94">
        <f t="shared" si="0"/>
        <v>45390000</v>
      </c>
      <c r="Y18" s="94">
        <f t="shared" si="0"/>
        <v>45390000</v>
      </c>
      <c r="Z18" s="94">
        <f t="shared" si="0"/>
        <v>45390000</v>
      </c>
      <c r="AA18" s="94">
        <f t="shared" si="1"/>
        <v>45390000</v>
      </c>
      <c r="AB18" s="94">
        <f t="shared" si="2"/>
        <v>45390000</v>
      </c>
      <c r="AC18" s="94">
        <f t="shared" si="3"/>
        <v>45390000</v>
      </c>
      <c r="AD18" s="94">
        <f t="shared" si="4"/>
        <v>45390000</v>
      </c>
      <c r="AE18" s="94">
        <f t="shared" si="5"/>
        <v>45390000</v>
      </c>
      <c r="AF18" s="94">
        <f t="shared" si="11"/>
        <v>45390000</v>
      </c>
      <c r="AG18" s="80"/>
      <c r="AH18" s="67" t="str">
        <f t="shared" si="6"/>
        <v xml:space="preserve">    Series 6.25%    Note</v>
      </c>
      <c r="AJ18" s="94">
        <f t="shared" si="7"/>
        <v>45390000</v>
      </c>
      <c r="AK18" s="94"/>
      <c r="AL18" s="153">
        <f t="shared" si="8"/>
        <v>6.25E-2</v>
      </c>
      <c r="AM18" s="153"/>
      <c r="AN18" s="153">
        <f t="shared" si="9"/>
        <v>6.2950000000000006E-2</v>
      </c>
      <c r="AO18" s="153"/>
      <c r="AP18" s="94">
        <f t="shared" si="12"/>
        <v>20380.679999999997</v>
      </c>
      <c r="AQ18" s="94"/>
      <c r="AR18" s="94">
        <f t="shared" si="10"/>
        <v>2857301</v>
      </c>
      <c r="AS18" s="94"/>
      <c r="AT18" s="94">
        <f t="shared" si="13"/>
        <v>0</v>
      </c>
      <c r="AU18" s="94"/>
      <c r="AV18" s="94">
        <f t="shared" si="14"/>
        <v>395837.3699999997</v>
      </c>
      <c r="AW18" s="94"/>
      <c r="AX18" s="94">
        <f t="shared" si="15"/>
        <v>44994162.630000003</v>
      </c>
      <c r="AZ18" s="83"/>
      <c r="BA18" s="90"/>
      <c r="BB18" s="102"/>
      <c r="BC18" s="102"/>
      <c r="BD18" s="98"/>
      <c r="BE18" s="98"/>
      <c r="BF18" s="98"/>
      <c r="BG18" s="98"/>
      <c r="BH18" s="102"/>
      <c r="BI18" s="102"/>
      <c r="BJ18" s="102"/>
      <c r="BK18" s="102"/>
      <c r="BL18" s="102"/>
      <c r="BM18" s="102"/>
      <c r="BN18" s="102"/>
      <c r="BO18" s="90"/>
      <c r="BP18" s="150"/>
      <c r="BQ18" s="156"/>
      <c r="BR18" s="98"/>
      <c r="BS18" s="157"/>
    </row>
    <row r="19" spans="1:72" x14ac:dyDescent="0.3">
      <c r="A19" s="80">
        <v>10</v>
      </c>
      <c r="B19" s="72" t="s">
        <v>147</v>
      </c>
      <c r="C19" s="153">
        <v>5.6250000000000001E-2</v>
      </c>
      <c r="D19" s="94">
        <v>26000000</v>
      </c>
      <c r="E19" s="94">
        <f t="shared" si="16"/>
        <v>26000000</v>
      </c>
      <c r="F19" s="94">
        <f t="shared" si="16"/>
        <v>26000000</v>
      </c>
      <c r="G19" s="94">
        <f t="shared" si="16"/>
        <v>26000000</v>
      </c>
      <c r="H19" s="94">
        <f t="shared" si="16"/>
        <v>26000000</v>
      </c>
      <c r="I19" s="94">
        <f t="shared" si="16"/>
        <v>26000000</v>
      </c>
      <c r="J19" s="94">
        <f t="shared" si="16"/>
        <v>26000000</v>
      </c>
      <c r="K19" s="94">
        <f t="shared" si="16"/>
        <v>26000000</v>
      </c>
      <c r="L19" s="94">
        <f t="shared" si="16"/>
        <v>26000000</v>
      </c>
      <c r="M19" s="94">
        <f t="shared" si="16"/>
        <v>26000000</v>
      </c>
      <c r="N19" s="94">
        <f t="shared" si="0"/>
        <v>26000000</v>
      </c>
      <c r="O19" s="94">
        <f>N19</f>
        <v>26000000</v>
      </c>
      <c r="P19" s="94">
        <f>O19</f>
        <v>26000000</v>
      </c>
      <c r="Q19" s="94">
        <f>P19</f>
        <v>26000000</v>
      </c>
      <c r="R19" s="94">
        <f>+Q19</f>
        <v>26000000</v>
      </c>
      <c r="S19" s="94">
        <v>26000000</v>
      </c>
      <c r="T19" s="94">
        <f t="shared" si="0"/>
        <v>26000000</v>
      </c>
      <c r="U19" s="94">
        <f t="shared" si="0"/>
        <v>26000000</v>
      </c>
      <c r="V19" s="94">
        <f t="shared" si="0"/>
        <v>26000000</v>
      </c>
      <c r="W19" s="94">
        <f t="shared" si="0"/>
        <v>26000000</v>
      </c>
      <c r="X19" s="94">
        <f t="shared" si="0"/>
        <v>26000000</v>
      </c>
      <c r="Y19" s="94">
        <f t="shared" si="0"/>
        <v>26000000</v>
      </c>
      <c r="Z19" s="94">
        <f t="shared" si="0"/>
        <v>26000000</v>
      </c>
      <c r="AA19" s="94">
        <f t="shared" si="1"/>
        <v>26000000</v>
      </c>
      <c r="AB19" s="94">
        <f t="shared" si="2"/>
        <v>26000000</v>
      </c>
      <c r="AC19" s="94">
        <f t="shared" si="3"/>
        <v>26000000</v>
      </c>
      <c r="AD19" s="94">
        <f t="shared" si="4"/>
        <v>26000000</v>
      </c>
      <c r="AE19" s="94">
        <f t="shared" si="5"/>
        <v>26000000</v>
      </c>
      <c r="AF19" s="94">
        <f t="shared" si="11"/>
        <v>26000000</v>
      </c>
      <c r="AG19" s="80"/>
      <c r="AH19" s="67" t="str">
        <f t="shared" si="6"/>
        <v xml:space="preserve">    Series 5.625%  Note</v>
      </c>
      <c r="AJ19" s="94">
        <f t="shared" si="7"/>
        <v>26000000</v>
      </c>
      <c r="AK19" s="94"/>
      <c r="AL19" s="153">
        <f t="shared" si="8"/>
        <v>5.6250000000000001E-2</v>
      </c>
      <c r="AM19" s="153"/>
      <c r="AN19" s="153">
        <f t="shared" si="9"/>
        <v>5.6750000000000002E-2</v>
      </c>
      <c r="AO19" s="153"/>
      <c r="AP19" s="94">
        <f t="shared" si="12"/>
        <v>13002.240000000003</v>
      </c>
      <c r="AQ19" s="94"/>
      <c r="AR19" s="94">
        <f t="shared" si="10"/>
        <v>1475500</v>
      </c>
      <c r="AS19" s="94"/>
      <c r="AT19" s="94">
        <f t="shared" si="13"/>
        <v>0</v>
      </c>
      <c r="AU19" s="94"/>
      <c r="AV19" s="94">
        <f t="shared" si="14"/>
        <v>255782.81999999977</v>
      </c>
      <c r="AW19" s="94"/>
      <c r="AX19" s="94">
        <f t="shared" si="15"/>
        <v>25744217.18</v>
      </c>
      <c r="AZ19" s="90"/>
      <c r="BA19" s="90"/>
      <c r="BB19" s="93"/>
      <c r="BC19" s="93"/>
      <c r="BD19" s="97"/>
      <c r="BE19" s="97"/>
      <c r="BF19" s="90"/>
      <c r="BG19" s="90"/>
      <c r="BH19" s="93"/>
      <c r="BI19" s="93"/>
      <c r="BJ19" s="93"/>
      <c r="BK19" s="93"/>
      <c r="BL19" s="93"/>
      <c r="BM19" s="93"/>
      <c r="BN19" s="93"/>
      <c r="BO19" s="90"/>
      <c r="BP19" s="150"/>
      <c r="BQ19" s="86"/>
      <c r="BR19" s="149"/>
      <c r="BS19" s="90"/>
    </row>
    <row r="20" spans="1:72" x14ac:dyDescent="0.3">
      <c r="A20" s="80">
        <v>11</v>
      </c>
      <c r="B20" s="72" t="s">
        <v>148</v>
      </c>
      <c r="C20" s="153">
        <v>5.3749999999999999E-2</v>
      </c>
      <c r="D20" s="94">
        <v>26000000</v>
      </c>
      <c r="E20" s="94">
        <f t="shared" si="16"/>
        <v>26000000</v>
      </c>
      <c r="F20" s="94">
        <f t="shared" si="16"/>
        <v>26000000</v>
      </c>
      <c r="G20" s="94">
        <f t="shared" si="16"/>
        <v>26000000</v>
      </c>
      <c r="H20" s="94">
        <f t="shared" si="16"/>
        <v>26000000</v>
      </c>
      <c r="I20" s="94">
        <f t="shared" si="16"/>
        <v>26000000</v>
      </c>
      <c r="J20" s="94">
        <f t="shared" si="16"/>
        <v>26000000</v>
      </c>
      <c r="K20" s="94">
        <f t="shared" si="16"/>
        <v>26000000</v>
      </c>
      <c r="L20" s="94">
        <f t="shared" si="16"/>
        <v>26000000</v>
      </c>
      <c r="M20" s="94">
        <f t="shared" si="16"/>
        <v>26000000</v>
      </c>
      <c r="N20" s="94">
        <f t="shared" si="0"/>
        <v>26000000</v>
      </c>
      <c r="O20" s="94">
        <f>N20</f>
        <v>26000000</v>
      </c>
      <c r="P20" s="94">
        <f t="shared" ref="P20:W22" si="17">O20</f>
        <v>26000000</v>
      </c>
      <c r="Q20" s="94">
        <f t="shared" si="17"/>
        <v>26000000</v>
      </c>
      <c r="R20" s="94">
        <f t="shared" si="17"/>
        <v>26000000</v>
      </c>
      <c r="S20" s="94">
        <f t="shared" si="17"/>
        <v>26000000</v>
      </c>
      <c r="T20" s="94">
        <f t="shared" si="17"/>
        <v>26000000</v>
      </c>
      <c r="U20" s="94">
        <f t="shared" si="17"/>
        <v>26000000</v>
      </c>
      <c r="V20" s="94">
        <f t="shared" si="17"/>
        <v>26000000</v>
      </c>
      <c r="W20" s="94">
        <f t="shared" si="17"/>
        <v>26000000</v>
      </c>
      <c r="X20" s="94">
        <f t="shared" ref="X20:Z21" si="18">+W20</f>
        <v>26000000</v>
      </c>
      <c r="Y20" s="94">
        <f t="shared" si="18"/>
        <v>26000000</v>
      </c>
      <c r="Z20" s="94">
        <f t="shared" si="18"/>
        <v>26000000</v>
      </c>
      <c r="AA20" s="94">
        <f t="shared" ref="AA20:AA21" si="19">+Z20</f>
        <v>26000000</v>
      </c>
      <c r="AB20" s="94">
        <f t="shared" ref="AB20:AB21" si="20">+AA20</f>
        <v>26000000</v>
      </c>
      <c r="AC20" s="94">
        <f t="shared" ref="AC20:AC21" si="21">+AB20</f>
        <v>26000000</v>
      </c>
      <c r="AD20" s="94">
        <f t="shared" ref="AD20:AD21" si="22">+AC20</f>
        <v>26000000</v>
      </c>
      <c r="AE20" s="94">
        <f t="shared" ref="AE20:AE21" si="23">+AD20</f>
        <v>26000000</v>
      </c>
      <c r="AF20" s="94">
        <f t="shared" si="11"/>
        <v>26000000</v>
      </c>
      <c r="AG20" s="80"/>
      <c r="AH20" s="67" t="str">
        <f t="shared" si="6"/>
        <v xml:space="preserve">    Series 5.375%  Note</v>
      </c>
      <c r="AJ20" s="94">
        <f t="shared" si="7"/>
        <v>26000000</v>
      </c>
      <c r="AK20" s="94"/>
      <c r="AL20" s="153">
        <f t="shared" si="8"/>
        <v>5.3749999999999999E-2</v>
      </c>
      <c r="AM20" s="153"/>
      <c r="AN20" s="153">
        <f t="shared" si="9"/>
        <v>5.4170000000000003E-2</v>
      </c>
      <c r="AO20" s="153"/>
      <c r="AP20" s="94">
        <f t="shared" si="12"/>
        <v>10860.599999999999</v>
      </c>
      <c r="AQ20" s="94"/>
      <c r="AR20" s="94">
        <f t="shared" si="10"/>
        <v>1408420</v>
      </c>
      <c r="AS20" s="94"/>
      <c r="AT20" s="94">
        <f t="shared" si="13"/>
        <v>0</v>
      </c>
      <c r="AU20" s="94"/>
      <c r="AV20" s="94">
        <f t="shared" si="14"/>
        <v>221799.34000000026</v>
      </c>
      <c r="AW20" s="94"/>
      <c r="AX20" s="94">
        <f t="shared" si="15"/>
        <v>25778200.66</v>
      </c>
      <c r="AZ20" s="83"/>
      <c r="BA20" s="90"/>
      <c r="BB20" s="93"/>
      <c r="BC20" s="93"/>
      <c r="BD20" s="98"/>
      <c r="BE20" s="98"/>
      <c r="BF20" s="98"/>
      <c r="BG20" s="98"/>
      <c r="BH20" s="93"/>
      <c r="BI20" s="93"/>
      <c r="BJ20" s="93"/>
      <c r="BK20" s="93"/>
      <c r="BL20" s="93"/>
      <c r="BM20" s="93"/>
      <c r="BN20" s="93"/>
      <c r="BO20" s="90"/>
      <c r="BP20" s="150"/>
      <c r="BQ20" s="86"/>
      <c r="BR20" s="149"/>
      <c r="BS20" s="90"/>
    </row>
    <row r="21" spans="1:72" x14ac:dyDescent="0.3">
      <c r="A21" s="80">
        <v>12</v>
      </c>
      <c r="B21" s="72" t="s">
        <v>149</v>
      </c>
      <c r="C21" s="153">
        <v>5.0500000000000003E-2</v>
      </c>
      <c r="D21" s="94">
        <v>20000000</v>
      </c>
      <c r="E21" s="94">
        <f t="shared" si="16"/>
        <v>20000000</v>
      </c>
      <c r="F21" s="94">
        <f t="shared" si="16"/>
        <v>20000000</v>
      </c>
      <c r="G21" s="94">
        <f t="shared" si="16"/>
        <v>20000000</v>
      </c>
      <c r="H21" s="94">
        <f t="shared" si="16"/>
        <v>20000000</v>
      </c>
      <c r="I21" s="94">
        <f t="shared" ref="I21:M25" si="24">H21</f>
        <v>20000000</v>
      </c>
      <c r="J21" s="94">
        <f t="shared" si="24"/>
        <v>20000000</v>
      </c>
      <c r="K21" s="94">
        <f t="shared" si="24"/>
        <v>20000000</v>
      </c>
      <c r="L21" s="94">
        <f t="shared" si="24"/>
        <v>20000000</v>
      </c>
      <c r="M21" s="94">
        <f t="shared" si="24"/>
        <v>20000000</v>
      </c>
      <c r="N21" s="94">
        <f t="shared" si="0"/>
        <v>20000000</v>
      </c>
      <c r="O21" s="94">
        <f>N21</f>
        <v>20000000</v>
      </c>
      <c r="P21" s="94">
        <f>O21</f>
        <v>20000000</v>
      </c>
      <c r="Q21" s="94">
        <f t="shared" si="17"/>
        <v>20000000</v>
      </c>
      <c r="R21" s="94">
        <f t="shared" si="17"/>
        <v>20000000</v>
      </c>
      <c r="S21" s="94">
        <f t="shared" si="17"/>
        <v>20000000</v>
      </c>
      <c r="T21" s="94">
        <f t="shared" si="17"/>
        <v>20000000</v>
      </c>
      <c r="U21" s="94">
        <f t="shared" si="17"/>
        <v>20000000</v>
      </c>
      <c r="V21" s="94">
        <f t="shared" si="17"/>
        <v>20000000</v>
      </c>
      <c r="W21" s="94">
        <f t="shared" si="17"/>
        <v>20000000</v>
      </c>
      <c r="X21" s="94">
        <f t="shared" si="18"/>
        <v>20000000</v>
      </c>
      <c r="Y21" s="94">
        <f t="shared" si="18"/>
        <v>20000000</v>
      </c>
      <c r="Z21" s="94">
        <f t="shared" si="18"/>
        <v>20000000</v>
      </c>
      <c r="AA21" s="94">
        <f t="shared" si="19"/>
        <v>20000000</v>
      </c>
      <c r="AB21" s="94">
        <f t="shared" si="20"/>
        <v>20000000</v>
      </c>
      <c r="AC21" s="94">
        <f t="shared" si="21"/>
        <v>20000000</v>
      </c>
      <c r="AD21" s="94">
        <f t="shared" si="22"/>
        <v>20000000</v>
      </c>
      <c r="AE21" s="94">
        <f t="shared" si="23"/>
        <v>20000000</v>
      </c>
      <c r="AF21" s="94">
        <f t="shared" si="11"/>
        <v>20000000</v>
      </c>
      <c r="AG21" s="80"/>
      <c r="AH21" s="67" t="str">
        <f t="shared" si="6"/>
        <v xml:space="preserve">    Series 5.05%    Note</v>
      </c>
      <c r="AJ21" s="94">
        <f t="shared" si="7"/>
        <v>20000000</v>
      </c>
      <c r="AK21" s="94"/>
      <c r="AL21" s="153">
        <f t="shared" si="8"/>
        <v>5.0500000000000003E-2</v>
      </c>
      <c r="AM21" s="153"/>
      <c r="AN21" s="153">
        <f t="shared" si="9"/>
        <v>5.0500000000000003E-2</v>
      </c>
      <c r="AO21" s="153"/>
      <c r="AP21" s="94">
        <f t="shared" ref="AP21:AP22" si="25">AF114</f>
        <v>0</v>
      </c>
      <c r="AQ21" s="94"/>
      <c r="AR21" s="94">
        <f>ROUND(AN21*AJ21,0)</f>
        <v>1010000</v>
      </c>
      <c r="AS21" s="94"/>
      <c r="AT21" s="94">
        <f t="shared" si="13"/>
        <v>0</v>
      </c>
      <c r="AU21" s="94"/>
      <c r="AV21" s="94">
        <f>AF68</f>
        <v>0</v>
      </c>
      <c r="AW21" s="94"/>
      <c r="AX21" s="94">
        <f t="shared" si="15"/>
        <v>20000000</v>
      </c>
      <c r="AZ21" s="90"/>
      <c r="BA21" s="90"/>
      <c r="BB21" s="93"/>
      <c r="BC21" s="93"/>
      <c r="BD21" s="97"/>
      <c r="BE21" s="97"/>
      <c r="BF21" s="90"/>
      <c r="BG21" s="90"/>
      <c r="BH21" s="93"/>
      <c r="BI21" s="93"/>
      <c r="BJ21" s="93"/>
      <c r="BK21" s="93"/>
      <c r="BL21" s="93"/>
      <c r="BM21" s="93"/>
      <c r="BN21" s="93"/>
      <c r="BO21" s="90"/>
      <c r="BP21" s="150"/>
      <c r="BQ21" s="86"/>
      <c r="BR21" s="149"/>
      <c r="BS21" s="90"/>
    </row>
    <row r="22" spans="1:72" x14ac:dyDescent="0.3">
      <c r="A22" s="80">
        <v>13</v>
      </c>
      <c r="B22" s="72" t="s">
        <v>180</v>
      </c>
      <c r="C22" s="153">
        <v>0.04</v>
      </c>
      <c r="D22" s="94">
        <v>7859000</v>
      </c>
      <c r="E22" s="94">
        <f t="shared" si="16"/>
        <v>7859000</v>
      </c>
      <c r="F22" s="94">
        <f t="shared" ref="F22:F25" si="26">E22</f>
        <v>7859000</v>
      </c>
      <c r="G22" s="94">
        <f t="shared" ref="G22:G25" si="27">F22</f>
        <v>7859000</v>
      </c>
      <c r="H22" s="94">
        <f t="shared" ref="H22:H25" si="28">G22</f>
        <v>7859000</v>
      </c>
      <c r="I22" s="94">
        <f t="shared" si="24"/>
        <v>7859000</v>
      </c>
      <c r="J22" s="94">
        <f t="shared" si="24"/>
        <v>7859000</v>
      </c>
      <c r="K22" s="94">
        <f t="shared" si="24"/>
        <v>7859000</v>
      </c>
      <c r="L22" s="94">
        <f t="shared" si="24"/>
        <v>7859000</v>
      </c>
      <c r="M22" s="94">
        <f t="shared" si="24"/>
        <v>7859000</v>
      </c>
      <c r="N22" s="94">
        <f t="shared" si="0"/>
        <v>7859000</v>
      </c>
      <c r="O22" s="94">
        <f t="shared" ref="O22:O25" si="29">N22</f>
        <v>7859000</v>
      </c>
      <c r="P22" s="94">
        <f t="shared" ref="P22:P25" si="30">O22</f>
        <v>7859000</v>
      </c>
      <c r="Q22" s="94">
        <f t="shared" si="17"/>
        <v>7859000</v>
      </c>
      <c r="R22" s="94">
        <f t="shared" si="17"/>
        <v>7859000</v>
      </c>
      <c r="S22" s="94">
        <f t="shared" si="17"/>
        <v>7859000</v>
      </c>
      <c r="T22" s="94">
        <f t="shared" si="17"/>
        <v>7859000</v>
      </c>
      <c r="U22" s="94">
        <f t="shared" si="17"/>
        <v>7859000</v>
      </c>
      <c r="V22" s="94">
        <f t="shared" si="17"/>
        <v>7859000</v>
      </c>
      <c r="W22" s="94">
        <f t="shared" si="17"/>
        <v>7859000</v>
      </c>
      <c r="X22" s="94">
        <f t="shared" ref="X22:X25" si="31">W22</f>
        <v>7859000</v>
      </c>
      <c r="Y22" s="94">
        <f t="shared" ref="Y22:Y25" si="32">X22</f>
        <v>7859000</v>
      </c>
      <c r="Z22" s="94">
        <f t="shared" ref="Z22:Z25" si="33">Y22</f>
        <v>7859000</v>
      </c>
      <c r="AA22" s="94">
        <f t="shared" ref="AA22:AA25" si="34">Z22</f>
        <v>7859000</v>
      </c>
      <c r="AB22" s="94">
        <f t="shared" ref="AB22:AB25" si="35">AA22</f>
        <v>7859000</v>
      </c>
      <c r="AC22" s="94">
        <f t="shared" ref="AC22:AC25" si="36">AB22</f>
        <v>7859000</v>
      </c>
      <c r="AD22" s="94">
        <f t="shared" ref="AD22:AD25" si="37">AC22</f>
        <v>7859000</v>
      </c>
      <c r="AE22" s="94">
        <f t="shared" ref="AE22:AE25" si="38">AD22</f>
        <v>7859000</v>
      </c>
      <c r="AF22" s="94">
        <f t="shared" si="11"/>
        <v>7859000</v>
      </c>
      <c r="AG22" s="80"/>
      <c r="AH22" s="67" t="str">
        <f t="shared" si="6"/>
        <v xml:space="preserve">    Series 4.00%    Note</v>
      </c>
      <c r="AJ22" s="94">
        <f>AF22</f>
        <v>7859000</v>
      </c>
      <c r="AK22" s="94"/>
      <c r="AL22" s="153">
        <f>C22</f>
        <v>0.04</v>
      </c>
      <c r="AM22" s="153"/>
      <c r="AN22" s="153">
        <f>IF(AJ22=0,0,ROUND(((AJ22*AL22)+AP22)/AJ22,5))</f>
        <v>0.04</v>
      </c>
      <c r="AO22" s="153"/>
      <c r="AP22" s="94">
        <f t="shared" si="25"/>
        <v>0</v>
      </c>
      <c r="AQ22" s="94"/>
      <c r="AR22" s="94">
        <f>ROUND(AN22*AJ22,0)</f>
        <v>314360</v>
      </c>
      <c r="AS22" s="94"/>
      <c r="AT22" s="94">
        <f t="shared" si="13"/>
        <v>0</v>
      </c>
      <c r="AU22" s="94"/>
      <c r="AV22" s="94">
        <f>AF69</f>
        <v>0</v>
      </c>
      <c r="AW22" s="94"/>
      <c r="AX22" s="94">
        <f t="shared" si="15"/>
        <v>7859000</v>
      </c>
      <c r="AZ22" s="83"/>
      <c r="BA22" s="90"/>
      <c r="BB22" s="93"/>
      <c r="BC22" s="93"/>
      <c r="BD22" s="98"/>
      <c r="BE22" s="98"/>
      <c r="BF22" s="98"/>
      <c r="BG22" s="98"/>
      <c r="BH22" s="93"/>
      <c r="BI22" s="93"/>
      <c r="BJ22" s="93"/>
      <c r="BK22" s="93"/>
      <c r="BL22" s="93"/>
      <c r="BM22" s="93"/>
      <c r="BN22" s="93"/>
      <c r="BO22" s="90"/>
      <c r="BP22" s="150"/>
      <c r="BQ22" s="86"/>
      <c r="BR22" s="149"/>
      <c r="BS22" s="90"/>
    </row>
    <row r="23" spans="1:72" x14ac:dyDescent="0.3">
      <c r="A23" s="80">
        <v>14</v>
      </c>
      <c r="B23" s="72" t="s">
        <v>180</v>
      </c>
      <c r="C23" s="153">
        <v>0.04</v>
      </c>
      <c r="D23" s="94">
        <v>5000000</v>
      </c>
      <c r="E23" s="94">
        <f t="shared" si="16"/>
        <v>5000000</v>
      </c>
      <c r="F23" s="94">
        <f t="shared" si="26"/>
        <v>5000000</v>
      </c>
      <c r="G23" s="94">
        <f t="shared" si="27"/>
        <v>5000000</v>
      </c>
      <c r="H23" s="94">
        <f t="shared" si="28"/>
        <v>5000000</v>
      </c>
      <c r="I23" s="94">
        <f t="shared" si="24"/>
        <v>5000000</v>
      </c>
      <c r="J23" s="94">
        <f t="shared" si="24"/>
        <v>5000000</v>
      </c>
      <c r="K23" s="94">
        <f t="shared" si="24"/>
        <v>5000000</v>
      </c>
      <c r="L23" s="94">
        <f t="shared" si="24"/>
        <v>5000000</v>
      </c>
      <c r="M23" s="94">
        <f t="shared" si="24"/>
        <v>5000000</v>
      </c>
      <c r="N23" s="94">
        <f t="shared" si="0"/>
        <v>5000000</v>
      </c>
      <c r="O23" s="94">
        <f t="shared" si="29"/>
        <v>5000000</v>
      </c>
      <c r="P23" s="94">
        <f t="shared" si="30"/>
        <v>5000000</v>
      </c>
      <c r="Q23" s="94">
        <f>5000000</f>
        <v>5000000</v>
      </c>
      <c r="R23" s="94">
        <f>Q23</f>
        <v>5000000</v>
      </c>
      <c r="S23" s="94">
        <f>R23</f>
        <v>5000000</v>
      </c>
      <c r="T23" s="94">
        <f t="shared" ref="T23:T25" si="39">S23</f>
        <v>5000000</v>
      </c>
      <c r="U23" s="94">
        <f t="shared" ref="U23:U25" si="40">T23</f>
        <v>5000000</v>
      </c>
      <c r="V23" s="94">
        <f t="shared" ref="V23:V25" si="41">U23</f>
        <v>5000000</v>
      </c>
      <c r="W23" s="94">
        <f t="shared" ref="W23:W25" si="42">V23</f>
        <v>5000000</v>
      </c>
      <c r="X23" s="94">
        <f t="shared" si="31"/>
        <v>5000000</v>
      </c>
      <c r="Y23" s="94">
        <f t="shared" si="32"/>
        <v>5000000</v>
      </c>
      <c r="Z23" s="94">
        <f t="shared" si="33"/>
        <v>5000000</v>
      </c>
      <c r="AA23" s="94">
        <f t="shared" si="34"/>
        <v>5000000</v>
      </c>
      <c r="AB23" s="94">
        <f t="shared" si="35"/>
        <v>5000000</v>
      </c>
      <c r="AC23" s="94">
        <f t="shared" si="36"/>
        <v>5000000</v>
      </c>
      <c r="AD23" s="94">
        <f t="shared" si="37"/>
        <v>5000000</v>
      </c>
      <c r="AE23" s="94">
        <f t="shared" si="38"/>
        <v>5000000</v>
      </c>
      <c r="AF23" s="94">
        <f t="shared" si="11"/>
        <v>5000000</v>
      </c>
      <c r="AG23" s="80"/>
      <c r="AH23" s="67" t="str">
        <f t="shared" si="6"/>
        <v xml:space="preserve">    Series 4.00%    Note</v>
      </c>
      <c r="AJ23" s="94">
        <f>AF23</f>
        <v>5000000</v>
      </c>
      <c r="AK23" s="94"/>
      <c r="AL23" s="153">
        <f>C23</f>
        <v>0.04</v>
      </c>
      <c r="AM23" s="153"/>
      <c r="AN23" s="153">
        <f>IF(AJ23=0,0,ROUND(((AJ23*AL23)+AP23)/AJ23,5))</f>
        <v>4.0629999999999999E-2</v>
      </c>
      <c r="AO23" s="153"/>
      <c r="AP23" s="94">
        <f>AF116+AF208</f>
        <v>3133.2000000000007</v>
      </c>
      <c r="AQ23" s="94"/>
      <c r="AR23" s="94">
        <f>ROUND(AN23*AJ23,0)</f>
        <v>203150</v>
      </c>
      <c r="AS23" s="94"/>
      <c r="AT23" s="94">
        <f t="shared" si="13"/>
        <v>37276.33999999996</v>
      </c>
      <c r="AU23" s="94"/>
      <c r="AV23" s="94">
        <f>AF70</f>
        <v>48688.700000000026</v>
      </c>
      <c r="AW23" s="94"/>
      <c r="AX23" s="94">
        <f t="shared" si="15"/>
        <v>4914034.96</v>
      </c>
      <c r="AZ23" s="90"/>
      <c r="BA23" s="90"/>
      <c r="BB23" s="90"/>
      <c r="BC23" s="90"/>
      <c r="BD23" s="97"/>
      <c r="BE23" s="97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150"/>
      <c r="BQ23" s="86"/>
      <c r="BR23" s="149"/>
      <c r="BS23" s="90"/>
    </row>
    <row r="24" spans="1:72" x14ac:dyDescent="0.3">
      <c r="A24" s="80">
        <v>15</v>
      </c>
      <c r="B24" s="72" t="s">
        <v>266</v>
      </c>
      <c r="C24" s="153">
        <v>3.7499999999999999E-2</v>
      </c>
      <c r="D24" s="94">
        <v>5000000</v>
      </c>
      <c r="E24" s="94">
        <f t="shared" si="16"/>
        <v>5000000</v>
      </c>
      <c r="F24" s="94">
        <f t="shared" si="26"/>
        <v>5000000</v>
      </c>
      <c r="G24" s="94">
        <f t="shared" si="27"/>
        <v>5000000</v>
      </c>
      <c r="H24" s="94">
        <f t="shared" si="28"/>
        <v>5000000</v>
      </c>
      <c r="I24" s="94">
        <f t="shared" si="24"/>
        <v>5000000</v>
      </c>
      <c r="J24" s="94">
        <f t="shared" si="24"/>
        <v>5000000</v>
      </c>
      <c r="K24" s="94">
        <f t="shared" si="24"/>
        <v>5000000</v>
      </c>
      <c r="L24" s="94">
        <f t="shared" si="24"/>
        <v>5000000</v>
      </c>
      <c r="M24" s="94">
        <f t="shared" si="24"/>
        <v>5000000</v>
      </c>
      <c r="N24" s="94">
        <f t="shared" si="0"/>
        <v>5000000</v>
      </c>
      <c r="O24" s="94">
        <f t="shared" si="29"/>
        <v>5000000</v>
      </c>
      <c r="P24" s="94">
        <f t="shared" si="30"/>
        <v>5000000</v>
      </c>
      <c r="Q24" s="94">
        <f t="shared" ref="Q24:Q25" si="43">P24</f>
        <v>5000000</v>
      </c>
      <c r="R24" s="94">
        <f t="shared" ref="R24" si="44">Q24</f>
        <v>5000000</v>
      </c>
      <c r="S24" s="94">
        <f t="shared" ref="S24:S25" si="45">R24</f>
        <v>5000000</v>
      </c>
      <c r="T24" s="94">
        <f t="shared" si="39"/>
        <v>5000000</v>
      </c>
      <c r="U24" s="94">
        <f t="shared" si="40"/>
        <v>5000000</v>
      </c>
      <c r="V24" s="94">
        <f t="shared" si="41"/>
        <v>5000000</v>
      </c>
      <c r="W24" s="94">
        <f t="shared" si="42"/>
        <v>5000000</v>
      </c>
      <c r="X24" s="94">
        <f t="shared" si="31"/>
        <v>5000000</v>
      </c>
      <c r="Y24" s="94">
        <f t="shared" si="32"/>
        <v>5000000</v>
      </c>
      <c r="Z24" s="94">
        <f t="shared" si="33"/>
        <v>5000000</v>
      </c>
      <c r="AA24" s="94">
        <f t="shared" si="34"/>
        <v>5000000</v>
      </c>
      <c r="AB24" s="94">
        <f t="shared" si="35"/>
        <v>5000000</v>
      </c>
      <c r="AC24" s="94">
        <f t="shared" si="36"/>
        <v>5000000</v>
      </c>
      <c r="AD24" s="94">
        <f t="shared" si="37"/>
        <v>5000000</v>
      </c>
      <c r="AE24" s="94">
        <f t="shared" si="38"/>
        <v>5000000</v>
      </c>
      <c r="AF24" s="94">
        <f t="shared" si="11"/>
        <v>5000000</v>
      </c>
      <c r="AG24" s="80"/>
      <c r="AH24" s="67" t="str">
        <f t="shared" si="6"/>
        <v xml:space="preserve">    Series 3.75%    Note</v>
      </c>
      <c r="AJ24" s="94">
        <f>AF24</f>
        <v>5000000</v>
      </c>
      <c r="AK24" s="94"/>
      <c r="AL24" s="153">
        <f>C24</f>
        <v>3.7499999999999999E-2</v>
      </c>
      <c r="AM24" s="153"/>
      <c r="AN24" s="153">
        <f>IF(AJ24=0,0,ROUND(((AJ24*AL24)+AP24)/AJ24,5))</f>
        <v>3.7949999999999998E-2</v>
      </c>
      <c r="AO24" s="153"/>
      <c r="AP24" s="94">
        <f>AF117+AF209</f>
        <v>2243.8799999999997</v>
      </c>
      <c r="AQ24" s="94"/>
      <c r="AR24" s="94">
        <f>ROUND(AN24*AJ24,0)</f>
        <v>189750</v>
      </c>
      <c r="AS24" s="94"/>
      <c r="AT24" s="94">
        <f t="shared" si="13"/>
        <v>14154.679999999984</v>
      </c>
      <c r="AU24" s="94"/>
      <c r="AV24" s="94">
        <f>AF71</f>
        <v>47928.069999999942</v>
      </c>
      <c r="AW24" s="94"/>
      <c r="AX24" s="94">
        <f t="shared" si="15"/>
        <v>4937917.25</v>
      </c>
      <c r="AZ24" s="90"/>
      <c r="BA24" s="90"/>
      <c r="BB24" s="90"/>
      <c r="BC24" s="90"/>
      <c r="BD24" s="97"/>
      <c r="BE24" s="97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150"/>
      <c r="BQ24" s="86"/>
      <c r="BR24" s="149"/>
      <c r="BS24" s="90"/>
    </row>
    <row r="25" spans="1:72" x14ac:dyDescent="0.3">
      <c r="A25" s="80">
        <v>16</v>
      </c>
      <c r="B25" s="72" t="s">
        <v>267</v>
      </c>
      <c r="C25" s="153">
        <v>4.5499999999999999E-2</v>
      </c>
      <c r="D25" s="94">
        <v>0</v>
      </c>
      <c r="E25" s="94">
        <f t="shared" si="16"/>
        <v>0</v>
      </c>
      <c r="F25" s="94">
        <f t="shared" si="26"/>
        <v>0</v>
      </c>
      <c r="G25" s="94">
        <f t="shared" si="27"/>
        <v>0</v>
      </c>
      <c r="H25" s="94">
        <f t="shared" si="28"/>
        <v>0</v>
      </c>
      <c r="I25" s="94">
        <f t="shared" si="24"/>
        <v>0</v>
      </c>
      <c r="J25" s="94">
        <f t="shared" si="24"/>
        <v>0</v>
      </c>
      <c r="K25" s="94">
        <f t="shared" si="24"/>
        <v>0</v>
      </c>
      <c r="L25" s="94">
        <f t="shared" si="24"/>
        <v>0</v>
      </c>
      <c r="M25" s="94">
        <f t="shared" si="24"/>
        <v>0</v>
      </c>
      <c r="N25" s="94">
        <f t="shared" si="0"/>
        <v>0</v>
      </c>
      <c r="O25" s="94">
        <f t="shared" si="29"/>
        <v>0</v>
      </c>
      <c r="P25" s="94">
        <f t="shared" si="30"/>
        <v>0</v>
      </c>
      <c r="Q25" s="94">
        <f t="shared" si="43"/>
        <v>0</v>
      </c>
      <c r="R25" s="94">
        <f>12000000+4000000</f>
        <v>16000000</v>
      </c>
      <c r="S25" s="94">
        <f t="shared" si="45"/>
        <v>16000000</v>
      </c>
      <c r="T25" s="94">
        <f t="shared" si="39"/>
        <v>16000000</v>
      </c>
      <c r="U25" s="94">
        <f t="shared" si="40"/>
        <v>16000000</v>
      </c>
      <c r="V25" s="94">
        <f t="shared" si="41"/>
        <v>16000000</v>
      </c>
      <c r="W25" s="94">
        <f t="shared" si="42"/>
        <v>16000000</v>
      </c>
      <c r="X25" s="94">
        <f t="shared" si="31"/>
        <v>16000000</v>
      </c>
      <c r="Y25" s="94">
        <f t="shared" si="32"/>
        <v>16000000</v>
      </c>
      <c r="Z25" s="94">
        <f t="shared" si="33"/>
        <v>16000000</v>
      </c>
      <c r="AA25" s="94">
        <f t="shared" si="34"/>
        <v>16000000</v>
      </c>
      <c r="AB25" s="94">
        <f t="shared" si="35"/>
        <v>16000000</v>
      </c>
      <c r="AC25" s="94">
        <f t="shared" si="36"/>
        <v>16000000</v>
      </c>
      <c r="AD25" s="94">
        <f t="shared" si="37"/>
        <v>16000000</v>
      </c>
      <c r="AE25" s="94">
        <f t="shared" si="38"/>
        <v>16000000</v>
      </c>
      <c r="AF25" s="94">
        <f t="shared" si="11"/>
        <v>16000000</v>
      </c>
      <c r="AG25" s="80"/>
      <c r="AH25" s="67" t="str">
        <f t="shared" si="6"/>
        <v xml:space="preserve">    Proposed 4.55%    Note</v>
      </c>
      <c r="AJ25" s="94">
        <f>AF25</f>
        <v>16000000</v>
      </c>
      <c r="AK25" s="94"/>
      <c r="AL25" s="153">
        <f>C25</f>
        <v>4.5499999999999999E-2</v>
      </c>
      <c r="AM25" s="153"/>
      <c r="AN25" s="153">
        <f>IF(AJ25=0,0,ROUND(((AJ25*AL25)+AP25)/AJ25,5))</f>
        <v>4.6170000000000003E-2</v>
      </c>
      <c r="AO25" s="153"/>
      <c r="AP25" s="94">
        <f>AF118+AF210</f>
        <v>10666.666666666666</v>
      </c>
      <c r="AQ25" s="94"/>
      <c r="AR25" s="94">
        <f>ROUND(AN25*AJ25,0)</f>
        <v>738720</v>
      </c>
      <c r="AS25" s="94"/>
      <c r="AT25" s="94">
        <f t="shared" si="13"/>
        <v>156666.66666666672</v>
      </c>
      <c r="AU25" s="94"/>
      <c r="AV25" s="94">
        <f>AF72</f>
        <v>156666.66666666672</v>
      </c>
      <c r="AW25" s="94"/>
      <c r="AX25" s="94">
        <f t="shared" si="15"/>
        <v>15686666.666666668</v>
      </c>
      <c r="AZ25" s="90"/>
      <c r="BA25" s="90"/>
      <c r="BB25" s="90"/>
      <c r="BC25" s="90"/>
      <c r="BD25" s="97"/>
      <c r="BE25" s="97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150"/>
      <c r="BQ25" s="86"/>
      <c r="BR25" s="149"/>
      <c r="BS25" s="90"/>
    </row>
    <row r="26" spans="1:72" x14ac:dyDescent="0.3">
      <c r="A26" s="80">
        <v>17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80"/>
      <c r="AJ26" s="92"/>
      <c r="AK26" s="92"/>
      <c r="AL26" s="81"/>
      <c r="AM26" s="81"/>
      <c r="AN26" s="81"/>
      <c r="AO26" s="81"/>
      <c r="AP26" s="92"/>
      <c r="AQ26" s="92"/>
      <c r="AR26" s="92"/>
      <c r="AS26" s="92"/>
      <c r="AT26" s="92"/>
      <c r="AU26" s="92"/>
      <c r="AV26" s="92"/>
      <c r="AW26" s="92"/>
      <c r="AX26" s="94"/>
      <c r="AZ26" s="90"/>
      <c r="BA26" s="90"/>
      <c r="BB26" s="90"/>
      <c r="BC26" s="90"/>
      <c r="BD26" s="97"/>
      <c r="BE26" s="97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150"/>
      <c r="BQ26" s="86"/>
      <c r="BR26" s="149"/>
      <c r="BS26" s="90"/>
    </row>
    <row r="27" spans="1:72" x14ac:dyDescent="0.3">
      <c r="A27" s="80">
        <v>18</v>
      </c>
      <c r="C27" s="153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80"/>
      <c r="AJ27" s="92"/>
      <c r="AK27" s="92"/>
      <c r="AL27" s="81"/>
      <c r="AM27" s="81"/>
      <c r="AN27" s="81"/>
      <c r="AO27" s="81"/>
      <c r="AP27" s="92"/>
      <c r="AQ27" s="92"/>
      <c r="AR27" s="92"/>
      <c r="AS27" s="92"/>
      <c r="AT27" s="92"/>
      <c r="AU27" s="92"/>
      <c r="AV27" s="92"/>
      <c r="AW27" s="92"/>
      <c r="AX27" s="92"/>
      <c r="AZ27" s="83"/>
      <c r="BA27" s="90"/>
      <c r="BB27" s="113"/>
      <c r="BC27" s="113"/>
      <c r="BD27" s="97"/>
      <c r="BE27" s="97"/>
      <c r="BF27" s="90"/>
      <c r="BG27" s="90"/>
      <c r="BH27" s="113"/>
      <c r="BI27" s="113"/>
      <c r="BJ27" s="113"/>
      <c r="BK27" s="113"/>
      <c r="BL27" s="113"/>
      <c r="BM27" s="113"/>
      <c r="BN27" s="113"/>
      <c r="BO27" s="90"/>
      <c r="BP27" s="150"/>
      <c r="BQ27" s="86"/>
      <c r="BR27" s="149"/>
      <c r="BS27" s="90"/>
    </row>
    <row r="28" spans="1:72" x14ac:dyDescent="0.3">
      <c r="A28" s="80">
        <v>19</v>
      </c>
      <c r="C28" s="153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80"/>
      <c r="AJ28" s="92"/>
      <c r="AK28" s="92"/>
      <c r="AL28" s="81"/>
      <c r="AM28" s="81"/>
      <c r="AN28" s="81"/>
      <c r="AO28" s="81"/>
      <c r="AP28" s="92"/>
      <c r="AQ28" s="92"/>
      <c r="AR28" s="92"/>
      <c r="AS28" s="92"/>
      <c r="AT28" s="92"/>
      <c r="AU28" s="92"/>
      <c r="AV28" s="92"/>
      <c r="AW28" s="92"/>
      <c r="AX28" s="92"/>
      <c r="AZ28" s="90"/>
      <c r="BA28" s="90"/>
      <c r="BB28" s="149"/>
      <c r="BC28" s="149"/>
      <c r="BD28" s="97"/>
      <c r="BE28" s="97"/>
      <c r="BF28" s="90"/>
      <c r="BG28" s="90"/>
      <c r="BH28" s="149"/>
      <c r="BI28" s="149"/>
      <c r="BJ28" s="149"/>
      <c r="BK28" s="149"/>
      <c r="BL28" s="149"/>
      <c r="BM28" s="149"/>
      <c r="BN28" s="149"/>
      <c r="BO28" s="90"/>
      <c r="BP28" s="150"/>
      <c r="BQ28" s="86"/>
      <c r="BR28" s="149"/>
      <c r="BS28" s="90"/>
    </row>
    <row r="29" spans="1:72" x14ac:dyDescent="0.3">
      <c r="A29" s="80">
        <v>20</v>
      </c>
      <c r="C29" s="153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80"/>
      <c r="AJ29" s="92"/>
      <c r="AK29" s="92"/>
      <c r="AL29" s="81"/>
      <c r="AM29" s="81"/>
      <c r="AN29" s="81"/>
      <c r="AO29" s="81"/>
      <c r="AP29" s="92"/>
      <c r="AQ29" s="92"/>
      <c r="AR29" s="92"/>
      <c r="AS29" s="92"/>
      <c r="AT29" s="92"/>
      <c r="AU29" s="92"/>
      <c r="AV29" s="92"/>
      <c r="AW29" s="92"/>
      <c r="AX29" s="92"/>
      <c r="AZ29" s="90"/>
      <c r="BA29" s="90"/>
      <c r="BB29" s="90"/>
      <c r="BC29" s="90"/>
      <c r="BD29" s="97"/>
      <c r="BE29" s="97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150"/>
      <c r="BQ29" s="86"/>
      <c r="BR29" s="149"/>
      <c r="BS29" s="90"/>
    </row>
    <row r="30" spans="1:72" x14ac:dyDescent="0.3">
      <c r="A30" s="80">
        <v>21</v>
      </c>
      <c r="B30" s="72"/>
      <c r="C30" s="15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80"/>
      <c r="AH30" s="72"/>
      <c r="AJ30" s="94"/>
      <c r="AK30" s="94"/>
      <c r="AL30" s="153"/>
      <c r="AM30" s="153"/>
      <c r="AN30" s="153"/>
      <c r="AO30" s="153"/>
      <c r="AP30" s="94"/>
      <c r="AQ30" s="94"/>
      <c r="AR30" s="94"/>
      <c r="AS30" s="94"/>
      <c r="AT30" s="94"/>
      <c r="AU30" s="94"/>
      <c r="AV30" s="94"/>
      <c r="AW30" s="94"/>
      <c r="AX30" s="94"/>
      <c r="AZ30" s="90"/>
      <c r="BA30" s="90"/>
      <c r="BB30" s="90"/>
      <c r="BC30" s="90"/>
      <c r="BD30" s="97"/>
      <c r="BE30" s="97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150"/>
      <c r="BQ30" s="86"/>
      <c r="BR30" s="149"/>
      <c r="BS30" s="90"/>
      <c r="BT30" s="122"/>
    </row>
    <row r="31" spans="1:72" x14ac:dyDescent="0.3">
      <c r="A31" s="80">
        <v>22</v>
      </c>
      <c r="C31" s="158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80"/>
      <c r="AJ31" s="94"/>
      <c r="AK31" s="94"/>
      <c r="AP31" s="94"/>
      <c r="AQ31" s="94"/>
      <c r="AR31" s="94"/>
      <c r="AS31" s="94"/>
      <c r="AT31" s="94"/>
      <c r="AU31" s="94"/>
      <c r="AV31" s="94"/>
      <c r="AW31" s="94"/>
      <c r="AX31" s="94"/>
      <c r="AZ31" s="137"/>
      <c r="BA31" s="90"/>
      <c r="BB31" s="90"/>
      <c r="BC31" s="90"/>
      <c r="BD31" s="97"/>
      <c r="BE31" s="97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149"/>
      <c r="BR31" s="90"/>
      <c r="BS31" s="90"/>
    </row>
    <row r="32" spans="1:72" x14ac:dyDescent="0.3">
      <c r="A32" s="80">
        <v>23</v>
      </c>
      <c r="B32" s="7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80"/>
      <c r="AJ32" s="92"/>
      <c r="AK32" s="92"/>
      <c r="AP32" s="92"/>
      <c r="AQ32" s="92"/>
      <c r="AR32" s="92"/>
      <c r="AS32" s="92"/>
      <c r="AT32" s="92"/>
      <c r="AU32" s="92"/>
      <c r="AV32" s="92"/>
      <c r="AW32" s="93"/>
      <c r="AX32" s="92"/>
      <c r="AZ32" s="90"/>
      <c r="BA32" s="90"/>
      <c r="BB32" s="90"/>
      <c r="BC32" s="90"/>
      <c r="BD32" s="149"/>
      <c r="BE32" s="149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149"/>
      <c r="BR32" s="90"/>
      <c r="BS32" s="90"/>
    </row>
    <row r="33" spans="1:73" x14ac:dyDescent="0.3">
      <c r="A33" s="80">
        <v>24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80"/>
      <c r="AJ33" s="92"/>
      <c r="AK33" s="92"/>
      <c r="AP33" s="92"/>
      <c r="AQ33" s="92"/>
      <c r="AR33" s="92"/>
      <c r="AS33" s="92"/>
      <c r="AT33" s="92"/>
      <c r="AU33" s="92"/>
      <c r="AV33" s="92"/>
      <c r="AW33" s="93"/>
      <c r="AX33" s="92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149"/>
      <c r="BR33" s="90"/>
      <c r="BS33" s="90"/>
    </row>
    <row r="34" spans="1:73" x14ac:dyDescent="0.3">
      <c r="A34" s="80">
        <v>25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80"/>
      <c r="AJ34" s="92"/>
      <c r="AK34" s="92"/>
      <c r="AP34" s="92"/>
      <c r="AQ34" s="93"/>
      <c r="AR34" s="92"/>
      <c r="AS34" s="93"/>
      <c r="AT34" s="92"/>
      <c r="AU34" s="93"/>
      <c r="AV34" s="92"/>
      <c r="AW34" s="93"/>
      <c r="AX34" s="92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149"/>
      <c r="BR34" s="90"/>
      <c r="BS34" s="90"/>
    </row>
    <row r="35" spans="1:73" ht="15" thickBot="1" x14ac:dyDescent="0.35">
      <c r="A35" s="80">
        <v>26</v>
      </c>
      <c r="B35" s="72" t="s">
        <v>94</v>
      </c>
      <c r="D35" s="159">
        <f t="shared" ref="D35:AF35" si="46">SUM(D13:D34)</f>
        <v>205749000</v>
      </c>
      <c r="E35" s="159">
        <f t="shared" si="46"/>
        <v>205749000</v>
      </c>
      <c r="F35" s="159">
        <f t="shared" si="46"/>
        <v>205749000</v>
      </c>
      <c r="G35" s="159">
        <f t="shared" si="46"/>
        <v>205749000</v>
      </c>
      <c r="H35" s="159">
        <f t="shared" si="46"/>
        <v>205749000</v>
      </c>
      <c r="I35" s="159">
        <f t="shared" si="46"/>
        <v>205749000</v>
      </c>
      <c r="J35" s="159">
        <f t="shared" si="46"/>
        <v>205749000</v>
      </c>
      <c r="K35" s="159">
        <f t="shared" si="46"/>
        <v>205749000</v>
      </c>
      <c r="L35" s="159">
        <f t="shared" si="46"/>
        <v>205749000</v>
      </c>
      <c r="M35" s="159">
        <f t="shared" si="46"/>
        <v>205749000</v>
      </c>
      <c r="N35" s="159">
        <f t="shared" si="46"/>
        <v>205749000</v>
      </c>
      <c r="O35" s="159">
        <f t="shared" si="46"/>
        <v>205749000</v>
      </c>
      <c r="P35" s="159">
        <f t="shared" si="46"/>
        <v>205749000</v>
      </c>
      <c r="Q35" s="159">
        <f t="shared" si="46"/>
        <v>205749000</v>
      </c>
      <c r="R35" s="159">
        <f t="shared" si="46"/>
        <v>221749000</v>
      </c>
      <c r="S35" s="159">
        <f t="shared" si="46"/>
        <v>221749000</v>
      </c>
      <c r="T35" s="159">
        <f t="shared" si="46"/>
        <v>221749000</v>
      </c>
      <c r="U35" s="159">
        <f t="shared" si="46"/>
        <v>221749000</v>
      </c>
      <c r="V35" s="159">
        <f t="shared" si="46"/>
        <v>221749000</v>
      </c>
      <c r="W35" s="159">
        <f t="shared" si="46"/>
        <v>221749000</v>
      </c>
      <c r="X35" s="159">
        <f t="shared" si="46"/>
        <v>221749000</v>
      </c>
      <c r="Y35" s="159">
        <f t="shared" si="46"/>
        <v>221749000</v>
      </c>
      <c r="Z35" s="159">
        <f t="shared" si="46"/>
        <v>221749000</v>
      </c>
      <c r="AA35" s="159">
        <f t="shared" si="46"/>
        <v>221749000</v>
      </c>
      <c r="AB35" s="159">
        <f t="shared" si="46"/>
        <v>221749000</v>
      </c>
      <c r="AC35" s="159">
        <f t="shared" si="46"/>
        <v>221749000</v>
      </c>
      <c r="AD35" s="159">
        <f t="shared" si="46"/>
        <v>221749000</v>
      </c>
      <c r="AE35" s="159">
        <f t="shared" si="46"/>
        <v>221749000</v>
      </c>
      <c r="AF35" s="159">
        <f t="shared" si="46"/>
        <v>221749000</v>
      </c>
      <c r="AG35" s="80"/>
      <c r="AH35" s="72"/>
      <c r="AJ35" s="159">
        <f>SUM(AJ12:AJ32)</f>
        <v>221749000</v>
      </c>
      <c r="AK35" s="113"/>
      <c r="AP35" s="159">
        <f>SUM(AP12:AP32)</f>
        <v>85792.426666666608</v>
      </c>
      <c r="AQ35" s="113"/>
      <c r="AR35" s="159">
        <f>SUM(AR12:AR32)</f>
        <v>12973771</v>
      </c>
      <c r="AS35" s="113"/>
      <c r="AT35" s="159">
        <f>SUM(AT12:AT32)</f>
        <v>208097.68666666665</v>
      </c>
      <c r="AU35" s="113"/>
      <c r="AV35" s="159">
        <f>SUM(AV12:AV32)</f>
        <v>1479280.8366666664</v>
      </c>
      <c r="AW35" s="113"/>
      <c r="AX35" s="159">
        <f>SUM(AX12:AX32)</f>
        <v>220061621.47666666</v>
      </c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149"/>
      <c r="BR35" s="90"/>
      <c r="BS35" s="84"/>
      <c r="BT35" s="80"/>
    </row>
    <row r="36" spans="1:73" ht="15" thickTop="1" x14ac:dyDescent="0.3">
      <c r="A36" s="80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80"/>
      <c r="AJ36" s="122"/>
      <c r="AK36" s="122"/>
      <c r="AP36" s="122"/>
      <c r="AQ36" s="149"/>
      <c r="AR36" s="122"/>
      <c r="AS36" s="149"/>
      <c r="AT36" s="122"/>
      <c r="AU36" s="149"/>
      <c r="AV36" s="122"/>
      <c r="AW36" s="149"/>
      <c r="AX36" s="122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149"/>
      <c r="BR36" s="90"/>
      <c r="BS36" s="90"/>
    </row>
    <row r="37" spans="1:73" x14ac:dyDescent="0.3">
      <c r="A37" s="80"/>
      <c r="P37" s="122"/>
      <c r="AG37" s="80"/>
      <c r="AW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149"/>
      <c r="BR37" s="90"/>
      <c r="BS37" s="90"/>
    </row>
    <row r="38" spans="1:73" x14ac:dyDescent="0.3">
      <c r="A38" s="80"/>
      <c r="D38" s="87"/>
      <c r="P38" s="122"/>
      <c r="AG38" s="80"/>
      <c r="AV38" s="87"/>
      <c r="AW38" s="88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149"/>
      <c r="BR38" s="90"/>
      <c r="BS38" s="160"/>
      <c r="BT38" s="121"/>
      <c r="BU38" s="121"/>
    </row>
    <row r="39" spans="1:73" x14ac:dyDescent="0.3">
      <c r="A39" s="80"/>
      <c r="P39" s="122"/>
      <c r="AG39" s="80"/>
      <c r="AV39" s="87"/>
      <c r="AW39" s="87"/>
      <c r="AX39" s="10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149"/>
      <c r="BR39" s="90"/>
      <c r="BS39" s="90"/>
    </row>
    <row r="40" spans="1:73" ht="15" thickBot="1" x14ac:dyDescent="0.35">
      <c r="A40" s="80"/>
      <c r="D40" s="87"/>
      <c r="J40" s="87"/>
      <c r="P40" s="122"/>
      <c r="AG40" s="80"/>
      <c r="AH40" s="101" t="s">
        <v>179</v>
      </c>
      <c r="AL40" s="161">
        <f>ROUND(AR35/AX35,4)</f>
        <v>5.8999999999999997E-2</v>
      </c>
      <c r="AM40" s="162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149"/>
      <c r="BR40" s="90"/>
      <c r="BS40" s="90"/>
    </row>
    <row r="41" spans="1:73" ht="15" thickTop="1" x14ac:dyDescent="0.3">
      <c r="A41" s="80"/>
      <c r="P41" s="122"/>
      <c r="AG41" s="80"/>
      <c r="AL41" s="122"/>
      <c r="AM41" s="122"/>
      <c r="AV41" s="92"/>
      <c r="AW41" s="92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149"/>
      <c r="BR41" s="90"/>
      <c r="BS41" s="90"/>
    </row>
    <row r="42" spans="1:73" x14ac:dyDescent="0.3">
      <c r="A42" s="80"/>
      <c r="P42" s="122"/>
      <c r="AG42" s="8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149"/>
      <c r="BR42" s="90"/>
      <c r="BS42" s="90"/>
    </row>
    <row r="43" spans="1:73" x14ac:dyDescent="0.3">
      <c r="A43" s="80"/>
      <c r="P43" s="122"/>
      <c r="AG43" s="8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149"/>
      <c r="BR43" s="90"/>
      <c r="BS43" s="90"/>
    </row>
    <row r="44" spans="1:73" x14ac:dyDescent="0.3">
      <c r="A44" s="80"/>
      <c r="P44" s="122"/>
      <c r="AG44" s="8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149"/>
      <c r="BR44" s="90"/>
      <c r="BS44" s="90"/>
    </row>
    <row r="45" spans="1:73" x14ac:dyDescent="0.3">
      <c r="A45" s="80"/>
      <c r="P45" s="122"/>
      <c r="AG45" s="8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149"/>
      <c r="BR45" s="90"/>
      <c r="BS45" s="90"/>
    </row>
    <row r="46" spans="1:73" x14ac:dyDescent="0.3">
      <c r="A46" s="122"/>
      <c r="B46" s="122"/>
      <c r="C46" s="80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80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149"/>
      <c r="BR46" s="90"/>
      <c r="BS46" s="90"/>
    </row>
    <row r="47" spans="1:73" x14ac:dyDescent="0.3">
      <c r="A47" s="118" t="s">
        <v>169</v>
      </c>
      <c r="B47" s="122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19" t="str">
        <f>$O$1</f>
        <v>W/P - 7-4</v>
      </c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19" t="str">
        <f>$O$47</f>
        <v>W/P - 7-4</v>
      </c>
      <c r="AB47" s="122"/>
      <c r="AC47" s="122"/>
      <c r="AD47" s="122"/>
      <c r="AE47" s="122"/>
      <c r="AF47" s="119" t="str">
        <f>$O$47</f>
        <v>W/P - 7-4</v>
      </c>
      <c r="AG47" s="80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149"/>
      <c r="BP47" s="90"/>
      <c r="BQ47" s="90"/>
    </row>
    <row r="48" spans="1:73" x14ac:dyDescent="0.3">
      <c r="A48" s="118" t="s">
        <v>170</v>
      </c>
      <c r="B48" s="122"/>
      <c r="C48" s="80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19" t="str">
        <f ca="1">RIGHT(CELL("filename",$A$4),LEN(CELL("filename",$A$4))-SEARCH("\Capital",CELL("filename",$A$4),1))</f>
        <v>Capital Structure\[KAWC 2018 Rate Case - Capital Structure.xlsx]Sch J WPs</v>
      </c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19" t="str">
        <f ca="1">RIGHT(CELL("filename",$A$4),LEN(CELL("filename",$A$4))-SEARCH("\Capital",CELL("filename",$A$4),1))</f>
        <v>Capital Structure\[KAWC 2018 Rate Case - Capital Structure.xlsx]Sch J WPs</v>
      </c>
      <c r="AB48" s="122"/>
      <c r="AC48" s="122"/>
      <c r="AD48" s="122"/>
      <c r="AE48" s="122"/>
      <c r="AF48" s="119" t="str">
        <f ca="1">RIGHT(CELL("filename",$A$4),LEN(CELL("filename",$A$4))-SEARCH("\Capital",CELL("filename",$A$4),1))</f>
        <v>Capital Structure\[KAWC 2018 Rate Case - Capital Structure.xlsx]Sch J WPs</v>
      </c>
      <c r="AG48" s="80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149"/>
      <c r="BP48" s="90"/>
      <c r="BQ48" s="90"/>
    </row>
    <row r="49" spans="1:71" x14ac:dyDescent="0.3">
      <c r="A49" s="118"/>
      <c r="B49" s="122"/>
      <c r="C49" s="80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19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80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149"/>
      <c r="BP49" s="90"/>
      <c r="BQ49" s="90"/>
    </row>
    <row r="50" spans="1:71" x14ac:dyDescent="0.3">
      <c r="A50" s="101" t="s">
        <v>18</v>
      </c>
      <c r="P50" s="122"/>
      <c r="AG50" s="80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85"/>
      <c r="BQ50" s="85"/>
      <c r="BR50" s="85"/>
      <c r="BS50" s="85"/>
    </row>
    <row r="51" spans="1:71" x14ac:dyDescent="0.3">
      <c r="A51" s="101" t="s">
        <v>95</v>
      </c>
      <c r="P51" s="122"/>
      <c r="AG51" s="80"/>
      <c r="BO51" s="122"/>
    </row>
    <row r="52" spans="1:71" x14ac:dyDescent="0.3">
      <c r="C52" s="158"/>
      <c r="P52" s="122"/>
      <c r="AG52" s="80"/>
      <c r="BO52" s="122"/>
    </row>
    <row r="53" spans="1:71" x14ac:dyDescent="0.3">
      <c r="A53" s="140"/>
      <c r="B53" s="140" t="s">
        <v>56</v>
      </c>
      <c r="C53" s="140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80"/>
      <c r="BO53" s="122"/>
      <c r="BP53" s="67">
        <v>2</v>
      </c>
    </row>
    <row r="54" spans="1:71" x14ac:dyDescent="0.3">
      <c r="A54" s="80" t="s">
        <v>22</v>
      </c>
      <c r="B54" s="80" t="s">
        <v>87</v>
      </c>
      <c r="D54" s="80" t="s">
        <v>88</v>
      </c>
      <c r="E54" s="80" t="s">
        <v>88</v>
      </c>
      <c r="F54" s="80" t="s">
        <v>88</v>
      </c>
      <c r="G54" s="80" t="s">
        <v>88</v>
      </c>
      <c r="H54" s="80" t="s">
        <v>88</v>
      </c>
      <c r="I54" s="80" t="s">
        <v>88</v>
      </c>
      <c r="J54" s="80" t="s">
        <v>88</v>
      </c>
      <c r="K54" s="80" t="s">
        <v>88</v>
      </c>
      <c r="L54" s="80" t="s">
        <v>88</v>
      </c>
      <c r="M54" s="80" t="s">
        <v>88</v>
      </c>
      <c r="N54" s="80" t="s">
        <v>88</v>
      </c>
      <c r="O54" s="80" t="s">
        <v>88</v>
      </c>
      <c r="P54" s="80" t="s">
        <v>88</v>
      </c>
      <c r="Q54" s="80" t="s">
        <v>88</v>
      </c>
      <c r="R54" s="80" t="s">
        <v>88</v>
      </c>
      <c r="S54" s="80" t="s">
        <v>88</v>
      </c>
      <c r="T54" s="80" t="s">
        <v>88</v>
      </c>
      <c r="U54" s="80" t="s">
        <v>88</v>
      </c>
      <c r="V54" s="80" t="s">
        <v>88</v>
      </c>
      <c r="W54" s="80" t="s">
        <v>88</v>
      </c>
      <c r="X54" s="80" t="s">
        <v>88</v>
      </c>
      <c r="Y54" s="80" t="s">
        <v>88</v>
      </c>
      <c r="Z54" s="80" t="s">
        <v>88</v>
      </c>
      <c r="AA54" s="80" t="s">
        <v>88</v>
      </c>
      <c r="AB54" s="80" t="s">
        <v>88</v>
      </c>
      <c r="AC54" s="80" t="s">
        <v>88</v>
      </c>
      <c r="AD54" s="80" t="s">
        <v>88</v>
      </c>
      <c r="AE54" s="80" t="s">
        <v>88</v>
      </c>
      <c r="AF54" s="80" t="s">
        <v>175</v>
      </c>
      <c r="AG54" s="80"/>
      <c r="BO54" s="122"/>
    </row>
    <row r="55" spans="1:71" x14ac:dyDescent="0.3">
      <c r="A55" s="145" t="s">
        <v>27</v>
      </c>
      <c r="B55" s="145" t="s">
        <v>50</v>
      </c>
      <c r="C55" s="145"/>
      <c r="D55" s="146">
        <f>$D$9</f>
        <v>43190</v>
      </c>
      <c r="E55" s="146">
        <f>$E$9</f>
        <v>43220</v>
      </c>
      <c r="F55" s="146">
        <f>$F$9</f>
        <v>43251</v>
      </c>
      <c r="G55" s="146">
        <f>$G$9</f>
        <v>43281</v>
      </c>
      <c r="H55" s="146">
        <f>$H$9</f>
        <v>43312</v>
      </c>
      <c r="I55" s="146">
        <f>$I$9</f>
        <v>43343</v>
      </c>
      <c r="J55" s="146">
        <f>$J$9</f>
        <v>43373</v>
      </c>
      <c r="K55" s="146">
        <f>$K$9</f>
        <v>43404</v>
      </c>
      <c r="L55" s="146">
        <f>$L$9</f>
        <v>43434</v>
      </c>
      <c r="M55" s="146">
        <f>$M$9</f>
        <v>43465</v>
      </c>
      <c r="N55" s="146">
        <f>$N$9</f>
        <v>43496</v>
      </c>
      <c r="O55" s="146">
        <f>$O$9</f>
        <v>43524</v>
      </c>
      <c r="P55" s="146">
        <f>$P$9</f>
        <v>43555</v>
      </c>
      <c r="Q55" s="146">
        <f>$Q$9</f>
        <v>43585</v>
      </c>
      <c r="R55" s="146">
        <f>$R$9</f>
        <v>43616</v>
      </c>
      <c r="S55" s="146">
        <f>$S$9</f>
        <v>43646</v>
      </c>
      <c r="T55" s="146">
        <f>$T$9</f>
        <v>43677</v>
      </c>
      <c r="U55" s="146">
        <f>$U$9</f>
        <v>43708</v>
      </c>
      <c r="V55" s="146">
        <f>$V$9</f>
        <v>43738</v>
      </c>
      <c r="W55" s="146">
        <f>$W$9</f>
        <v>43769</v>
      </c>
      <c r="X55" s="146">
        <f>$X$9</f>
        <v>43799</v>
      </c>
      <c r="Y55" s="146">
        <f>$Y$9</f>
        <v>43830</v>
      </c>
      <c r="Z55" s="146">
        <f>$Z$9</f>
        <v>43861</v>
      </c>
      <c r="AA55" s="146">
        <f>$AA$9</f>
        <v>43890</v>
      </c>
      <c r="AB55" s="146">
        <f>$AB$9</f>
        <v>43921</v>
      </c>
      <c r="AC55" s="146">
        <f>$AC$9</f>
        <v>43951</v>
      </c>
      <c r="AD55" s="146">
        <f>$AD$9</f>
        <v>43982</v>
      </c>
      <c r="AE55" s="146">
        <f>$AE$9</f>
        <v>44012</v>
      </c>
      <c r="AF55" s="147" t="s">
        <v>26</v>
      </c>
      <c r="AG55" s="80"/>
      <c r="BO55" s="122"/>
    </row>
    <row r="56" spans="1:71" x14ac:dyDescent="0.3">
      <c r="A56" s="80">
        <v>1</v>
      </c>
      <c r="B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0"/>
      <c r="BO56" s="122"/>
    </row>
    <row r="57" spans="1:71" x14ac:dyDescent="0.3">
      <c r="A57" s="80">
        <v>2</v>
      </c>
      <c r="AG57" s="80"/>
    </row>
    <row r="58" spans="1:71" x14ac:dyDescent="0.3">
      <c r="A58" s="80">
        <v>3</v>
      </c>
      <c r="B58" s="107" t="s">
        <v>145</v>
      </c>
      <c r="AG58" s="80"/>
    </row>
    <row r="59" spans="1:71" x14ac:dyDescent="0.3">
      <c r="A59" s="80">
        <v>4</v>
      </c>
      <c r="B59" s="154"/>
      <c r="D59" s="163"/>
      <c r="E59" s="163"/>
      <c r="F59" s="163"/>
      <c r="G59" s="163"/>
      <c r="H59" s="163"/>
      <c r="I59" s="163"/>
      <c r="J59" s="163"/>
      <c r="K59" s="163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0"/>
    </row>
    <row r="60" spans="1:71" x14ac:dyDescent="0.3">
      <c r="A60" s="80">
        <v>5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80"/>
    </row>
    <row r="61" spans="1:71" x14ac:dyDescent="0.3">
      <c r="A61" s="80">
        <v>6</v>
      </c>
      <c r="B61" s="67" t="str">
        <f t="shared" ref="B61:B72" si="47">B14</f>
        <v xml:space="preserve">    Series 6.96%   GMB</v>
      </c>
      <c r="C61" s="81">
        <v>16</v>
      </c>
      <c r="D61" s="116">
        <v>12992.33</v>
      </c>
      <c r="E61" s="116">
        <f t="shared" ref="E61:Z61" si="48">D61-E107</f>
        <v>12801.46</v>
      </c>
      <c r="F61" s="116">
        <f t="shared" si="48"/>
        <v>12610.589999999998</v>
      </c>
      <c r="G61" s="116">
        <f t="shared" si="48"/>
        <v>12419.719999999998</v>
      </c>
      <c r="H61" s="116">
        <f t="shared" si="48"/>
        <v>12228.849999999997</v>
      </c>
      <c r="I61" s="116">
        <f t="shared" si="48"/>
        <v>12037.979999999996</v>
      </c>
      <c r="J61" s="116">
        <f t="shared" si="48"/>
        <v>11847.109999999995</v>
      </c>
      <c r="K61" s="116">
        <f t="shared" si="48"/>
        <v>11656.239999999994</v>
      </c>
      <c r="L61" s="116">
        <f t="shared" si="48"/>
        <v>11465.369999999994</v>
      </c>
      <c r="M61" s="116">
        <f t="shared" si="48"/>
        <v>11274.499999999993</v>
      </c>
      <c r="N61" s="116">
        <f t="shared" si="48"/>
        <v>11083.629999999992</v>
      </c>
      <c r="O61" s="116">
        <f t="shared" si="48"/>
        <v>10892.759999999991</v>
      </c>
      <c r="P61" s="116">
        <f t="shared" si="48"/>
        <v>10701.88999999999</v>
      </c>
      <c r="Q61" s="116">
        <f t="shared" si="48"/>
        <v>10511.01999999999</v>
      </c>
      <c r="R61" s="116">
        <f t="shared" si="48"/>
        <v>10320.149999999989</v>
      </c>
      <c r="S61" s="116">
        <f t="shared" si="48"/>
        <v>10129.279999999988</v>
      </c>
      <c r="T61" s="116">
        <f t="shared" si="48"/>
        <v>9938.4099999999871</v>
      </c>
      <c r="U61" s="116">
        <f t="shared" si="48"/>
        <v>9747.5399999999863</v>
      </c>
      <c r="V61" s="116">
        <f t="shared" si="48"/>
        <v>9556.6699999999855</v>
      </c>
      <c r="W61" s="116">
        <f t="shared" si="48"/>
        <v>9365.7999999999847</v>
      </c>
      <c r="X61" s="116">
        <f t="shared" si="48"/>
        <v>9174.9299999999839</v>
      </c>
      <c r="Y61" s="116">
        <f t="shared" si="48"/>
        <v>8984.0599999999831</v>
      </c>
      <c r="Z61" s="116">
        <f t="shared" si="48"/>
        <v>8793.1899999999823</v>
      </c>
      <c r="AA61" s="116">
        <f t="shared" ref="AA61:AE61" si="49">Z61-AA107</f>
        <v>8602.3199999999815</v>
      </c>
      <c r="AB61" s="116">
        <f t="shared" si="49"/>
        <v>8411.4499999999807</v>
      </c>
      <c r="AC61" s="116">
        <f t="shared" si="49"/>
        <v>8220.5799999999799</v>
      </c>
      <c r="AD61" s="116">
        <f t="shared" si="49"/>
        <v>8029.70999999998</v>
      </c>
      <c r="AE61" s="116">
        <f t="shared" si="49"/>
        <v>7838.8399999999801</v>
      </c>
      <c r="AF61" s="116">
        <f>AVERAGE(S61:AE61)</f>
        <v>8984.0599999999813</v>
      </c>
      <c r="AG61" s="80"/>
      <c r="AH61" s="164" t="s">
        <v>125</v>
      </c>
    </row>
    <row r="62" spans="1:71" x14ac:dyDescent="0.3">
      <c r="A62" s="80">
        <v>7</v>
      </c>
      <c r="B62" s="67" t="str">
        <f t="shared" si="47"/>
        <v xml:space="preserve">    Series 7.15%   GMB</v>
      </c>
      <c r="C62" s="81">
        <v>18</v>
      </c>
      <c r="D62" s="94">
        <v>21447.360000000001</v>
      </c>
      <c r="E62" s="94">
        <f t="shared" ref="E62:Z62" si="50">D62-E108</f>
        <v>21245.15</v>
      </c>
      <c r="F62" s="94">
        <f t="shared" si="50"/>
        <v>21042.940000000002</v>
      </c>
      <c r="G62" s="94">
        <f t="shared" si="50"/>
        <v>20840.730000000003</v>
      </c>
      <c r="H62" s="94">
        <f t="shared" si="50"/>
        <v>20638.520000000004</v>
      </c>
      <c r="I62" s="94">
        <f t="shared" si="50"/>
        <v>20436.310000000005</v>
      </c>
      <c r="J62" s="94">
        <f t="shared" si="50"/>
        <v>20234.100000000006</v>
      </c>
      <c r="K62" s="94">
        <f t="shared" si="50"/>
        <v>20031.890000000007</v>
      </c>
      <c r="L62" s="94">
        <f t="shared" si="50"/>
        <v>19829.680000000008</v>
      </c>
      <c r="M62" s="94">
        <f t="shared" si="50"/>
        <v>19627.470000000008</v>
      </c>
      <c r="N62" s="94">
        <f t="shared" si="50"/>
        <v>19425.260000000009</v>
      </c>
      <c r="O62" s="94">
        <f t="shared" si="50"/>
        <v>19223.05000000001</v>
      </c>
      <c r="P62" s="94">
        <f t="shared" si="50"/>
        <v>19020.840000000011</v>
      </c>
      <c r="Q62" s="94">
        <f t="shared" si="50"/>
        <v>18818.630000000012</v>
      </c>
      <c r="R62" s="94">
        <f t="shared" si="50"/>
        <v>18616.420000000013</v>
      </c>
      <c r="S62" s="94">
        <f t="shared" si="50"/>
        <v>18414.210000000014</v>
      </c>
      <c r="T62" s="94">
        <f t="shared" si="50"/>
        <v>18212.000000000015</v>
      </c>
      <c r="U62" s="94">
        <f t="shared" si="50"/>
        <v>18009.790000000015</v>
      </c>
      <c r="V62" s="94">
        <f t="shared" si="50"/>
        <v>17807.580000000016</v>
      </c>
      <c r="W62" s="94">
        <f t="shared" si="50"/>
        <v>17605.370000000017</v>
      </c>
      <c r="X62" s="94">
        <f t="shared" si="50"/>
        <v>17403.160000000018</v>
      </c>
      <c r="Y62" s="94">
        <f t="shared" si="50"/>
        <v>17200.950000000019</v>
      </c>
      <c r="Z62" s="94">
        <f t="shared" si="50"/>
        <v>16998.74000000002</v>
      </c>
      <c r="AA62" s="94">
        <f t="shared" ref="AA62:AE62" si="51">Z62-AA108</f>
        <v>16796.530000000021</v>
      </c>
      <c r="AB62" s="94">
        <f t="shared" si="51"/>
        <v>16594.320000000022</v>
      </c>
      <c r="AC62" s="94">
        <f t="shared" si="51"/>
        <v>16392.110000000022</v>
      </c>
      <c r="AD62" s="94">
        <f t="shared" si="51"/>
        <v>16189.900000000023</v>
      </c>
      <c r="AE62" s="94">
        <f t="shared" si="51"/>
        <v>15987.690000000024</v>
      </c>
      <c r="AF62" s="94">
        <f t="shared" ref="AF62:AF74" si="52">AVERAGE(S62:AE62)</f>
        <v>17200.950000000019</v>
      </c>
      <c r="AG62" s="80"/>
      <c r="AH62" s="164" t="s">
        <v>126</v>
      </c>
    </row>
    <row r="63" spans="1:71" x14ac:dyDescent="0.3">
      <c r="A63" s="80">
        <v>8</v>
      </c>
      <c r="B63" s="67" t="str">
        <f t="shared" si="47"/>
        <v xml:space="preserve">    Series 6.99%   GMB</v>
      </c>
      <c r="C63" s="81">
        <v>19</v>
      </c>
      <c r="D63" s="94">
        <v>33150.36</v>
      </c>
      <c r="E63" s="94">
        <f t="shared" ref="E63:Z63" si="53">D63-E109</f>
        <v>32878.640000000007</v>
      </c>
      <c r="F63" s="94">
        <f t="shared" si="53"/>
        <v>32606.920000000013</v>
      </c>
      <c r="G63" s="94">
        <f t="shared" si="53"/>
        <v>32335.200000000019</v>
      </c>
      <c r="H63" s="94">
        <f t="shared" si="53"/>
        <v>32063.480000000025</v>
      </c>
      <c r="I63" s="94">
        <f t="shared" si="53"/>
        <v>31791.760000000031</v>
      </c>
      <c r="J63" s="94">
        <f t="shared" si="53"/>
        <v>31520.040000000037</v>
      </c>
      <c r="K63" s="94">
        <f t="shared" si="53"/>
        <v>31248.320000000043</v>
      </c>
      <c r="L63" s="94">
        <f t="shared" si="53"/>
        <v>30976.600000000049</v>
      </c>
      <c r="M63" s="94">
        <f t="shared" si="53"/>
        <v>30704.880000000056</v>
      </c>
      <c r="N63" s="94">
        <f t="shared" si="53"/>
        <v>30433.160000000062</v>
      </c>
      <c r="O63" s="94">
        <f t="shared" si="53"/>
        <v>30161.440000000068</v>
      </c>
      <c r="P63" s="94">
        <f t="shared" si="53"/>
        <v>29889.720000000074</v>
      </c>
      <c r="Q63" s="94">
        <f t="shared" si="53"/>
        <v>29618.00000000008</v>
      </c>
      <c r="R63" s="94">
        <f t="shared" si="53"/>
        <v>29346.280000000086</v>
      </c>
      <c r="S63" s="94">
        <f t="shared" si="53"/>
        <v>29074.560000000092</v>
      </c>
      <c r="T63" s="94">
        <f t="shared" si="53"/>
        <v>28802.840000000098</v>
      </c>
      <c r="U63" s="94">
        <f t="shared" si="53"/>
        <v>28531.120000000104</v>
      </c>
      <c r="V63" s="94">
        <f t="shared" si="53"/>
        <v>28259.400000000111</v>
      </c>
      <c r="W63" s="94">
        <f t="shared" si="53"/>
        <v>27987.680000000117</v>
      </c>
      <c r="X63" s="94">
        <f t="shared" si="53"/>
        <v>27715.960000000123</v>
      </c>
      <c r="Y63" s="94">
        <f t="shared" si="53"/>
        <v>27444.240000000129</v>
      </c>
      <c r="Z63" s="94">
        <f t="shared" si="53"/>
        <v>27172.520000000135</v>
      </c>
      <c r="AA63" s="94">
        <f t="shared" ref="AA63:AE63" si="54">Z63-AA109</f>
        <v>26900.800000000141</v>
      </c>
      <c r="AB63" s="94">
        <f t="shared" si="54"/>
        <v>26629.080000000147</v>
      </c>
      <c r="AC63" s="94">
        <f t="shared" si="54"/>
        <v>26357.360000000153</v>
      </c>
      <c r="AD63" s="94">
        <f t="shared" si="54"/>
        <v>26085.640000000159</v>
      </c>
      <c r="AE63" s="94">
        <f t="shared" si="54"/>
        <v>25813.920000000166</v>
      </c>
      <c r="AF63" s="94">
        <f t="shared" si="52"/>
        <v>27444.240000000125</v>
      </c>
      <c r="AG63" s="80"/>
      <c r="AH63" s="164" t="s">
        <v>127</v>
      </c>
    </row>
    <row r="64" spans="1:71" x14ac:dyDescent="0.3">
      <c r="A64" s="80">
        <v>9</v>
      </c>
      <c r="B64" s="67" t="str">
        <f t="shared" si="47"/>
        <v xml:space="preserve">    Series 6.593%  Note</v>
      </c>
      <c r="C64" s="81">
        <v>26</v>
      </c>
      <c r="D64" s="94">
        <v>324332.26</v>
      </c>
      <c r="E64" s="94">
        <f t="shared" ref="E64:Z64" si="55">D64-E110</f>
        <v>322949.38</v>
      </c>
      <c r="F64" s="94">
        <f t="shared" si="55"/>
        <v>321566.5</v>
      </c>
      <c r="G64" s="94">
        <f t="shared" si="55"/>
        <v>320183.62</v>
      </c>
      <c r="H64" s="94">
        <f t="shared" si="55"/>
        <v>318800.74</v>
      </c>
      <c r="I64" s="94">
        <f t="shared" si="55"/>
        <v>317417.86</v>
      </c>
      <c r="J64" s="94">
        <f t="shared" si="55"/>
        <v>316034.98</v>
      </c>
      <c r="K64" s="94">
        <f t="shared" si="55"/>
        <v>314652.09999999998</v>
      </c>
      <c r="L64" s="94">
        <f t="shared" si="55"/>
        <v>313269.21999999997</v>
      </c>
      <c r="M64" s="94">
        <f t="shared" si="55"/>
        <v>311886.33999999997</v>
      </c>
      <c r="N64" s="94">
        <f t="shared" si="55"/>
        <v>310503.45999999996</v>
      </c>
      <c r="O64" s="94">
        <f t="shared" si="55"/>
        <v>309120.57999999996</v>
      </c>
      <c r="P64" s="94">
        <f t="shared" si="55"/>
        <v>307737.69999999995</v>
      </c>
      <c r="Q64" s="94">
        <f t="shared" si="55"/>
        <v>306354.81999999995</v>
      </c>
      <c r="R64" s="94">
        <f t="shared" si="55"/>
        <v>304971.93999999994</v>
      </c>
      <c r="S64" s="94">
        <f t="shared" si="55"/>
        <v>303589.05999999994</v>
      </c>
      <c r="T64" s="94">
        <f t="shared" si="55"/>
        <v>302206.17999999993</v>
      </c>
      <c r="U64" s="94">
        <f t="shared" si="55"/>
        <v>300823.29999999993</v>
      </c>
      <c r="V64" s="94">
        <f t="shared" si="55"/>
        <v>299440.41999999993</v>
      </c>
      <c r="W64" s="94">
        <f t="shared" si="55"/>
        <v>298057.53999999992</v>
      </c>
      <c r="X64" s="94">
        <f t="shared" si="55"/>
        <v>296674.65999999992</v>
      </c>
      <c r="Y64" s="94">
        <f t="shared" si="55"/>
        <v>295291.77999999991</v>
      </c>
      <c r="Z64" s="94">
        <f t="shared" si="55"/>
        <v>293908.89999999991</v>
      </c>
      <c r="AA64" s="94">
        <f t="shared" ref="AA64:AE64" si="56">Z64-AA110</f>
        <v>292526.0199999999</v>
      </c>
      <c r="AB64" s="94">
        <f t="shared" si="56"/>
        <v>291143.1399999999</v>
      </c>
      <c r="AC64" s="94">
        <f t="shared" si="56"/>
        <v>289760.25999999989</v>
      </c>
      <c r="AD64" s="94">
        <f t="shared" si="56"/>
        <v>288377.37999999989</v>
      </c>
      <c r="AE64" s="94">
        <f t="shared" si="56"/>
        <v>286994.49999999988</v>
      </c>
      <c r="AF64" s="94">
        <f t="shared" si="52"/>
        <v>295291.77999999991</v>
      </c>
      <c r="AG64" s="80"/>
      <c r="AH64" s="67" t="s">
        <v>128</v>
      </c>
    </row>
    <row r="65" spans="1:34" x14ac:dyDescent="0.3">
      <c r="A65" s="80">
        <v>10</v>
      </c>
      <c r="B65" s="67" t="str">
        <f t="shared" si="47"/>
        <v xml:space="preserve">    Series 6.25%    Note</v>
      </c>
      <c r="C65" s="81">
        <v>27</v>
      </c>
      <c r="D65" s="94">
        <v>431503.56</v>
      </c>
      <c r="E65" s="94">
        <f t="shared" ref="E65:Z65" si="57">D65-E111</f>
        <v>429805.17</v>
      </c>
      <c r="F65" s="94">
        <f t="shared" si="57"/>
        <v>428106.77999999997</v>
      </c>
      <c r="G65" s="94">
        <f t="shared" si="57"/>
        <v>426408.38999999996</v>
      </c>
      <c r="H65" s="94">
        <f t="shared" si="57"/>
        <v>424709.99999999994</v>
      </c>
      <c r="I65" s="94">
        <f t="shared" si="57"/>
        <v>423011.60999999993</v>
      </c>
      <c r="J65" s="94">
        <f t="shared" si="57"/>
        <v>421313.21999999991</v>
      </c>
      <c r="K65" s="94">
        <f t="shared" si="57"/>
        <v>419614.8299999999</v>
      </c>
      <c r="L65" s="94">
        <f t="shared" si="57"/>
        <v>417916.43999999989</v>
      </c>
      <c r="M65" s="94">
        <f t="shared" si="57"/>
        <v>416218.04999999987</v>
      </c>
      <c r="N65" s="94">
        <f t="shared" si="57"/>
        <v>414519.65999999986</v>
      </c>
      <c r="O65" s="94">
        <f t="shared" si="57"/>
        <v>412821.26999999984</v>
      </c>
      <c r="P65" s="94">
        <f t="shared" si="57"/>
        <v>411122.87999999983</v>
      </c>
      <c r="Q65" s="94">
        <f t="shared" si="57"/>
        <v>409424.48999999982</v>
      </c>
      <c r="R65" s="94">
        <f t="shared" si="57"/>
        <v>407726.0999999998</v>
      </c>
      <c r="S65" s="94">
        <f t="shared" si="57"/>
        <v>406027.70999999979</v>
      </c>
      <c r="T65" s="94">
        <f t="shared" si="57"/>
        <v>404329.31999999977</v>
      </c>
      <c r="U65" s="94">
        <f t="shared" si="57"/>
        <v>402630.92999999976</v>
      </c>
      <c r="V65" s="94">
        <f t="shared" si="57"/>
        <v>400932.53999999975</v>
      </c>
      <c r="W65" s="94">
        <f t="shared" si="57"/>
        <v>399234.14999999973</v>
      </c>
      <c r="X65" s="94">
        <f t="shared" si="57"/>
        <v>397535.75999999972</v>
      </c>
      <c r="Y65" s="94">
        <f t="shared" si="57"/>
        <v>395837.3699999997</v>
      </c>
      <c r="Z65" s="94">
        <f t="shared" si="57"/>
        <v>394138.97999999969</v>
      </c>
      <c r="AA65" s="94">
        <f t="shared" ref="AA65:AE65" si="58">Z65-AA111</f>
        <v>392440.58999999968</v>
      </c>
      <c r="AB65" s="94">
        <f t="shared" si="58"/>
        <v>390742.19999999966</v>
      </c>
      <c r="AC65" s="94">
        <f t="shared" si="58"/>
        <v>389043.80999999965</v>
      </c>
      <c r="AD65" s="94">
        <f t="shared" si="58"/>
        <v>387345.41999999963</v>
      </c>
      <c r="AE65" s="94">
        <f t="shared" si="58"/>
        <v>385647.02999999962</v>
      </c>
      <c r="AF65" s="94">
        <f t="shared" si="52"/>
        <v>395837.3699999997</v>
      </c>
      <c r="AG65" s="80"/>
      <c r="AH65" s="67" t="s">
        <v>129</v>
      </c>
    </row>
    <row r="66" spans="1:34" x14ac:dyDescent="0.3">
      <c r="A66" s="80">
        <v>11</v>
      </c>
      <c r="B66" s="67" t="str">
        <f t="shared" si="47"/>
        <v xml:space="preserve">    Series 5.625%  Note</v>
      </c>
      <c r="C66" s="81">
        <v>28</v>
      </c>
      <c r="D66" s="94">
        <v>278536.74</v>
      </c>
      <c r="E66" s="94">
        <f t="shared" ref="E66:Z66" si="59">D66-E112</f>
        <v>277453.21999999997</v>
      </c>
      <c r="F66" s="94">
        <f t="shared" si="59"/>
        <v>276369.69999999995</v>
      </c>
      <c r="G66" s="94">
        <f t="shared" si="59"/>
        <v>275286.17999999993</v>
      </c>
      <c r="H66" s="94">
        <f t="shared" si="59"/>
        <v>274202.65999999992</v>
      </c>
      <c r="I66" s="94">
        <f t="shared" si="59"/>
        <v>273119.1399999999</v>
      </c>
      <c r="J66" s="94">
        <f t="shared" si="59"/>
        <v>272035.61999999988</v>
      </c>
      <c r="K66" s="94">
        <f t="shared" si="59"/>
        <v>270952.09999999986</v>
      </c>
      <c r="L66" s="94">
        <f t="shared" si="59"/>
        <v>269868.57999999984</v>
      </c>
      <c r="M66" s="94">
        <f t="shared" si="59"/>
        <v>268785.05999999982</v>
      </c>
      <c r="N66" s="94">
        <f t="shared" si="59"/>
        <v>267701.5399999998</v>
      </c>
      <c r="O66" s="94">
        <f t="shared" si="59"/>
        <v>266618.01999999979</v>
      </c>
      <c r="P66" s="94">
        <f t="shared" si="59"/>
        <v>265534.49999999977</v>
      </c>
      <c r="Q66" s="94">
        <f t="shared" si="59"/>
        <v>264450.97999999975</v>
      </c>
      <c r="R66" s="94">
        <f t="shared" si="59"/>
        <v>263367.45999999973</v>
      </c>
      <c r="S66" s="94">
        <f t="shared" si="59"/>
        <v>262283.93999999971</v>
      </c>
      <c r="T66" s="94">
        <f t="shared" si="59"/>
        <v>261200.41999999972</v>
      </c>
      <c r="U66" s="94">
        <f t="shared" si="59"/>
        <v>260116.89999999973</v>
      </c>
      <c r="V66" s="94">
        <f t="shared" si="59"/>
        <v>259033.37999999974</v>
      </c>
      <c r="W66" s="94">
        <f t="shared" si="59"/>
        <v>257949.85999999975</v>
      </c>
      <c r="X66" s="94">
        <f t="shared" si="59"/>
        <v>256866.33999999976</v>
      </c>
      <c r="Y66" s="94">
        <f t="shared" si="59"/>
        <v>255782.81999999977</v>
      </c>
      <c r="Z66" s="94">
        <f t="shared" si="59"/>
        <v>254699.29999999978</v>
      </c>
      <c r="AA66" s="94">
        <f t="shared" ref="AA66:AE66" si="60">Z66-AA112</f>
        <v>253615.7799999998</v>
      </c>
      <c r="AB66" s="94">
        <f t="shared" si="60"/>
        <v>252532.25999999981</v>
      </c>
      <c r="AC66" s="94">
        <f t="shared" si="60"/>
        <v>251448.73999999982</v>
      </c>
      <c r="AD66" s="94">
        <f t="shared" si="60"/>
        <v>250365.21999999983</v>
      </c>
      <c r="AE66" s="94">
        <f t="shared" si="60"/>
        <v>249281.69999999984</v>
      </c>
      <c r="AF66" s="94">
        <f t="shared" si="52"/>
        <v>255782.81999999977</v>
      </c>
      <c r="AG66" s="80"/>
      <c r="AH66" s="67" t="s">
        <v>130</v>
      </c>
    </row>
    <row r="67" spans="1:34" x14ac:dyDescent="0.3">
      <c r="A67" s="80">
        <v>12</v>
      </c>
      <c r="B67" s="67" t="str">
        <f t="shared" si="47"/>
        <v xml:space="preserve">    Series 5.375%  Note</v>
      </c>
      <c r="C67" s="81">
        <v>29</v>
      </c>
      <c r="D67" s="94">
        <v>240805.39</v>
      </c>
      <c r="E67" s="94">
        <f t="shared" ref="E67:K67" si="61">D67-E113</f>
        <v>239900.34000000003</v>
      </c>
      <c r="F67" s="94">
        <f t="shared" si="61"/>
        <v>238995.29000000004</v>
      </c>
      <c r="G67" s="94">
        <f t="shared" si="61"/>
        <v>238090.24000000005</v>
      </c>
      <c r="H67" s="94">
        <f t="shared" si="61"/>
        <v>237185.19000000006</v>
      </c>
      <c r="I67" s="94">
        <f t="shared" si="61"/>
        <v>236280.14000000007</v>
      </c>
      <c r="J67" s="94">
        <f t="shared" si="61"/>
        <v>235375.09000000008</v>
      </c>
      <c r="K67" s="94">
        <f t="shared" si="61"/>
        <v>234470.0400000001</v>
      </c>
      <c r="L67" s="94">
        <f>+K67-L113</f>
        <v>233564.99000000011</v>
      </c>
      <c r="M67" s="94">
        <f t="shared" ref="M67:Z67" si="62">L67-M113</f>
        <v>232659.94000000012</v>
      </c>
      <c r="N67" s="94">
        <f t="shared" si="62"/>
        <v>231754.89000000013</v>
      </c>
      <c r="O67" s="94">
        <f t="shared" si="62"/>
        <v>230849.84000000014</v>
      </c>
      <c r="P67" s="94">
        <f t="shared" si="62"/>
        <v>229944.79000000015</v>
      </c>
      <c r="Q67" s="94">
        <f t="shared" si="62"/>
        <v>229039.74000000017</v>
      </c>
      <c r="R67" s="94">
        <f t="shared" si="62"/>
        <v>228134.69000000018</v>
      </c>
      <c r="S67" s="94">
        <f t="shared" si="62"/>
        <v>227229.64000000019</v>
      </c>
      <c r="T67" s="94">
        <f t="shared" si="62"/>
        <v>226324.5900000002</v>
      </c>
      <c r="U67" s="94">
        <f t="shared" si="62"/>
        <v>225419.54000000021</v>
      </c>
      <c r="V67" s="94">
        <f t="shared" si="62"/>
        <v>224514.49000000022</v>
      </c>
      <c r="W67" s="94">
        <f t="shared" si="62"/>
        <v>223609.44000000024</v>
      </c>
      <c r="X67" s="94">
        <f t="shared" si="62"/>
        <v>222704.39000000025</v>
      </c>
      <c r="Y67" s="94">
        <f t="shared" si="62"/>
        <v>221799.34000000026</v>
      </c>
      <c r="Z67" s="94">
        <f t="shared" si="62"/>
        <v>220894.29000000027</v>
      </c>
      <c r="AA67" s="94">
        <f t="shared" ref="AA67:AE67" si="63">Z67-AA113</f>
        <v>219989.24000000028</v>
      </c>
      <c r="AB67" s="94">
        <f t="shared" si="63"/>
        <v>219084.19000000029</v>
      </c>
      <c r="AC67" s="94">
        <f t="shared" si="63"/>
        <v>218179.14000000031</v>
      </c>
      <c r="AD67" s="94">
        <f t="shared" si="63"/>
        <v>217274.09000000032</v>
      </c>
      <c r="AE67" s="94">
        <f t="shared" si="63"/>
        <v>216369.04000000033</v>
      </c>
      <c r="AF67" s="94">
        <f t="shared" si="52"/>
        <v>221799.34000000026</v>
      </c>
      <c r="AG67" s="80"/>
      <c r="AH67" s="67" t="s">
        <v>131</v>
      </c>
    </row>
    <row r="68" spans="1:34" x14ac:dyDescent="0.3">
      <c r="A68" s="80">
        <v>13</v>
      </c>
      <c r="B68" s="67" t="str">
        <f t="shared" si="47"/>
        <v xml:space="preserve">    Series 5.05%    Note</v>
      </c>
      <c r="C68" s="81">
        <v>30</v>
      </c>
      <c r="D68" s="94"/>
      <c r="E68" s="94">
        <f>D68-E114</f>
        <v>0</v>
      </c>
      <c r="F68" s="94">
        <f t="shared" ref="F68:AE68" si="64">E68-F114</f>
        <v>0</v>
      </c>
      <c r="G68" s="94">
        <f t="shared" si="64"/>
        <v>0</v>
      </c>
      <c r="H68" s="94">
        <f t="shared" si="64"/>
        <v>0</v>
      </c>
      <c r="I68" s="94">
        <f t="shared" si="64"/>
        <v>0</v>
      </c>
      <c r="J68" s="94">
        <f t="shared" si="64"/>
        <v>0</v>
      </c>
      <c r="K68" s="94">
        <f t="shared" si="64"/>
        <v>0</v>
      </c>
      <c r="L68" s="94">
        <f t="shared" si="64"/>
        <v>0</v>
      </c>
      <c r="M68" s="94">
        <f t="shared" si="64"/>
        <v>0</v>
      </c>
      <c r="N68" s="94">
        <f t="shared" si="64"/>
        <v>0</v>
      </c>
      <c r="O68" s="94">
        <f t="shared" si="64"/>
        <v>0</v>
      </c>
      <c r="P68" s="94">
        <f t="shared" si="64"/>
        <v>0</v>
      </c>
      <c r="Q68" s="94">
        <f t="shared" si="64"/>
        <v>0</v>
      </c>
      <c r="R68" s="94">
        <f t="shared" si="64"/>
        <v>0</v>
      </c>
      <c r="S68" s="94">
        <f t="shared" si="64"/>
        <v>0</v>
      </c>
      <c r="T68" s="94">
        <f t="shared" si="64"/>
        <v>0</v>
      </c>
      <c r="U68" s="94">
        <f t="shared" si="64"/>
        <v>0</v>
      </c>
      <c r="V68" s="94">
        <f t="shared" si="64"/>
        <v>0</v>
      </c>
      <c r="W68" s="94">
        <f t="shared" si="64"/>
        <v>0</v>
      </c>
      <c r="X68" s="94">
        <f t="shared" si="64"/>
        <v>0</v>
      </c>
      <c r="Y68" s="94">
        <f t="shared" si="64"/>
        <v>0</v>
      </c>
      <c r="Z68" s="94">
        <f t="shared" si="64"/>
        <v>0</v>
      </c>
      <c r="AA68" s="94">
        <f t="shared" si="64"/>
        <v>0</v>
      </c>
      <c r="AB68" s="94">
        <f t="shared" si="64"/>
        <v>0</v>
      </c>
      <c r="AC68" s="94">
        <f t="shared" si="64"/>
        <v>0</v>
      </c>
      <c r="AD68" s="94">
        <f t="shared" si="64"/>
        <v>0</v>
      </c>
      <c r="AE68" s="94">
        <f t="shared" si="64"/>
        <v>0</v>
      </c>
      <c r="AF68" s="94">
        <f t="shared" si="52"/>
        <v>0</v>
      </c>
      <c r="AG68" s="80"/>
      <c r="AH68" s="67" t="s">
        <v>133</v>
      </c>
    </row>
    <row r="69" spans="1:34" x14ac:dyDescent="0.3">
      <c r="A69" s="80">
        <v>14</v>
      </c>
      <c r="B69" s="67" t="str">
        <f t="shared" si="47"/>
        <v xml:space="preserve">    Series 4.00%    Note</v>
      </c>
      <c r="C69" s="81">
        <v>31</v>
      </c>
      <c r="D69" s="94"/>
      <c r="E69" s="94">
        <f>D69-E115</f>
        <v>0</v>
      </c>
      <c r="F69" s="94">
        <f t="shared" ref="F69:AE69" si="65">E69-F115</f>
        <v>0</v>
      </c>
      <c r="G69" s="94">
        <f t="shared" si="65"/>
        <v>0</v>
      </c>
      <c r="H69" s="94">
        <f t="shared" si="65"/>
        <v>0</v>
      </c>
      <c r="I69" s="94">
        <f t="shared" si="65"/>
        <v>0</v>
      </c>
      <c r="J69" s="94">
        <f t="shared" si="65"/>
        <v>0</v>
      </c>
      <c r="K69" s="94">
        <f t="shared" si="65"/>
        <v>0</v>
      </c>
      <c r="L69" s="94">
        <f t="shared" si="65"/>
        <v>0</v>
      </c>
      <c r="M69" s="94">
        <f t="shared" si="65"/>
        <v>0</v>
      </c>
      <c r="N69" s="94">
        <f t="shared" si="65"/>
        <v>0</v>
      </c>
      <c r="O69" s="94">
        <f t="shared" si="65"/>
        <v>0</v>
      </c>
      <c r="P69" s="94">
        <f t="shared" si="65"/>
        <v>0</v>
      </c>
      <c r="Q69" s="94">
        <f t="shared" si="65"/>
        <v>0</v>
      </c>
      <c r="R69" s="94">
        <f t="shared" si="65"/>
        <v>0</v>
      </c>
      <c r="S69" s="94">
        <f t="shared" si="65"/>
        <v>0</v>
      </c>
      <c r="T69" s="94">
        <f t="shared" si="65"/>
        <v>0</v>
      </c>
      <c r="U69" s="94">
        <f t="shared" si="65"/>
        <v>0</v>
      </c>
      <c r="V69" s="94">
        <f t="shared" si="65"/>
        <v>0</v>
      </c>
      <c r="W69" s="94">
        <f t="shared" si="65"/>
        <v>0</v>
      </c>
      <c r="X69" s="94">
        <f t="shared" si="65"/>
        <v>0</v>
      </c>
      <c r="Y69" s="94">
        <f t="shared" si="65"/>
        <v>0</v>
      </c>
      <c r="Z69" s="94">
        <f t="shared" si="65"/>
        <v>0</v>
      </c>
      <c r="AA69" s="94">
        <f t="shared" si="65"/>
        <v>0</v>
      </c>
      <c r="AB69" s="94">
        <f t="shared" si="65"/>
        <v>0</v>
      </c>
      <c r="AC69" s="94">
        <f t="shared" si="65"/>
        <v>0</v>
      </c>
      <c r="AD69" s="94">
        <f t="shared" si="65"/>
        <v>0</v>
      </c>
      <c r="AE69" s="94">
        <f t="shared" si="65"/>
        <v>0</v>
      </c>
      <c r="AF69" s="94">
        <f t="shared" si="52"/>
        <v>0</v>
      </c>
      <c r="AG69" s="80"/>
      <c r="AH69" s="67" t="s">
        <v>181</v>
      </c>
    </row>
    <row r="70" spans="1:34" x14ac:dyDescent="0.3">
      <c r="A70" s="80">
        <v>15</v>
      </c>
      <c r="B70" s="67" t="str">
        <f t="shared" si="47"/>
        <v xml:space="preserve">    Series 4.00%    Note</v>
      </c>
      <c r="C70" s="81">
        <v>32</v>
      </c>
      <c r="D70" s="92">
        <v>50132.54</v>
      </c>
      <c r="E70" s="94">
        <f>D70-E116</f>
        <v>49986.840000000004</v>
      </c>
      <c r="F70" s="94">
        <f t="shared" ref="F70" si="66">E70-F116</f>
        <v>49841.140000000007</v>
      </c>
      <c r="G70" s="94">
        <f t="shared" ref="G70" si="67">F70-G116</f>
        <v>49695.44000000001</v>
      </c>
      <c r="H70" s="94">
        <f t="shared" ref="H70" si="68">G70-H116</f>
        <v>49549.740000000013</v>
      </c>
      <c r="I70" s="94">
        <f t="shared" ref="I70" si="69">H70-I116</f>
        <v>49404.040000000015</v>
      </c>
      <c r="J70" s="94">
        <f t="shared" ref="J70" si="70">I70-J116</f>
        <v>49258.340000000018</v>
      </c>
      <c r="K70" s="94">
        <f t="shared" ref="K70" si="71">J70-K116</f>
        <v>49112.640000000021</v>
      </c>
      <c r="L70" s="94">
        <f t="shared" ref="L70" si="72">K70-L116</f>
        <v>48966.940000000024</v>
      </c>
      <c r="M70" s="94">
        <f t="shared" ref="M70" si="73">L70-M116</f>
        <v>48821.240000000027</v>
      </c>
      <c r="N70" s="94">
        <f t="shared" ref="N70" si="74">M70-N116</f>
        <v>48675.54000000003</v>
      </c>
      <c r="O70" s="94">
        <f t="shared" ref="O70" si="75">N70-O116</f>
        <v>48529.840000000033</v>
      </c>
      <c r="P70" s="92"/>
      <c r="Q70" s="92">
        <f>Q23*0.01-Q116</f>
        <v>49854.3</v>
      </c>
      <c r="R70" s="92">
        <f>Q70-R116</f>
        <v>49708.600000000006</v>
      </c>
      <c r="S70" s="92">
        <f t="shared" ref="S70:AE71" si="76">R70-S116</f>
        <v>49562.900000000009</v>
      </c>
      <c r="T70" s="92">
        <f t="shared" si="76"/>
        <v>49417.200000000012</v>
      </c>
      <c r="U70" s="92">
        <f t="shared" si="76"/>
        <v>49271.500000000015</v>
      </c>
      <c r="V70" s="92">
        <f t="shared" si="76"/>
        <v>49125.800000000017</v>
      </c>
      <c r="W70" s="92">
        <f t="shared" si="76"/>
        <v>48980.10000000002</v>
      </c>
      <c r="X70" s="92">
        <f t="shared" si="76"/>
        <v>48834.400000000023</v>
      </c>
      <c r="Y70" s="92">
        <f t="shared" si="76"/>
        <v>48688.700000000026</v>
      </c>
      <c r="Z70" s="92">
        <f t="shared" si="76"/>
        <v>48543.000000000029</v>
      </c>
      <c r="AA70" s="92">
        <f t="shared" si="76"/>
        <v>48397.300000000032</v>
      </c>
      <c r="AB70" s="92">
        <f t="shared" si="76"/>
        <v>48251.600000000035</v>
      </c>
      <c r="AC70" s="92">
        <f t="shared" si="76"/>
        <v>48105.900000000038</v>
      </c>
      <c r="AD70" s="92">
        <f t="shared" si="76"/>
        <v>47960.200000000041</v>
      </c>
      <c r="AE70" s="92">
        <f t="shared" si="76"/>
        <v>47814.500000000044</v>
      </c>
      <c r="AF70" s="92">
        <f>AVERAGE(S70:AE70)</f>
        <v>48688.700000000026</v>
      </c>
      <c r="AG70" s="80"/>
      <c r="AH70" s="67" t="s">
        <v>248</v>
      </c>
    </row>
    <row r="71" spans="1:34" x14ac:dyDescent="0.3">
      <c r="A71" s="80">
        <v>16</v>
      </c>
      <c r="B71" s="67" t="str">
        <f t="shared" si="47"/>
        <v xml:space="preserve">    Series 3.75%    Note</v>
      </c>
      <c r="C71" s="81">
        <v>33</v>
      </c>
      <c r="D71" s="92">
        <v>50958.37</v>
      </c>
      <c r="E71" s="94">
        <f>D71-E117</f>
        <v>50814.07</v>
      </c>
      <c r="F71" s="94">
        <f t="shared" ref="F71" si="77">E71-F117</f>
        <v>50669.77</v>
      </c>
      <c r="G71" s="94">
        <f t="shared" ref="G71" si="78">F71-G117</f>
        <v>50525.469999999994</v>
      </c>
      <c r="H71" s="94">
        <f t="shared" ref="H71" si="79">G71-H117</f>
        <v>50381.169999999991</v>
      </c>
      <c r="I71" s="94">
        <f t="shared" ref="I71" si="80">H71-I117</f>
        <v>50236.869999999988</v>
      </c>
      <c r="J71" s="94">
        <f t="shared" ref="J71" si="81">I71-J117</f>
        <v>50092.569999999985</v>
      </c>
      <c r="K71" s="94">
        <f t="shared" ref="K71" si="82">J71-K117</f>
        <v>49948.269999999982</v>
      </c>
      <c r="L71" s="94">
        <f t="shared" ref="L71" si="83">K71-L117</f>
        <v>49803.969999999979</v>
      </c>
      <c r="M71" s="94">
        <f t="shared" ref="M71" si="84">L71-M117</f>
        <v>49659.669999999976</v>
      </c>
      <c r="N71" s="94">
        <f t="shared" ref="N71" si="85">M71-N117</f>
        <v>49515.369999999974</v>
      </c>
      <c r="O71" s="94">
        <f t="shared" ref="O71" si="86">N71-O117</f>
        <v>49371.069999999971</v>
      </c>
      <c r="P71" s="94">
        <f t="shared" ref="P71" si="87">O71-P117</f>
        <v>49226.769999999968</v>
      </c>
      <c r="Q71" s="94">
        <f t="shared" ref="Q71" si="88">P71-Q117</f>
        <v>49082.469999999965</v>
      </c>
      <c r="R71" s="94">
        <f t="shared" ref="R71" si="89">Q71-R117</f>
        <v>48938.169999999962</v>
      </c>
      <c r="S71" s="94">
        <f t="shared" si="76"/>
        <v>48793.869999999959</v>
      </c>
      <c r="T71" s="94">
        <f t="shared" si="76"/>
        <v>48649.569999999956</v>
      </c>
      <c r="U71" s="94">
        <f t="shared" si="76"/>
        <v>48505.269999999953</v>
      </c>
      <c r="V71" s="94">
        <f t="shared" si="76"/>
        <v>48360.96999999995</v>
      </c>
      <c r="W71" s="94">
        <f t="shared" si="76"/>
        <v>48216.669999999947</v>
      </c>
      <c r="X71" s="94">
        <f t="shared" si="76"/>
        <v>48072.369999999944</v>
      </c>
      <c r="Y71" s="94">
        <f t="shared" si="76"/>
        <v>47928.069999999942</v>
      </c>
      <c r="Z71" s="94">
        <f t="shared" si="76"/>
        <v>47783.769999999939</v>
      </c>
      <c r="AA71" s="94">
        <f t="shared" si="76"/>
        <v>47639.469999999936</v>
      </c>
      <c r="AB71" s="94">
        <f t="shared" si="76"/>
        <v>47495.169999999933</v>
      </c>
      <c r="AC71" s="94">
        <f t="shared" si="76"/>
        <v>47350.86999999993</v>
      </c>
      <c r="AD71" s="94">
        <f t="shared" si="76"/>
        <v>47206.569999999927</v>
      </c>
      <c r="AE71" s="94">
        <f t="shared" si="76"/>
        <v>47062.269999999924</v>
      </c>
      <c r="AF71" s="94">
        <f t="shared" si="52"/>
        <v>47928.069999999942</v>
      </c>
      <c r="AG71" s="80"/>
      <c r="AH71" s="67" t="s">
        <v>249</v>
      </c>
    </row>
    <row r="72" spans="1:34" x14ac:dyDescent="0.3">
      <c r="A72" s="80">
        <v>17</v>
      </c>
      <c r="B72" s="67" t="str">
        <f t="shared" si="47"/>
        <v xml:space="preserve">    Proposed 4.55%    Note</v>
      </c>
      <c r="C72" s="81">
        <v>34</v>
      </c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>
        <f>R25*0.01-R118</f>
        <v>159777.77777777778</v>
      </c>
      <c r="S72" s="94">
        <f>R72-S118</f>
        <v>159333.33333333334</v>
      </c>
      <c r="T72" s="94">
        <f t="shared" ref="T72:AE72" si="90">S72-T118</f>
        <v>158888.88888888891</v>
      </c>
      <c r="U72" s="94">
        <f t="shared" si="90"/>
        <v>158444.44444444447</v>
      </c>
      <c r="V72" s="94">
        <f t="shared" si="90"/>
        <v>158000.00000000003</v>
      </c>
      <c r="W72" s="94">
        <f t="shared" si="90"/>
        <v>157555.55555555559</v>
      </c>
      <c r="X72" s="94">
        <f t="shared" si="90"/>
        <v>157111.11111111115</v>
      </c>
      <c r="Y72" s="94">
        <f t="shared" si="90"/>
        <v>156666.66666666672</v>
      </c>
      <c r="Z72" s="94">
        <f t="shared" si="90"/>
        <v>156222.22222222228</v>
      </c>
      <c r="AA72" s="94">
        <f t="shared" si="90"/>
        <v>155777.77777777784</v>
      </c>
      <c r="AB72" s="94">
        <f t="shared" si="90"/>
        <v>155333.3333333334</v>
      </c>
      <c r="AC72" s="94">
        <f t="shared" si="90"/>
        <v>154888.88888888896</v>
      </c>
      <c r="AD72" s="94">
        <f t="shared" si="90"/>
        <v>154444.44444444453</v>
      </c>
      <c r="AE72" s="94">
        <f t="shared" si="90"/>
        <v>154000.00000000009</v>
      </c>
      <c r="AF72" s="94">
        <f>AVERAGE(S72:AE72)</f>
        <v>156666.66666666672</v>
      </c>
      <c r="AG72" s="80"/>
      <c r="AH72" s="67" t="s">
        <v>268</v>
      </c>
    </row>
    <row r="73" spans="1:34" x14ac:dyDescent="0.3">
      <c r="A73" s="80">
        <v>18</v>
      </c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80"/>
    </row>
    <row r="74" spans="1:34" x14ac:dyDescent="0.3">
      <c r="A74" s="80">
        <v>19</v>
      </c>
      <c r="B74" s="67" t="s">
        <v>121</v>
      </c>
      <c r="D74" s="94">
        <v>5289.59</v>
      </c>
      <c r="E74" s="94">
        <f t="shared" ref="E74:Z74" si="91">D74-E120</f>
        <v>5211.84</v>
      </c>
      <c r="F74" s="94">
        <f t="shared" si="91"/>
        <v>5134.09</v>
      </c>
      <c r="G74" s="94">
        <f t="shared" si="91"/>
        <v>5056.34</v>
      </c>
      <c r="H74" s="94">
        <f t="shared" si="91"/>
        <v>4978.59</v>
      </c>
      <c r="I74" s="94">
        <f t="shared" si="91"/>
        <v>4900.84</v>
      </c>
      <c r="J74" s="94">
        <f t="shared" si="91"/>
        <v>4823.09</v>
      </c>
      <c r="K74" s="94">
        <f t="shared" si="91"/>
        <v>4745.34</v>
      </c>
      <c r="L74" s="94">
        <f t="shared" si="91"/>
        <v>4667.59</v>
      </c>
      <c r="M74" s="94">
        <f t="shared" si="91"/>
        <v>4589.84</v>
      </c>
      <c r="N74" s="94">
        <f t="shared" si="91"/>
        <v>4512.09</v>
      </c>
      <c r="O74" s="94">
        <f t="shared" si="91"/>
        <v>4434.34</v>
      </c>
      <c r="P74" s="94">
        <f t="shared" si="91"/>
        <v>4356.59</v>
      </c>
      <c r="Q74" s="94">
        <f t="shared" si="91"/>
        <v>4278.84</v>
      </c>
      <c r="R74" s="94">
        <f t="shared" si="91"/>
        <v>4201.09</v>
      </c>
      <c r="S74" s="94">
        <f t="shared" si="91"/>
        <v>4123.34</v>
      </c>
      <c r="T74" s="94">
        <f t="shared" si="91"/>
        <v>4045.59</v>
      </c>
      <c r="U74" s="94">
        <f t="shared" si="91"/>
        <v>3967.84</v>
      </c>
      <c r="V74" s="94">
        <f t="shared" si="91"/>
        <v>3890.09</v>
      </c>
      <c r="W74" s="94">
        <f t="shared" si="91"/>
        <v>3812.34</v>
      </c>
      <c r="X74" s="94">
        <f t="shared" si="91"/>
        <v>3734.59</v>
      </c>
      <c r="Y74" s="94">
        <f t="shared" si="91"/>
        <v>3656.84</v>
      </c>
      <c r="Z74" s="94">
        <f t="shared" si="91"/>
        <v>3579.09</v>
      </c>
      <c r="AA74" s="94">
        <f t="shared" ref="AA74:AE74" si="92">Z74-AA120</f>
        <v>3501.34</v>
      </c>
      <c r="AB74" s="94">
        <f t="shared" si="92"/>
        <v>3423.59</v>
      </c>
      <c r="AC74" s="94">
        <f t="shared" si="92"/>
        <v>3345.84</v>
      </c>
      <c r="AD74" s="94">
        <f t="shared" si="92"/>
        <v>3268.09</v>
      </c>
      <c r="AE74" s="94">
        <f t="shared" si="92"/>
        <v>3190.34</v>
      </c>
      <c r="AF74" s="94">
        <f t="shared" si="52"/>
        <v>3656.8399999999988</v>
      </c>
      <c r="AG74" s="80"/>
      <c r="AH74" s="67" t="s">
        <v>132</v>
      </c>
    </row>
    <row r="75" spans="1:34" x14ac:dyDescent="0.3">
      <c r="A75" s="80">
        <v>20</v>
      </c>
      <c r="P75" s="67"/>
      <c r="AG75" s="80"/>
    </row>
    <row r="76" spans="1:34" ht="15" thickBot="1" x14ac:dyDescent="0.35">
      <c r="A76" s="80">
        <v>21</v>
      </c>
      <c r="B76" s="72" t="s">
        <v>94</v>
      </c>
      <c r="D76" s="159">
        <f t="shared" ref="D76:AF76" si="93">SUM(D59:D74)</f>
        <v>1449148.5000000002</v>
      </c>
      <c r="E76" s="159">
        <f t="shared" si="93"/>
        <v>1443046.1100000003</v>
      </c>
      <c r="F76" s="159">
        <f t="shared" si="93"/>
        <v>1436943.72</v>
      </c>
      <c r="G76" s="159">
        <f t="shared" si="93"/>
        <v>1430841.3299999998</v>
      </c>
      <c r="H76" s="159">
        <f t="shared" si="93"/>
        <v>1424738.94</v>
      </c>
      <c r="I76" s="159">
        <f t="shared" si="93"/>
        <v>1418636.55</v>
      </c>
      <c r="J76" s="159">
        <f t="shared" si="93"/>
        <v>1412534.1600000001</v>
      </c>
      <c r="K76" s="159">
        <f t="shared" si="93"/>
        <v>1406431.77</v>
      </c>
      <c r="L76" s="159">
        <f t="shared" si="93"/>
        <v>1400329.38</v>
      </c>
      <c r="M76" s="159">
        <f t="shared" si="93"/>
        <v>1394226.99</v>
      </c>
      <c r="N76" s="159">
        <f t="shared" si="93"/>
        <v>1388124.5999999999</v>
      </c>
      <c r="O76" s="159">
        <f t="shared" si="93"/>
        <v>1382022.21</v>
      </c>
      <c r="P76" s="159">
        <f t="shared" si="93"/>
        <v>1327535.68</v>
      </c>
      <c r="Q76" s="159">
        <f t="shared" si="93"/>
        <v>1371433.2899999998</v>
      </c>
      <c r="R76" s="159">
        <f t="shared" si="93"/>
        <v>1525108.6777777777</v>
      </c>
      <c r="S76" s="159">
        <f t="shared" si="93"/>
        <v>1518561.8433333328</v>
      </c>
      <c r="T76" s="159">
        <f t="shared" si="93"/>
        <v>1512015.0088888889</v>
      </c>
      <c r="U76" s="159">
        <f t="shared" si="93"/>
        <v>1505468.1744444445</v>
      </c>
      <c r="V76" s="159">
        <f t="shared" si="93"/>
        <v>1498921.34</v>
      </c>
      <c r="W76" s="159">
        <f t="shared" si="93"/>
        <v>1492374.5055555555</v>
      </c>
      <c r="X76" s="159">
        <f t="shared" si="93"/>
        <v>1485827.6711111108</v>
      </c>
      <c r="Y76" s="159">
        <f t="shared" si="93"/>
        <v>1479280.8366666664</v>
      </c>
      <c r="Z76" s="159">
        <f t="shared" si="93"/>
        <v>1472734.0022222223</v>
      </c>
      <c r="AA76" s="159">
        <f t="shared" si="93"/>
        <v>1466187.1677777776</v>
      </c>
      <c r="AB76" s="159">
        <f t="shared" si="93"/>
        <v>1459640.3333333333</v>
      </c>
      <c r="AC76" s="159">
        <f t="shared" si="93"/>
        <v>1453093.4988888889</v>
      </c>
      <c r="AD76" s="159">
        <f t="shared" si="93"/>
        <v>1446546.6644444442</v>
      </c>
      <c r="AE76" s="159">
        <f t="shared" si="93"/>
        <v>1439999.83</v>
      </c>
      <c r="AF76" s="159">
        <f t="shared" si="93"/>
        <v>1479280.8366666664</v>
      </c>
      <c r="AG76" s="80"/>
    </row>
    <row r="77" spans="1:34" ht="15" thickTop="1" x14ac:dyDescent="0.3">
      <c r="A77" s="80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0"/>
    </row>
    <row r="78" spans="1:34" x14ac:dyDescent="0.3">
      <c r="A78" s="80"/>
      <c r="E78" s="87"/>
      <c r="AG78" s="80"/>
    </row>
    <row r="79" spans="1:34" x14ac:dyDescent="0.3">
      <c r="A79" s="80"/>
      <c r="D79" s="100"/>
      <c r="H79" s="92"/>
      <c r="AG79" s="80"/>
    </row>
    <row r="80" spans="1:34" x14ac:dyDescent="0.3">
      <c r="A80" s="80"/>
      <c r="D80" s="94"/>
      <c r="E80" s="94"/>
      <c r="F80" s="94"/>
      <c r="G80" s="94"/>
      <c r="H80" s="94"/>
      <c r="I80" s="94"/>
      <c r="AG80" s="80"/>
    </row>
    <row r="81" spans="1:71" x14ac:dyDescent="0.3">
      <c r="A81" s="80"/>
      <c r="D81" s="87"/>
      <c r="H81" s="92"/>
      <c r="J81" s="87"/>
      <c r="AG81" s="80"/>
    </row>
    <row r="82" spans="1:71" x14ac:dyDescent="0.3">
      <c r="A82" s="80"/>
      <c r="C82" s="67"/>
      <c r="F82" s="72"/>
      <c r="H82" s="92"/>
      <c r="AG82" s="80"/>
    </row>
    <row r="83" spans="1:71" x14ac:dyDescent="0.3">
      <c r="A83" s="80"/>
      <c r="E83" s="87"/>
      <c r="F83" s="92"/>
      <c r="H83" s="92"/>
      <c r="I83" s="72"/>
      <c r="J83" s="72"/>
      <c r="AG83" s="80"/>
    </row>
    <row r="84" spans="1:71" x14ac:dyDescent="0.3">
      <c r="A84" s="80"/>
      <c r="F84" s="166"/>
      <c r="H84" s="92"/>
      <c r="I84" s="72"/>
      <c r="J84" s="72"/>
      <c r="AG84" s="80"/>
    </row>
    <row r="85" spans="1:71" x14ac:dyDescent="0.3">
      <c r="A85" s="80"/>
      <c r="F85" s="107"/>
      <c r="I85" s="72"/>
      <c r="J85" s="72"/>
      <c r="AG85" s="80"/>
    </row>
    <row r="86" spans="1:71" x14ac:dyDescent="0.3">
      <c r="A86" s="80"/>
      <c r="D86" s="72"/>
      <c r="E86" s="72"/>
      <c r="F86" s="72"/>
      <c r="G86" s="72"/>
      <c r="H86" s="72"/>
      <c r="I86" s="72"/>
      <c r="J86" s="72"/>
      <c r="AG86" s="80"/>
    </row>
    <row r="87" spans="1:71" x14ac:dyDescent="0.3">
      <c r="A87" s="80"/>
      <c r="J87" s="167"/>
      <c r="AG87" s="80"/>
    </row>
    <row r="88" spans="1:71" x14ac:dyDescent="0.3">
      <c r="A88" s="80"/>
      <c r="AG88" s="80"/>
    </row>
    <row r="89" spans="1:71" x14ac:dyDescent="0.3">
      <c r="A89" s="80"/>
      <c r="AG89" s="80"/>
    </row>
    <row r="90" spans="1:71" x14ac:dyDescent="0.3">
      <c r="A90" s="80"/>
      <c r="AG90" s="80"/>
    </row>
    <row r="91" spans="1:71" x14ac:dyDescent="0.3">
      <c r="A91" s="80"/>
      <c r="AG91" s="80"/>
    </row>
    <row r="92" spans="1:71" x14ac:dyDescent="0.3">
      <c r="A92" s="80"/>
      <c r="AG92" s="80"/>
    </row>
    <row r="93" spans="1:71" x14ac:dyDescent="0.3">
      <c r="A93" s="118" t="s">
        <v>169</v>
      </c>
      <c r="O93" s="119" t="str">
        <f>$O$1</f>
        <v>W/P - 7-4</v>
      </c>
      <c r="AA93" s="119" t="str">
        <f>$O$93</f>
        <v>W/P - 7-4</v>
      </c>
      <c r="AF93" s="119" t="str">
        <f>$O$93</f>
        <v>W/P - 7-4</v>
      </c>
      <c r="AG93" s="80"/>
    </row>
    <row r="94" spans="1:71" x14ac:dyDescent="0.3">
      <c r="A94" s="118" t="s">
        <v>170</v>
      </c>
      <c r="O94" s="119" t="str">
        <f ca="1">RIGHT(CELL("filename",$A$4),LEN(CELL("filename",$A$4))-SEARCH("\Capital",CELL("filename",$A$4),1))</f>
        <v>Capital Structure\[KAWC 2018 Rate Case - Capital Structure.xlsx]Sch J WPs</v>
      </c>
      <c r="AA94" s="119" t="str">
        <f ca="1">RIGHT(CELL("filename",$A$4),LEN(CELL("filename",$A$4))-SEARCH("\Capital",CELL("filename",$A$4),1))</f>
        <v>Capital Structure\[KAWC 2018 Rate Case - Capital Structure.xlsx]Sch J WPs</v>
      </c>
      <c r="AF94" s="119" t="str">
        <f ca="1">RIGHT(CELL("filename",$A$4),LEN(CELL("filename",$A$4))-SEARCH("\Capital",CELL("filename",$A$4),1))</f>
        <v>Capital Structure\[KAWC 2018 Rate Case - Capital Structure.xlsx]Sch J WPs</v>
      </c>
      <c r="AG94" s="80"/>
    </row>
    <row r="95" spans="1:71" x14ac:dyDescent="0.3">
      <c r="A95" s="80"/>
      <c r="AG95" s="80"/>
    </row>
    <row r="96" spans="1:71" x14ac:dyDescent="0.3">
      <c r="A96" s="101" t="s">
        <v>18</v>
      </c>
      <c r="AG96" s="80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</row>
    <row r="97" spans="1:34" x14ac:dyDescent="0.3">
      <c r="A97" s="101" t="s">
        <v>256</v>
      </c>
      <c r="AG97" s="80"/>
    </row>
    <row r="98" spans="1:34" x14ac:dyDescent="0.3">
      <c r="AG98" s="80"/>
    </row>
    <row r="99" spans="1:34" x14ac:dyDescent="0.3">
      <c r="A99" s="140"/>
      <c r="B99" s="140" t="s">
        <v>56</v>
      </c>
      <c r="C99" s="140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80"/>
    </row>
    <row r="100" spans="1:34" x14ac:dyDescent="0.3">
      <c r="A100" s="80" t="s">
        <v>22</v>
      </c>
      <c r="B100" s="80" t="s">
        <v>87</v>
      </c>
      <c r="D100" s="80" t="s">
        <v>96</v>
      </c>
      <c r="E100" s="80" t="s">
        <v>96</v>
      </c>
      <c r="F100" s="80" t="s">
        <v>96</v>
      </c>
      <c r="G100" s="80" t="s">
        <v>96</v>
      </c>
      <c r="H100" s="80" t="s">
        <v>96</v>
      </c>
      <c r="I100" s="80" t="s">
        <v>96</v>
      </c>
      <c r="J100" s="80" t="s">
        <v>96</v>
      </c>
      <c r="K100" s="80" t="s">
        <v>96</v>
      </c>
      <c r="L100" s="80" t="s">
        <v>96</v>
      </c>
      <c r="M100" s="80" t="s">
        <v>96</v>
      </c>
      <c r="N100" s="80" t="s">
        <v>96</v>
      </c>
      <c r="O100" s="80" t="s">
        <v>96</v>
      </c>
      <c r="P100" s="80" t="s">
        <v>96</v>
      </c>
      <c r="Q100" s="80" t="s">
        <v>96</v>
      </c>
      <c r="R100" s="80" t="s">
        <v>96</v>
      </c>
      <c r="S100" s="80" t="s">
        <v>96</v>
      </c>
      <c r="T100" s="80" t="s">
        <v>96</v>
      </c>
      <c r="U100" s="80" t="s">
        <v>96</v>
      </c>
      <c r="V100" s="80" t="s">
        <v>96</v>
      </c>
      <c r="W100" s="80" t="s">
        <v>96</v>
      </c>
      <c r="X100" s="80" t="s">
        <v>96</v>
      </c>
      <c r="Y100" s="80" t="s">
        <v>96</v>
      </c>
      <c r="Z100" s="80" t="s">
        <v>96</v>
      </c>
      <c r="AA100" s="80" t="s">
        <v>96</v>
      </c>
      <c r="AB100" s="80" t="s">
        <v>96</v>
      </c>
      <c r="AC100" s="80" t="s">
        <v>96</v>
      </c>
      <c r="AD100" s="80" t="s">
        <v>96</v>
      </c>
      <c r="AE100" s="80" t="s">
        <v>96</v>
      </c>
      <c r="AF100" s="80" t="s">
        <v>97</v>
      </c>
      <c r="AG100" s="80"/>
    </row>
    <row r="101" spans="1:34" x14ac:dyDescent="0.3">
      <c r="A101" s="145" t="s">
        <v>27</v>
      </c>
      <c r="B101" s="145" t="s">
        <v>50</v>
      </c>
      <c r="C101" s="145"/>
      <c r="D101" s="146">
        <f>$D$9</f>
        <v>43190</v>
      </c>
      <c r="E101" s="146">
        <f>$E$9</f>
        <v>43220</v>
      </c>
      <c r="F101" s="146">
        <f>$F$9</f>
        <v>43251</v>
      </c>
      <c r="G101" s="146">
        <f>$G$9</f>
        <v>43281</v>
      </c>
      <c r="H101" s="146">
        <f>$H$9</f>
        <v>43312</v>
      </c>
      <c r="I101" s="146">
        <f>$I$9</f>
        <v>43343</v>
      </c>
      <c r="J101" s="146">
        <f>$J$9</f>
        <v>43373</v>
      </c>
      <c r="K101" s="146">
        <f>$K$9</f>
        <v>43404</v>
      </c>
      <c r="L101" s="146">
        <f>$L$9</f>
        <v>43434</v>
      </c>
      <c r="M101" s="146">
        <f>$M$9</f>
        <v>43465</v>
      </c>
      <c r="N101" s="146">
        <f>$N$9</f>
        <v>43496</v>
      </c>
      <c r="O101" s="146">
        <f>$O$9</f>
        <v>43524</v>
      </c>
      <c r="P101" s="146">
        <f>$P$9</f>
        <v>43555</v>
      </c>
      <c r="Q101" s="146">
        <f>$Q$9</f>
        <v>43585</v>
      </c>
      <c r="R101" s="146">
        <f>$R$9</f>
        <v>43616</v>
      </c>
      <c r="S101" s="146">
        <f>$S$9</f>
        <v>43646</v>
      </c>
      <c r="T101" s="146">
        <f>$T$9</f>
        <v>43677</v>
      </c>
      <c r="U101" s="146">
        <f>$U$9</f>
        <v>43708</v>
      </c>
      <c r="V101" s="146">
        <f>$V$9</f>
        <v>43738</v>
      </c>
      <c r="W101" s="146">
        <f>$W$9</f>
        <v>43769</v>
      </c>
      <c r="X101" s="146">
        <f>$X$9</f>
        <v>43799</v>
      </c>
      <c r="Y101" s="146">
        <f>$Y$9</f>
        <v>43830</v>
      </c>
      <c r="Z101" s="146">
        <f>$Z$9</f>
        <v>43861</v>
      </c>
      <c r="AA101" s="146">
        <f>$AA$9</f>
        <v>43890</v>
      </c>
      <c r="AB101" s="146">
        <f>$AB$9</f>
        <v>43921</v>
      </c>
      <c r="AC101" s="146">
        <f>$AC$9</f>
        <v>43951</v>
      </c>
      <c r="AD101" s="146">
        <f>$AD$9</f>
        <v>43982</v>
      </c>
      <c r="AE101" s="146">
        <f>$AE$9</f>
        <v>44012</v>
      </c>
      <c r="AF101" s="147" t="s">
        <v>85</v>
      </c>
      <c r="AG101" s="80"/>
    </row>
    <row r="102" spans="1:34" x14ac:dyDescent="0.3">
      <c r="A102" s="80">
        <v>1</v>
      </c>
      <c r="B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0"/>
    </row>
    <row r="103" spans="1:34" x14ac:dyDescent="0.3">
      <c r="A103" s="80">
        <f>A102+1</f>
        <v>2</v>
      </c>
      <c r="AG103" s="80"/>
    </row>
    <row r="104" spans="1:34" x14ac:dyDescent="0.3">
      <c r="A104" s="80">
        <f t="shared" ref="A104:A128" si="94">A103+1</f>
        <v>3</v>
      </c>
      <c r="B104" s="107" t="s">
        <v>145</v>
      </c>
      <c r="AG104" s="80"/>
    </row>
    <row r="105" spans="1:34" x14ac:dyDescent="0.3">
      <c r="A105" s="80">
        <f t="shared" si="94"/>
        <v>4</v>
      </c>
      <c r="B105" s="154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94"/>
      <c r="Y105" s="87"/>
      <c r="Z105" s="87"/>
      <c r="AA105" s="87"/>
      <c r="AB105" s="87"/>
      <c r="AC105" s="87"/>
      <c r="AD105" s="87"/>
      <c r="AE105" s="87"/>
      <c r="AF105" s="87"/>
      <c r="AG105" s="80"/>
    </row>
    <row r="106" spans="1:34" x14ac:dyDescent="0.3">
      <c r="A106" s="80">
        <f t="shared" si="94"/>
        <v>5</v>
      </c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>
        <f>AVERAGE(S107:AE107)</f>
        <v>190.86999999999995</v>
      </c>
      <c r="AG106" s="80"/>
    </row>
    <row r="107" spans="1:34" x14ac:dyDescent="0.3">
      <c r="A107" s="80">
        <f t="shared" si="94"/>
        <v>6</v>
      </c>
      <c r="B107" s="67" t="str">
        <f t="shared" ref="B107:B118" si="95">B14</f>
        <v xml:space="preserve">    Series 6.96%   GMB</v>
      </c>
      <c r="C107" s="81">
        <f>+C61</f>
        <v>16</v>
      </c>
      <c r="D107" s="116">
        <v>190.87</v>
      </c>
      <c r="E107" s="116">
        <f t="shared" ref="E107:T117" si="96">D107</f>
        <v>190.87</v>
      </c>
      <c r="F107" s="116">
        <f t="shared" si="96"/>
        <v>190.87</v>
      </c>
      <c r="G107" s="116">
        <f t="shared" si="96"/>
        <v>190.87</v>
      </c>
      <c r="H107" s="116">
        <f t="shared" si="96"/>
        <v>190.87</v>
      </c>
      <c r="I107" s="116">
        <f t="shared" si="96"/>
        <v>190.87</v>
      </c>
      <c r="J107" s="116">
        <f t="shared" si="96"/>
        <v>190.87</v>
      </c>
      <c r="K107" s="116">
        <f t="shared" si="96"/>
        <v>190.87</v>
      </c>
      <c r="L107" s="116">
        <f t="shared" si="96"/>
        <v>190.87</v>
      </c>
      <c r="M107" s="116">
        <f>L107</f>
        <v>190.87</v>
      </c>
      <c r="N107" s="116">
        <f>M107</f>
        <v>190.87</v>
      </c>
      <c r="O107" s="116">
        <f t="shared" si="96"/>
        <v>190.87</v>
      </c>
      <c r="P107" s="116">
        <f t="shared" si="96"/>
        <v>190.87</v>
      </c>
      <c r="Q107" s="116">
        <f t="shared" si="96"/>
        <v>190.87</v>
      </c>
      <c r="R107" s="116">
        <f t="shared" si="96"/>
        <v>190.87</v>
      </c>
      <c r="S107" s="116">
        <f t="shared" si="96"/>
        <v>190.87</v>
      </c>
      <c r="T107" s="116">
        <f t="shared" si="96"/>
        <v>190.87</v>
      </c>
      <c r="U107" s="116">
        <f t="shared" ref="U107:Z118" si="97">T107</f>
        <v>190.87</v>
      </c>
      <c r="V107" s="116">
        <f t="shared" si="97"/>
        <v>190.87</v>
      </c>
      <c r="W107" s="116">
        <f t="shared" si="97"/>
        <v>190.87</v>
      </c>
      <c r="X107" s="116">
        <f t="shared" si="97"/>
        <v>190.87</v>
      </c>
      <c r="Y107" s="116">
        <f t="shared" si="97"/>
        <v>190.87</v>
      </c>
      <c r="Z107" s="116">
        <f t="shared" si="97"/>
        <v>190.87</v>
      </c>
      <c r="AA107" s="116">
        <f t="shared" ref="AA107:AA118" si="98">Z107</f>
        <v>190.87</v>
      </c>
      <c r="AB107" s="116">
        <f t="shared" ref="AB107:AB118" si="99">AA107</f>
        <v>190.87</v>
      </c>
      <c r="AC107" s="116">
        <f t="shared" ref="AC107:AC118" si="100">AB107</f>
        <v>190.87</v>
      </c>
      <c r="AD107" s="116">
        <f t="shared" ref="AD107:AD118" si="101">AC107</f>
        <v>190.87</v>
      </c>
      <c r="AE107" s="116">
        <f t="shared" ref="AE107:AE118" si="102">AD107</f>
        <v>190.87</v>
      </c>
      <c r="AF107" s="116">
        <f>SUM(T107:AE107)</f>
        <v>2290.4399999999996</v>
      </c>
      <c r="AG107" s="80"/>
      <c r="AH107" s="164" t="s">
        <v>125</v>
      </c>
    </row>
    <row r="108" spans="1:34" x14ac:dyDescent="0.3">
      <c r="A108" s="80">
        <f t="shared" si="94"/>
        <v>7</v>
      </c>
      <c r="B108" s="67" t="str">
        <f t="shared" si="95"/>
        <v xml:space="preserve">    Series 7.15%   GMB</v>
      </c>
      <c r="C108" s="81">
        <f t="shared" ref="C108:C118" si="103">+C62</f>
        <v>18</v>
      </c>
      <c r="D108" s="94">
        <v>202.21</v>
      </c>
      <c r="E108" s="94">
        <f t="shared" si="96"/>
        <v>202.21</v>
      </c>
      <c r="F108" s="94">
        <f t="shared" si="96"/>
        <v>202.21</v>
      </c>
      <c r="G108" s="94">
        <f t="shared" si="96"/>
        <v>202.21</v>
      </c>
      <c r="H108" s="94">
        <f t="shared" si="96"/>
        <v>202.21</v>
      </c>
      <c r="I108" s="94">
        <f t="shared" si="96"/>
        <v>202.21</v>
      </c>
      <c r="J108" s="94">
        <f t="shared" si="96"/>
        <v>202.21</v>
      </c>
      <c r="K108" s="94">
        <f t="shared" si="96"/>
        <v>202.21</v>
      </c>
      <c r="L108" s="94">
        <f t="shared" si="96"/>
        <v>202.21</v>
      </c>
      <c r="M108" s="94">
        <f t="shared" si="96"/>
        <v>202.21</v>
      </c>
      <c r="N108" s="94">
        <f t="shared" si="96"/>
        <v>202.21</v>
      </c>
      <c r="O108" s="94">
        <f t="shared" si="96"/>
        <v>202.21</v>
      </c>
      <c r="P108" s="94">
        <f t="shared" si="96"/>
        <v>202.21</v>
      </c>
      <c r="Q108" s="94">
        <f t="shared" si="96"/>
        <v>202.21</v>
      </c>
      <c r="R108" s="94">
        <f t="shared" si="96"/>
        <v>202.21</v>
      </c>
      <c r="S108" s="94">
        <f t="shared" si="96"/>
        <v>202.21</v>
      </c>
      <c r="T108" s="94">
        <f t="shared" si="96"/>
        <v>202.21</v>
      </c>
      <c r="U108" s="94">
        <f t="shared" si="97"/>
        <v>202.21</v>
      </c>
      <c r="V108" s="94">
        <f t="shared" si="97"/>
        <v>202.21</v>
      </c>
      <c r="W108" s="94">
        <f t="shared" si="97"/>
        <v>202.21</v>
      </c>
      <c r="X108" s="94">
        <f t="shared" si="97"/>
        <v>202.21</v>
      </c>
      <c r="Y108" s="94">
        <f t="shared" si="97"/>
        <v>202.21</v>
      </c>
      <c r="Z108" s="94">
        <f>Y108</f>
        <v>202.21</v>
      </c>
      <c r="AA108" s="94">
        <f t="shared" si="98"/>
        <v>202.21</v>
      </c>
      <c r="AB108" s="94">
        <f t="shared" si="99"/>
        <v>202.21</v>
      </c>
      <c r="AC108" s="94">
        <f t="shared" si="100"/>
        <v>202.21</v>
      </c>
      <c r="AD108" s="94">
        <f t="shared" si="101"/>
        <v>202.21</v>
      </c>
      <c r="AE108" s="94">
        <f t="shared" si="102"/>
        <v>202.21</v>
      </c>
      <c r="AF108" s="94">
        <f t="shared" ref="AF108:AF120" si="104">SUM(T108:AE108)</f>
        <v>2426.52</v>
      </c>
      <c r="AG108" s="80"/>
      <c r="AH108" s="164" t="s">
        <v>126</v>
      </c>
    </row>
    <row r="109" spans="1:34" x14ac:dyDescent="0.3">
      <c r="A109" s="80">
        <f t="shared" si="94"/>
        <v>8</v>
      </c>
      <c r="B109" s="67" t="str">
        <f t="shared" si="95"/>
        <v xml:space="preserve">    Series 6.99%   GMB</v>
      </c>
      <c r="C109" s="81">
        <f t="shared" si="103"/>
        <v>19</v>
      </c>
      <c r="D109" s="94">
        <v>271.58</v>
      </c>
      <c r="E109" s="94">
        <v>271.71999999999389</v>
      </c>
      <c r="F109" s="94">
        <f t="shared" si="96"/>
        <v>271.71999999999389</v>
      </c>
      <c r="G109" s="94">
        <v>271.71999999999389</v>
      </c>
      <c r="H109" s="94">
        <f t="shared" si="96"/>
        <v>271.71999999999389</v>
      </c>
      <c r="I109" s="94">
        <f t="shared" si="96"/>
        <v>271.71999999999389</v>
      </c>
      <c r="J109" s="94">
        <f t="shared" si="96"/>
        <v>271.71999999999389</v>
      </c>
      <c r="K109" s="94">
        <f t="shared" si="96"/>
        <v>271.71999999999389</v>
      </c>
      <c r="L109" s="94">
        <f t="shared" si="96"/>
        <v>271.71999999999389</v>
      </c>
      <c r="M109" s="94">
        <f t="shared" si="96"/>
        <v>271.71999999999389</v>
      </c>
      <c r="N109" s="94">
        <f t="shared" si="96"/>
        <v>271.71999999999389</v>
      </c>
      <c r="O109" s="94">
        <f t="shared" si="96"/>
        <v>271.71999999999389</v>
      </c>
      <c r="P109" s="94">
        <f t="shared" si="96"/>
        <v>271.71999999999389</v>
      </c>
      <c r="Q109" s="94">
        <f t="shared" si="96"/>
        <v>271.71999999999389</v>
      </c>
      <c r="R109" s="94">
        <f t="shared" si="96"/>
        <v>271.71999999999389</v>
      </c>
      <c r="S109" s="94">
        <f t="shared" si="96"/>
        <v>271.71999999999389</v>
      </c>
      <c r="T109" s="94">
        <f t="shared" si="96"/>
        <v>271.71999999999389</v>
      </c>
      <c r="U109" s="94">
        <f t="shared" si="97"/>
        <v>271.71999999999389</v>
      </c>
      <c r="V109" s="94">
        <f t="shared" si="97"/>
        <v>271.71999999999389</v>
      </c>
      <c r="W109" s="94">
        <f t="shared" si="97"/>
        <v>271.71999999999389</v>
      </c>
      <c r="X109" s="94">
        <f t="shared" si="97"/>
        <v>271.71999999999389</v>
      </c>
      <c r="Y109" s="94">
        <f t="shared" si="97"/>
        <v>271.71999999999389</v>
      </c>
      <c r="Z109" s="94">
        <f t="shared" si="97"/>
        <v>271.71999999999389</v>
      </c>
      <c r="AA109" s="94">
        <f t="shared" si="98"/>
        <v>271.71999999999389</v>
      </c>
      <c r="AB109" s="94">
        <f t="shared" si="99"/>
        <v>271.71999999999389</v>
      </c>
      <c r="AC109" s="94">
        <f t="shared" si="100"/>
        <v>271.71999999999389</v>
      </c>
      <c r="AD109" s="94">
        <f t="shared" si="101"/>
        <v>271.71999999999389</v>
      </c>
      <c r="AE109" s="94">
        <f t="shared" si="102"/>
        <v>271.71999999999389</v>
      </c>
      <c r="AF109" s="94">
        <f t="shared" si="104"/>
        <v>3260.6399999999267</v>
      </c>
      <c r="AG109" s="80"/>
      <c r="AH109" s="164" t="s">
        <v>127</v>
      </c>
    </row>
    <row r="110" spans="1:34" x14ac:dyDescent="0.3">
      <c r="A110" s="80">
        <f t="shared" si="94"/>
        <v>9</v>
      </c>
      <c r="B110" s="67" t="str">
        <f t="shared" si="95"/>
        <v xml:space="preserve">    Series 6.593%  Note</v>
      </c>
      <c r="C110" s="81">
        <f t="shared" si="103"/>
        <v>26</v>
      </c>
      <c r="D110" s="94">
        <v>1382.88</v>
      </c>
      <c r="E110" s="94">
        <f t="shared" si="96"/>
        <v>1382.88</v>
      </c>
      <c r="F110" s="94">
        <f t="shared" si="96"/>
        <v>1382.88</v>
      </c>
      <c r="G110" s="94">
        <f t="shared" si="96"/>
        <v>1382.88</v>
      </c>
      <c r="H110" s="94">
        <f t="shared" si="96"/>
        <v>1382.88</v>
      </c>
      <c r="I110" s="94">
        <f t="shared" si="96"/>
        <v>1382.88</v>
      </c>
      <c r="J110" s="94">
        <f>I110</f>
        <v>1382.88</v>
      </c>
      <c r="K110" s="94">
        <f t="shared" si="96"/>
        <v>1382.88</v>
      </c>
      <c r="L110" s="94">
        <f t="shared" si="96"/>
        <v>1382.88</v>
      </c>
      <c r="M110" s="94">
        <f t="shared" si="96"/>
        <v>1382.88</v>
      </c>
      <c r="N110" s="94">
        <f t="shared" si="96"/>
        <v>1382.88</v>
      </c>
      <c r="O110" s="94">
        <f t="shared" si="96"/>
        <v>1382.88</v>
      </c>
      <c r="P110" s="94">
        <f t="shared" si="96"/>
        <v>1382.88</v>
      </c>
      <c r="Q110" s="94">
        <f t="shared" si="96"/>
        <v>1382.88</v>
      </c>
      <c r="R110" s="94">
        <f t="shared" si="96"/>
        <v>1382.88</v>
      </c>
      <c r="S110" s="94">
        <f t="shared" si="96"/>
        <v>1382.88</v>
      </c>
      <c r="T110" s="94">
        <f t="shared" si="96"/>
        <v>1382.88</v>
      </c>
      <c r="U110" s="94">
        <f t="shared" si="97"/>
        <v>1382.88</v>
      </c>
      <c r="V110" s="94">
        <f t="shared" si="97"/>
        <v>1382.88</v>
      </c>
      <c r="W110" s="94">
        <f t="shared" si="97"/>
        <v>1382.88</v>
      </c>
      <c r="X110" s="94">
        <f t="shared" si="97"/>
        <v>1382.88</v>
      </c>
      <c r="Y110" s="94">
        <f t="shared" si="97"/>
        <v>1382.88</v>
      </c>
      <c r="Z110" s="94">
        <f t="shared" si="97"/>
        <v>1382.88</v>
      </c>
      <c r="AA110" s="94">
        <f t="shared" si="98"/>
        <v>1382.88</v>
      </c>
      <c r="AB110" s="94">
        <f t="shared" si="99"/>
        <v>1382.88</v>
      </c>
      <c r="AC110" s="94">
        <f t="shared" si="100"/>
        <v>1382.88</v>
      </c>
      <c r="AD110" s="94">
        <f t="shared" si="101"/>
        <v>1382.88</v>
      </c>
      <c r="AE110" s="94">
        <f t="shared" si="102"/>
        <v>1382.88</v>
      </c>
      <c r="AF110" s="94">
        <f t="shared" si="104"/>
        <v>16594.560000000005</v>
      </c>
      <c r="AG110" s="80"/>
      <c r="AH110" s="67" t="s">
        <v>128</v>
      </c>
    </row>
    <row r="111" spans="1:34" x14ac:dyDescent="0.3">
      <c r="A111" s="80">
        <f t="shared" si="94"/>
        <v>10</v>
      </c>
      <c r="B111" s="67" t="str">
        <f t="shared" si="95"/>
        <v xml:space="preserve">    Series 6.25%    Note</v>
      </c>
      <c r="C111" s="81">
        <f t="shared" si="103"/>
        <v>27</v>
      </c>
      <c r="D111" s="94">
        <v>1698.39</v>
      </c>
      <c r="E111" s="94">
        <f t="shared" si="96"/>
        <v>1698.39</v>
      </c>
      <c r="F111" s="94">
        <f t="shared" si="96"/>
        <v>1698.39</v>
      </c>
      <c r="G111" s="94">
        <f t="shared" si="96"/>
        <v>1698.39</v>
      </c>
      <c r="H111" s="94">
        <f t="shared" si="96"/>
        <v>1698.39</v>
      </c>
      <c r="I111" s="94">
        <f t="shared" si="96"/>
        <v>1698.39</v>
      </c>
      <c r="J111" s="94">
        <f t="shared" si="96"/>
        <v>1698.39</v>
      </c>
      <c r="K111" s="94">
        <f t="shared" si="96"/>
        <v>1698.39</v>
      </c>
      <c r="L111" s="94">
        <f t="shared" si="96"/>
        <v>1698.39</v>
      </c>
      <c r="M111" s="94">
        <f t="shared" si="96"/>
        <v>1698.39</v>
      </c>
      <c r="N111" s="94">
        <f t="shared" si="96"/>
        <v>1698.39</v>
      </c>
      <c r="O111" s="94">
        <f t="shared" si="96"/>
        <v>1698.39</v>
      </c>
      <c r="P111" s="94">
        <f t="shared" si="96"/>
        <v>1698.39</v>
      </c>
      <c r="Q111" s="94">
        <f t="shared" si="96"/>
        <v>1698.39</v>
      </c>
      <c r="R111" s="94">
        <f t="shared" si="96"/>
        <v>1698.39</v>
      </c>
      <c r="S111" s="94">
        <f t="shared" si="96"/>
        <v>1698.39</v>
      </c>
      <c r="T111" s="94">
        <f t="shared" si="96"/>
        <v>1698.39</v>
      </c>
      <c r="U111" s="94">
        <f t="shared" si="97"/>
        <v>1698.39</v>
      </c>
      <c r="V111" s="94">
        <f t="shared" si="97"/>
        <v>1698.39</v>
      </c>
      <c r="W111" s="94">
        <f t="shared" si="97"/>
        <v>1698.39</v>
      </c>
      <c r="X111" s="94">
        <f t="shared" si="97"/>
        <v>1698.39</v>
      </c>
      <c r="Y111" s="94">
        <f t="shared" si="97"/>
        <v>1698.39</v>
      </c>
      <c r="Z111" s="94">
        <f t="shared" si="97"/>
        <v>1698.39</v>
      </c>
      <c r="AA111" s="94">
        <f t="shared" si="98"/>
        <v>1698.39</v>
      </c>
      <c r="AB111" s="94">
        <f t="shared" si="99"/>
        <v>1698.39</v>
      </c>
      <c r="AC111" s="94">
        <f t="shared" si="100"/>
        <v>1698.39</v>
      </c>
      <c r="AD111" s="94">
        <f t="shared" si="101"/>
        <v>1698.39</v>
      </c>
      <c r="AE111" s="94">
        <f t="shared" si="102"/>
        <v>1698.39</v>
      </c>
      <c r="AF111" s="94">
        <f t="shared" si="104"/>
        <v>20380.679999999997</v>
      </c>
      <c r="AG111" s="80"/>
      <c r="AH111" s="67" t="s">
        <v>129</v>
      </c>
    </row>
    <row r="112" spans="1:34" x14ac:dyDescent="0.3">
      <c r="A112" s="80">
        <f t="shared" si="94"/>
        <v>11</v>
      </c>
      <c r="B112" s="67" t="str">
        <f t="shared" si="95"/>
        <v xml:space="preserve">    Series 5.625%  Note</v>
      </c>
      <c r="C112" s="81">
        <f t="shared" si="103"/>
        <v>28</v>
      </c>
      <c r="D112" s="94">
        <v>1083.52</v>
      </c>
      <c r="E112" s="94">
        <f t="shared" si="96"/>
        <v>1083.52</v>
      </c>
      <c r="F112" s="94">
        <f t="shared" si="96"/>
        <v>1083.52</v>
      </c>
      <c r="G112" s="94">
        <f t="shared" si="96"/>
        <v>1083.52</v>
      </c>
      <c r="H112" s="94">
        <f t="shared" si="96"/>
        <v>1083.52</v>
      </c>
      <c r="I112" s="94">
        <f t="shared" si="96"/>
        <v>1083.52</v>
      </c>
      <c r="J112" s="94">
        <f t="shared" si="96"/>
        <v>1083.52</v>
      </c>
      <c r="K112" s="94">
        <f t="shared" si="96"/>
        <v>1083.52</v>
      </c>
      <c r="L112" s="94">
        <f t="shared" si="96"/>
        <v>1083.52</v>
      </c>
      <c r="M112" s="94">
        <f t="shared" si="96"/>
        <v>1083.52</v>
      </c>
      <c r="N112" s="94">
        <f t="shared" si="96"/>
        <v>1083.52</v>
      </c>
      <c r="O112" s="94">
        <f t="shared" si="96"/>
        <v>1083.52</v>
      </c>
      <c r="P112" s="94">
        <f t="shared" si="96"/>
        <v>1083.52</v>
      </c>
      <c r="Q112" s="94">
        <f t="shared" si="96"/>
        <v>1083.52</v>
      </c>
      <c r="R112" s="94">
        <f t="shared" si="96"/>
        <v>1083.52</v>
      </c>
      <c r="S112" s="94">
        <f t="shared" si="96"/>
        <v>1083.52</v>
      </c>
      <c r="T112" s="94">
        <f t="shared" si="96"/>
        <v>1083.52</v>
      </c>
      <c r="U112" s="94">
        <f t="shared" si="97"/>
        <v>1083.52</v>
      </c>
      <c r="V112" s="94">
        <f t="shared" si="97"/>
        <v>1083.52</v>
      </c>
      <c r="W112" s="94">
        <f t="shared" si="97"/>
        <v>1083.52</v>
      </c>
      <c r="X112" s="94">
        <f t="shared" si="97"/>
        <v>1083.52</v>
      </c>
      <c r="Y112" s="94">
        <f t="shared" si="97"/>
        <v>1083.52</v>
      </c>
      <c r="Z112" s="94">
        <f t="shared" si="97"/>
        <v>1083.52</v>
      </c>
      <c r="AA112" s="94">
        <f t="shared" si="98"/>
        <v>1083.52</v>
      </c>
      <c r="AB112" s="94">
        <f t="shared" si="99"/>
        <v>1083.52</v>
      </c>
      <c r="AC112" s="94">
        <f t="shared" si="100"/>
        <v>1083.52</v>
      </c>
      <c r="AD112" s="94">
        <f t="shared" si="101"/>
        <v>1083.52</v>
      </c>
      <c r="AE112" s="94">
        <f t="shared" si="102"/>
        <v>1083.52</v>
      </c>
      <c r="AF112" s="94">
        <f t="shared" si="104"/>
        <v>13002.240000000003</v>
      </c>
      <c r="AG112" s="80"/>
      <c r="AH112" s="67" t="s">
        <v>130</v>
      </c>
    </row>
    <row r="113" spans="1:34" x14ac:dyDescent="0.3">
      <c r="A113" s="80">
        <f t="shared" si="94"/>
        <v>12</v>
      </c>
      <c r="B113" s="67" t="str">
        <f t="shared" si="95"/>
        <v xml:space="preserve">    Series 5.375%  Note</v>
      </c>
      <c r="C113" s="81">
        <f t="shared" si="103"/>
        <v>29</v>
      </c>
      <c r="D113" s="94">
        <v>905.05</v>
      </c>
      <c r="E113" s="94">
        <f t="shared" si="96"/>
        <v>905.05</v>
      </c>
      <c r="F113" s="94">
        <f t="shared" si="96"/>
        <v>905.05</v>
      </c>
      <c r="G113" s="94">
        <f t="shared" si="96"/>
        <v>905.05</v>
      </c>
      <c r="H113" s="94">
        <f t="shared" si="96"/>
        <v>905.05</v>
      </c>
      <c r="I113" s="94">
        <f t="shared" si="96"/>
        <v>905.05</v>
      </c>
      <c r="J113" s="94">
        <f t="shared" si="96"/>
        <v>905.05</v>
      </c>
      <c r="K113" s="94">
        <f t="shared" si="96"/>
        <v>905.05</v>
      </c>
      <c r="L113" s="94">
        <f t="shared" si="96"/>
        <v>905.05</v>
      </c>
      <c r="M113" s="94">
        <f t="shared" si="96"/>
        <v>905.05</v>
      </c>
      <c r="N113" s="94">
        <f t="shared" si="96"/>
        <v>905.05</v>
      </c>
      <c r="O113" s="94">
        <f t="shared" si="96"/>
        <v>905.05</v>
      </c>
      <c r="P113" s="94">
        <f t="shared" si="96"/>
        <v>905.05</v>
      </c>
      <c r="Q113" s="94">
        <f t="shared" si="96"/>
        <v>905.05</v>
      </c>
      <c r="R113" s="94">
        <f t="shared" si="96"/>
        <v>905.05</v>
      </c>
      <c r="S113" s="94">
        <f t="shared" si="96"/>
        <v>905.05</v>
      </c>
      <c r="T113" s="94">
        <f t="shared" si="96"/>
        <v>905.05</v>
      </c>
      <c r="U113" s="94">
        <f t="shared" si="97"/>
        <v>905.05</v>
      </c>
      <c r="V113" s="94">
        <f t="shared" si="97"/>
        <v>905.05</v>
      </c>
      <c r="W113" s="94">
        <f t="shared" si="97"/>
        <v>905.05</v>
      </c>
      <c r="X113" s="94">
        <f t="shared" si="97"/>
        <v>905.05</v>
      </c>
      <c r="Y113" s="94">
        <f t="shared" si="97"/>
        <v>905.05</v>
      </c>
      <c r="Z113" s="94">
        <f t="shared" si="97"/>
        <v>905.05</v>
      </c>
      <c r="AA113" s="94">
        <f t="shared" si="98"/>
        <v>905.05</v>
      </c>
      <c r="AB113" s="94">
        <f t="shared" si="99"/>
        <v>905.05</v>
      </c>
      <c r="AC113" s="94">
        <f t="shared" si="100"/>
        <v>905.05</v>
      </c>
      <c r="AD113" s="94">
        <f t="shared" si="101"/>
        <v>905.05</v>
      </c>
      <c r="AE113" s="94">
        <f t="shared" si="102"/>
        <v>905.05</v>
      </c>
      <c r="AF113" s="94">
        <f t="shared" si="104"/>
        <v>10860.599999999999</v>
      </c>
      <c r="AG113" s="80"/>
      <c r="AH113" s="67" t="s">
        <v>131</v>
      </c>
    </row>
    <row r="114" spans="1:34" x14ac:dyDescent="0.3">
      <c r="A114" s="80">
        <f t="shared" si="94"/>
        <v>13</v>
      </c>
      <c r="B114" s="67" t="str">
        <f t="shared" si="95"/>
        <v xml:space="preserve">    Series 5.05%    Note</v>
      </c>
      <c r="C114" s="81">
        <f t="shared" si="103"/>
        <v>30</v>
      </c>
      <c r="D114" s="94"/>
      <c r="E114" s="94">
        <f>D114</f>
        <v>0</v>
      </c>
      <c r="F114" s="94">
        <f t="shared" si="96"/>
        <v>0</v>
      </c>
      <c r="G114" s="94">
        <f t="shared" si="96"/>
        <v>0</v>
      </c>
      <c r="H114" s="94">
        <f t="shared" si="96"/>
        <v>0</v>
      </c>
      <c r="I114" s="94">
        <f t="shared" si="96"/>
        <v>0</v>
      </c>
      <c r="J114" s="94">
        <f t="shared" ref="J114:K117" si="105">I114</f>
        <v>0</v>
      </c>
      <c r="K114" s="94">
        <f t="shared" si="105"/>
        <v>0</v>
      </c>
      <c r="L114" s="94">
        <f t="shared" si="96"/>
        <v>0</v>
      </c>
      <c r="M114" s="94">
        <f t="shared" si="96"/>
        <v>0</v>
      </c>
      <c r="N114" s="94">
        <f t="shared" si="96"/>
        <v>0</v>
      </c>
      <c r="O114" s="94">
        <f t="shared" si="96"/>
        <v>0</v>
      </c>
      <c r="P114" s="94">
        <f t="shared" si="96"/>
        <v>0</v>
      </c>
      <c r="Q114" s="94">
        <f t="shared" si="96"/>
        <v>0</v>
      </c>
      <c r="R114" s="94">
        <f t="shared" si="96"/>
        <v>0</v>
      </c>
      <c r="S114" s="94">
        <f t="shared" si="96"/>
        <v>0</v>
      </c>
      <c r="T114" s="94">
        <f t="shared" si="96"/>
        <v>0</v>
      </c>
      <c r="U114" s="94">
        <f t="shared" si="97"/>
        <v>0</v>
      </c>
      <c r="V114" s="94">
        <f t="shared" si="97"/>
        <v>0</v>
      </c>
      <c r="W114" s="94">
        <f t="shared" si="97"/>
        <v>0</v>
      </c>
      <c r="X114" s="94">
        <f t="shared" si="97"/>
        <v>0</v>
      </c>
      <c r="Y114" s="94">
        <f t="shared" si="97"/>
        <v>0</v>
      </c>
      <c r="Z114" s="94">
        <f t="shared" si="97"/>
        <v>0</v>
      </c>
      <c r="AA114" s="94">
        <f t="shared" si="98"/>
        <v>0</v>
      </c>
      <c r="AB114" s="94">
        <f t="shared" si="99"/>
        <v>0</v>
      </c>
      <c r="AC114" s="94">
        <f t="shared" si="100"/>
        <v>0</v>
      </c>
      <c r="AD114" s="94">
        <f t="shared" si="101"/>
        <v>0</v>
      </c>
      <c r="AE114" s="94">
        <f t="shared" si="102"/>
        <v>0</v>
      </c>
      <c r="AF114" s="94">
        <f t="shared" si="104"/>
        <v>0</v>
      </c>
      <c r="AG114" s="80"/>
      <c r="AH114" s="67" t="s">
        <v>133</v>
      </c>
    </row>
    <row r="115" spans="1:34" x14ac:dyDescent="0.3">
      <c r="A115" s="80">
        <f t="shared" si="94"/>
        <v>14</v>
      </c>
      <c r="B115" s="67" t="str">
        <f t="shared" si="95"/>
        <v xml:space="preserve">    Series 4.00%    Note</v>
      </c>
      <c r="C115" s="81">
        <f t="shared" si="103"/>
        <v>31</v>
      </c>
      <c r="D115" s="94"/>
      <c r="E115" s="94">
        <f>D115</f>
        <v>0</v>
      </c>
      <c r="F115" s="94">
        <f t="shared" si="96"/>
        <v>0</v>
      </c>
      <c r="G115" s="94">
        <f t="shared" si="96"/>
        <v>0</v>
      </c>
      <c r="H115" s="94">
        <f t="shared" si="96"/>
        <v>0</v>
      </c>
      <c r="I115" s="94">
        <f t="shared" si="96"/>
        <v>0</v>
      </c>
      <c r="J115" s="94">
        <f t="shared" si="105"/>
        <v>0</v>
      </c>
      <c r="K115" s="94">
        <f t="shared" si="105"/>
        <v>0</v>
      </c>
      <c r="L115" s="94">
        <f t="shared" si="96"/>
        <v>0</v>
      </c>
      <c r="M115" s="94">
        <f t="shared" si="96"/>
        <v>0</v>
      </c>
      <c r="N115" s="94">
        <f t="shared" si="96"/>
        <v>0</v>
      </c>
      <c r="O115" s="94">
        <f t="shared" si="96"/>
        <v>0</v>
      </c>
      <c r="P115" s="94">
        <f t="shared" si="96"/>
        <v>0</v>
      </c>
      <c r="Q115" s="94">
        <f t="shared" si="96"/>
        <v>0</v>
      </c>
      <c r="R115" s="94">
        <f t="shared" si="96"/>
        <v>0</v>
      </c>
      <c r="S115" s="94">
        <f t="shared" si="96"/>
        <v>0</v>
      </c>
      <c r="T115" s="94">
        <f t="shared" si="96"/>
        <v>0</v>
      </c>
      <c r="U115" s="94">
        <f t="shared" si="97"/>
        <v>0</v>
      </c>
      <c r="V115" s="94">
        <f t="shared" si="97"/>
        <v>0</v>
      </c>
      <c r="W115" s="94">
        <f t="shared" si="97"/>
        <v>0</v>
      </c>
      <c r="X115" s="94">
        <f t="shared" si="97"/>
        <v>0</v>
      </c>
      <c r="Y115" s="94">
        <f t="shared" si="97"/>
        <v>0</v>
      </c>
      <c r="Z115" s="94">
        <f t="shared" si="97"/>
        <v>0</v>
      </c>
      <c r="AA115" s="94">
        <f t="shared" si="98"/>
        <v>0</v>
      </c>
      <c r="AB115" s="94">
        <f t="shared" si="99"/>
        <v>0</v>
      </c>
      <c r="AC115" s="94">
        <f t="shared" si="100"/>
        <v>0</v>
      </c>
      <c r="AD115" s="94">
        <f t="shared" si="101"/>
        <v>0</v>
      </c>
      <c r="AE115" s="94">
        <f t="shared" si="102"/>
        <v>0</v>
      </c>
      <c r="AF115" s="94">
        <f t="shared" si="104"/>
        <v>0</v>
      </c>
      <c r="AG115" s="80"/>
      <c r="AH115" s="67" t="s">
        <v>181</v>
      </c>
    </row>
    <row r="116" spans="1:34" x14ac:dyDescent="0.3">
      <c r="A116" s="80">
        <f t="shared" si="94"/>
        <v>15</v>
      </c>
      <c r="B116" s="67" t="str">
        <f t="shared" si="95"/>
        <v xml:space="preserve">    Series 4.00%    Note</v>
      </c>
      <c r="C116" s="81">
        <f t="shared" si="103"/>
        <v>32</v>
      </c>
      <c r="D116" s="92">
        <v>145.69999999999999</v>
      </c>
      <c r="E116" s="94">
        <f t="shared" ref="E116" si="106">D116</f>
        <v>145.69999999999999</v>
      </c>
      <c r="F116" s="94">
        <f t="shared" si="96"/>
        <v>145.69999999999999</v>
      </c>
      <c r="G116" s="94">
        <f t="shared" si="96"/>
        <v>145.69999999999999</v>
      </c>
      <c r="H116" s="94">
        <f t="shared" si="96"/>
        <v>145.69999999999999</v>
      </c>
      <c r="I116" s="94">
        <f t="shared" si="96"/>
        <v>145.69999999999999</v>
      </c>
      <c r="J116" s="94">
        <f t="shared" si="105"/>
        <v>145.69999999999999</v>
      </c>
      <c r="K116" s="94">
        <f t="shared" si="105"/>
        <v>145.69999999999999</v>
      </c>
      <c r="L116" s="94">
        <f t="shared" si="96"/>
        <v>145.69999999999999</v>
      </c>
      <c r="M116" s="94">
        <f t="shared" si="96"/>
        <v>145.69999999999999</v>
      </c>
      <c r="N116" s="94">
        <f t="shared" si="96"/>
        <v>145.69999999999999</v>
      </c>
      <c r="O116" s="94">
        <f t="shared" si="96"/>
        <v>145.69999999999999</v>
      </c>
      <c r="P116" s="94">
        <f t="shared" ref="P116:P117" si="107">O116</f>
        <v>145.69999999999999</v>
      </c>
      <c r="Q116" s="94">
        <f t="shared" ref="Q116:Q117" si="108">P116</f>
        <v>145.69999999999999</v>
      </c>
      <c r="R116" s="94">
        <f t="shared" ref="R116:R117" si="109">Q116</f>
        <v>145.69999999999999</v>
      </c>
      <c r="S116" s="94">
        <f t="shared" ref="S116:S117" si="110">R116</f>
        <v>145.69999999999999</v>
      </c>
      <c r="T116" s="94">
        <f t="shared" ref="T116:T118" si="111">S116</f>
        <v>145.69999999999999</v>
      </c>
      <c r="U116" s="94">
        <f t="shared" si="97"/>
        <v>145.69999999999999</v>
      </c>
      <c r="V116" s="94">
        <f t="shared" si="97"/>
        <v>145.69999999999999</v>
      </c>
      <c r="W116" s="94">
        <f t="shared" si="97"/>
        <v>145.69999999999999</v>
      </c>
      <c r="X116" s="94">
        <f t="shared" si="97"/>
        <v>145.69999999999999</v>
      </c>
      <c r="Y116" s="94">
        <f t="shared" si="97"/>
        <v>145.69999999999999</v>
      </c>
      <c r="Z116" s="94">
        <f t="shared" si="97"/>
        <v>145.69999999999999</v>
      </c>
      <c r="AA116" s="94">
        <f t="shared" si="98"/>
        <v>145.69999999999999</v>
      </c>
      <c r="AB116" s="94">
        <f t="shared" si="99"/>
        <v>145.69999999999999</v>
      </c>
      <c r="AC116" s="94">
        <f t="shared" si="100"/>
        <v>145.69999999999999</v>
      </c>
      <c r="AD116" s="94">
        <f t="shared" si="101"/>
        <v>145.69999999999999</v>
      </c>
      <c r="AE116" s="94">
        <f t="shared" si="102"/>
        <v>145.69999999999999</v>
      </c>
      <c r="AF116" s="94">
        <f t="shared" si="104"/>
        <v>1748.4000000000003</v>
      </c>
      <c r="AG116" s="80"/>
      <c r="AH116" s="67" t="s">
        <v>248</v>
      </c>
    </row>
    <row r="117" spans="1:34" x14ac:dyDescent="0.3">
      <c r="A117" s="80">
        <f t="shared" si="94"/>
        <v>16</v>
      </c>
      <c r="B117" s="67" t="str">
        <f t="shared" si="95"/>
        <v xml:space="preserve">    Series 3.75%    Note</v>
      </c>
      <c r="C117" s="81">
        <f t="shared" si="103"/>
        <v>33</v>
      </c>
      <c r="D117" s="92">
        <v>144.30000000000001</v>
      </c>
      <c r="E117" s="94">
        <f t="shared" ref="E117" si="112">D117</f>
        <v>144.30000000000001</v>
      </c>
      <c r="F117" s="94">
        <f t="shared" si="96"/>
        <v>144.30000000000001</v>
      </c>
      <c r="G117" s="94">
        <f t="shared" si="96"/>
        <v>144.30000000000001</v>
      </c>
      <c r="H117" s="94">
        <f t="shared" si="96"/>
        <v>144.30000000000001</v>
      </c>
      <c r="I117" s="94">
        <f t="shared" si="96"/>
        <v>144.30000000000001</v>
      </c>
      <c r="J117" s="94">
        <f t="shared" si="105"/>
        <v>144.30000000000001</v>
      </c>
      <c r="K117" s="94">
        <f t="shared" si="105"/>
        <v>144.30000000000001</v>
      </c>
      <c r="L117" s="94">
        <f t="shared" si="96"/>
        <v>144.30000000000001</v>
      </c>
      <c r="M117" s="94">
        <f t="shared" si="96"/>
        <v>144.30000000000001</v>
      </c>
      <c r="N117" s="94">
        <f t="shared" si="96"/>
        <v>144.30000000000001</v>
      </c>
      <c r="O117" s="94">
        <f t="shared" si="96"/>
        <v>144.30000000000001</v>
      </c>
      <c r="P117" s="94">
        <f t="shared" si="107"/>
        <v>144.30000000000001</v>
      </c>
      <c r="Q117" s="94">
        <f t="shared" si="108"/>
        <v>144.30000000000001</v>
      </c>
      <c r="R117" s="94">
        <f t="shared" si="109"/>
        <v>144.30000000000001</v>
      </c>
      <c r="S117" s="94">
        <f t="shared" si="110"/>
        <v>144.30000000000001</v>
      </c>
      <c r="T117" s="94">
        <f t="shared" si="111"/>
        <v>144.30000000000001</v>
      </c>
      <c r="U117" s="94">
        <f t="shared" si="97"/>
        <v>144.30000000000001</v>
      </c>
      <c r="V117" s="94">
        <f t="shared" si="97"/>
        <v>144.30000000000001</v>
      </c>
      <c r="W117" s="94">
        <f t="shared" si="97"/>
        <v>144.30000000000001</v>
      </c>
      <c r="X117" s="94">
        <f t="shared" si="97"/>
        <v>144.30000000000001</v>
      </c>
      <c r="Y117" s="94">
        <f t="shared" si="97"/>
        <v>144.30000000000001</v>
      </c>
      <c r="Z117" s="94">
        <f t="shared" si="97"/>
        <v>144.30000000000001</v>
      </c>
      <c r="AA117" s="94">
        <f t="shared" si="98"/>
        <v>144.30000000000001</v>
      </c>
      <c r="AB117" s="94">
        <f t="shared" si="99"/>
        <v>144.30000000000001</v>
      </c>
      <c r="AC117" s="94">
        <f t="shared" si="100"/>
        <v>144.30000000000001</v>
      </c>
      <c r="AD117" s="94">
        <f t="shared" si="101"/>
        <v>144.30000000000001</v>
      </c>
      <c r="AE117" s="94">
        <f t="shared" si="102"/>
        <v>144.30000000000001</v>
      </c>
      <c r="AF117" s="94">
        <f t="shared" si="104"/>
        <v>1731.5999999999997</v>
      </c>
      <c r="AG117" s="80"/>
      <c r="AH117" s="67" t="s">
        <v>249</v>
      </c>
    </row>
    <row r="118" spans="1:34" x14ac:dyDescent="0.3">
      <c r="A118" s="80">
        <f t="shared" si="94"/>
        <v>17</v>
      </c>
      <c r="B118" s="67" t="str">
        <f t="shared" si="95"/>
        <v xml:space="preserve">    Proposed 4.55%    Note</v>
      </c>
      <c r="C118" s="81">
        <f t="shared" si="103"/>
        <v>34</v>
      </c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>
        <f>(R25*0.01)/360*0.5</f>
        <v>222.22222222222223</v>
      </c>
      <c r="S118" s="94">
        <f>(S25*0.01)/360</f>
        <v>444.44444444444446</v>
      </c>
      <c r="T118" s="94">
        <f t="shared" si="111"/>
        <v>444.44444444444446</v>
      </c>
      <c r="U118" s="94">
        <f t="shared" si="97"/>
        <v>444.44444444444446</v>
      </c>
      <c r="V118" s="94">
        <f t="shared" si="97"/>
        <v>444.44444444444446</v>
      </c>
      <c r="W118" s="94">
        <f t="shared" si="97"/>
        <v>444.44444444444446</v>
      </c>
      <c r="X118" s="94">
        <f t="shared" si="97"/>
        <v>444.44444444444446</v>
      </c>
      <c r="Y118" s="94">
        <f t="shared" si="97"/>
        <v>444.44444444444446</v>
      </c>
      <c r="Z118" s="94">
        <f t="shared" si="97"/>
        <v>444.44444444444446</v>
      </c>
      <c r="AA118" s="94">
        <f t="shared" si="98"/>
        <v>444.44444444444446</v>
      </c>
      <c r="AB118" s="94">
        <f t="shared" si="99"/>
        <v>444.44444444444446</v>
      </c>
      <c r="AC118" s="94">
        <f t="shared" si="100"/>
        <v>444.44444444444446</v>
      </c>
      <c r="AD118" s="94">
        <f t="shared" si="101"/>
        <v>444.44444444444446</v>
      </c>
      <c r="AE118" s="94">
        <f t="shared" si="102"/>
        <v>444.44444444444446</v>
      </c>
      <c r="AF118" s="94">
        <f t="shared" si="104"/>
        <v>5333.333333333333</v>
      </c>
      <c r="AG118" s="80"/>
      <c r="AH118" s="67" t="s">
        <v>268</v>
      </c>
    </row>
    <row r="119" spans="1:34" x14ac:dyDescent="0.3">
      <c r="A119" s="80">
        <f t="shared" si="94"/>
        <v>18</v>
      </c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80"/>
    </row>
    <row r="120" spans="1:34" x14ac:dyDescent="0.3">
      <c r="A120" s="80">
        <f t="shared" si="94"/>
        <v>19</v>
      </c>
      <c r="B120" s="67" t="str">
        <f>B74</f>
        <v xml:space="preserve">    Series 8.5% w/o over life of 6.96% issue</v>
      </c>
      <c r="D120" s="94">
        <v>77.75</v>
      </c>
      <c r="E120" s="94">
        <f t="shared" ref="E120:T120" si="113">D120</f>
        <v>77.75</v>
      </c>
      <c r="F120" s="94">
        <f t="shared" si="113"/>
        <v>77.75</v>
      </c>
      <c r="G120" s="94">
        <f t="shared" si="113"/>
        <v>77.75</v>
      </c>
      <c r="H120" s="94">
        <f t="shared" si="113"/>
        <v>77.75</v>
      </c>
      <c r="I120" s="94">
        <f t="shared" si="113"/>
        <v>77.75</v>
      </c>
      <c r="J120" s="94">
        <f t="shared" si="113"/>
        <v>77.75</v>
      </c>
      <c r="K120" s="94">
        <f t="shared" si="113"/>
        <v>77.75</v>
      </c>
      <c r="L120" s="94">
        <f t="shared" si="113"/>
        <v>77.75</v>
      </c>
      <c r="M120" s="94">
        <f t="shared" si="113"/>
        <v>77.75</v>
      </c>
      <c r="N120" s="94">
        <f t="shared" si="113"/>
        <v>77.75</v>
      </c>
      <c r="O120" s="94">
        <f t="shared" si="113"/>
        <v>77.75</v>
      </c>
      <c r="P120" s="94">
        <f t="shared" si="113"/>
        <v>77.75</v>
      </c>
      <c r="Q120" s="94">
        <f t="shared" si="113"/>
        <v>77.75</v>
      </c>
      <c r="R120" s="94">
        <f t="shared" si="113"/>
        <v>77.75</v>
      </c>
      <c r="S120" s="94">
        <f t="shared" si="113"/>
        <v>77.75</v>
      </c>
      <c r="T120" s="94">
        <f t="shared" si="113"/>
        <v>77.75</v>
      </c>
      <c r="U120" s="94">
        <f t="shared" ref="U120:Z120" si="114">T120</f>
        <v>77.75</v>
      </c>
      <c r="V120" s="94">
        <f t="shared" si="114"/>
        <v>77.75</v>
      </c>
      <c r="W120" s="94">
        <f t="shared" si="114"/>
        <v>77.75</v>
      </c>
      <c r="X120" s="94">
        <f t="shared" si="114"/>
        <v>77.75</v>
      </c>
      <c r="Y120" s="94">
        <f t="shared" si="114"/>
        <v>77.75</v>
      </c>
      <c r="Z120" s="94">
        <f t="shared" si="114"/>
        <v>77.75</v>
      </c>
      <c r="AA120" s="94">
        <f t="shared" ref="AA120" si="115">Z120</f>
        <v>77.75</v>
      </c>
      <c r="AB120" s="94">
        <f t="shared" ref="AB120" si="116">AA120</f>
        <v>77.75</v>
      </c>
      <c r="AC120" s="94">
        <f t="shared" ref="AC120" si="117">AB120</f>
        <v>77.75</v>
      </c>
      <c r="AD120" s="94">
        <f t="shared" ref="AD120" si="118">AC120</f>
        <v>77.75</v>
      </c>
      <c r="AE120" s="94">
        <f t="shared" ref="AE120" si="119">AD120</f>
        <v>77.75</v>
      </c>
      <c r="AF120" s="94">
        <f t="shared" si="104"/>
        <v>933</v>
      </c>
      <c r="AG120" s="80"/>
      <c r="AH120" s="67" t="s">
        <v>132</v>
      </c>
    </row>
    <row r="121" spans="1:34" x14ac:dyDescent="0.3">
      <c r="A121" s="80">
        <f t="shared" si="94"/>
        <v>20</v>
      </c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80"/>
    </row>
    <row r="122" spans="1:34" x14ac:dyDescent="0.3">
      <c r="A122" s="80">
        <f t="shared" si="94"/>
        <v>21</v>
      </c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80"/>
    </row>
    <row r="123" spans="1:34" x14ac:dyDescent="0.3">
      <c r="A123" s="80">
        <f t="shared" si="94"/>
        <v>22</v>
      </c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80"/>
    </row>
    <row r="124" spans="1:34" x14ac:dyDescent="0.3">
      <c r="A124" s="80">
        <f t="shared" si="94"/>
        <v>23</v>
      </c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80"/>
    </row>
    <row r="125" spans="1:34" x14ac:dyDescent="0.3">
      <c r="A125" s="80">
        <f t="shared" si="94"/>
        <v>24</v>
      </c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80"/>
    </row>
    <row r="126" spans="1:34" x14ac:dyDescent="0.3">
      <c r="A126" s="80">
        <f t="shared" si="94"/>
        <v>25</v>
      </c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80"/>
    </row>
    <row r="127" spans="1:34" x14ac:dyDescent="0.3">
      <c r="A127" s="80">
        <f t="shared" si="94"/>
        <v>26</v>
      </c>
      <c r="P127" s="67"/>
      <c r="AG127" s="80"/>
    </row>
    <row r="128" spans="1:34" ht="15" thickBot="1" x14ac:dyDescent="0.35">
      <c r="A128" s="80">
        <f t="shared" si="94"/>
        <v>27</v>
      </c>
      <c r="B128" s="72" t="s">
        <v>94</v>
      </c>
      <c r="D128" s="159">
        <f t="shared" ref="D128:AF128" si="120">SUM(D104:D127)</f>
        <v>6102.2500000000009</v>
      </c>
      <c r="E128" s="159">
        <f t="shared" si="120"/>
        <v>6102.3899999999949</v>
      </c>
      <c r="F128" s="159">
        <f t="shared" si="120"/>
        <v>6102.3899999999949</v>
      </c>
      <c r="G128" s="159">
        <f t="shared" si="120"/>
        <v>6102.3899999999949</v>
      </c>
      <c r="H128" s="159">
        <f t="shared" si="120"/>
        <v>6102.3899999999949</v>
      </c>
      <c r="I128" s="159">
        <f t="shared" si="120"/>
        <v>6102.3899999999949</v>
      </c>
      <c r="J128" s="159">
        <f t="shared" si="120"/>
        <v>6102.3899999999949</v>
      </c>
      <c r="K128" s="159">
        <f t="shared" si="120"/>
        <v>6102.3899999999949</v>
      </c>
      <c r="L128" s="159">
        <f t="shared" si="120"/>
        <v>6102.3899999999949</v>
      </c>
      <c r="M128" s="159">
        <f t="shared" si="120"/>
        <v>6102.3899999999949</v>
      </c>
      <c r="N128" s="159">
        <f t="shared" si="120"/>
        <v>6102.3899999999949</v>
      </c>
      <c r="O128" s="159">
        <f t="shared" si="120"/>
        <v>6102.3899999999949</v>
      </c>
      <c r="P128" s="159">
        <f t="shared" si="120"/>
        <v>6102.3899999999949</v>
      </c>
      <c r="Q128" s="159">
        <f t="shared" si="120"/>
        <v>6102.3899999999949</v>
      </c>
      <c r="R128" s="159">
        <f t="shared" si="120"/>
        <v>6324.6122222222175</v>
      </c>
      <c r="S128" s="159">
        <f t="shared" si="120"/>
        <v>6546.8344444444392</v>
      </c>
      <c r="T128" s="159">
        <f t="shared" si="120"/>
        <v>6546.8344444444392</v>
      </c>
      <c r="U128" s="159">
        <f t="shared" si="120"/>
        <v>6546.8344444444392</v>
      </c>
      <c r="V128" s="159">
        <f t="shared" si="120"/>
        <v>6546.8344444444392</v>
      </c>
      <c r="W128" s="159">
        <f t="shared" si="120"/>
        <v>6546.8344444444392</v>
      </c>
      <c r="X128" s="159">
        <f t="shared" si="120"/>
        <v>6546.8344444444392</v>
      </c>
      <c r="Y128" s="159">
        <f t="shared" si="120"/>
        <v>6546.8344444444392</v>
      </c>
      <c r="Z128" s="159">
        <f t="shared" si="120"/>
        <v>6546.8344444444392</v>
      </c>
      <c r="AA128" s="159">
        <f t="shared" si="120"/>
        <v>6546.8344444444392</v>
      </c>
      <c r="AB128" s="159">
        <f t="shared" si="120"/>
        <v>6546.8344444444392</v>
      </c>
      <c r="AC128" s="159">
        <f t="shared" si="120"/>
        <v>6546.8344444444392</v>
      </c>
      <c r="AD128" s="159">
        <f t="shared" si="120"/>
        <v>6546.8344444444392</v>
      </c>
      <c r="AE128" s="159">
        <f t="shared" si="120"/>
        <v>6546.8344444444392</v>
      </c>
      <c r="AF128" s="159">
        <f t="shared" si="120"/>
        <v>78752.883333333259</v>
      </c>
      <c r="AG128" s="80"/>
    </row>
    <row r="129" spans="1:33" ht="15" thickTop="1" x14ac:dyDescent="0.3">
      <c r="A129" s="80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0"/>
    </row>
    <row r="130" spans="1:33" x14ac:dyDescent="0.3">
      <c r="A130" s="80"/>
      <c r="D130" s="81" t="s">
        <v>128</v>
      </c>
      <c r="E130" s="67">
        <v>1381.14</v>
      </c>
      <c r="AG130" s="80"/>
    </row>
    <row r="131" spans="1:33" x14ac:dyDescent="0.3">
      <c r="A131" s="80"/>
      <c r="D131" s="81" t="s">
        <v>129</v>
      </c>
      <c r="E131" s="67">
        <v>1699.18</v>
      </c>
      <c r="AG131" s="80"/>
    </row>
    <row r="132" spans="1:33" x14ac:dyDescent="0.3">
      <c r="A132" s="80"/>
      <c r="D132" s="81" t="s">
        <v>130</v>
      </c>
      <c r="E132" s="67">
        <v>1084.02</v>
      </c>
      <c r="AG132" s="80"/>
    </row>
    <row r="133" spans="1:33" x14ac:dyDescent="0.3">
      <c r="A133" s="80"/>
      <c r="D133" s="81" t="s">
        <v>131</v>
      </c>
      <c r="E133" s="67">
        <v>905.46</v>
      </c>
      <c r="AG133" s="80"/>
    </row>
    <row r="134" spans="1:33" x14ac:dyDescent="0.3">
      <c r="A134" s="80"/>
      <c r="AG134" s="80"/>
    </row>
    <row r="135" spans="1:33" x14ac:dyDescent="0.3">
      <c r="A135" s="80"/>
      <c r="AG135" s="80"/>
    </row>
    <row r="136" spans="1:33" x14ac:dyDescent="0.3">
      <c r="A136" s="80"/>
      <c r="C136" s="67"/>
      <c r="F136" s="72"/>
      <c r="AG136" s="80"/>
    </row>
    <row r="137" spans="1:33" x14ac:dyDescent="0.3">
      <c r="A137" s="80"/>
      <c r="F137" s="92"/>
      <c r="AG137" s="80"/>
    </row>
    <row r="138" spans="1:33" x14ac:dyDescent="0.3">
      <c r="A138" s="80"/>
      <c r="F138" s="166"/>
      <c r="AG138" s="80"/>
    </row>
    <row r="139" spans="1:33" x14ac:dyDescent="0.3">
      <c r="A139" s="118" t="s">
        <v>169</v>
      </c>
      <c r="F139" s="166"/>
      <c r="O139" s="119" t="str">
        <f>$O$1</f>
        <v>W/P - 7-4</v>
      </c>
      <c r="AA139" s="119" t="str">
        <f>$O$93</f>
        <v>W/P - 7-4</v>
      </c>
      <c r="AF139" s="119" t="str">
        <f>$O$93</f>
        <v>W/P - 7-4</v>
      </c>
      <c r="AG139" s="80"/>
    </row>
    <row r="140" spans="1:33" x14ac:dyDescent="0.3">
      <c r="A140" s="118" t="s">
        <v>170</v>
      </c>
      <c r="F140" s="166"/>
      <c r="O140" s="119" t="str">
        <f ca="1">RIGHT(CELL("filename",$A$4),LEN(CELL("filename",$A$4))-SEARCH("\Capital",CELL("filename",$A$4),1))</f>
        <v>Capital Structure\[KAWC 2018 Rate Case - Capital Structure.xlsx]Sch J WPs</v>
      </c>
      <c r="AA140" s="119" t="str">
        <f ca="1">RIGHT(CELL("filename",$A$4),LEN(CELL("filename",$A$4))-SEARCH("\Capital",CELL("filename",$A$4),1))</f>
        <v>Capital Structure\[KAWC 2018 Rate Case - Capital Structure.xlsx]Sch J WPs</v>
      </c>
      <c r="AF140" s="119" t="str">
        <f ca="1">RIGHT(CELL("filename",$A$4),LEN(CELL("filename",$A$4))-SEARCH("\Capital",CELL("filename",$A$4),1))</f>
        <v>Capital Structure\[KAWC 2018 Rate Case - Capital Structure.xlsx]Sch J WPs</v>
      </c>
      <c r="AG140" s="80"/>
    </row>
    <row r="141" spans="1:33" x14ac:dyDescent="0.3">
      <c r="A141" s="80"/>
      <c r="F141" s="166"/>
      <c r="AG141" s="80"/>
    </row>
    <row r="142" spans="1:33" x14ac:dyDescent="0.3">
      <c r="A142" s="101" t="s">
        <v>18</v>
      </c>
      <c r="F142" s="166"/>
      <c r="AG142" s="80"/>
    </row>
    <row r="143" spans="1:33" x14ac:dyDescent="0.3">
      <c r="A143" s="101" t="s">
        <v>270</v>
      </c>
      <c r="F143" s="166"/>
      <c r="AG143" s="80"/>
    </row>
    <row r="144" spans="1:33" x14ac:dyDescent="0.3">
      <c r="F144" s="166"/>
      <c r="AG144" s="80"/>
    </row>
    <row r="145" spans="1:33" x14ac:dyDescent="0.3">
      <c r="A145" s="140"/>
      <c r="B145" s="140" t="s">
        <v>56</v>
      </c>
      <c r="C145" s="140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80"/>
    </row>
    <row r="146" spans="1:33" x14ac:dyDescent="0.3">
      <c r="A146" s="80" t="s">
        <v>22</v>
      </c>
      <c r="B146" s="80" t="s">
        <v>87</v>
      </c>
      <c r="D146" s="80" t="s">
        <v>96</v>
      </c>
      <c r="E146" s="80" t="s">
        <v>96</v>
      </c>
      <c r="F146" s="80" t="s">
        <v>96</v>
      </c>
      <c r="G146" s="80" t="s">
        <v>96</v>
      </c>
      <c r="H146" s="80" t="s">
        <v>96</v>
      </c>
      <c r="I146" s="80" t="s">
        <v>96</v>
      </c>
      <c r="J146" s="80" t="s">
        <v>96</v>
      </c>
      <c r="K146" s="80" t="s">
        <v>96</v>
      </c>
      <c r="L146" s="80" t="s">
        <v>96</v>
      </c>
      <c r="M146" s="80" t="s">
        <v>96</v>
      </c>
      <c r="N146" s="80" t="s">
        <v>96</v>
      </c>
      <c r="O146" s="80" t="s">
        <v>96</v>
      </c>
      <c r="P146" s="80" t="s">
        <v>96</v>
      </c>
      <c r="Q146" s="80" t="s">
        <v>96</v>
      </c>
      <c r="R146" s="80" t="s">
        <v>96</v>
      </c>
      <c r="S146" s="80" t="s">
        <v>96</v>
      </c>
      <c r="T146" s="80" t="s">
        <v>96</v>
      </c>
      <c r="U146" s="80" t="s">
        <v>96</v>
      </c>
      <c r="V146" s="80" t="s">
        <v>96</v>
      </c>
      <c r="W146" s="80" t="s">
        <v>96</v>
      </c>
      <c r="X146" s="80" t="s">
        <v>96</v>
      </c>
      <c r="Y146" s="80" t="s">
        <v>96</v>
      </c>
      <c r="Z146" s="80" t="s">
        <v>96</v>
      </c>
      <c r="AA146" s="80" t="s">
        <v>96</v>
      </c>
      <c r="AB146" s="80" t="s">
        <v>96</v>
      </c>
      <c r="AC146" s="80" t="s">
        <v>96</v>
      </c>
      <c r="AD146" s="80" t="s">
        <v>96</v>
      </c>
      <c r="AE146" s="80" t="s">
        <v>96</v>
      </c>
      <c r="AF146" s="80" t="s">
        <v>175</v>
      </c>
      <c r="AG146" s="80"/>
    </row>
    <row r="147" spans="1:33" x14ac:dyDescent="0.3">
      <c r="A147" s="145" t="s">
        <v>27</v>
      </c>
      <c r="B147" s="145" t="s">
        <v>50</v>
      </c>
      <c r="C147" s="145"/>
      <c r="D147" s="146">
        <f>$D$9</f>
        <v>43190</v>
      </c>
      <c r="E147" s="146">
        <f>$E$9</f>
        <v>43220</v>
      </c>
      <c r="F147" s="146">
        <f>$F$9</f>
        <v>43251</v>
      </c>
      <c r="G147" s="146">
        <f>$G$9</f>
        <v>43281</v>
      </c>
      <c r="H147" s="146">
        <f>$H$9</f>
        <v>43312</v>
      </c>
      <c r="I147" s="146">
        <f>$I$9</f>
        <v>43343</v>
      </c>
      <c r="J147" s="146">
        <f>$J$9</f>
        <v>43373</v>
      </c>
      <c r="K147" s="146">
        <f>$K$9</f>
        <v>43404</v>
      </c>
      <c r="L147" s="146">
        <f>$L$9</f>
        <v>43434</v>
      </c>
      <c r="M147" s="146">
        <f>$M$9</f>
        <v>43465</v>
      </c>
      <c r="N147" s="146">
        <f>$N$9</f>
        <v>43496</v>
      </c>
      <c r="O147" s="146">
        <f>$O$9</f>
        <v>43524</v>
      </c>
      <c r="P147" s="146">
        <f>$P$9</f>
        <v>43555</v>
      </c>
      <c r="Q147" s="146">
        <f>$Q$9</f>
        <v>43585</v>
      </c>
      <c r="R147" s="146">
        <f>$R$9</f>
        <v>43616</v>
      </c>
      <c r="S147" s="146">
        <f>$S$9</f>
        <v>43646</v>
      </c>
      <c r="T147" s="146">
        <f>$T$9</f>
        <v>43677</v>
      </c>
      <c r="U147" s="146">
        <f>$U$9</f>
        <v>43708</v>
      </c>
      <c r="V147" s="146">
        <f>$V$9</f>
        <v>43738</v>
      </c>
      <c r="W147" s="146">
        <f>$W$9</f>
        <v>43769</v>
      </c>
      <c r="X147" s="146">
        <f>$X$9</f>
        <v>43799</v>
      </c>
      <c r="Y147" s="146">
        <f>$Y$9</f>
        <v>43830</v>
      </c>
      <c r="Z147" s="146">
        <f>$Z$9</f>
        <v>43861</v>
      </c>
      <c r="AA147" s="146">
        <f>$AA$9</f>
        <v>43890</v>
      </c>
      <c r="AB147" s="146">
        <f>$AB$9</f>
        <v>43921</v>
      </c>
      <c r="AC147" s="146">
        <f>$AC$9</f>
        <v>43951</v>
      </c>
      <c r="AD147" s="146">
        <f>$AD$9</f>
        <v>43982</v>
      </c>
      <c r="AE147" s="146">
        <f>$AE$9</f>
        <v>44012</v>
      </c>
      <c r="AF147" s="147" t="s">
        <v>26</v>
      </c>
      <c r="AG147" s="80"/>
    </row>
    <row r="148" spans="1:33" x14ac:dyDescent="0.3">
      <c r="A148" s="80">
        <v>1</v>
      </c>
      <c r="B148" s="85"/>
      <c r="F148" s="166"/>
      <c r="AG148" s="80"/>
    </row>
    <row r="149" spans="1:33" x14ac:dyDescent="0.3">
      <c r="A149" s="80">
        <f>A148+1</f>
        <v>2</v>
      </c>
      <c r="F149" s="166"/>
      <c r="AG149" s="80"/>
    </row>
    <row r="150" spans="1:33" x14ac:dyDescent="0.3">
      <c r="A150" s="80">
        <f t="shared" ref="A150:A168" si="121">A149+1</f>
        <v>3</v>
      </c>
      <c r="B150" s="107" t="s">
        <v>145</v>
      </c>
      <c r="F150" s="166"/>
      <c r="AG150" s="80"/>
    </row>
    <row r="151" spans="1:33" x14ac:dyDescent="0.3">
      <c r="A151" s="80">
        <f t="shared" si="121"/>
        <v>4</v>
      </c>
      <c r="F151" s="166"/>
      <c r="AG151" s="80"/>
    </row>
    <row r="152" spans="1:33" x14ac:dyDescent="0.3">
      <c r="A152" s="80">
        <f t="shared" si="121"/>
        <v>5</v>
      </c>
      <c r="F152" s="166"/>
      <c r="AG152" s="80"/>
    </row>
    <row r="153" spans="1:33" x14ac:dyDescent="0.3">
      <c r="A153" s="80">
        <f t="shared" si="121"/>
        <v>6</v>
      </c>
      <c r="B153" s="72" t="str">
        <f>B14</f>
        <v xml:space="preserve">    Series 6.96%   GMB</v>
      </c>
      <c r="C153" s="81">
        <f>+C61</f>
        <v>16</v>
      </c>
      <c r="F153" s="166"/>
      <c r="AG153" s="80"/>
    </row>
    <row r="154" spans="1:33" x14ac:dyDescent="0.3">
      <c r="A154" s="80">
        <f t="shared" si="121"/>
        <v>7</v>
      </c>
      <c r="B154" s="72" t="str">
        <f t="shared" ref="B154:B164" si="122">B15</f>
        <v xml:space="preserve">    Series 7.15%   GMB</v>
      </c>
      <c r="C154" s="81">
        <f t="shared" ref="C154:C164" si="123">+C62</f>
        <v>18</v>
      </c>
      <c r="F154" s="166"/>
      <c r="AG154" s="80"/>
    </row>
    <row r="155" spans="1:33" x14ac:dyDescent="0.3">
      <c r="A155" s="80">
        <f t="shared" si="121"/>
        <v>8</v>
      </c>
      <c r="B155" s="72" t="str">
        <f t="shared" si="122"/>
        <v xml:space="preserve">    Series 6.99%   GMB</v>
      </c>
      <c r="C155" s="81">
        <f t="shared" si="123"/>
        <v>19</v>
      </c>
      <c r="F155" s="166"/>
      <c r="AG155" s="80"/>
    </row>
    <row r="156" spans="1:33" x14ac:dyDescent="0.3">
      <c r="A156" s="80">
        <f t="shared" si="121"/>
        <v>9</v>
      </c>
      <c r="B156" s="72" t="str">
        <f t="shared" si="122"/>
        <v xml:space="preserve">    Series 6.593%  Note</v>
      </c>
      <c r="C156" s="81">
        <f t="shared" si="123"/>
        <v>26</v>
      </c>
      <c r="F156" s="166"/>
      <c r="AG156" s="80"/>
    </row>
    <row r="157" spans="1:33" x14ac:dyDescent="0.3">
      <c r="A157" s="80">
        <f t="shared" si="121"/>
        <v>10</v>
      </c>
      <c r="B157" s="72" t="str">
        <f t="shared" si="122"/>
        <v xml:space="preserve">    Series 6.25%    Note</v>
      </c>
      <c r="C157" s="81">
        <f t="shared" si="123"/>
        <v>27</v>
      </c>
      <c r="F157" s="166"/>
      <c r="AG157" s="80"/>
    </row>
    <row r="158" spans="1:33" x14ac:dyDescent="0.3">
      <c r="A158" s="80">
        <f t="shared" si="121"/>
        <v>11</v>
      </c>
      <c r="B158" s="72" t="str">
        <f t="shared" si="122"/>
        <v xml:space="preserve">    Series 5.625%  Note</v>
      </c>
      <c r="C158" s="81">
        <f t="shared" si="123"/>
        <v>28</v>
      </c>
      <c r="F158" s="166"/>
      <c r="AG158" s="80"/>
    </row>
    <row r="159" spans="1:33" x14ac:dyDescent="0.3">
      <c r="A159" s="80">
        <f t="shared" si="121"/>
        <v>12</v>
      </c>
      <c r="B159" s="72" t="str">
        <f t="shared" si="122"/>
        <v xml:space="preserve">    Series 5.375%  Note</v>
      </c>
      <c r="C159" s="81">
        <f t="shared" si="123"/>
        <v>29</v>
      </c>
      <c r="F159" s="166"/>
      <c r="AG159" s="80"/>
    </row>
    <row r="160" spans="1:33" x14ac:dyDescent="0.3">
      <c r="A160" s="80">
        <f t="shared" si="121"/>
        <v>13</v>
      </c>
      <c r="B160" s="72" t="str">
        <f t="shared" si="122"/>
        <v xml:space="preserve">    Series 5.05%    Note</v>
      </c>
      <c r="C160" s="81">
        <f t="shared" si="123"/>
        <v>30</v>
      </c>
      <c r="F160" s="166"/>
      <c r="AG160" s="80"/>
    </row>
    <row r="161" spans="1:46" x14ac:dyDescent="0.3">
      <c r="A161" s="80">
        <f t="shared" si="121"/>
        <v>14</v>
      </c>
      <c r="B161" s="72" t="str">
        <f t="shared" si="122"/>
        <v xml:space="preserve">    Series 4.00%    Note</v>
      </c>
      <c r="C161" s="81">
        <f t="shared" si="123"/>
        <v>31</v>
      </c>
      <c r="F161" s="166"/>
      <c r="AG161" s="80"/>
    </row>
    <row r="162" spans="1:46" x14ac:dyDescent="0.3">
      <c r="A162" s="80">
        <f t="shared" si="121"/>
        <v>15</v>
      </c>
      <c r="B162" s="72" t="str">
        <f t="shared" si="122"/>
        <v xml:space="preserve">    Series 4.00%    Note</v>
      </c>
      <c r="C162" s="81">
        <f t="shared" si="123"/>
        <v>32</v>
      </c>
      <c r="D162" s="222">
        <v>39699.739999999991</v>
      </c>
      <c r="E162" s="210">
        <f>D162-E208</f>
        <v>39584.339999999989</v>
      </c>
      <c r="F162" s="210">
        <f t="shared" ref="F162:AE162" si="124">E162-F208</f>
        <v>39468.939999999988</v>
      </c>
      <c r="G162" s="210">
        <f t="shared" si="124"/>
        <v>39353.539999999986</v>
      </c>
      <c r="H162" s="210">
        <f t="shared" si="124"/>
        <v>39238.139999999985</v>
      </c>
      <c r="I162" s="210">
        <f t="shared" si="124"/>
        <v>39122.739999999983</v>
      </c>
      <c r="J162" s="210">
        <f t="shared" si="124"/>
        <v>39007.339999999982</v>
      </c>
      <c r="K162" s="210">
        <f t="shared" si="124"/>
        <v>38891.939999999981</v>
      </c>
      <c r="L162" s="210">
        <f t="shared" si="124"/>
        <v>38776.539999999979</v>
      </c>
      <c r="M162" s="210">
        <f t="shared" si="124"/>
        <v>38661.139999999978</v>
      </c>
      <c r="N162" s="210">
        <f t="shared" si="124"/>
        <v>38545.739999999976</v>
      </c>
      <c r="O162" s="210">
        <f t="shared" si="124"/>
        <v>38430.339999999975</v>
      </c>
      <c r="P162" s="210">
        <f t="shared" si="124"/>
        <v>38314.939999999973</v>
      </c>
      <c r="Q162" s="210">
        <f t="shared" si="124"/>
        <v>38199.539999999972</v>
      </c>
      <c r="R162" s="210">
        <f t="shared" si="124"/>
        <v>38084.13999999997</v>
      </c>
      <c r="S162" s="210">
        <f t="shared" si="124"/>
        <v>37968.739999999969</v>
      </c>
      <c r="T162" s="210">
        <f t="shared" si="124"/>
        <v>37853.339999999967</v>
      </c>
      <c r="U162" s="210">
        <f t="shared" si="124"/>
        <v>37737.939999999966</v>
      </c>
      <c r="V162" s="210">
        <f t="shared" si="124"/>
        <v>37622.539999999964</v>
      </c>
      <c r="W162" s="210">
        <f t="shared" si="124"/>
        <v>37507.139999999963</v>
      </c>
      <c r="X162" s="210">
        <f t="shared" si="124"/>
        <v>37391.739999999962</v>
      </c>
      <c r="Y162" s="210">
        <f t="shared" si="124"/>
        <v>37276.33999999996</v>
      </c>
      <c r="Z162" s="210">
        <f t="shared" si="124"/>
        <v>37160.939999999959</v>
      </c>
      <c r="AA162" s="210">
        <f t="shared" si="124"/>
        <v>37045.539999999957</v>
      </c>
      <c r="AB162" s="210">
        <f t="shared" si="124"/>
        <v>36930.139999999956</v>
      </c>
      <c r="AC162" s="210">
        <f t="shared" si="124"/>
        <v>36814.739999999954</v>
      </c>
      <c r="AD162" s="210">
        <f t="shared" si="124"/>
        <v>36699.339999999953</v>
      </c>
      <c r="AE162" s="210">
        <f t="shared" si="124"/>
        <v>36583.939999999951</v>
      </c>
      <c r="AF162" s="209">
        <f t="shared" ref="AF162:AF164" si="125">AVERAGE(S162:AE162)</f>
        <v>37276.33999999996</v>
      </c>
      <c r="AG162" s="80"/>
    </row>
    <row r="163" spans="1:46" x14ac:dyDescent="0.3">
      <c r="A163" s="80">
        <f t="shared" si="121"/>
        <v>16</v>
      </c>
      <c r="B163" s="72" t="str">
        <f t="shared" si="122"/>
        <v xml:space="preserve">    Series 3.75%    Note</v>
      </c>
      <c r="C163" s="81">
        <f t="shared" si="123"/>
        <v>33</v>
      </c>
      <c r="D163" s="210">
        <v>15051.169999999995</v>
      </c>
      <c r="E163" s="210">
        <f>D163-E209</f>
        <v>15008.479999999994</v>
      </c>
      <c r="F163" s="210">
        <f t="shared" ref="F163:AE163" si="126">E163-F209</f>
        <v>14965.789999999994</v>
      </c>
      <c r="G163" s="210">
        <f t="shared" si="126"/>
        <v>14923.099999999993</v>
      </c>
      <c r="H163" s="210">
        <f t="shared" si="126"/>
        <v>14880.409999999993</v>
      </c>
      <c r="I163" s="210">
        <f t="shared" si="126"/>
        <v>14837.719999999992</v>
      </c>
      <c r="J163" s="210">
        <f t="shared" si="126"/>
        <v>14795.029999999992</v>
      </c>
      <c r="K163" s="210">
        <f t="shared" si="126"/>
        <v>14752.339999999991</v>
      </c>
      <c r="L163" s="210">
        <f t="shared" si="126"/>
        <v>14709.649999999991</v>
      </c>
      <c r="M163" s="210">
        <f t="shared" si="126"/>
        <v>14666.95999999999</v>
      </c>
      <c r="N163" s="210">
        <f t="shared" si="126"/>
        <v>14624.26999999999</v>
      </c>
      <c r="O163" s="210">
        <f t="shared" si="126"/>
        <v>14581.579999999989</v>
      </c>
      <c r="P163" s="210">
        <f t="shared" si="126"/>
        <v>14538.889999999989</v>
      </c>
      <c r="Q163" s="210">
        <f t="shared" si="126"/>
        <v>14496.199999999988</v>
      </c>
      <c r="R163" s="210">
        <f t="shared" si="126"/>
        <v>14453.509999999987</v>
      </c>
      <c r="S163" s="210">
        <f t="shared" si="126"/>
        <v>14410.819999999987</v>
      </c>
      <c r="T163" s="210">
        <f t="shared" si="126"/>
        <v>14368.129999999986</v>
      </c>
      <c r="U163" s="210">
        <f t="shared" si="126"/>
        <v>14325.439999999986</v>
      </c>
      <c r="V163" s="210">
        <f t="shared" si="126"/>
        <v>14282.749999999985</v>
      </c>
      <c r="W163" s="210">
        <f t="shared" si="126"/>
        <v>14240.059999999985</v>
      </c>
      <c r="X163" s="210">
        <f t="shared" si="126"/>
        <v>14197.369999999984</v>
      </c>
      <c r="Y163" s="210">
        <f t="shared" si="126"/>
        <v>14154.679999999984</v>
      </c>
      <c r="Z163" s="210">
        <f t="shared" si="126"/>
        <v>14111.989999999983</v>
      </c>
      <c r="AA163" s="210">
        <f t="shared" si="126"/>
        <v>14069.299999999983</v>
      </c>
      <c r="AB163" s="210">
        <f t="shared" si="126"/>
        <v>14026.609999999982</v>
      </c>
      <c r="AC163" s="210">
        <f t="shared" si="126"/>
        <v>13983.919999999982</v>
      </c>
      <c r="AD163" s="210">
        <f t="shared" si="126"/>
        <v>13941.229999999981</v>
      </c>
      <c r="AE163" s="210">
        <f t="shared" si="126"/>
        <v>13898.539999999981</v>
      </c>
      <c r="AF163" s="209">
        <f t="shared" si="125"/>
        <v>14154.679999999984</v>
      </c>
      <c r="AG163" s="80"/>
    </row>
    <row r="164" spans="1:46" x14ac:dyDescent="0.3">
      <c r="A164" s="80">
        <f t="shared" si="121"/>
        <v>17</v>
      </c>
      <c r="B164" s="72" t="str">
        <f t="shared" si="122"/>
        <v xml:space="preserve">    Proposed 4.55%    Note</v>
      </c>
      <c r="C164" s="81">
        <f t="shared" si="123"/>
        <v>34</v>
      </c>
      <c r="D164" s="210">
        <v>0</v>
      </c>
      <c r="E164" s="210">
        <f>D164</f>
        <v>0</v>
      </c>
      <c r="F164" s="210">
        <f t="shared" ref="F164:Q164" si="127">E164</f>
        <v>0</v>
      </c>
      <c r="G164" s="210">
        <f t="shared" si="127"/>
        <v>0</v>
      </c>
      <c r="H164" s="210">
        <f t="shared" si="127"/>
        <v>0</v>
      </c>
      <c r="I164" s="210">
        <f t="shared" si="127"/>
        <v>0</v>
      </c>
      <c r="J164" s="210">
        <f t="shared" si="127"/>
        <v>0</v>
      </c>
      <c r="K164" s="210">
        <f t="shared" si="127"/>
        <v>0</v>
      </c>
      <c r="L164" s="210">
        <f t="shared" si="127"/>
        <v>0</v>
      </c>
      <c r="M164" s="210">
        <f t="shared" si="127"/>
        <v>0</v>
      </c>
      <c r="N164" s="210">
        <f t="shared" si="127"/>
        <v>0</v>
      </c>
      <c r="O164" s="210">
        <f t="shared" si="127"/>
        <v>0</v>
      </c>
      <c r="P164" s="210">
        <f t="shared" si="127"/>
        <v>0</v>
      </c>
      <c r="Q164" s="210">
        <f t="shared" si="127"/>
        <v>0</v>
      </c>
      <c r="R164" s="167">
        <f>R25*0.01-R210</f>
        <v>159777.77777777778</v>
      </c>
      <c r="S164" s="167">
        <f>R164-S210</f>
        <v>159333.33333333334</v>
      </c>
      <c r="T164" s="167">
        <f t="shared" ref="T164:AE164" si="128">S164-T210</f>
        <v>158888.88888888891</v>
      </c>
      <c r="U164" s="167">
        <f t="shared" si="128"/>
        <v>158444.44444444447</v>
      </c>
      <c r="V164" s="167">
        <f t="shared" si="128"/>
        <v>158000.00000000003</v>
      </c>
      <c r="W164" s="167">
        <f t="shared" si="128"/>
        <v>157555.55555555559</v>
      </c>
      <c r="X164" s="167">
        <f t="shared" si="128"/>
        <v>157111.11111111115</v>
      </c>
      <c r="Y164" s="167">
        <f t="shared" si="128"/>
        <v>156666.66666666672</v>
      </c>
      <c r="Z164" s="167">
        <f t="shared" si="128"/>
        <v>156222.22222222228</v>
      </c>
      <c r="AA164" s="167">
        <f t="shared" si="128"/>
        <v>155777.77777777784</v>
      </c>
      <c r="AB164" s="167">
        <f t="shared" si="128"/>
        <v>155333.3333333334</v>
      </c>
      <c r="AC164" s="167">
        <f t="shared" si="128"/>
        <v>154888.88888888896</v>
      </c>
      <c r="AD164" s="167">
        <f t="shared" si="128"/>
        <v>154444.44444444453</v>
      </c>
      <c r="AE164" s="167">
        <f t="shared" si="128"/>
        <v>154000.00000000009</v>
      </c>
      <c r="AF164" s="209">
        <f t="shared" si="125"/>
        <v>156666.66666666672</v>
      </c>
      <c r="AG164" s="80"/>
    </row>
    <row r="165" spans="1:46" x14ac:dyDescent="0.3">
      <c r="A165" s="80">
        <f t="shared" si="121"/>
        <v>18</v>
      </c>
      <c r="B165" s="72"/>
      <c r="F165" s="166"/>
      <c r="AG165" s="80"/>
    </row>
    <row r="166" spans="1:46" x14ac:dyDescent="0.3">
      <c r="A166" s="80">
        <f t="shared" si="121"/>
        <v>19</v>
      </c>
      <c r="B166" s="72" t="str">
        <f>B74</f>
        <v xml:space="preserve">    Series 8.5% w/o over life of 6.96% issue</v>
      </c>
      <c r="F166" s="166"/>
      <c r="AG166" s="80"/>
    </row>
    <row r="167" spans="1:46" x14ac:dyDescent="0.3">
      <c r="A167" s="80">
        <f t="shared" si="121"/>
        <v>20</v>
      </c>
      <c r="F167" s="166"/>
      <c r="AG167" s="80"/>
    </row>
    <row r="168" spans="1:46" ht="15" thickBot="1" x14ac:dyDescent="0.35">
      <c r="A168" s="80">
        <f t="shared" si="121"/>
        <v>21</v>
      </c>
      <c r="B168" s="72" t="s">
        <v>94</v>
      </c>
      <c r="D168" s="159">
        <f>SUM(D151:D166)</f>
        <v>54750.909999999989</v>
      </c>
      <c r="E168" s="159">
        <f t="shared" ref="E168:P168" si="129">SUM(E151:E166)</f>
        <v>54592.819999999985</v>
      </c>
      <c r="F168" s="159">
        <f t="shared" si="129"/>
        <v>54434.729999999981</v>
      </c>
      <c r="G168" s="159">
        <f t="shared" si="129"/>
        <v>54276.639999999978</v>
      </c>
      <c r="H168" s="159">
        <f t="shared" si="129"/>
        <v>54118.549999999974</v>
      </c>
      <c r="I168" s="159">
        <f t="shared" si="129"/>
        <v>53960.459999999977</v>
      </c>
      <c r="J168" s="159">
        <f t="shared" si="129"/>
        <v>53802.369999999974</v>
      </c>
      <c r="K168" s="159">
        <f t="shared" si="129"/>
        <v>53644.27999999997</v>
      </c>
      <c r="L168" s="159">
        <f t="shared" si="129"/>
        <v>53486.189999999973</v>
      </c>
      <c r="M168" s="159">
        <f t="shared" si="129"/>
        <v>53328.099999999969</v>
      </c>
      <c r="N168" s="159">
        <f t="shared" si="129"/>
        <v>53170.009999999966</v>
      </c>
      <c r="O168" s="159">
        <f t="shared" si="129"/>
        <v>53011.919999999962</v>
      </c>
      <c r="P168" s="159">
        <f t="shared" si="129"/>
        <v>52853.829999999958</v>
      </c>
      <c r="Q168" s="159">
        <f t="shared" ref="Q168:AF168" si="130">SUM(Q151:Q166)</f>
        <v>52695.739999999962</v>
      </c>
      <c r="R168" s="159">
        <f t="shared" si="130"/>
        <v>212315.42777777775</v>
      </c>
      <c r="S168" s="159">
        <f t="shared" si="130"/>
        <v>211712.89333333331</v>
      </c>
      <c r="T168" s="159">
        <f t="shared" si="130"/>
        <v>211110.35888888885</v>
      </c>
      <c r="U168" s="159">
        <f t="shared" si="130"/>
        <v>210507.82444444441</v>
      </c>
      <c r="V168" s="159">
        <f t="shared" si="130"/>
        <v>209905.28999999998</v>
      </c>
      <c r="W168" s="159">
        <f t="shared" si="130"/>
        <v>209302.75555555554</v>
      </c>
      <c r="X168" s="159">
        <f t="shared" si="130"/>
        <v>208700.22111111111</v>
      </c>
      <c r="Y168" s="159">
        <f t="shared" si="130"/>
        <v>208097.68666666665</v>
      </c>
      <c r="Z168" s="159">
        <f t="shared" si="130"/>
        <v>207495.15222222221</v>
      </c>
      <c r="AA168" s="159">
        <f t="shared" si="130"/>
        <v>206892.61777777778</v>
      </c>
      <c r="AB168" s="159">
        <f t="shared" si="130"/>
        <v>206290.08333333334</v>
      </c>
      <c r="AC168" s="159">
        <f t="shared" si="130"/>
        <v>205687.54888888891</v>
      </c>
      <c r="AD168" s="159">
        <f t="shared" si="130"/>
        <v>205085.01444444444</v>
      </c>
      <c r="AE168" s="159">
        <f t="shared" si="130"/>
        <v>204482.48</v>
      </c>
      <c r="AF168" s="159">
        <f t="shared" si="130"/>
        <v>208097.68666666665</v>
      </c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90"/>
    </row>
    <row r="169" spans="1:46" ht="15" thickTop="1" x14ac:dyDescent="0.3">
      <c r="A169" s="80"/>
      <c r="F169" s="166"/>
      <c r="AG169" s="80"/>
    </row>
    <row r="170" spans="1:46" x14ac:dyDescent="0.3">
      <c r="A170" s="80"/>
      <c r="F170" s="166"/>
      <c r="AG170" s="80"/>
    </row>
    <row r="171" spans="1:46" x14ac:dyDescent="0.3">
      <c r="A171" s="80"/>
      <c r="F171" s="166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G171" s="80"/>
    </row>
    <row r="172" spans="1:46" x14ac:dyDescent="0.3">
      <c r="A172" s="80"/>
      <c r="F172" s="166"/>
      <c r="AG172" s="80"/>
    </row>
    <row r="173" spans="1:46" x14ac:dyDescent="0.3">
      <c r="A173" s="80"/>
      <c r="F173" s="166"/>
      <c r="AG173" s="80"/>
    </row>
    <row r="174" spans="1:46" x14ac:dyDescent="0.3">
      <c r="A174" s="80"/>
      <c r="F174" s="166"/>
      <c r="AG174" s="80"/>
    </row>
    <row r="175" spans="1:46" x14ac:dyDescent="0.3">
      <c r="A175" s="80"/>
      <c r="F175" s="166"/>
      <c r="AG175" s="80"/>
    </row>
    <row r="176" spans="1:46" x14ac:dyDescent="0.3">
      <c r="A176" s="80"/>
      <c r="F176" s="166"/>
      <c r="AG176" s="80"/>
    </row>
    <row r="177" spans="1:33" x14ac:dyDescent="0.3">
      <c r="A177" s="80"/>
      <c r="F177" s="166"/>
      <c r="AG177" s="80"/>
    </row>
    <row r="178" spans="1:33" x14ac:dyDescent="0.3">
      <c r="A178" s="80"/>
      <c r="F178" s="166"/>
      <c r="AG178" s="80"/>
    </row>
    <row r="179" spans="1:33" x14ac:dyDescent="0.3">
      <c r="A179" s="80"/>
      <c r="F179" s="166"/>
      <c r="AG179" s="80"/>
    </row>
    <row r="180" spans="1:33" x14ac:dyDescent="0.3">
      <c r="A180" s="80"/>
      <c r="F180" s="166"/>
      <c r="AG180" s="80"/>
    </row>
    <row r="181" spans="1:33" x14ac:dyDescent="0.3">
      <c r="A181" s="80"/>
      <c r="F181" s="166"/>
      <c r="AG181" s="80"/>
    </row>
    <row r="182" spans="1:33" x14ac:dyDescent="0.3">
      <c r="A182" s="80"/>
      <c r="F182" s="166"/>
      <c r="AG182" s="80"/>
    </row>
    <row r="183" spans="1:33" x14ac:dyDescent="0.3">
      <c r="A183" s="80"/>
      <c r="F183" s="166"/>
      <c r="AG183" s="80"/>
    </row>
    <row r="184" spans="1:33" x14ac:dyDescent="0.3">
      <c r="A184" s="80"/>
      <c r="F184" s="166"/>
      <c r="AG184" s="80"/>
    </row>
    <row r="185" spans="1:33" x14ac:dyDescent="0.3">
      <c r="A185" s="118" t="s">
        <v>169</v>
      </c>
      <c r="F185" s="166"/>
      <c r="O185" s="119" t="str">
        <f>$O$1</f>
        <v>W/P - 7-4</v>
      </c>
      <c r="AA185" s="119" t="str">
        <f>$O$93</f>
        <v>W/P - 7-4</v>
      </c>
      <c r="AF185" s="119" t="str">
        <f>$O$93</f>
        <v>W/P - 7-4</v>
      </c>
      <c r="AG185" s="80"/>
    </row>
    <row r="186" spans="1:33" x14ac:dyDescent="0.3">
      <c r="A186" s="118" t="s">
        <v>170</v>
      </c>
      <c r="F186" s="166"/>
      <c r="O186" s="119" t="str">
        <f ca="1">RIGHT(CELL("filename",$A$4),LEN(CELL("filename",$A$4))-SEARCH("\Capital",CELL("filename",$A$4),1))</f>
        <v>Capital Structure\[KAWC 2018 Rate Case - Capital Structure.xlsx]Sch J WPs</v>
      </c>
      <c r="AA186" s="119" t="str">
        <f ca="1">RIGHT(CELL("filename",$A$4),LEN(CELL("filename",$A$4))-SEARCH("\Capital",CELL("filename",$A$4),1))</f>
        <v>Capital Structure\[KAWC 2018 Rate Case - Capital Structure.xlsx]Sch J WPs</v>
      </c>
      <c r="AF186" s="119" t="str">
        <f ca="1">RIGHT(CELL("filename",$A$4),LEN(CELL("filename",$A$4))-SEARCH("\Capital",CELL("filename",$A$4),1))</f>
        <v>Capital Structure\[KAWC 2018 Rate Case - Capital Structure.xlsx]Sch J WPs</v>
      </c>
      <c r="AG186" s="80"/>
    </row>
    <row r="187" spans="1:33" x14ac:dyDescent="0.3">
      <c r="A187" s="80"/>
      <c r="F187" s="166"/>
      <c r="AG187" s="80"/>
    </row>
    <row r="188" spans="1:33" x14ac:dyDescent="0.3">
      <c r="A188" s="101" t="s">
        <v>18</v>
      </c>
      <c r="F188" s="166"/>
      <c r="AG188" s="80"/>
    </row>
    <row r="189" spans="1:33" x14ac:dyDescent="0.3">
      <c r="A189" s="101" t="s">
        <v>271</v>
      </c>
      <c r="F189" s="166"/>
      <c r="AG189" s="80"/>
    </row>
    <row r="190" spans="1:33" x14ac:dyDescent="0.3">
      <c r="F190" s="166"/>
      <c r="AG190" s="80"/>
    </row>
    <row r="191" spans="1:33" x14ac:dyDescent="0.3">
      <c r="A191" s="140"/>
      <c r="B191" s="140" t="s">
        <v>56</v>
      </c>
      <c r="C191" s="140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80"/>
    </row>
    <row r="192" spans="1:33" x14ac:dyDescent="0.3">
      <c r="A192" s="80" t="s">
        <v>22</v>
      </c>
      <c r="B192" s="80" t="s">
        <v>87</v>
      </c>
      <c r="D192" s="80" t="s">
        <v>96</v>
      </c>
      <c r="E192" s="80" t="s">
        <v>96</v>
      </c>
      <c r="F192" s="80" t="s">
        <v>96</v>
      </c>
      <c r="G192" s="80" t="s">
        <v>96</v>
      </c>
      <c r="H192" s="80" t="s">
        <v>96</v>
      </c>
      <c r="I192" s="80" t="s">
        <v>96</v>
      </c>
      <c r="J192" s="80" t="s">
        <v>96</v>
      </c>
      <c r="K192" s="80" t="s">
        <v>96</v>
      </c>
      <c r="L192" s="80" t="s">
        <v>96</v>
      </c>
      <c r="M192" s="80" t="s">
        <v>96</v>
      </c>
      <c r="N192" s="80" t="s">
        <v>96</v>
      </c>
      <c r="O192" s="80" t="s">
        <v>96</v>
      </c>
      <c r="P192" s="80" t="s">
        <v>96</v>
      </c>
      <c r="Q192" s="80" t="s">
        <v>96</v>
      </c>
      <c r="R192" s="80" t="s">
        <v>96</v>
      </c>
      <c r="S192" s="80" t="s">
        <v>96</v>
      </c>
      <c r="T192" s="80" t="s">
        <v>96</v>
      </c>
      <c r="U192" s="80" t="s">
        <v>96</v>
      </c>
      <c r="V192" s="80" t="s">
        <v>96</v>
      </c>
      <c r="W192" s="80" t="s">
        <v>96</v>
      </c>
      <c r="X192" s="80" t="s">
        <v>96</v>
      </c>
      <c r="Y192" s="80" t="s">
        <v>96</v>
      </c>
      <c r="Z192" s="80" t="s">
        <v>96</v>
      </c>
      <c r="AA192" s="80" t="s">
        <v>96</v>
      </c>
      <c r="AB192" s="80" t="s">
        <v>96</v>
      </c>
      <c r="AC192" s="80" t="s">
        <v>96</v>
      </c>
      <c r="AD192" s="80" t="s">
        <v>96</v>
      </c>
      <c r="AE192" s="80" t="s">
        <v>96</v>
      </c>
      <c r="AF192" s="80" t="s">
        <v>97</v>
      </c>
      <c r="AG192" s="80"/>
    </row>
    <row r="193" spans="1:33" x14ac:dyDescent="0.3">
      <c r="A193" s="145" t="s">
        <v>27</v>
      </c>
      <c r="B193" s="145" t="s">
        <v>50</v>
      </c>
      <c r="C193" s="145"/>
      <c r="D193" s="146">
        <f>$D$9</f>
        <v>43190</v>
      </c>
      <c r="E193" s="146">
        <f>$E$9</f>
        <v>43220</v>
      </c>
      <c r="F193" s="146">
        <f>$F$9</f>
        <v>43251</v>
      </c>
      <c r="G193" s="146">
        <f>$G$9</f>
        <v>43281</v>
      </c>
      <c r="H193" s="146">
        <f>$H$9</f>
        <v>43312</v>
      </c>
      <c r="I193" s="146">
        <f>$I$9</f>
        <v>43343</v>
      </c>
      <c r="J193" s="146">
        <f>$J$9</f>
        <v>43373</v>
      </c>
      <c r="K193" s="146">
        <f>$K$9</f>
        <v>43404</v>
      </c>
      <c r="L193" s="146">
        <f>$L$9</f>
        <v>43434</v>
      </c>
      <c r="M193" s="146">
        <f>$M$9</f>
        <v>43465</v>
      </c>
      <c r="N193" s="146">
        <f>$N$9</f>
        <v>43496</v>
      </c>
      <c r="O193" s="146">
        <f>$O$9</f>
        <v>43524</v>
      </c>
      <c r="P193" s="146">
        <f>$P$9</f>
        <v>43555</v>
      </c>
      <c r="Q193" s="146">
        <f>$Q$9</f>
        <v>43585</v>
      </c>
      <c r="R193" s="146">
        <f>$R$9</f>
        <v>43616</v>
      </c>
      <c r="S193" s="146">
        <f>$S$9</f>
        <v>43646</v>
      </c>
      <c r="T193" s="146">
        <f>$T$9</f>
        <v>43677</v>
      </c>
      <c r="U193" s="146">
        <f>$U$9</f>
        <v>43708</v>
      </c>
      <c r="V193" s="146">
        <f>$V$9</f>
        <v>43738</v>
      </c>
      <c r="W193" s="146">
        <f>$W$9</f>
        <v>43769</v>
      </c>
      <c r="X193" s="146">
        <f>$X$9</f>
        <v>43799</v>
      </c>
      <c r="Y193" s="146">
        <f>$Y$9</f>
        <v>43830</v>
      </c>
      <c r="Z193" s="146">
        <f>$Z$9</f>
        <v>43861</v>
      </c>
      <c r="AA193" s="146">
        <f>$AA$9</f>
        <v>43890</v>
      </c>
      <c r="AB193" s="146">
        <f>$AB$9</f>
        <v>43921</v>
      </c>
      <c r="AC193" s="146">
        <f>$AC$9</f>
        <v>43951</v>
      </c>
      <c r="AD193" s="146">
        <f>$AD$9</f>
        <v>43982</v>
      </c>
      <c r="AE193" s="146">
        <f>$AE$9</f>
        <v>44012</v>
      </c>
      <c r="AF193" s="147" t="s">
        <v>85</v>
      </c>
      <c r="AG193" s="80"/>
    </row>
    <row r="194" spans="1:33" x14ac:dyDescent="0.3">
      <c r="A194" s="80">
        <v>1</v>
      </c>
      <c r="B194" s="85"/>
      <c r="F194" s="166"/>
      <c r="AG194" s="80"/>
    </row>
    <row r="195" spans="1:33" x14ac:dyDescent="0.3">
      <c r="A195" s="80">
        <f>A194+1</f>
        <v>2</v>
      </c>
      <c r="F195" s="166"/>
      <c r="AG195" s="80"/>
    </row>
    <row r="196" spans="1:33" x14ac:dyDescent="0.3">
      <c r="A196" s="80">
        <f t="shared" ref="A196:A220" si="131">A195+1</f>
        <v>3</v>
      </c>
      <c r="B196" s="107" t="s">
        <v>145</v>
      </c>
      <c r="F196" s="166"/>
      <c r="AG196" s="80"/>
    </row>
    <row r="197" spans="1:33" x14ac:dyDescent="0.3">
      <c r="A197" s="80">
        <f t="shared" si="131"/>
        <v>4</v>
      </c>
      <c r="F197" s="166"/>
      <c r="AG197" s="80"/>
    </row>
    <row r="198" spans="1:33" x14ac:dyDescent="0.3">
      <c r="A198" s="80">
        <f t="shared" si="131"/>
        <v>5</v>
      </c>
      <c r="F198" s="166"/>
      <c r="AG198" s="80"/>
    </row>
    <row r="199" spans="1:33" x14ac:dyDescent="0.3">
      <c r="A199" s="80">
        <f t="shared" si="131"/>
        <v>6</v>
      </c>
      <c r="B199" s="72" t="str">
        <f>B14</f>
        <v xml:space="preserve">    Series 6.96%   GMB</v>
      </c>
      <c r="C199" s="81">
        <f>+C61</f>
        <v>16</v>
      </c>
      <c r="F199" s="166"/>
      <c r="AG199" s="80"/>
    </row>
    <row r="200" spans="1:33" x14ac:dyDescent="0.3">
      <c r="A200" s="80">
        <f t="shared" si="131"/>
        <v>7</v>
      </c>
      <c r="B200" s="72" t="str">
        <f t="shared" ref="B200:B210" si="132">B15</f>
        <v xml:space="preserve">    Series 7.15%   GMB</v>
      </c>
      <c r="C200" s="81">
        <f t="shared" ref="C200:C210" si="133">+C62</f>
        <v>18</v>
      </c>
      <c r="F200" s="166"/>
      <c r="AG200" s="80"/>
    </row>
    <row r="201" spans="1:33" x14ac:dyDescent="0.3">
      <c r="A201" s="80">
        <f t="shared" si="131"/>
        <v>8</v>
      </c>
      <c r="B201" s="72" t="str">
        <f t="shared" si="132"/>
        <v xml:space="preserve">    Series 6.99%   GMB</v>
      </c>
      <c r="C201" s="81">
        <f t="shared" si="133"/>
        <v>19</v>
      </c>
      <c r="F201" s="166"/>
      <c r="AG201" s="80"/>
    </row>
    <row r="202" spans="1:33" x14ac:dyDescent="0.3">
      <c r="A202" s="80">
        <f t="shared" si="131"/>
        <v>9</v>
      </c>
      <c r="B202" s="72" t="str">
        <f t="shared" si="132"/>
        <v xml:space="preserve">    Series 6.593%  Note</v>
      </c>
      <c r="C202" s="81">
        <f t="shared" si="133"/>
        <v>26</v>
      </c>
      <c r="F202" s="166"/>
      <c r="AG202" s="80"/>
    </row>
    <row r="203" spans="1:33" x14ac:dyDescent="0.3">
      <c r="A203" s="80">
        <f t="shared" si="131"/>
        <v>10</v>
      </c>
      <c r="B203" s="72" t="str">
        <f t="shared" si="132"/>
        <v xml:space="preserve">    Series 6.25%    Note</v>
      </c>
      <c r="C203" s="81">
        <f t="shared" si="133"/>
        <v>27</v>
      </c>
      <c r="F203" s="166"/>
      <c r="AG203" s="80"/>
    </row>
    <row r="204" spans="1:33" x14ac:dyDescent="0.3">
      <c r="A204" s="80">
        <f t="shared" si="131"/>
        <v>11</v>
      </c>
      <c r="B204" s="72" t="str">
        <f t="shared" si="132"/>
        <v xml:space="preserve">    Series 5.625%  Note</v>
      </c>
      <c r="C204" s="81">
        <f t="shared" si="133"/>
        <v>28</v>
      </c>
      <c r="F204" s="166"/>
      <c r="AG204" s="80"/>
    </row>
    <row r="205" spans="1:33" x14ac:dyDescent="0.3">
      <c r="A205" s="80">
        <f t="shared" si="131"/>
        <v>12</v>
      </c>
      <c r="B205" s="72" t="str">
        <f t="shared" si="132"/>
        <v xml:space="preserve">    Series 5.375%  Note</v>
      </c>
      <c r="C205" s="81">
        <f t="shared" si="133"/>
        <v>29</v>
      </c>
      <c r="F205" s="166"/>
      <c r="AG205" s="80"/>
    </row>
    <row r="206" spans="1:33" x14ac:dyDescent="0.3">
      <c r="A206" s="80">
        <f t="shared" si="131"/>
        <v>13</v>
      </c>
      <c r="B206" s="72" t="str">
        <f t="shared" si="132"/>
        <v xml:space="preserve">    Series 5.05%    Note</v>
      </c>
      <c r="C206" s="81">
        <f t="shared" si="133"/>
        <v>30</v>
      </c>
      <c r="F206" s="166"/>
      <c r="AG206" s="80"/>
    </row>
    <row r="207" spans="1:33" x14ac:dyDescent="0.3">
      <c r="A207" s="80">
        <f t="shared" si="131"/>
        <v>14</v>
      </c>
      <c r="B207" s="72" t="str">
        <f t="shared" si="132"/>
        <v xml:space="preserve">    Series 4.00%    Note</v>
      </c>
      <c r="C207" s="81">
        <f t="shared" si="133"/>
        <v>31</v>
      </c>
      <c r="F207" s="166"/>
      <c r="AG207" s="80"/>
    </row>
    <row r="208" spans="1:33" x14ac:dyDescent="0.3">
      <c r="A208" s="80">
        <f t="shared" si="131"/>
        <v>15</v>
      </c>
      <c r="B208" s="72" t="str">
        <f t="shared" si="132"/>
        <v xml:space="preserve">    Series 4.00%    Note</v>
      </c>
      <c r="C208" s="81">
        <f t="shared" si="133"/>
        <v>32</v>
      </c>
      <c r="D208" s="223">
        <v>115.4</v>
      </c>
      <c r="E208" s="223">
        <f>D208</f>
        <v>115.4</v>
      </c>
      <c r="F208" s="223">
        <f t="shared" ref="F208:AE208" si="134">E208</f>
        <v>115.4</v>
      </c>
      <c r="G208" s="223">
        <f t="shared" si="134"/>
        <v>115.4</v>
      </c>
      <c r="H208" s="223">
        <f t="shared" si="134"/>
        <v>115.4</v>
      </c>
      <c r="I208" s="223">
        <f t="shared" si="134"/>
        <v>115.4</v>
      </c>
      <c r="J208" s="223">
        <f t="shared" si="134"/>
        <v>115.4</v>
      </c>
      <c r="K208" s="223">
        <f t="shared" si="134"/>
        <v>115.4</v>
      </c>
      <c r="L208" s="223">
        <f t="shared" si="134"/>
        <v>115.4</v>
      </c>
      <c r="M208" s="223">
        <f t="shared" si="134"/>
        <v>115.4</v>
      </c>
      <c r="N208" s="223">
        <f t="shared" si="134"/>
        <v>115.4</v>
      </c>
      <c r="O208" s="223">
        <f t="shared" si="134"/>
        <v>115.4</v>
      </c>
      <c r="P208" s="223">
        <f t="shared" si="134"/>
        <v>115.4</v>
      </c>
      <c r="Q208" s="223">
        <f t="shared" si="134"/>
        <v>115.4</v>
      </c>
      <c r="R208" s="223">
        <f t="shared" si="134"/>
        <v>115.4</v>
      </c>
      <c r="S208" s="223">
        <f t="shared" si="134"/>
        <v>115.4</v>
      </c>
      <c r="T208" s="223">
        <f t="shared" si="134"/>
        <v>115.4</v>
      </c>
      <c r="U208" s="223">
        <f t="shared" si="134"/>
        <v>115.4</v>
      </c>
      <c r="V208" s="223">
        <f t="shared" si="134"/>
        <v>115.4</v>
      </c>
      <c r="W208" s="223">
        <f t="shared" si="134"/>
        <v>115.4</v>
      </c>
      <c r="X208" s="223">
        <f t="shared" si="134"/>
        <v>115.4</v>
      </c>
      <c r="Y208" s="223">
        <f t="shared" si="134"/>
        <v>115.4</v>
      </c>
      <c r="Z208" s="223">
        <f t="shared" si="134"/>
        <v>115.4</v>
      </c>
      <c r="AA208" s="223">
        <f t="shared" si="134"/>
        <v>115.4</v>
      </c>
      <c r="AB208" s="223">
        <f t="shared" si="134"/>
        <v>115.4</v>
      </c>
      <c r="AC208" s="223">
        <f t="shared" si="134"/>
        <v>115.4</v>
      </c>
      <c r="AD208" s="223">
        <f t="shared" si="134"/>
        <v>115.4</v>
      </c>
      <c r="AE208" s="223">
        <f t="shared" si="134"/>
        <v>115.4</v>
      </c>
      <c r="AF208" s="94">
        <f>SUM(T208:AE208)</f>
        <v>1384.8000000000002</v>
      </c>
      <c r="AG208" s="80"/>
    </row>
    <row r="209" spans="1:33" x14ac:dyDescent="0.3">
      <c r="A209" s="80">
        <f t="shared" si="131"/>
        <v>16</v>
      </c>
      <c r="B209" s="72" t="str">
        <f t="shared" si="132"/>
        <v xml:space="preserve">    Series 3.75%    Note</v>
      </c>
      <c r="C209" s="81">
        <f t="shared" si="133"/>
        <v>33</v>
      </c>
      <c r="D209" s="223">
        <v>42.69</v>
      </c>
      <c r="E209" s="223">
        <f>D209</f>
        <v>42.69</v>
      </c>
      <c r="F209" s="223">
        <f t="shared" ref="F209:AE209" si="135">E209</f>
        <v>42.69</v>
      </c>
      <c r="G209" s="223">
        <f t="shared" si="135"/>
        <v>42.69</v>
      </c>
      <c r="H209" s="223">
        <f t="shared" si="135"/>
        <v>42.69</v>
      </c>
      <c r="I209" s="223">
        <f t="shared" si="135"/>
        <v>42.69</v>
      </c>
      <c r="J209" s="223">
        <f t="shared" si="135"/>
        <v>42.69</v>
      </c>
      <c r="K209" s="223">
        <f t="shared" si="135"/>
        <v>42.69</v>
      </c>
      <c r="L209" s="223">
        <f t="shared" si="135"/>
        <v>42.69</v>
      </c>
      <c r="M209" s="223">
        <f t="shared" si="135"/>
        <v>42.69</v>
      </c>
      <c r="N209" s="223">
        <f t="shared" si="135"/>
        <v>42.69</v>
      </c>
      <c r="O209" s="223">
        <f t="shared" si="135"/>
        <v>42.69</v>
      </c>
      <c r="P209" s="223">
        <f t="shared" si="135"/>
        <v>42.69</v>
      </c>
      <c r="Q209" s="223">
        <f t="shared" si="135"/>
        <v>42.69</v>
      </c>
      <c r="R209" s="223">
        <f t="shared" si="135"/>
        <v>42.69</v>
      </c>
      <c r="S209" s="223">
        <f t="shared" si="135"/>
        <v>42.69</v>
      </c>
      <c r="T209" s="223">
        <f t="shared" si="135"/>
        <v>42.69</v>
      </c>
      <c r="U209" s="223">
        <f t="shared" si="135"/>
        <v>42.69</v>
      </c>
      <c r="V209" s="223">
        <f t="shared" si="135"/>
        <v>42.69</v>
      </c>
      <c r="W209" s="223">
        <f t="shared" si="135"/>
        <v>42.69</v>
      </c>
      <c r="X209" s="223">
        <f t="shared" si="135"/>
        <v>42.69</v>
      </c>
      <c r="Y209" s="223">
        <f t="shared" si="135"/>
        <v>42.69</v>
      </c>
      <c r="Z209" s="223">
        <f t="shared" si="135"/>
        <v>42.69</v>
      </c>
      <c r="AA209" s="223">
        <f t="shared" si="135"/>
        <v>42.69</v>
      </c>
      <c r="AB209" s="223">
        <f t="shared" si="135"/>
        <v>42.69</v>
      </c>
      <c r="AC209" s="223">
        <f t="shared" si="135"/>
        <v>42.69</v>
      </c>
      <c r="AD209" s="223">
        <f t="shared" si="135"/>
        <v>42.69</v>
      </c>
      <c r="AE209" s="223">
        <f t="shared" si="135"/>
        <v>42.69</v>
      </c>
      <c r="AF209" s="94">
        <f t="shared" ref="AF209" si="136">SUM(T209:AE209)</f>
        <v>512.28</v>
      </c>
      <c r="AG209" s="80"/>
    </row>
    <row r="210" spans="1:33" x14ac:dyDescent="0.3">
      <c r="A210" s="80">
        <f t="shared" si="131"/>
        <v>17</v>
      </c>
      <c r="B210" s="72" t="str">
        <f t="shared" si="132"/>
        <v xml:space="preserve">    Proposed 4.55%    Note</v>
      </c>
      <c r="C210" s="81">
        <f t="shared" si="133"/>
        <v>34</v>
      </c>
      <c r="D210" s="223"/>
      <c r="E210" s="223"/>
      <c r="F210" s="224"/>
      <c r="G210" s="223"/>
      <c r="H210" s="223"/>
      <c r="I210" s="223"/>
      <c r="J210" s="223"/>
      <c r="K210" s="223"/>
      <c r="L210" s="223"/>
      <c r="M210" s="223"/>
      <c r="N210" s="223"/>
      <c r="O210" s="223"/>
      <c r="P210" s="225"/>
      <c r="Q210" s="223"/>
      <c r="R210" s="223">
        <f>(R25*0.01)/360*0.5</f>
        <v>222.22222222222223</v>
      </c>
      <c r="S210" s="223">
        <f>(S25*0.01)/360</f>
        <v>444.44444444444446</v>
      </c>
      <c r="T210" s="223">
        <f>S210</f>
        <v>444.44444444444446</v>
      </c>
      <c r="U210" s="223">
        <f t="shared" ref="U210:AE210" si="137">T210</f>
        <v>444.44444444444446</v>
      </c>
      <c r="V210" s="223">
        <f t="shared" si="137"/>
        <v>444.44444444444446</v>
      </c>
      <c r="W210" s="223">
        <f t="shared" si="137"/>
        <v>444.44444444444446</v>
      </c>
      <c r="X210" s="223">
        <f t="shared" si="137"/>
        <v>444.44444444444446</v>
      </c>
      <c r="Y210" s="223">
        <f t="shared" si="137"/>
        <v>444.44444444444446</v>
      </c>
      <c r="Z210" s="223">
        <f t="shared" si="137"/>
        <v>444.44444444444446</v>
      </c>
      <c r="AA210" s="223">
        <f t="shared" si="137"/>
        <v>444.44444444444446</v>
      </c>
      <c r="AB210" s="223">
        <f t="shared" si="137"/>
        <v>444.44444444444446</v>
      </c>
      <c r="AC210" s="223">
        <f t="shared" si="137"/>
        <v>444.44444444444446</v>
      </c>
      <c r="AD210" s="223">
        <f t="shared" si="137"/>
        <v>444.44444444444446</v>
      </c>
      <c r="AE210" s="223">
        <f t="shared" si="137"/>
        <v>444.44444444444446</v>
      </c>
      <c r="AF210" s="94">
        <f>SUM(T210:AE210)</f>
        <v>5333.333333333333</v>
      </c>
      <c r="AG210" s="80"/>
    </row>
    <row r="211" spans="1:33" x14ac:dyDescent="0.3">
      <c r="A211" s="80">
        <f t="shared" si="131"/>
        <v>18</v>
      </c>
      <c r="B211" s="72"/>
      <c r="F211" s="166"/>
      <c r="AG211" s="80"/>
    </row>
    <row r="212" spans="1:33" x14ac:dyDescent="0.3">
      <c r="A212" s="80">
        <f t="shared" si="131"/>
        <v>19</v>
      </c>
      <c r="B212" s="72" t="str">
        <f>B74</f>
        <v xml:space="preserve">    Series 8.5% w/o over life of 6.96% issue</v>
      </c>
      <c r="F212" s="166"/>
      <c r="AG212" s="80"/>
    </row>
    <row r="213" spans="1:33" x14ac:dyDescent="0.3">
      <c r="A213" s="80">
        <f t="shared" si="131"/>
        <v>20</v>
      </c>
      <c r="F213" s="166"/>
      <c r="AG213" s="80"/>
    </row>
    <row r="214" spans="1:33" x14ac:dyDescent="0.3">
      <c r="A214" s="80">
        <f t="shared" si="131"/>
        <v>21</v>
      </c>
      <c r="F214" s="166"/>
      <c r="AG214" s="80"/>
    </row>
    <row r="215" spans="1:33" x14ac:dyDescent="0.3">
      <c r="A215" s="80">
        <f t="shared" si="131"/>
        <v>22</v>
      </c>
      <c r="F215" s="166"/>
      <c r="AG215" s="80"/>
    </row>
    <row r="216" spans="1:33" x14ac:dyDescent="0.3">
      <c r="A216" s="80">
        <f t="shared" si="131"/>
        <v>23</v>
      </c>
      <c r="F216" s="166"/>
      <c r="AG216" s="80"/>
    </row>
    <row r="217" spans="1:33" x14ac:dyDescent="0.3">
      <c r="A217" s="80">
        <f t="shared" si="131"/>
        <v>24</v>
      </c>
      <c r="F217" s="166"/>
      <c r="AG217" s="80"/>
    </row>
    <row r="218" spans="1:33" x14ac:dyDescent="0.3">
      <c r="A218" s="80">
        <f t="shared" si="131"/>
        <v>25</v>
      </c>
      <c r="F218" s="166"/>
      <c r="AG218" s="80"/>
    </row>
    <row r="219" spans="1:33" x14ac:dyDescent="0.3">
      <c r="A219" s="80">
        <f t="shared" si="131"/>
        <v>26</v>
      </c>
      <c r="F219" s="166"/>
      <c r="AG219" s="80"/>
    </row>
    <row r="220" spans="1:33" ht="15" thickBot="1" x14ac:dyDescent="0.35">
      <c r="A220" s="80">
        <f t="shared" si="131"/>
        <v>27</v>
      </c>
      <c r="B220" s="72" t="s">
        <v>94</v>
      </c>
      <c r="D220" s="159">
        <f t="shared" ref="D220:AF220" si="138">SUM(D196:D219)</f>
        <v>158.09</v>
      </c>
      <c r="E220" s="159">
        <f t="shared" si="138"/>
        <v>158.09</v>
      </c>
      <c r="F220" s="159">
        <f t="shared" si="138"/>
        <v>158.09</v>
      </c>
      <c r="G220" s="159">
        <f t="shared" si="138"/>
        <v>158.09</v>
      </c>
      <c r="H220" s="159">
        <f t="shared" si="138"/>
        <v>158.09</v>
      </c>
      <c r="I220" s="159">
        <f t="shared" si="138"/>
        <v>158.09</v>
      </c>
      <c r="J220" s="159">
        <f t="shared" si="138"/>
        <v>158.09</v>
      </c>
      <c r="K220" s="159">
        <f t="shared" si="138"/>
        <v>158.09</v>
      </c>
      <c r="L220" s="159">
        <f t="shared" si="138"/>
        <v>158.09</v>
      </c>
      <c r="M220" s="159">
        <f t="shared" si="138"/>
        <v>158.09</v>
      </c>
      <c r="N220" s="159">
        <f t="shared" si="138"/>
        <v>158.09</v>
      </c>
      <c r="O220" s="159">
        <f t="shared" si="138"/>
        <v>158.09</v>
      </c>
      <c r="P220" s="159">
        <f t="shared" si="138"/>
        <v>158.09</v>
      </c>
      <c r="Q220" s="159">
        <f t="shared" si="138"/>
        <v>158.09</v>
      </c>
      <c r="R220" s="159">
        <f t="shared" si="138"/>
        <v>380.3122222222222</v>
      </c>
      <c r="S220" s="159">
        <f t="shared" si="138"/>
        <v>602.53444444444449</v>
      </c>
      <c r="T220" s="159">
        <f t="shared" si="138"/>
        <v>602.53444444444449</v>
      </c>
      <c r="U220" s="159">
        <f t="shared" si="138"/>
        <v>602.53444444444449</v>
      </c>
      <c r="V220" s="159">
        <f t="shared" si="138"/>
        <v>602.53444444444449</v>
      </c>
      <c r="W220" s="159">
        <f t="shared" si="138"/>
        <v>602.53444444444449</v>
      </c>
      <c r="X220" s="159">
        <f t="shared" si="138"/>
        <v>602.53444444444449</v>
      </c>
      <c r="Y220" s="159">
        <f t="shared" si="138"/>
        <v>602.53444444444449</v>
      </c>
      <c r="Z220" s="159">
        <f t="shared" si="138"/>
        <v>602.53444444444449</v>
      </c>
      <c r="AA220" s="159">
        <f t="shared" si="138"/>
        <v>602.53444444444449</v>
      </c>
      <c r="AB220" s="159">
        <f t="shared" si="138"/>
        <v>602.53444444444449</v>
      </c>
      <c r="AC220" s="159">
        <f t="shared" si="138"/>
        <v>602.53444444444449</v>
      </c>
      <c r="AD220" s="159">
        <f t="shared" si="138"/>
        <v>602.53444444444449</v>
      </c>
      <c r="AE220" s="159">
        <f t="shared" si="138"/>
        <v>602.53444444444449</v>
      </c>
      <c r="AF220" s="159">
        <f t="shared" si="138"/>
        <v>7230.413333333333</v>
      </c>
      <c r="AG220" s="80"/>
    </row>
    <row r="221" spans="1:33" ht="15" thickTop="1" x14ac:dyDescent="0.3">
      <c r="A221" s="80"/>
      <c r="F221" s="166"/>
      <c r="AG221" s="80"/>
    </row>
    <row r="222" spans="1:33" x14ac:dyDescent="0.3">
      <c r="A222" s="80"/>
      <c r="F222" s="166"/>
      <c r="AG222" s="80"/>
    </row>
    <row r="223" spans="1:33" x14ac:dyDescent="0.3">
      <c r="A223" s="80"/>
      <c r="F223" s="166"/>
      <c r="AG223" s="80"/>
    </row>
    <row r="224" spans="1:33" x14ac:dyDescent="0.3">
      <c r="A224" s="80"/>
      <c r="F224" s="166"/>
      <c r="AG224" s="80"/>
    </row>
    <row r="225" spans="1:71" x14ac:dyDescent="0.3">
      <c r="A225" s="80"/>
      <c r="F225" s="166"/>
      <c r="AG225" s="80"/>
    </row>
    <row r="226" spans="1:71" x14ac:dyDescent="0.3">
      <c r="A226" s="80"/>
      <c r="F226" s="166"/>
      <c r="AG226" s="80"/>
    </row>
    <row r="227" spans="1:71" x14ac:dyDescent="0.3">
      <c r="A227" s="80"/>
      <c r="F227" s="166"/>
      <c r="AG227" s="80"/>
    </row>
    <row r="228" spans="1:71" x14ac:dyDescent="0.3">
      <c r="A228" s="80"/>
      <c r="F228" s="166"/>
      <c r="AG228" s="80"/>
    </row>
    <row r="229" spans="1:71" x14ac:dyDescent="0.3">
      <c r="A229" s="80"/>
      <c r="F229" s="166"/>
      <c r="AG229" s="80"/>
    </row>
    <row r="230" spans="1:71" x14ac:dyDescent="0.3">
      <c r="A230" s="80"/>
      <c r="F230" s="166"/>
      <c r="AG230" s="80"/>
    </row>
    <row r="231" spans="1:71" x14ac:dyDescent="0.3">
      <c r="A231" s="118" t="s">
        <v>169</v>
      </c>
      <c r="F231" s="166"/>
      <c r="O231" s="119" t="str">
        <f>$O$1</f>
        <v>W/P - 7-4</v>
      </c>
      <c r="AA231" s="119" t="str">
        <f>$O$231</f>
        <v>W/P - 7-4</v>
      </c>
      <c r="AF231" s="119" t="str">
        <f>$O$231</f>
        <v>W/P - 7-4</v>
      </c>
      <c r="AG231" s="80"/>
    </row>
    <row r="232" spans="1:71" x14ac:dyDescent="0.3">
      <c r="A232" s="118" t="s">
        <v>170</v>
      </c>
      <c r="F232" s="166"/>
      <c r="O232" s="119" t="str">
        <f ca="1">RIGHT(CELL("filename",$A$4),LEN(CELL("filename",$A$4))-SEARCH("\Capital",CELL("filename",$A$4),1))</f>
        <v>Capital Structure\[KAWC 2018 Rate Case - Capital Structure.xlsx]Sch J WPs</v>
      </c>
      <c r="AA232" s="119" t="str">
        <f ca="1">RIGHT(CELL("filename",$A$4),LEN(CELL("filename",$A$4))-SEARCH("\Capital",CELL("filename",$A$4),1))</f>
        <v>Capital Structure\[KAWC 2018 Rate Case - Capital Structure.xlsx]Sch J WPs</v>
      </c>
      <c r="AF232" s="119" t="str">
        <f ca="1">RIGHT(CELL("filename",$A$4),LEN(CELL("filename",$A$4))-SEARCH("\Capital",CELL("filename",$A$4),1))</f>
        <v>Capital Structure\[KAWC 2018 Rate Case - Capital Structure.xlsx]Sch J WPs</v>
      </c>
      <c r="AG232" s="80"/>
    </row>
    <row r="233" spans="1:71" x14ac:dyDescent="0.3">
      <c r="A233" s="80"/>
      <c r="F233" s="166"/>
      <c r="AG233" s="80"/>
    </row>
    <row r="234" spans="1:71" x14ac:dyDescent="0.3">
      <c r="A234" s="101" t="s">
        <v>18</v>
      </c>
      <c r="AG234" s="80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</row>
    <row r="235" spans="1:71" x14ac:dyDescent="0.3">
      <c r="A235" s="101" t="s">
        <v>257</v>
      </c>
      <c r="AG235" s="80"/>
    </row>
    <row r="236" spans="1:71" x14ac:dyDescent="0.3">
      <c r="A236" s="101"/>
      <c r="AG236" s="80"/>
    </row>
    <row r="237" spans="1:71" x14ac:dyDescent="0.3">
      <c r="A237" s="140"/>
      <c r="B237" s="140" t="s">
        <v>56</v>
      </c>
      <c r="C237" s="140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80"/>
    </row>
    <row r="238" spans="1:71" x14ac:dyDescent="0.3">
      <c r="A238" s="80" t="s">
        <v>22</v>
      </c>
      <c r="B238" s="80" t="s">
        <v>87</v>
      </c>
      <c r="D238" s="80" t="s">
        <v>96</v>
      </c>
      <c r="E238" s="80" t="s">
        <v>96</v>
      </c>
      <c r="F238" s="80" t="s">
        <v>96</v>
      </c>
      <c r="G238" s="80" t="s">
        <v>96</v>
      </c>
      <c r="H238" s="80" t="s">
        <v>96</v>
      </c>
      <c r="I238" s="80" t="s">
        <v>96</v>
      </c>
      <c r="J238" s="80" t="s">
        <v>96</v>
      </c>
      <c r="K238" s="80" t="s">
        <v>96</v>
      </c>
      <c r="L238" s="80" t="s">
        <v>96</v>
      </c>
      <c r="M238" s="80" t="s">
        <v>96</v>
      </c>
      <c r="N238" s="80" t="s">
        <v>96</v>
      </c>
      <c r="O238" s="80" t="s">
        <v>96</v>
      </c>
      <c r="P238" s="80" t="s">
        <v>96</v>
      </c>
      <c r="Q238" s="80" t="s">
        <v>96</v>
      </c>
      <c r="R238" s="80" t="s">
        <v>96</v>
      </c>
      <c r="S238" s="80" t="s">
        <v>96</v>
      </c>
      <c r="T238" s="80" t="s">
        <v>96</v>
      </c>
      <c r="U238" s="80" t="s">
        <v>96</v>
      </c>
      <c r="V238" s="80" t="s">
        <v>96</v>
      </c>
      <c r="W238" s="80" t="s">
        <v>96</v>
      </c>
      <c r="X238" s="80" t="s">
        <v>96</v>
      </c>
      <c r="Y238" s="80" t="s">
        <v>96</v>
      </c>
      <c r="Z238" s="80" t="s">
        <v>96</v>
      </c>
      <c r="AA238" s="80" t="s">
        <v>96</v>
      </c>
      <c r="AB238" s="80" t="s">
        <v>96</v>
      </c>
      <c r="AC238" s="80" t="s">
        <v>96</v>
      </c>
      <c r="AD238" s="80" t="s">
        <v>96</v>
      </c>
      <c r="AE238" s="80" t="s">
        <v>96</v>
      </c>
      <c r="AF238" s="80" t="s">
        <v>97</v>
      </c>
      <c r="AG238" s="80"/>
    </row>
    <row r="239" spans="1:71" x14ac:dyDescent="0.3">
      <c r="A239" s="145" t="s">
        <v>27</v>
      </c>
      <c r="B239" s="145" t="s">
        <v>50</v>
      </c>
      <c r="C239" s="145"/>
      <c r="D239" s="146">
        <f>$D$9</f>
        <v>43190</v>
      </c>
      <c r="E239" s="146">
        <f>$E$9</f>
        <v>43220</v>
      </c>
      <c r="F239" s="146">
        <f>$F$9</f>
        <v>43251</v>
      </c>
      <c r="G239" s="146">
        <f>$G$9</f>
        <v>43281</v>
      </c>
      <c r="H239" s="146">
        <f>$H$9</f>
        <v>43312</v>
      </c>
      <c r="I239" s="146">
        <f>$I$9</f>
        <v>43343</v>
      </c>
      <c r="J239" s="146">
        <f>$J$9</f>
        <v>43373</v>
      </c>
      <c r="K239" s="146">
        <f>$K$9</f>
        <v>43404</v>
      </c>
      <c r="L239" s="146">
        <f>$L$9</f>
        <v>43434</v>
      </c>
      <c r="M239" s="146">
        <f>$M$9</f>
        <v>43465</v>
      </c>
      <c r="N239" s="146">
        <f>$N$9</f>
        <v>43496</v>
      </c>
      <c r="O239" s="146">
        <f>$O$9</f>
        <v>43524</v>
      </c>
      <c r="P239" s="146">
        <f>$P$9</f>
        <v>43555</v>
      </c>
      <c r="Q239" s="146">
        <f>$Q$9</f>
        <v>43585</v>
      </c>
      <c r="R239" s="146">
        <f>$R$9</f>
        <v>43616</v>
      </c>
      <c r="S239" s="146">
        <f>$S$9</f>
        <v>43646</v>
      </c>
      <c r="T239" s="146">
        <f>$T$9</f>
        <v>43677</v>
      </c>
      <c r="U239" s="146">
        <f>$U$9</f>
        <v>43708</v>
      </c>
      <c r="V239" s="146">
        <f>$V$9</f>
        <v>43738</v>
      </c>
      <c r="W239" s="146">
        <f>$W$9</f>
        <v>43769</v>
      </c>
      <c r="X239" s="146">
        <f>$X$9</f>
        <v>43799</v>
      </c>
      <c r="Y239" s="146">
        <f>$Y$9</f>
        <v>43830</v>
      </c>
      <c r="Z239" s="146">
        <f>$Z$9</f>
        <v>43861</v>
      </c>
      <c r="AA239" s="146">
        <f>$AA$9</f>
        <v>43890</v>
      </c>
      <c r="AB239" s="146">
        <f>$AB$9</f>
        <v>43921</v>
      </c>
      <c r="AC239" s="146">
        <f>$AC$9</f>
        <v>43951</v>
      </c>
      <c r="AD239" s="146">
        <f>$AD$9</f>
        <v>43982</v>
      </c>
      <c r="AE239" s="146">
        <f>$AE$9</f>
        <v>44012</v>
      </c>
      <c r="AF239" s="147" t="s">
        <v>85</v>
      </c>
      <c r="AG239" s="80"/>
    </row>
    <row r="240" spans="1:71" x14ac:dyDescent="0.3">
      <c r="A240" s="80">
        <v>1</v>
      </c>
      <c r="B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0"/>
    </row>
    <row r="241" spans="1:36" x14ac:dyDescent="0.3">
      <c r="A241" s="80">
        <v>2</v>
      </c>
      <c r="AG241" s="80"/>
    </row>
    <row r="242" spans="1:36" x14ac:dyDescent="0.3">
      <c r="A242" s="80">
        <v>3</v>
      </c>
      <c r="B242" s="107" t="s">
        <v>145</v>
      </c>
      <c r="AG242" s="80"/>
    </row>
    <row r="243" spans="1:36" x14ac:dyDescent="0.3">
      <c r="A243" s="80">
        <v>4</v>
      </c>
      <c r="B243" s="154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94"/>
      <c r="Y243" s="87"/>
      <c r="Z243" s="87"/>
      <c r="AA243" s="87"/>
      <c r="AB243" s="87"/>
      <c r="AC243" s="87"/>
      <c r="AD243" s="87"/>
      <c r="AE243" s="87"/>
      <c r="AF243" s="163"/>
      <c r="AG243" s="80"/>
    </row>
    <row r="244" spans="1:36" x14ac:dyDescent="0.3">
      <c r="A244" s="80">
        <v>5</v>
      </c>
      <c r="B244" s="168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80"/>
    </row>
    <row r="245" spans="1:36" x14ac:dyDescent="0.3">
      <c r="A245" s="80">
        <v>6</v>
      </c>
      <c r="B245" s="67" t="str">
        <f t="shared" ref="B245:B256" si="139">B14</f>
        <v xml:space="preserve">    Series 6.96%   GMB</v>
      </c>
      <c r="D245" s="116">
        <f t="shared" ref="D245:AE245" si="140">ROUND(+D14/12*$C$14,4)</f>
        <v>40600</v>
      </c>
      <c r="E245" s="116">
        <f t="shared" si="140"/>
        <v>40600</v>
      </c>
      <c r="F245" s="116">
        <f t="shared" si="140"/>
        <v>40600</v>
      </c>
      <c r="G245" s="116">
        <f t="shared" si="140"/>
        <v>40600</v>
      </c>
      <c r="H245" s="116">
        <f t="shared" si="140"/>
        <v>40600</v>
      </c>
      <c r="I245" s="116">
        <f t="shared" si="140"/>
        <v>40600</v>
      </c>
      <c r="J245" s="116">
        <f t="shared" si="140"/>
        <v>40600</v>
      </c>
      <c r="K245" s="116">
        <f t="shared" si="140"/>
        <v>40600</v>
      </c>
      <c r="L245" s="116">
        <f t="shared" si="140"/>
        <v>40600</v>
      </c>
      <c r="M245" s="116">
        <f t="shared" si="140"/>
        <v>40600</v>
      </c>
      <c r="N245" s="116">
        <f t="shared" si="140"/>
        <v>40600</v>
      </c>
      <c r="O245" s="116">
        <f t="shared" si="140"/>
        <v>40600</v>
      </c>
      <c r="P245" s="116">
        <f t="shared" si="140"/>
        <v>40600</v>
      </c>
      <c r="Q245" s="116">
        <f t="shared" si="140"/>
        <v>40600</v>
      </c>
      <c r="R245" s="116">
        <f t="shared" si="140"/>
        <v>40600</v>
      </c>
      <c r="S245" s="116">
        <f t="shared" si="140"/>
        <v>40600</v>
      </c>
      <c r="T245" s="116">
        <f t="shared" si="140"/>
        <v>40600</v>
      </c>
      <c r="U245" s="116">
        <f t="shared" si="140"/>
        <v>40600</v>
      </c>
      <c r="V245" s="116">
        <f t="shared" si="140"/>
        <v>40600</v>
      </c>
      <c r="W245" s="116">
        <f t="shared" si="140"/>
        <v>40600</v>
      </c>
      <c r="X245" s="116">
        <f t="shared" si="140"/>
        <v>40600</v>
      </c>
      <c r="Y245" s="116">
        <f t="shared" si="140"/>
        <v>40600</v>
      </c>
      <c r="Z245" s="116">
        <f t="shared" si="140"/>
        <v>40600</v>
      </c>
      <c r="AA245" s="116">
        <f t="shared" si="140"/>
        <v>40600</v>
      </c>
      <c r="AB245" s="116">
        <f t="shared" si="140"/>
        <v>40600</v>
      </c>
      <c r="AC245" s="116">
        <f t="shared" si="140"/>
        <v>40600</v>
      </c>
      <c r="AD245" s="116">
        <f t="shared" si="140"/>
        <v>40600</v>
      </c>
      <c r="AE245" s="116">
        <f t="shared" si="140"/>
        <v>40600</v>
      </c>
      <c r="AF245" s="116">
        <f>SUM(T245:AE245)</f>
        <v>487200</v>
      </c>
      <c r="AG245" s="80"/>
      <c r="AH245" s="164" t="s">
        <v>125</v>
      </c>
      <c r="AI245" s="155"/>
      <c r="AJ245" s="113"/>
    </row>
    <row r="246" spans="1:36" x14ac:dyDescent="0.3">
      <c r="A246" s="80">
        <v>7</v>
      </c>
      <c r="B246" s="67" t="str">
        <f t="shared" si="139"/>
        <v xml:space="preserve">    Series 7.15%   GMB</v>
      </c>
      <c r="D246" s="94">
        <f t="shared" ref="D246:AE246" si="141">ROUND(+D15/12*$C$15,4)</f>
        <v>44687.5</v>
      </c>
      <c r="E246" s="94">
        <f t="shared" si="141"/>
        <v>44687.5</v>
      </c>
      <c r="F246" s="94">
        <f t="shared" si="141"/>
        <v>44687.5</v>
      </c>
      <c r="G246" s="94">
        <f t="shared" si="141"/>
        <v>44687.5</v>
      </c>
      <c r="H246" s="94">
        <f t="shared" si="141"/>
        <v>44687.5</v>
      </c>
      <c r="I246" s="94">
        <f t="shared" si="141"/>
        <v>44687.5</v>
      </c>
      <c r="J246" s="94">
        <f t="shared" si="141"/>
        <v>44687.5</v>
      </c>
      <c r="K246" s="94">
        <f t="shared" si="141"/>
        <v>44687.5</v>
      </c>
      <c r="L246" s="94">
        <f t="shared" si="141"/>
        <v>44687.5</v>
      </c>
      <c r="M246" s="94">
        <f t="shared" si="141"/>
        <v>44687.5</v>
      </c>
      <c r="N246" s="94">
        <f t="shared" si="141"/>
        <v>44687.5</v>
      </c>
      <c r="O246" s="94">
        <f t="shared" si="141"/>
        <v>44687.5</v>
      </c>
      <c r="P246" s="94">
        <f t="shared" si="141"/>
        <v>44687.5</v>
      </c>
      <c r="Q246" s="94">
        <f t="shared" si="141"/>
        <v>44687.5</v>
      </c>
      <c r="R246" s="94">
        <f t="shared" si="141"/>
        <v>44687.5</v>
      </c>
      <c r="S246" s="94">
        <f t="shared" si="141"/>
        <v>44687.5</v>
      </c>
      <c r="T246" s="94">
        <f t="shared" si="141"/>
        <v>44687.5</v>
      </c>
      <c r="U246" s="94">
        <f t="shared" si="141"/>
        <v>44687.5</v>
      </c>
      <c r="V246" s="94">
        <f t="shared" si="141"/>
        <v>44687.5</v>
      </c>
      <c r="W246" s="94">
        <f t="shared" si="141"/>
        <v>44687.5</v>
      </c>
      <c r="X246" s="94">
        <f t="shared" si="141"/>
        <v>44687.5</v>
      </c>
      <c r="Y246" s="94">
        <f t="shared" si="141"/>
        <v>44687.5</v>
      </c>
      <c r="Z246" s="94">
        <f t="shared" si="141"/>
        <v>44687.5</v>
      </c>
      <c r="AA246" s="94">
        <f t="shared" si="141"/>
        <v>44687.5</v>
      </c>
      <c r="AB246" s="94">
        <f t="shared" si="141"/>
        <v>44687.5</v>
      </c>
      <c r="AC246" s="94">
        <f t="shared" si="141"/>
        <v>44687.5</v>
      </c>
      <c r="AD246" s="94">
        <f t="shared" si="141"/>
        <v>44687.5</v>
      </c>
      <c r="AE246" s="94">
        <f t="shared" si="141"/>
        <v>44687.5</v>
      </c>
      <c r="AF246" s="94">
        <f t="shared" ref="AF246:AF259" si="142">SUM(T246:AE246)</f>
        <v>536250</v>
      </c>
      <c r="AG246" s="80"/>
      <c r="AH246" s="164" t="s">
        <v>126</v>
      </c>
      <c r="AI246" s="155"/>
      <c r="AJ246" s="113"/>
    </row>
    <row r="247" spans="1:36" x14ac:dyDescent="0.3">
      <c r="A247" s="80">
        <v>8</v>
      </c>
      <c r="B247" s="67" t="str">
        <f t="shared" si="139"/>
        <v xml:space="preserve">    Series 6.99%   GMB</v>
      </c>
      <c r="D247" s="94">
        <f t="shared" ref="D247:AE247" si="143">ROUND(+D16/12*$C$16,4)</f>
        <v>52425</v>
      </c>
      <c r="E247" s="94">
        <f t="shared" si="143"/>
        <v>52425</v>
      </c>
      <c r="F247" s="94">
        <f t="shared" si="143"/>
        <v>52425</v>
      </c>
      <c r="G247" s="94">
        <f t="shared" si="143"/>
        <v>52425</v>
      </c>
      <c r="H247" s="94">
        <f t="shared" si="143"/>
        <v>52425</v>
      </c>
      <c r="I247" s="94">
        <f t="shared" si="143"/>
        <v>52425</v>
      </c>
      <c r="J247" s="94">
        <f t="shared" si="143"/>
        <v>52425</v>
      </c>
      <c r="K247" s="94">
        <f t="shared" si="143"/>
        <v>52425</v>
      </c>
      <c r="L247" s="94">
        <f t="shared" si="143"/>
        <v>52425</v>
      </c>
      <c r="M247" s="94">
        <f t="shared" si="143"/>
        <v>52425</v>
      </c>
      <c r="N247" s="94">
        <f t="shared" si="143"/>
        <v>52425</v>
      </c>
      <c r="O247" s="94">
        <f t="shared" si="143"/>
        <v>52425</v>
      </c>
      <c r="P247" s="94">
        <f t="shared" si="143"/>
        <v>52425</v>
      </c>
      <c r="Q247" s="94">
        <f t="shared" si="143"/>
        <v>52425</v>
      </c>
      <c r="R247" s="94">
        <f t="shared" si="143"/>
        <v>52425</v>
      </c>
      <c r="S247" s="94">
        <f t="shared" si="143"/>
        <v>52425</v>
      </c>
      <c r="T247" s="94">
        <f t="shared" si="143"/>
        <v>52425</v>
      </c>
      <c r="U247" s="94">
        <f t="shared" si="143"/>
        <v>52425</v>
      </c>
      <c r="V247" s="94">
        <f t="shared" si="143"/>
        <v>52425</v>
      </c>
      <c r="W247" s="94">
        <f t="shared" si="143"/>
        <v>52425</v>
      </c>
      <c r="X247" s="94">
        <f t="shared" si="143"/>
        <v>52425</v>
      </c>
      <c r="Y247" s="94">
        <f t="shared" si="143"/>
        <v>52425</v>
      </c>
      <c r="Z247" s="94">
        <f t="shared" si="143"/>
        <v>52425</v>
      </c>
      <c r="AA247" s="94">
        <f t="shared" si="143"/>
        <v>52425</v>
      </c>
      <c r="AB247" s="94">
        <f t="shared" si="143"/>
        <v>52425</v>
      </c>
      <c r="AC247" s="94">
        <f t="shared" si="143"/>
        <v>52425</v>
      </c>
      <c r="AD247" s="94">
        <f t="shared" si="143"/>
        <v>52425</v>
      </c>
      <c r="AE247" s="94">
        <f t="shared" si="143"/>
        <v>52425</v>
      </c>
      <c r="AF247" s="94">
        <f t="shared" si="142"/>
        <v>629100</v>
      </c>
      <c r="AG247" s="80"/>
      <c r="AH247" s="164" t="s">
        <v>127</v>
      </c>
      <c r="AI247" s="155"/>
      <c r="AJ247" s="113"/>
    </row>
    <row r="248" spans="1:36" x14ac:dyDescent="0.3">
      <c r="A248" s="80">
        <v>9</v>
      </c>
      <c r="B248" s="67" t="str">
        <f t="shared" si="139"/>
        <v xml:space="preserve">    Series 6.593%  Note</v>
      </c>
      <c r="D248" s="94">
        <f t="shared" ref="D248:AE248" si="144">ROUND(+D17/12*$C$17,4)</f>
        <v>258225.8333</v>
      </c>
      <c r="E248" s="94">
        <f t="shared" si="144"/>
        <v>258225.8333</v>
      </c>
      <c r="F248" s="94">
        <f t="shared" si="144"/>
        <v>258225.8333</v>
      </c>
      <c r="G248" s="94">
        <f t="shared" si="144"/>
        <v>258225.8333</v>
      </c>
      <c r="H248" s="94">
        <f t="shared" si="144"/>
        <v>258225.8333</v>
      </c>
      <c r="I248" s="94">
        <f t="shared" si="144"/>
        <v>258225.8333</v>
      </c>
      <c r="J248" s="94">
        <f t="shared" si="144"/>
        <v>258225.8333</v>
      </c>
      <c r="K248" s="94">
        <f t="shared" si="144"/>
        <v>258225.8333</v>
      </c>
      <c r="L248" s="94">
        <f t="shared" si="144"/>
        <v>258225.8333</v>
      </c>
      <c r="M248" s="94">
        <f t="shared" si="144"/>
        <v>258225.8333</v>
      </c>
      <c r="N248" s="94">
        <f t="shared" si="144"/>
        <v>258225.8333</v>
      </c>
      <c r="O248" s="94">
        <f t="shared" si="144"/>
        <v>258225.8333</v>
      </c>
      <c r="P248" s="94">
        <f t="shared" si="144"/>
        <v>258225.8333</v>
      </c>
      <c r="Q248" s="94">
        <f t="shared" si="144"/>
        <v>258225.8333</v>
      </c>
      <c r="R248" s="94">
        <f t="shared" si="144"/>
        <v>258225.8333</v>
      </c>
      <c r="S248" s="94">
        <f t="shared" si="144"/>
        <v>258225.8333</v>
      </c>
      <c r="T248" s="94">
        <f t="shared" si="144"/>
        <v>258225.8333</v>
      </c>
      <c r="U248" s="94">
        <f t="shared" si="144"/>
        <v>258225.8333</v>
      </c>
      <c r="V248" s="94">
        <f t="shared" si="144"/>
        <v>258225.8333</v>
      </c>
      <c r="W248" s="94">
        <f t="shared" si="144"/>
        <v>258225.8333</v>
      </c>
      <c r="X248" s="94">
        <f t="shared" si="144"/>
        <v>258225.8333</v>
      </c>
      <c r="Y248" s="94">
        <f t="shared" si="144"/>
        <v>258225.8333</v>
      </c>
      <c r="Z248" s="94">
        <f t="shared" si="144"/>
        <v>258225.8333</v>
      </c>
      <c r="AA248" s="94">
        <f t="shared" si="144"/>
        <v>258225.8333</v>
      </c>
      <c r="AB248" s="94">
        <f t="shared" si="144"/>
        <v>258225.8333</v>
      </c>
      <c r="AC248" s="94">
        <f t="shared" si="144"/>
        <v>258225.8333</v>
      </c>
      <c r="AD248" s="94">
        <f t="shared" si="144"/>
        <v>258225.8333</v>
      </c>
      <c r="AE248" s="94">
        <f t="shared" si="144"/>
        <v>258225.8333</v>
      </c>
      <c r="AF248" s="94">
        <f t="shared" si="142"/>
        <v>3098709.9996000002</v>
      </c>
      <c r="AG248" s="80"/>
      <c r="AH248" s="67" t="s">
        <v>128</v>
      </c>
      <c r="AI248" s="155"/>
      <c r="AJ248" s="113"/>
    </row>
    <row r="249" spans="1:36" x14ac:dyDescent="0.3">
      <c r="A249" s="80">
        <v>10</v>
      </c>
      <c r="B249" s="67" t="str">
        <f t="shared" si="139"/>
        <v xml:space="preserve">    Series 6.25%    Note</v>
      </c>
      <c r="D249" s="94">
        <f t="shared" ref="D249:AE249" si="145">ROUND(+D18/12*$C$18,4)</f>
        <v>236406.25</v>
      </c>
      <c r="E249" s="94">
        <f t="shared" si="145"/>
        <v>236406.25</v>
      </c>
      <c r="F249" s="94">
        <f t="shared" si="145"/>
        <v>236406.25</v>
      </c>
      <c r="G249" s="94">
        <f t="shared" si="145"/>
        <v>236406.25</v>
      </c>
      <c r="H249" s="94">
        <f t="shared" si="145"/>
        <v>236406.25</v>
      </c>
      <c r="I249" s="94">
        <f t="shared" si="145"/>
        <v>236406.25</v>
      </c>
      <c r="J249" s="94">
        <f t="shared" si="145"/>
        <v>236406.25</v>
      </c>
      <c r="K249" s="94">
        <f t="shared" si="145"/>
        <v>236406.25</v>
      </c>
      <c r="L249" s="94">
        <f t="shared" si="145"/>
        <v>236406.25</v>
      </c>
      <c r="M249" s="94">
        <f t="shared" si="145"/>
        <v>236406.25</v>
      </c>
      <c r="N249" s="94">
        <f t="shared" si="145"/>
        <v>236406.25</v>
      </c>
      <c r="O249" s="94">
        <f t="shared" si="145"/>
        <v>236406.25</v>
      </c>
      <c r="P249" s="94">
        <f t="shared" si="145"/>
        <v>236406.25</v>
      </c>
      <c r="Q249" s="94">
        <f t="shared" si="145"/>
        <v>236406.25</v>
      </c>
      <c r="R249" s="94">
        <f t="shared" si="145"/>
        <v>236406.25</v>
      </c>
      <c r="S249" s="94">
        <f t="shared" si="145"/>
        <v>236406.25</v>
      </c>
      <c r="T249" s="94">
        <f t="shared" si="145"/>
        <v>236406.25</v>
      </c>
      <c r="U249" s="94">
        <f t="shared" si="145"/>
        <v>236406.25</v>
      </c>
      <c r="V249" s="94">
        <f t="shared" si="145"/>
        <v>236406.25</v>
      </c>
      <c r="W249" s="94">
        <f t="shared" si="145"/>
        <v>236406.25</v>
      </c>
      <c r="X249" s="94">
        <f t="shared" si="145"/>
        <v>236406.25</v>
      </c>
      <c r="Y249" s="94">
        <f t="shared" si="145"/>
        <v>236406.25</v>
      </c>
      <c r="Z249" s="94">
        <f t="shared" si="145"/>
        <v>236406.25</v>
      </c>
      <c r="AA249" s="94">
        <f t="shared" si="145"/>
        <v>236406.25</v>
      </c>
      <c r="AB249" s="94">
        <f t="shared" si="145"/>
        <v>236406.25</v>
      </c>
      <c r="AC249" s="94">
        <f t="shared" si="145"/>
        <v>236406.25</v>
      </c>
      <c r="AD249" s="94">
        <f t="shared" si="145"/>
        <v>236406.25</v>
      </c>
      <c r="AE249" s="94">
        <f t="shared" si="145"/>
        <v>236406.25</v>
      </c>
      <c r="AF249" s="94">
        <f t="shared" si="142"/>
        <v>2836875</v>
      </c>
      <c r="AG249" s="80"/>
      <c r="AH249" s="67" t="s">
        <v>129</v>
      </c>
      <c r="AI249" s="155"/>
      <c r="AJ249" s="113"/>
    </row>
    <row r="250" spans="1:36" x14ac:dyDescent="0.3">
      <c r="A250" s="80">
        <v>11</v>
      </c>
      <c r="B250" s="67" t="str">
        <f t="shared" si="139"/>
        <v xml:space="preserve">    Series 5.625%  Note</v>
      </c>
      <c r="D250" s="94">
        <f t="shared" ref="D250:AE250" si="146">ROUND(+D19/12*$C$19,4)</f>
        <v>121875</v>
      </c>
      <c r="E250" s="94">
        <f t="shared" si="146"/>
        <v>121875</v>
      </c>
      <c r="F250" s="94">
        <f t="shared" si="146"/>
        <v>121875</v>
      </c>
      <c r="G250" s="94">
        <f t="shared" si="146"/>
        <v>121875</v>
      </c>
      <c r="H250" s="94">
        <f t="shared" si="146"/>
        <v>121875</v>
      </c>
      <c r="I250" s="94">
        <f t="shared" si="146"/>
        <v>121875</v>
      </c>
      <c r="J250" s="94">
        <f t="shared" si="146"/>
        <v>121875</v>
      </c>
      <c r="K250" s="94">
        <f t="shared" si="146"/>
        <v>121875</v>
      </c>
      <c r="L250" s="94">
        <f t="shared" si="146"/>
        <v>121875</v>
      </c>
      <c r="M250" s="94">
        <f t="shared" si="146"/>
        <v>121875</v>
      </c>
      <c r="N250" s="94">
        <f t="shared" si="146"/>
        <v>121875</v>
      </c>
      <c r="O250" s="94">
        <f t="shared" si="146"/>
        <v>121875</v>
      </c>
      <c r="P250" s="94">
        <f t="shared" si="146"/>
        <v>121875</v>
      </c>
      <c r="Q250" s="94">
        <f t="shared" si="146"/>
        <v>121875</v>
      </c>
      <c r="R250" s="94">
        <f t="shared" si="146"/>
        <v>121875</v>
      </c>
      <c r="S250" s="94">
        <f t="shared" si="146"/>
        <v>121875</v>
      </c>
      <c r="T250" s="94">
        <f t="shared" si="146"/>
        <v>121875</v>
      </c>
      <c r="U250" s="94">
        <f t="shared" si="146"/>
        <v>121875</v>
      </c>
      <c r="V250" s="94">
        <f t="shared" si="146"/>
        <v>121875</v>
      </c>
      <c r="W250" s="94">
        <f t="shared" si="146"/>
        <v>121875</v>
      </c>
      <c r="X250" s="94">
        <f t="shared" si="146"/>
        <v>121875</v>
      </c>
      <c r="Y250" s="94">
        <f t="shared" si="146"/>
        <v>121875</v>
      </c>
      <c r="Z250" s="94">
        <f t="shared" si="146"/>
        <v>121875</v>
      </c>
      <c r="AA250" s="94">
        <f t="shared" si="146"/>
        <v>121875</v>
      </c>
      <c r="AB250" s="94">
        <f t="shared" si="146"/>
        <v>121875</v>
      </c>
      <c r="AC250" s="94">
        <f t="shared" si="146"/>
        <v>121875</v>
      </c>
      <c r="AD250" s="94">
        <f t="shared" si="146"/>
        <v>121875</v>
      </c>
      <c r="AE250" s="94">
        <f t="shared" si="146"/>
        <v>121875</v>
      </c>
      <c r="AF250" s="94">
        <f t="shared" si="142"/>
        <v>1462500</v>
      </c>
      <c r="AG250" s="80"/>
      <c r="AH250" s="67" t="s">
        <v>130</v>
      </c>
      <c r="AI250" s="155"/>
      <c r="AJ250" s="113"/>
    </row>
    <row r="251" spans="1:36" x14ac:dyDescent="0.3">
      <c r="A251" s="80">
        <v>12</v>
      </c>
      <c r="B251" s="67" t="str">
        <f t="shared" si="139"/>
        <v xml:space="preserve">    Series 5.375%  Note</v>
      </c>
      <c r="D251" s="94">
        <f t="shared" ref="D251:AE251" si="147">ROUND(+D20/12*$C$20,4)</f>
        <v>116458.3333</v>
      </c>
      <c r="E251" s="94">
        <f t="shared" si="147"/>
        <v>116458.3333</v>
      </c>
      <c r="F251" s="94">
        <f t="shared" si="147"/>
        <v>116458.3333</v>
      </c>
      <c r="G251" s="94">
        <f t="shared" si="147"/>
        <v>116458.3333</v>
      </c>
      <c r="H251" s="94">
        <f t="shared" si="147"/>
        <v>116458.3333</v>
      </c>
      <c r="I251" s="94">
        <f t="shared" si="147"/>
        <v>116458.3333</v>
      </c>
      <c r="J251" s="94">
        <f t="shared" si="147"/>
        <v>116458.3333</v>
      </c>
      <c r="K251" s="94">
        <f t="shared" si="147"/>
        <v>116458.3333</v>
      </c>
      <c r="L251" s="94">
        <f t="shared" si="147"/>
        <v>116458.3333</v>
      </c>
      <c r="M251" s="94">
        <f t="shared" si="147"/>
        <v>116458.3333</v>
      </c>
      <c r="N251" s="94">
        <f t="shared" si="147"/>
        <v>116458.3333</v>
      </c>
      <c r="O251" s="94">
        <f t="shared" si="147"/>
        <v>116458.3333</v>
      </c>
      <c r="P251" s="94">
        <f t="shared" si="147"/>
        <v>116458.3333</v>
      </c>
      <c r="Q251" s="94">
        <f t="shared" si="147"/>
        <v>116458.3333</v>
      </c>
      <c r="R251" s="94">
        <f t="shared" si="147"/>
        <v>116458.3333</v>
      </c>
      <c r="S251" s="94">
        <f t="shared" si="147"/>
        <v>116458.3333</v>
      </c>
      <c r="T251" s="94">
        <f t="shared" si="147"/>
        <v>116458.3333</v>
      </c>
      <c r="U251" s="94">
        <f t="shared" si="147"/>
        <v>116458.3333</v>
      </c>
      <c r="V251" s="94">
        <f t="shared" si="147"/>
        <v>116458.3333</v>
      </c>
      <c r="W251" s="94">
        <f t="shared" si="147"/>
        <v>116458.3333</v>
      </c>
      <c r="X251" s="94">
        <f t="shared" si="147"/>
        <v>116458.3333</v>
      </c>
      <c r="Y251" s="94">
        <f t="shared" si="147"/>
        <v>116458.3333</v>
      </c>
      <c r="Z251" s="94">
        <f t="shared" si="147"/>
        <v>116458.3333</v>
      </c>
      <c r="AA251" s="94">
        <f t="shared" si="147"/>
        <v>116458.3333</v>
      </c>
      <c r="AB251" s="94">
        <f t="shared" si="147"/>
        <v>116458.3333</v>
      </c>
      <c r="AC251" s="94">
        <f t="shared" si="147"/>
        <v>116458.3333</v>
      </c>
      <c r="AD251" s="94">
        <f t="shared" si="147"/>
        <v>116458.3333</v>
      </c>
      <c r="AE251" s="94">
        <f t="shared" si="147"/>
        <v>116458.3333</v>
      </c>
      <c r="AF251" s="94">
        <f t="shared" si="142"/>
        <v>1397499.9996000004</v>
      </c>
      <c r="AG251" s="80"/>
      <c r="AH251" s="67" t="s">
        <v>131</v>
      </c>
      <c r="AI251" s="155"/>
      <c r="AJ251" s="113"/>
    </row>
    <row r="252" spans="1:36" x14ac:dyDescent="0.3">
      <c r="A252" s="80">
        <v>13</v>
      </c>
      <c r="B252" s="67" t="str">
        <f t="shared" si="139"/>
        <v xml:space="preserve">    Series 5.05%    Note</v>
      </c>
      <c r="D252" s="94">
        <f t="shared" ref="D252:AE252" si="148">ROUND(+D21/12*$C$21,4)</f>
        <v>84166.666700000002</v>
      </c>
      <c r="E252" s="94">
        <f t="shared" si="148"/>
        <v>84166.666700000002</v>
      </c>
      <c r="F252" s="94">
        <f t="shared" si="148"/>
        <v>84166.666700000002</v>
      </c>
      <c r="G252" s="94">
        <f t="shared" si="148"/>
        <v>84166.666700000002</v>
      </c>
      <c r="H252" s="94">
        <f t="shared" si="148"/>
        <v>84166.666700000002</v>
      </c>
      <c r="I252" s="94">
        <f t="shared" si="148"/>
        <v>84166.666700000002</v>
      </c>
      <c r="J252" s="94">
        <f t="shared" si="148"/>
        <v>84166.666700000002</v>
      </c>
      <c r="K252" s="94">
        <f t="shared" si="148"/>
        <v>84166.666700000002</v>
      </c>
      <c r="L252" s="94">
        <f t="shared" si="148"/>
        <v>84166.666700000002</v>
      </c>
      <c r="M252" s="94">
        <f t="shared" si="148"/>
        <v>84166.666700000002</v>
      </c>
      <c r="N252" s="94">
        <f t="shared" si="148"/>
        <v>84166.666700000002</v>
      </c>
      <c r="O252" s="94">
        <f t="shared" si="148"/>
        <v>84166.666700000002</v>
      </c>
      <c r="P252" s="94">
        <f t="shared" si="148"/>
        <v>84166.666700000002</v>
      </c>
      <c r="Q252" s="94">
        <f t="shared" si="148"/>
        <v>84166.666700000002</v>
      </c>
      <c r="R252" s="94">
        <f t="shared" si="148"/>
        <v>84166.666700000002</v>
      </c>
      <c r="S252" s="94">
        <f t="shared" si="148"/>
        <v>84166.666700000002</v>
      </c>
      <c r="T252" s="94">
        <f t="shared" si="148"/>
        <v>84166.666700000002</v>
      </c>
      <c r="U252" s="94">
        <f t="shared" si="148"/>
        <v>84166.666700000002</v>
      </c>
      <c r="V252" s="94">
        <f t="shared" si="148"/>
        <v>84166.666700000002</v>
      </c>
      <c r="W252" s="94">
        <f t="shared" si="148"/>
        <v>84166.666700000002</v>
      </c>
      <c r="X252" s="94">
        <f t="shared" si="148"/>
        <v>84166.666700000002</v>
      </c>
      <c r="Y252" s="94">
        <f t="shared" si="148"/>
        <v>84166.666700000002</v>
      </c>
      <c r="Z252" s="94">
        <f t="shared" si="148"/>
        <v>84166.666700000002</v>
      </c>
      <c r="AA252" s="94">
        <f t="shared" si="148"/>
        <v>84166.666700000002</v>
      </c>
      <c r="AB252" s="94">
        <f t="shared" si="148"/>
        <v>84166.666700000002</v>
      </c>
      <c r="AC252" s="94">
        <f t="shared" si="148"/>
        <v>84166.666700000002</v>
      </c>
      <c r="AD252" s="94">
        <f t="shared" si="148"/>
        <v>84166.666700000002</v>
      </c>
      <c r="AE252" s="94">
        <f t="shared" si="148"/>
        <v>84166.666700000002</v>
      </c>
      <c r="AF252" s="94">
        <f t="shared" si="142"/>
        <v>1010000.0003999998</v>
      </c>
      <c r="AG252" s="80"/>
      <c r="AH252" s="67" t="s">
        <v>133</v>
      </c>
      <c r="AI252" s="155"/>
      <c r="AJ252" s="113"/>
    </row>
    <row r="253" spans="1:36" x14ac:dyDescent="0.3">
      <c r="A253" s="80">
        <v>14</v>
      </c>
      <c r="B253" s="67" t="str">
        <f t="shared" si="139"/>
        <v xml:space="preserve">    Series 4.00%    Note</v>
      </c>
      <c r="D253" s="94">
        <f t="shared" ref="D253:AE253" si="149">ROUND(+D22/12*$C$22,4)</f>
        <v>26196.666700000002</v>
      </c>
      <c r="E253" s="94">
        <f t="shared" si="149"/>
        <v>26196.666700000002</v>
      </c>
      <c r="F253" s="94">
        <f t="shared" si="149"/>
        <v>26196.666700000002</v>
      </c>
      <c r="G253" s="94">
        <f t="shared" si="149"/>
        <v>26196.666700000002</v>
      </c>
      <c r="H253" s="94">
        <f t="shared" si="149"/>
        <v>26196.666700000002</v>
      </c>
      <c r="I253" s="94">
        <f t="shared" si="149"/>
        <v>26196.666700000002</v>
      </c>
      <c r="J253" s="94">
        <f t="shared" si="149"/>
        <v>26196.666700000002</v>
      </c>
      <c r="K253" s="94">
        <f t="shared" si="149"/>
        <v>26196.666700000002</v>
      </c>
      <c r="L253" s="94">
        <f t="shared" si="149"/>
        <v>26196.666700000002</v>
      </c>
      <c r="M253" s="94">
        <f t="shared" si="149"/>
        <v>26196.666700000002</v>
      </c>
      <c r="N253" s="94">
        <f t="shared" si="149"/>
        <v>26196.666700000002</v>
      </c>
      <c r="O253" s="94">
        <f t="shared" si="149"/>
        <v>26196.666700000002</v>
      </c>
      <c r="P253" s="94">
        <f t="shared" si="149"/>
        <v>26196.666700000002</v>
      </c>
      <c r="Q253" s="94">
        <f t="shared" si="149"/>
        <v>26196.666700000002</v>
      </c>
      <c r="R253" s="94">
        <f t="shared" si="149"/>
        <v>26196.666700000002</v>
      </c>
      <c r="S253" s="94">
        <f t="shared" si="149"/>
        <v>26196.666700000002</v>
      </c>
      <c r="T253" s="94">
        <f t="shared" si="149"/>
        <v>26196.666700000002</v>
      </c>
      <c r="U253" s="94">
        <f t="shared" si="149"/>
        <v>26196.666700000002</v>
      </c>
      <c r="V253" s="94">
        <f t="shared" si="149"/>
        <v>26196.666700000002</v>
      </c>
      <c r="W253" s="94">
        <f t="shared" si="149"/>
        <v>26196.666700000002</v>
      </c>
      <c r="X253" s="94">
        <f t="shared" si="149"/>
        <v>26196.666700000002</v>
      </c>
      <c r="Y253" s="94">
        <f t="shared" si="149"/>
        <v>26196.666700000002</v>
      </c>
      <c r="Z253" s="94">
        <f t="shared" si="149"/>
        <v>26196.666700000002</v>
      </c>
      <c r="AA253" s="94">
        <f t="shared" si="149"/>
        <v>26196.666700000002</v>
      </c>
      <c r="AB253" s="94">
        <f t="shared" si="149"/>
        <v>26196.666700000002</v>
      </c>
      <c r="AC253" s="94">
        <f t="shared" si="149"/>
        <v>26196.666700000002</v>
      </c>
      <c r="AD253" s="94">
        <f t="shared" si="149"/>
        <v>26196.666700000002</v>
      </c>
      <c r="AE253" s="94">
        <f t="shared" si="149"/>
        <v>26196.666700000002</v>
      </c>
      <c r="AF253" s="94">
        <f t="shared" si="142"/>
        <v>314360.00040000002</v>
      </c>
      <c r="AG253" s="80"/>
      <c r="AH253" s="67" t="s">
        <v>181</v>
      </c>
      <c r="AI253" s="155"/>
      <c r="AJ253" s="113"/>
    </row>
    <row r="254" spans="1:36" x14ac:dyDescent="0.3">
      <c r="A254" s="80">
        <v>15</v>
      </c>
      <c r="B254" s="67" t="str">
        <f t="shared" si="139"/>
        <v xml:space="preserve">    Series 4.00%    Note</v>
      </c>
      <c r="D254" s="94">
        <f>ROUND(+D23/12*$C$23,4)</f>
        <v>16666.666700000002</v>
      </c>
      <c r="E254" s="94">
        <f>ROUND(+E23/12*$C$23,4)</f>
        <v>16666.666700000002</v>
      </c>
      <c r="F254" s="94">
        <f>ROUND(+F23/12*$C$22,4)</f>
        <v>16666.666700000002</v>
      </c>
      <c r="G254" s="92">
        <f>+F254</f>
        <v>16666.666700000002</v>
      </c>
      <c r="H254" s="92">
        <f t="shared" ref="H254:P254" si="150">+G254</f>
        <v>16666.666700000002</v>
      </c>
      <c r="I254" s="92">
        <f t="shared" si="150"/>
        <v>16666.666700000002</v>
      </c>
      <c r="J254" s="92">
        <f t="shared" si="150"/>
        <v>16666.666700000002</v>
      </c>
      <c r="K254" s="92">
        <f t="shared" si="150"/>
        <v>16666.666700000002</v>
      </c>
      <c r="L254" s="92">
        <f t="shared" si="150"/>
        <v>16666.666700000002</v>
      </c>
      <c r="M254" s="92">
        <f t="shared" si="150"/>
        <v>16666.666700000002</v>
      </c>
      <c r="N254" s="92">
        <f t="shared" si="150"/>
        <v>16666.666700000002</v>
      </c>
      <c r="O254" s="92">
        <f t="shared" si="150"/>
        <v>16666.666700000002</v>
      </c>
      <c r="P254" s="92">
        <f t="shared" si="150"/>
        <v>16666.666700000002</v>
      </c>
      <c r="Q254" s="92">
        <f t="shared" ref="Q254" si="151">+P254</f>
        <v>16666.666700000002</v>
      </c>
      <c r="R254" s="92">
        <f t="shared" ref="R254" si="152">+Q254</f>
        <v>16666.666700000002</v>
      </c>
      <c r="S254" s="92">
        <f t="shared" ref="S254" si="153">+R254</f>
        <v>16666.666700000002</v>
      </c>
      <c r="T254" s="92">
        <f t="shared" ref="T254" si="154">+S254</f>
        <v>16666.666700000002</v>
      </c>
      <c r="U254" s="92">
        <f t="shared" ref="U254" si="155">+T254</f>
        <v>16666.666700000002</v>
      </c>
      <c r="V254" s="92">
        <f t="shared" ref="V254" si="156">+U254</f>
        <v>16666.666700000002</v>
      </c>
      <c r="W254" s="92">
        <f t="shared" ref="W254" si="157">+V254</f>
        <v>16666.666700000002</v>
      </c>
      <c r="X254" s="92">
        <f t="shared" ref="X254" si="158">+W254</f>
        <v>16666.666700000002</v>
      </c>
      <c r="Y254" s="92">
        <f t="shared" ref="Y254" si="159">+X254</f>
        <v>16666.666700000002</v>
      </c>
      <c r="Z254" s="92">
        <f t="shared" ref="Z254" si="160">+Y254</f>
        <v>16666.666700000002</v>
      </c>
      <c r="AA254" s="92">
        <f t="shared" ref="AA254" si="161">+Z254</f>
        <v>16666.666700000002</v>
      </c>
      <c r="AB254" s="92">
        <f t="shared" ref="AB254" si="162">+AA254</f>
        <v>16666.666700000002</v>
      </c>
      <c r="AC254" s="92">
        <f t="shared" ref="AC254" si="163">+AB254</f>
        <v>16666.666700000002</v>
      </c>
      <c r="AD254" s="92">
        <f t="shared" ref="AD254" si="164">+AC254</f>
        <v>16666.666700000002</v>
      </c>
      <c r="AE254" s="92">
        <f t="shared" ref="AE254" si="165">+AD254</f>
        <v>16666.666700000002</v>
      </c>
      <c r="AF254" s="92">
        <f t="shared" si="142"/>
        <v>200000.00040000002</v>
      </c>
      <c r="AG254" s="80"/>
      <c r="AH254" s="67" t="s">
        <v>248</v>
      </c>
      <c r="AI254" s="155"/>
      <c r="AJ254" s="113"/>
    </row>
    <row r="255" spans="1:36" x14ac:dyDescent="0.3">
      <c r="A255" s="80">
        <v>16</v>
      </c>
      <c r="B255" s="67" t="str">
        <f t="shared" si="139"/>
        <v xml:space="preserve">    Series 3.75%    Note</v>
      </c>
      <c r="D255" s="94">
        <f t="shared" ref="D255:AE255" si="166">ROUND(+D24/12*$C$24,4)</f>
        <v>15625</v>
      </c>
      <c r="E255" s="94">
        <f t="shared" si="166"/>
        <v>15625</v>
      </c>
      <c r="F255" s="94">
        <f t="shared" si="166"/>
        <v>15625</v>
      </c>
      <c r="G255" s="94">
        <f t="shared" si="166"/>
        <v>15625</v>
      </c>
      <c r="H255" s="94">
        <f t="shared" si="166"/>
        <v>15625</v>
      </c>
      <c r="I255" s="94">
        <f t="shared" si="166"/>
        <v>15625</v>
      </c>
      <c r="J255" s="94">
        <f t="shared" si="166"/>
        <v>15625</v>
      </c>
      <c r="K255" s="94">
        <f t="shared" si="166"/>
        <v>15625</v>
      </c>
      <c r="L255" s="94">
        <f t="shared" si="166"/>
        <v>15625</v>
      </c>
      <c r="M255" s="94">
        <f t="shared" si="166"/>
        <v>15625</v>
      </c>
      <c r="N255" s="94">
        <f t="shared" si="166"/>
        <v>15625</v>
      </c>
      <c r="O255" s="94">
        <f t="shared" si="166"/>
        <v>15625</v>
      </c>
      <c r="P255" s="94">
        <f t="shared" si="166"/>
        <v>15625</v>
      </c>
      <c r="Q255" s="94">
        <f t="shared" si="166"/>
        <v>15625</v>
      </c>
      <c r="R255" s="94">
        <f t="shared" si="166"/>
        <v>15625</v>
      </c>
      <c r="S255" s="94">
        <f t="shared" si="166"/>
        <v>15625</v>
      </c>
      <c r="T255" s="94">
        <f t="shared" si="166"/>
        <v>15625</v>
      </c>
      <c r="U255" s="94">
        <f t="shared" si="166"/>
        <v>15625</v>
      </c>
      <c r="V255" s="94">
        <f t="shared" si="166"/>
        <v>15625</v>
      </c>
      <c r="W255" s="94">
        <f t="shared" si="166"/>
        <v>15625</v>
      </c>
      <c r="X255" s="94">
        <f t="shared" si="166"/>
        <v>15625</v>
      </c>
      <c r="Y255" s="94">
        <f t="shared" si="166"/>
        <v>15625</v>
      </c>
      <c r="Z255" s="94">
        <f t="shared" si="166"/>
        <v>15625</v>
      </c>
      <c r="AA255" s="94">
        <f t="shared" si="166"/>
        <v>15625</v>
      </c>
      <c r="AB255" s="94">
        <f t="shared" si="166"/>
        <v>15625</v>
      </c>
      <c r="AC255" s="94">
        <f t="shared" si="166"/>
        <v>15625</v>
      </c>
      <c r="AD255" s="94">
        <f t="shared" si="166"/>
        <v>15625</v>
      </c>
      <c r="AE255" s="94">
        <f t="shared" si="166"/>
        <v>15625</v>
      </c>
      <c r="AF255" s="92">
        <f t="shared" si="142"/>
        <v>187500</v>
      </c>
      <c r="AG255" s="80"/>
      <c r="AH255" s="67" t="s">
        <v>249</v>
      </c>
      <c r="AI255" s="155"/>
      <c r="AJ255" s="113"/>
    </row>
    <row r="256" spans="1:36" x14ac:dyDescent="0.3">
      <c r="A256" s="80">
        <v>17</v>
      </c>
      <c r="B256" s="67" t="str">
        <f t="shared" si="139"/>
        <v xml:space="preserve">    Proposed 4.55%    Note</v>
      </c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2">
        <f>ROUND(+R25/12*$C$25,4)*0.5</f>
        <v>30333.333350000001</v>
      </c>
      <c r="S256" s="92">
        <f t="shared" ref="S256:AE256" si="167">ROUND(+S25/12*$C$25,4)</f>
        <v>60666.666700000002</v>
      </c>
      <c r="T256" s="92">
        <f t="shared" si="167"/>
        <v>60666.666700000002</v>
      </c>
      <c r="U256" s="92">
        <f t="shared" si="167"/>
        <v>60666.666700000002</v>
      </c>
      <c r="V256" s="92">
        <f t="shared" si="167"/>
        <v>60666.666700000002</v>
      </c>
      <c r="W256" s="92">
        <f t="shared" si="167"/>
        <v>60666.666700000002</v>
      </c>
      <c r="X256" s="92">
        <f t="shared" si="167"/>
        <v>60666.666700000002</v>
      </c>
      <c r="Y256" s="92">
        <f t="shared" si="167"/>
        <v>60666.666700000002</v>
      </c>
      <c r="Z256" s="92">
        <f t="shared" si="167"/>
        <v>60666.666700000002</v>
      </c>
      <c r="AA256" s="92">
        <f t="shared" si="167"/>
        <v>60666.666700000002</v>
      </c>
      <c r="AB256" s="92">
        <f t="shared" si="167"/>
        <v>60666.666700000002</v>
      </c>
      <c r="AC256" s="92">
        <f t="shared" si="167"/>
        <v>60666.666700000002</v>
      </c>
      <c r="AD256" s="92">
        <f t="shared" si="167"/>
        <v>60666.666700000002</v>
      </c>
      <c r="AE256" s="92">
        <f t="shared" si="167"/>
        <v>60666.666700000002</v>
      </c>
      <c r="AF256" s="92">
        <f t="shared" si="142"/>
        <v>728000.00039999979</v>
      </c>
      <c r="AG256" s="80"/>
      <c r="AH256" s="67" t="s">
        <v>268</v>
      </c>
      <c r="AI256" s="155"/>
      <c r="AJ256" s="113"/>
    </row>
    <row r="257" spans="1:36" x14ac:dyDescent="0.3">
      <c r="A257" s="80">
        <v>18</v>
      </c>
      <c r="B257" s="136"/>
      <c r="C257" s="165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80"/>
      <c r="AI257" s="155"/>
      <c r="AJ257" s="113"/>
    </row>
    <row r="258" spans="1:36" x14ac:dyDescent="0.3">
      <c r="A258" s="80">
        <v>19</v>
      </c>
      <c r="B258" s="136"/>
      <c r="C258" s="165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80"/>
      <c r="AI258" s="155"/>
      <c r="AJ258" s="113"/>
    </row>
    <row r="259" spans="1:36" x14ac:dyDescent="0.3">
      <c r="A259" s="80">
        <v>20</v>
      </c>
      <c r="B259" s="72" t="s">
        <v>136</v>
      </c>
      <c r="D259" s="94">
        <f>-10875.79</f>
        <v>-10875.79</v>
      </c>
      <c r="E259" s="94">
        <f>+D259</f>
        <v>-10875.79</v>
      </c>
      <c r="F259" s="94">
        <f t="shared" ref="F259:Z259" si="168">+E259</f>
        <v>-10875.79</v>
      </c>
      <c r="G259" s="94">
        <f t="shared" si="168"/>
        <v>-10875.79</v>
      </c>
      <c r="H259" s="94">
        <f t="shared" si="168"/>
        <v>-10875.79</v>
      </c>
      <c r="I259" s="94">
        <f t="shared" si="168"/>
        <v>-10875.79</v>
      </c>
      <c r="J259" s="94">
        <f t="shared" si="168"/>
        <v>-10875.79</v>
      </c>
      <c r="K259" s="94">
        <f t="shared" si="168"/>
        <v>-10875.79</v>
      </c>
      <c r="L259" s="94">
        <f t="shared" si="168"/>
        <v>-10875.79</v>
      </c>
      <c r="M259" s="94">
        <f t="shared" si="168"/>
        <v>-10875.79</v>
      </c>
      <c r="N259" s="94">
        <f t="shared" si="168"/>
        <v>-10875.79</v>
      </c>
      <c r="O259" s="94">
        <f t="shared" si="168"/>
        <v>-10875.79</v>
      </c>
      <c r="P259" s="94">
        <f t="shared" si="168"/>
        <v>-10875.79</v>
      </c>
      <c r="Q259" s="94">
        <f t="shared" si="168"/>
        <v>-10875.79</v>
      </c>
      <c r="R259" s="94">
        <f t="shared" si="168"/>
        <v>-10875.79</v>
      </c>
      <c r="S259" s="94">
        <f t="shared" si="168"/>
        <v>-10875.79</v>
      </c>
      <c r="T259" s="94">
        <f t="shared" si="168"/>
        <v>-10875.79</v>
      </c>
      <c r="U259" s="94">
        <f t="shared" si="168"/>
        <v>-10875.79</v>
      </c>
      <c r="V259" s="94">
        <f t="shared" si="168"/>
        <v>-10875.79</v>
      </c>
      <c r="W259" s="94">
        <f t="shared" si="168"/>
        <v>-10875.79</v>
      </c>
      <c r="X259" s="94">
        <f t="shared" si="168"/>
        <v>-10875.79</v>
      </c>
      <c r="Y259" s="94">
        <f t="shared" si="168"/>
        <v>-10875.79</v>
      </c>
      <c r="Z259" s="94">
        <f t="shared" si="168"/>
        <v>-10875.79</v>
      </c>
      <c r="AA259" s="94">
        <f t="shared" ref="AA259" si="169">+Z259</f>
        <v>-10875.79</v>
      </c>
      <c r="AB259" s="94">
        <f t="shared" ref="AB259" si="170">+AA259</f>
        <v>-10875.79</v>
      </c>
      <c r="AC259" s="94">
        <f t="shared" ref="AC259" si="171">+AB259</f>
        <v>-10875.79</v>
      </c>
      <c r="AD259" s="94">
        <f t="shared" ref="AD259" si="172">+AC259</f>
        <v>-10875.79</v>
      </c>
      <c r="AE259" s="94">
        <f t="shared" ref="AE259" si="173">+AD259</f>
        <v>-10875.79</v>
      </c>
      <c r="AF259" s="94">
        <f t="shared" si="142"/>
        <v>-130509.48000000004</v>
      </c>
      <c r="AG259" s="80"/>
      <c r="AH259" s="67" t="s">
        <v>132</v>
      </c>
      <c r="AI259" s="155"/>
      <c r="AJ259" s="113"/>
    </row>
    <row r="260" spans="1:36" x14ac:dyDescent="0.3">
      <c r="A260" s="80">
        <v>21</v>
      </c>
      <c r="B260" s="72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80"/>
      <c r="AI260" s="102"/>
      <c r="AJ260" s="90"/>
    </row>
    <row r="261" spans="1:36" x14ac:dyDescent="0.3">
      <c r="A261" s="80">
        <v>22</v>
      </c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80"/>
      <c r="AI261" s="102"/>
      <c r="AJ261" s="90"/>
    </row>
    <row r="262" spans="1:36" x14ac:dyDescent="0.3">
      <c r="A262" s="80">
        <v>23</v>
      </c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92"/>
      <c r="AC262" s="92"/>
      <c r="AD262" s="92"/>
      <c r="AE262" s="92"/>
      <c r="AF262" s="92"/>
      <c r="AG262" s="80"/>
      <c r="AI262" s="93"/>
      <c r="AJ262" s="90"/>
    </row>
    <row r="263" spans="1:36" ht="15" thickBot="1" x14ac:dyDescent="0.35">
      <c r="A263" s="80">
        <v>24</v>
      </c>
      <c r="B263" s="72" t="s">
        <v>94</v>
      </c>
      <c r="D263" s="159">
        <f t="shared" ref="D263:AF263" si="174">SUM(D242:D262)</f>
        <v>1002457.1266999999</v>
      </c>
      <c r="E263" s="159">
        <f t="shared" si="174"/>
        <v>1002457.1266999999</v>
      </c>
      <c r="F263" s="159">
        <f t="shared" si="174"/>
        <v>1002457.1266999999</v>
      </c>
      <c r="G263" s="159">
        <f t="shared" si="174"/>
        <v>1002457.1266999999</v>
      </c>
      <c r="H263" s="159">
        <f t="shared" si="174"/>
        <v>1002457.1266999999</v>
      </c>
      <c r="I263" s="159">
        <f t="shared" si="174"/>
        <v>1002457.1266999999</v>
      </c>
      <c r="J263" s="159">
        <f t="shared" si="174"/>
        <v>1002457.1266999999</v>
      </c>
      <c r="K263" s="159">
        <f t="shared" si="174"/>
        <v>1002457.1266999999</v>
      </c>
      <c r="L263" s="159">
        <f t="shared" si="174"/>
        <v>1002457.1266999999</v>
      </c>
      <c r="M263" s="159">
        <f t="shared" si="174"/>
        <v>1002457.1266999999</v>
      </c>
      <c r="N263" s="159">
        <f t="shared" si="174"/>
        <v>1002457.1266999999</v>
      </c>
      <c r="O263" s="159">
        <f t="shared" si="174"/>
        <v>1002457.1266999999</v>
      </c>
      <c r="P263" s="159">
        <f t="shared" si="174"/>
        <v>1002457.1266999999</v>
      </c>
      <c r="Q263" s="159">
        <f t="shared" si="174"/>
        <v>1002457.1266999999</v>
      </c>
      <c r="R263" s="159">
        <f t="shared" si="174"/>
        <v>1032790.4600499999</v>
      </c>
      <c r="S263" s="159">
        <f t="shared" si="174"/>
        <v>1063123.7933999998</v>
      </c>
      <c r="T263" s="159">
        <f t="shared" si="174"/>
        <v>1063123.7933999998</v>
      </c>
      <c r="U263" s="159">
        <f t="shared" si="174"/>
        <v>1063123.7933999998</v>
      </c>
      <c r="V263" s="159">
        <f t="shared" si="174"/>
        <v>1063123.7933999998</v>
      </c>
      <c r="W263" s="159">
        <f t="shared" si="174"/>
        <v>1063123.7933999998</v>
      </c>
      <c r="X263" s="159">
        <f t="shared" si="174"/>
        <v>1063123.7933999998</v>
      </c>
      <c r="Y263" s="159">
        <f t="shared" si="174"/>
        <v>1063123.7933999998</v>
      </c>
      <c r="Z263" s="159">
        <f t="shared" si="174"/>
        <v>1063123.7933999998</v>
      </c>
      <c r="AA263" s="159">
        <f t="shared" si="174"/>
        <v>1063123.7933999998</v>
      </c>
      <c r="AB263" s="159">
        <f t="shared" si="174"/>
        <v>1063123.7933999998</v>
      </c>
      <c r="AC263" s="159">
        <f t="shared" si="174"/>
        <v>1063123.7933999998</v>
      </c>
      <c r="AD263" s="159">
        <f t="shared" si="174"/>
        <v>1063123.7933999998</v>
      </c>
      <c r="AE263" s="159">
        <f t="shared" si="174"/>
        <v>1063123.7933999998</v>
      </c>
      <c r="AF263" s="159">
        <f t="shared" si="174"/>
        <v>12757485.520799998</v>
      </c>
      <c r="AG263" s="80"/>
      <c r="AI263" s="113"/>
      <c r="AJ263" s="90"/>
    </row>
    <row r="264" spans="1:36" ht="15" thickTop="1" x14ac:dyDescent="0.3">
      <c r="A264" s="80"/>
      <c r="D264" s="85"/>
      <c r="E264" s="85"/>
      <c r="F264" s="85"/>
      <c r="G264" s="85"/>
      <c r="H264" s="85"/>
      <c r="I264" s="85"/>
      <c r="J264" s="85"/>
      <c r="K264" s="85"/>
      <c r="L264" s="85"/>
      <c r="M264" s="85"/>
      <c r="N264" s="85"/>
      <c r="O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  <c r="AG264" s="80"/>
    </row>
    <row r="265" spans="1:36" x14ac:dyDescent="0.3">
      <c r="A265" s="80"/>
      <c r="D265" s="85"/>
      <c r="E265" s="85"/>
      <c r="F265" s="85"/>
      <c r="G265" s="85"/>
      <c r="H265" s="85"/>
      <c r="J265" s="85"/>
      <c r="K265" s="85"/>
      <c r="L265" s="85"/>
      <c r="R265" s="85"/>
      <c r="S265" s="85"/>
      <c r="AG265" s="80"/>
    </row>
    <row r="266" spans="1:36" x14ac:dyDescent="0.3">
      <c r="A266" s="80"/>
      <c r="AG266" s="80"/>
    </row>
    <row r="267" spans="1:36" x14ac:dyDescent="0.3">
      <c r="A267" s="80"/>
      <c r="AG267" s="80"/>
    </row>
    <row r="268" spans="1:36" x14ac:dyDescent="0.3">
      <c r="A268" s="80"/>
      <c r="AG268" s="80"/>
    </row>
    <row r="269" spans="1:36" x14ac:dyDescent="0.3">
      <c r="A269" s="80"/>
      <c r="E269" s="169"/>
      <c r="F269" s="169"/>
      <c r="G269" s="169"/>
      <c r="J269" s="169"/>
      <c r="K269" s="169"/>
      <c r="R269" s="169"/>
      <c r="S269" s="169"/>
      <c r="AG269" s="80"/>
    </row>
    <row r="270" spans="1:36" x14ac:dyDescent="0.3">
      <c r="A270" s="80"/>
      <c r="AG270" s="80"/>
    </row>
    <row r="271" spans="1:36" x14ac:dyDescent="0.3">
      <c r="A271" s="80"/>
      <c r="D271" s="92"/>
      <c r="E271" s="92"/>
      <c r="F271" s="92"/>
      <c r="G271" s="92"/>
      <c r="H271" s="92"/>
      <c r="I271" s="92"/>
      <c r="J271" s="92"/>
      <c r="K271" s="92"/>
      <c r="M271" s="92"/>
      <c r="N271" s="92"/>
      <c r="O271" s="92"/>
      <c r="P271" s="92"/>
      <c r="Q271" s="92"/>
      <c r="R271" s="92"/>
      <c r="S271" s="92"/>
      <c r="AG271" s="80"/>
    </row>
    <row r="272" spans="1:36" x14ac:dyDescent="0.3">
      <c r="A272" s="80"/>
      <c r="P272" s="67"/>
      <c r="AG272" s="80"/>
    </row>
    <row r="273" spans="1:71" x14ac:dyDescent="0.3">
      <c r="A273" s="80"/>
      <c r="D273" s="92"/>
      <c r="E273" s="92"/>
      <c r="F273" s="92"/>
      <c r="G273" s="92"/>
      <c r="H273" s="92"/>
      <c r="I273" s="92"/>
      <c r="J273" s="92"/>
      <c r="K273" s="92"/>
      <c r="M273" s="92"/>
      <c r="N273" s="92"/>
      <c r="O273" s="92"/>
      <c r="P273" s="92"/>
      <c r="Q273" s="92"/>
      <c r="R273" s="92"/>
      <c r="S273" s="92"/>
      <c r="AG273" s="80"/>
    </row>
    <row r="274" spans="1:71" x14ac:dyDescent="0.3">
      <c r="A274" s="80"/>
      <c r="AG274" s="80"/>
    </row>
    <row r="275" spans="1:71" x14ac:dyDescent="0.3">
      <c r="A275" s="80"/>
      <c r="AG275" s="80"/>
    </row>
    <row r="276" spans="1:71" x14ac:dyDescent="0.3">
      <c r="A276" s="80"/>
      <c r="AG276" s="80"/>
    </row>
    <row r="277" spans="1:71" x14ac:dyDescent="0.3">
      <c r="A277" s="118" t="s">
        <v>169</v>
      </c>
      <c r="O277" s="119" t="str">
        <f>Linkin!C28</f>
        <v>W/P - 7-5</v>
      </c>
      <c r="AA277" s="119" t="str">
        <f>$O$277</f>
        <v>W/P - 7-5</v>
      </c>
      <c r="AF277" s="119" t="str">
        <f>$O$277</f>
        <v>W/P - 7-5</v>
      </c>
      <c r="AG277" s="80"/>
      <c r="AV277" s="119" t="str">
        <f>$O$277</f>
        <v>W/P - 7-5</v>
      </c>
    </row>
    <row r="278" spans="1:71" x14ac:dyDescent="0.3">
      <c r="A278" s="118" t="s">
        <v>170</v>
      </c>
      <c r="O278" s="119" t="str">
        <f ca="1">RIGHT(CELL("filename",$A$4),LEN(CELL("filename",$A$4))-SEARCH("\Capital",CELL("filename",$A$4),1))</f>
        <v>Capital Structure\[KAWC 2018 Rate Case - Capital Structure.xlsx]Sch J WPs</v>
      </c>
      <c r="AA278" s="119" t="str">
        <f ca="1">RIGHT(CELL("filename",$A$4),LEN(CELL("filename",$A$4))-SEARCH("\Capital",CELL("filename",$A$4),1))</f>
        <v>Capital Structure\[KAWC 2018 Rate Case - Capital Structure.xlsx]Sch J WPs</v>
      </c>
      <c r="AF278" s="119" t="str">
        <f ca="1">RIGHT(CELL("filename",$A$4),LEN(CELL("filename",$A$4))-SEARCH("\Capital",CELL("filename",$A$4),1))</f>
        <v>Capital Structure\[KAWC 2018 Rate Case - Capital Structure.xlsx]Sch J WPs</v>
      </c>
      <c r="AG278" s="80"/>
      <c r="AV278" s="119" t="str">
        <f ca="1">RIGHT(CELL("filename",$A$4),LEN(CELL("filename",$A$4))-SEARCH("\Capital",CELL("filename",$A$4),1))</f>
        <v>Capital Structure\[KAWC 2018 Rate Case - Capital Structure.xlsx]Sch J WPs</v>
      </c>
    </row>
    <row r="279" spans="1:71" x14ac:dyDescent="0.3">
      <c r="A279" s="80"/>
      <c r="AG279" s="80"/>
    </row>
    <row r="280" spans="1:71" x14ac:dyDescent="0.3">
      <c r="A280" s="101" t="s">
        <v>18</v>
      </c>
      <c r="AG280" s="80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</row>
    <row r="281" spans="1:71" x14ac:dyDescent="0.3">
      <c r="A281" s="101" t="s">
        <v>98</v>
      </c>
      <c r="AG281" s="80"/>
      <c r="AH281" s="137" t="str">
        <f>AH5</f>
        <v>13-MONTH AVERAGE FOR FORECASTED PERIOD ENDING 6/30/2020</v>
      </c>
    </row>
    <row r="282" spans="1:71" x14ac:dyDescent="0.3">
      <c r="AG282" s="80"/>
      <c r="AH282" s="101"/>
    </row>
    <row r="283" spans="1:71" x14ac:dyDescent="0.3">
      <c r="A283" s="140"/>
      <c r="B283" s="140" t="s">
        <v>56</v>
      </c>
      <c r="C283" s="140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80"/>
      <c r="AH283" s="140"/>
      <c r="AI283" s="140"/>
      <c r="AJ283" s="140"/>
      <c r="AK283" s="140"/>
      <c r="AL283" s="140"/>
      <c r="AM283" s="140"/>
      <c r="AN283" s="140"/>
      <c r="AO283" s="140"/>
      <c r="AP283" s="140" t="s">
        <v>86</v>
      </c>
      <c r="AQ283" s="140"/>
      <c r="AR283" s="140"/>
      <c r="AS283" s="140"/>
      <c r="AT283" s="140" t="s">
        <v>26</v>
      </c>
      <c r="AU283" s="140"/>
      <c r="AV283" s="140" t="s">
        <v>21</v>
      </c>
    </row>
    <row r="284" spans="1:71" x14ac:dyDescent="0.3">
      <c r="A284" s="80" t="s">
        <v>22</v>
      </c>
      <c r="B284" s="80" t="s">
        <v>87</v>
      </c>
      <c r="C284" s="80" t="s">
        <v>47</v>
      </c>
      <c r="D284" s="80" t="s">
        <v>88</v>
      </c>
      <c r="E284" s="80" t="s">
        <v>88</v>
      </c>
      <c r="F284" s="80" t="s">
        <v>88</v>
      </c>
      <c r="G284" s="80" t="s">
        <v>88</v>
      </c>
      <c r="H284" s="80" t="s">
        <v>88</v>
      </c>
      <c r="I284" s="80" t="s">
        <v>88</v>
      </c>
      <c r="J284" s="80" t="s">
        <v>88</v>
      </c>
      <c r="K284" s="80" t="s">
        <v>88</v>
      </c>
      <c r="L284" s="80" t="s">
        <v>88</v>
      </c>
      <c r="M284" s="80" t="s">
        <v>88</v>
      </c>
      <c r="N284" s="80" t="s">
        <v>88</v>
      </c>
      <c r="O284" s="80" t="s">
        <v>88</v>
      </c>
      <c r="P284" s="80" t="s">
        <v>88</v>
      </c>
      <c r="Q284" s="80" t="s">
        <v>88</v>
      </c>
      <c r="R284" s="80" t="s">
        <v>88</v>
      </c>
      <c r="S284" s="80" t="s">
        <v>88</v>
      </c>
      <c r="T284" s="80" t="s">
        <v>88</v>
      </c>
      <c r="U284" s="80" t="s">
        <v>88</v>
      </c>
      <c r="V284" s="80" t="s">
        <v>88</v>
      </c>
      <c r="W284" s="80" t="s">
        <v>88</v>
      </c>
      <c r="X284" s="80" t="s">
        <v>88</v>
      </c>
      <c r="Y284" s="80" t="s">
        <v>88</v>
      </c>
      <c r="Z284" s="80" t="s">
        <v>88</v>
      </c>
      <c r="AA284" s="80" t="s">
        <v>88</v>
      </c>
      <c r="AB284" s="80" t="s">
        <v>88</v>
      </c>
      <c r="AC284" s="80" t="s">
        <v>88</v>
      </c>
      <c r="AD284" s="80" t="s">
        <v>88</v>
      </c>
      <c r="AE284" s="80" t="s">
        <v>88</v>
      </c>
      <c r="AF284" s="80" t="s">
        <v>175</v>
      </c>
      <c r="AG284" s="80"/>
      <c r="AH284" s="71" t="s">
        <v>75</v>
      </c>
      <c r="AI284" s="80"/>
      <c r="AJ284" s="80" t="s">
        <v>175</v>
      </c>
      <c r="AK284" s="80"/>
      <c r="AL284" s="80" t="s">
        <v>33</v>
      </c>
      <c r="AM284" s="80"/>
      <c r="AN284" s="80" t="s">
        <v>33</v>
      </c>
      <c r="AO284" s="80"/>
      <c r="AP284" s="80" t="s">
        <v>89</v>
      </c>
      <c r="AQ284" s="80"/>
      <c r="AR284" s="80" t="s">
        <v>59</v>
      </c>
      <c r="AS284" s="80"/>
      <c r="AT284" s="80" t="s">
        <v>55</v>
      </c>
      <c r="AU284" s="80"/>
      <c r="AV284" s="80" t="s">
        <v>24</v>
      </c>
    </row>
    <row r="285" spans="1:71" x14ac:dyDescent="0.3">
      <c r="A285" s="145" t="s">
        <v>27</v>
      </c>
      <c r="B285" s="145" t="s">
        <v>50</v>
      </c>
      <c r="C285" s="145" t="s">
        <v>50</v>
      </c>
      <c r="D285" s="146">
        <f>D239</f>
        <v>43190</v>
      </c>
      <c r="E285" s="146">
        <f>$E$9</f>
        <v>43220</v>
      </c>
      <c r="F285" s="146">
        <f>$F$9</f>
        <v>43251</v>
      </c>
      <c r="G285" s="146">
        <f>$G$9</f>
        <v>43281</v>
      </c>
      <c r="H285" s="146">
        <f>$H$9</f>
        <v>43312</v>
      </c>
      <c r="I285" s="146">
        <f>$I$9</f>
        <v>43343</v>
      </c>
      <c r="J285" s="146">
        <f>$J$9</f>
        <v>43373</v>
      </c>
      <c r="K285" s="146">
        <f>$K$9</f>
        <v>43404</v>
      </c>
      <c r="L285" s="146">
        <f>$L$9</f>
        <v>43434</v>
      </c>
      <c r="M285" s="146">
        <f>$M$9</f>
        <v>43465</v>
      </c>
      <c r="N285" s="146">
        <f>$N$9</f>
        <v>43496</v>
      </c>
      <c r="O285" s="146">
        <f>$O$9</f>
        <v>43524</v>
      </c>
      <c r="P285" s="146">
        <f>$P$9</f>
        <v>43555</v>
      </c>
      <c r="Q285" s="146">
        <f>$Q$9</f>
        <v>43585</v>
      </c>
      <c r="R285" s="146">
        <f>$R$9</f>
        <v>43616</v>
      </c>
      <c r="S285" s="146">
        <f>$S$9</f>
        <v>43646</v>
      </c>
      <c r="T285" s="146">
        <f>$T$9</f>
        <v>43677</v>
      </c>
      <c r="U285" s="146">
        <f>$U$9</f>
        <v>43708</v>
      </c>
      <c r="V285" s="146">
        <f>$V$9</f>
        <v>43738</v>
      </c>
      <c r="W285" s="146">
        <f>$W$9</f>
        <v>43769</v>
      </c>
      <c r="X285" s="146">
        <f>$X$9</f>
        <v>43799</v>
      </c>
      <c r="Y285" s="146">
        <f>$Y$9</f>
        <v>43830</v>
      </c>
      <c r="Z285" s="146">
        <f>$Z$9</f>
        <v>43861</v>
      </c>
      <c r="AA285" s="146">
        <f>$AA$9</f>
        <v>43890</v>
      </c>
      <c r="AB285" s="146">
        <f>$AB$9</f>
        <v>43921</v>
      </c>
      <c r="AC285" s="146">
        <f>$AC$9</f>
        <v>43951</v>
      </c>
      <c r="AD285" s="146">
        <f>$AD$9</f>
        <v>43982</v>
      </c>
      <c r="AE285" s="146">
        <f>$AE$9</f>
        <v>44012</v>
      </c>
      <c r="AF285" s="147" t="s">
        <v>26</v>
      </c>
      <c r="AG285" s="80"/>
      <c r="AH285" s="147" t="s">
        <v>78</v>
      </c>
      <c r="AI285" s="145"/>
      <c r="AJ285" s="147" t="s">
        <v>26</v>
      </c>
      <c r="AK285" s="147"/>
      <c r="AL285" s="145" t="s">
        <v>90</v>
      </c>
      <c r="AM285" s="145"/>
      <c r="AN285" s="145" t="s">
        <v>91</v>
      </c>
      <c r="AO285" s="145"/>
      <c r="AP285" s="145" t="s">
        <v>92</v>
      </c>
      <c r="AQ285" s="145"/>
      <c r="AR285" s="145" t="s">
        <v>34</v>
      </c>
      <c r="AS285" s="145"/>
      <c r="AT285" s="145" t="s">
        <v>93</v>
      </c>
      <c r="AU285" s="145"/>
      <c r="AV285" s="145" t="s">
        <v>69</v>
      </c>
    </row>
    <row r="286" spans="1:71" x14ac:dyDescent="0.3">
      <c r="A286" s="80">
        <v>1</v>
      </c>
      <c r="B286" s="85"/>
      <c r="D286" s="85"/>
      <c r="E286" s="85"/>
      <c r="F286" s="85"/>
      <c r="G286" s="85"/>
      <c r="H286" s="85"/>
      <c r="I286" s="85"/>
      <c r="J286" s="85"/>
      <c r="K286" s="85"/>
      <c r="L286" s="85"/>
      <c r="M286" s="85"/>
      <c r="N286" s="85"/>
      <c r="O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85"/>
      <c r="AC286" s="85"/>
      <c r="AD286" s="85"/>
      <c r="AE286" s="85"/>
      <c r="AF286" s="85"/>
      <c r="AG286" s="80"/>
      <c r="AH286" s="122"/>
      <c r="AI286" s="122"/>
      <c r="AJ286" s="122"/>
      <c r="AK286" s="122"/>
      <c r="AL286" s="122"/>
      <c r="AM286" s="122"/>
      <c r="AN286" s="122"/>
      <c r="AO286" s="122"/>
      <c r="AP286" s="122"/>
      <c r="AQ286" s="122"/>
      <c r="AR286" s="122"/>
      <c r="AS286" s="122"/>
      <c r="AT286" s="122"/>
      <c r="AU286" s="122"/>
      <c r="AV286" s="122"/>
    </row>
    <row r="287" spans="1:71" x14ac:dyDescent="0.3">
      <c r="A287" s="80">
        <v>2</v>
      </c>
      <c r="AG287" s="80"/>
    </row>
    <row r="288" spans="1:71" x14ac:dyDescent="0.3">
      <c r="A288" s="80">
        <v>3</v>
      </c>
      <c r="B288" s="72"/>
      <c r="C288" s="153"/>
      <c r="D288" s="170"/>
      <c r="E288" s="170"/>
      <c r="F288" s="170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  <c r="AF288" s="170"/>
      <c r="AG288" s="80"/>
      <c r="AH288" s="72"/>
      <c r="AJ288" s="87"/>
      <c r="AK288" s="87"/>
      <c r="AL288" s="89"/>
      <c r="AM288" s="89"/>
      <c r="AN288" s="89"/>
      <c r="AO288" s="89"/>
      <c r="AP288" s="87"/>
      <c r="AQ288" s="87"/>
      <c r="AR288" s="87"/>
      <c r="AS288" s="87"/>
      <c r="AT288" s="87"/>
      <c r="AU288" s="87"/>
      <c r="AV288" s="87"/>
    </row>
    <row r="289" spans="1:48" x14ac:dyDescent="0.3">
      <c r="A289" s="80">
        <v>4</v>
      </c>
      <c r="C289" s="153"/>
      <c r="D289" s="122"/>
      <c r="AG289" s="80"/>
      <c r="AL289" s="91"/>
      <c r="AM289" s="91"/>
    </row>
    <row r="290" spans="1:48" x14ac:dyDescent="0.3">
      <c r="A290" s="80">
        <v>5</v>
      </c>
      <c r="B290" s="72" t="s">
        <v>84</v>
      </c>
      <c r="C290" s="153">
        <v>8.4699999999999998E-2</v>
      </c>
      <c r="D290" s="116">
        <v>2250000</v>
      </c>
      <c r="E290" s="116">
        <f t="shared" ref="E290:Z290" si="175">D290</f>
        <v>2250000</v>
      </c>
      <c r="F290" s="116">
        <f t="shared" si="175"/>
        <v>2250000</v>
      </c>
      <c r="G290" s="116">
        <f t="shared" si="175"/>
        <v>2250000</v>
      </c>
      <c r="H290" s="116">
        <f t="shared" si="175"/>
        <v>2250000</v>
      </c>
      <c r="I290" s="116">
        <f t="shared" si="175"/>
        <v>2250000</v>
      </c>
      <c r="J290" s="116">
        <f t="shared" si="175"/>
        <v>2250000</v>
      </c>
      <c r="K290" s="116">
        <f>+J290</f>
        <v>2250000</v>
      </c>
      <c r="L290" s="116">
        <f t="shared" si="175"/>
        <v>2250000</v>
      </c>
      <c r="M290" s="116">
        <f t="shared" si="175"/>
        <v>2250000</v>
      </c>
      <c r="N290" s="116">
        <f t="shared" si="175"/>
        <v>2250000</v>
      </c>
      <c r="O290" s="116">
        <f t="shared" si="175"/>
        <v>2250000</v>
      </c>
      <c r="P290" s="116">
        <f t="shared" si="175"/>
        <v>2250000</v>
      </c>
      <c r="Q290" s="116">
        <f t="shared" si="175"/>
        <v>2250000</v>
      </c>
      <c r="R290" s="116">
        <f t="shared" si="175"/>
        <v>2250000</v>
      </c>
      <c r="S290" s="116">
        <f t="shared" si="175"/>
        <v>2250000</v>
      </c>
      <c r="T290" s="116">
        <f t="shared" si="175"/>
        <v>2250000</v>
      </c>
      <c r="U290" s="116">
        <f t="shared" si="175"/>
        <v>2250000</v>
      </c>
      <c r="V290" s="116">
        <f t="shared" si="175"/>
        <v>2250000</v>
      </c>
      <c r="W290" s="116">
        <f t="shared" si="175"/>
        <v>2250000</v>
      </c>
      <c r="X290" s="116">
        <f t="shared" si="175"/>
        <v>2250000</v>
      </c>
      <c r="Y290" s="116">
        <f t="shared" si="175"/>
        <v>2250000</v>
      </c>
      <c r="Z290" s="116">
        <f t="shared" si="175"/>
        <v>2250000</v>
      </c>
      <c r="AA290" s="116">
        <f t="shared" ref="AA290" si="176">Z290</f>
        <v>2250000</v>
      </c>
      <c r="AB290" s="116">
        <f t="shared" ref="AB290" si="177">AA290</f>
        <v>2250000</v>
      </c>
      <c r="AC290" s="116">
        <f t="shared" ref="AC290" si="178">AB290</f>
        <v>2250000</v>
      </c>
      <c r="AD290" s="116">
        <f t="shared" ref="AD290" si="179">AC290</f>
        <v>2250000</v>
      </c>
      <c r="AE290" s="116">
        <f t="shared" ref="AE290" si="180">AD290</f>
        <v>2250000</v>
      </c>
      <c r="AF290" s="116">
        <f t="shared" ref="AF290" si="181">AVERAGE(S290:AE290)</f>
        <v>2250000</v>
      </c>
      <c r="AG290" s="80"/>
      <c r="AH290" s="72" t="str">
        <f>B290</f>
        <v>8.47% Series, $100 Par</v>
      </c>
      <c r="AJ290" s="116">
        <f>AF290</f>
        <v>2250000</v>
      </c>
      <c r="AK290" s="92"/>
      <c r="AL290" s="89">
        <f>C290</f>
        <v>8.4699999999999998E-2</v>
      </c>
      <c r="AM290" s="89"/>
      <c r="AN290" s="89">
        <f>IF(AJ290=0,0,ROUND(((AJ290*AL290)+AP290)/AJ290,5))</f>
        <v>8.4870000000000001E-2</v>
      </c>
      <c r="AO290" s="89"/>
      <c r="AP290" s="92">
        <f>AF366</f>
        <v>386.28</v>
      </c>
      <c r="AQ290" s="92"/>
      <c r="AR290" s="116">
        <f>ROUND(AN290*AJ290,0)</f>
        <v>190958</v>
      </c>
      <c r="AS290" s="116"/>
      <c r="AT290" s="116">
        <f>AF333</f>
        <v>6566.7600000000093</v>
      </c>
      <c r="AU290" s="116"/>
      <c r="AV290" s="116">
        <f>AJ290-AT290</f>
        <v>2243433.2400000002</v>
      </c>
    </row>
    <row r="291" spans="1:48" x14ac:dyDescent="0.3">
      <c r="A291" s="80">
        <v>6</v>
      </c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92"/>
      <c r="X291" s="92"/>
      <c r="Y291" s="92"/>
      <c r="Z291" s="92"/>
      <c r="AA291" s="92"/>
      <c r="AB291" s="92"/>
      <c r="AC291" s="92"/>
      <c r="AD291" s="92"/>
      <c r="AE291" s="92"/>
      <c r="AF291" s="92"/>
      <c r="AG291" s="80"/>
      <c r="AL291" s="91"/>
      <c r="AM291" s="91"/>
    </row>
    <row r="292" spans="1:48" x14ac:dyDescent="0.3">
      <c r="A292" s="80">
        <v>7</v>
      </c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92"/>
      <c r="X292" s="92"/>
      <c r="Y292" s="92"/>
      <c r="Z292" s="92"/>
      <c r="AA292" s="92"/>
      <c r="AB292" s="92"/>
      <c r="AC292" s="92"/>
      <c r="AD292" s="92"/>
      <c r="AE292" s="92"/>
      <c r="AF292" s="92"/>
      <c r="AG292" s="80"/>
      <c r="AL292" s="91"/>
      <c r="AM292" s="91"/>
    </row>
    <row r="293" spans="1:48" x14ac:dyDescent="0.3">
      <c r="A293" s="80">
        <v>8</v>
      </c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92"/>
      <c r="X293" s="92"/>
      <c r="Y293" s="92"/>
      <c r="Z293" s="92"/>
      <c r="AA293" s="92"/>
      <c r="AB293" s="92"/>
      <c r="AC293" s="92"/>
      <c r="AD293" s="92"/>
      <c r="AE293" s="92"/>
      <c r="AF293" s="92"/>
      <c r="AG293" s="80"/>
      <c r="AL293" s="91"/>
      <c r="AM293" s="91"/>
    </row>
    <row r="294" spans="1:48" x14ac:dyDescent="0.3">
      <c r="A294" s="80">
        <v>9</v>
      </c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80"/>
      <c r="AL294" s="91"/>
      <c r="AM294" s="91"/>
      <c r="AQ294" s="90"/>
      <c r="AS294" s="90"/>
      <c r="AU294" s="90"/>
    </row>
    <row r="295" spans="1:48" ht="15" thickBot="1" x14ac:dyDescent="0.35">
      <c r="A295" s="80">
        <v>10</v>
      </c>
      <c r="B295" s="72" t="s">
        <v>94</v>
      </c>
      <c r="C295" s="80"/>
      <c r="D295" s="171">
        <f t="shared" ref="D295:AF295" si="182">SUM(D288:D294)</f>
        <v>2250000</v>
      </c>
      <c r="E295" s="171">
        <f t="shared" si="182"/>
        <v>2250000</v>
      </c>
      <c r="F295" s="171">
        <f t="shared" si="182"/>
        <v>2250000</v>
      </c>
      <c r="G295" s="171">
        <f t="shared" si="182"/>
        <v>2250000</v>
      </c>
      <c r="H295" s="171">
        <f t="shared" si="182"/>
        <v>2250000</v>
      </c>
      <c r="I295" s="171">
        <f t="shared" si="182"/>
        <v>2250000</v>
      </c>
      <c r="J295" s="171">
        <f t="shared" si="182"/>
        <v>2250000</v>
      </c>
      <c r="K295" s="171">
        <f t="shared" si="182"/>
        <v>2250000</v>
      </c>
      <c r="L295" s="171">
        <f t="shared" si="182"/>
        <v>2250000</v>
      </c>
      <c r="M295" s="171">
        <f t="shared" si="182"/>
        <v>2250000</v>
      </c>
      <c r="N295" s="171">
        <f t="shared" si="182"/>
        <v>2250000</v>
      </c>
      <c r="O295" s="171">
        <f t="shared" si="182"/>
        <v>2250000</v>
      </c>
      <c r="P295" s="171">
        <f t="shared" si="182"/>
        <v>2250000</v>
      </c>
      <c r="Q295" s="171">
        <f t="shared" si="182"/>
        <v>2250000</v>
      </c>
      <c r="R295" s="171">
        <f t="shared" si="182"/>
        <v>2250000</v>
      </c>
      <c r="S295" s="171">
        <f t="shared" si="182"/>
        <v>2250000</v>
      </c>
      <c r="T295" s="171">
        <f t="shared" si="182"/>
        <v>2250000</v>
      </c>
      <c r="U295" s="171">
        <f t="shared" si="182"/>
        <v>2250000</v>
      </c>
      <c r="V295" s="171">
        <f t="shared" si="182"/>
        <v>2250000</v>
      </c>
      <c r="W295" s="171">
        <f t="shared" si="182"/>
        <v>2250000</v>
      </c>
      <c r="X295" s="171">
        <f t="shared" si="182"/>
        <v>2250000</v>
      </c>
      <c r="Y295" s="171">
        <f t="shared" si="182"/>
        <v>2250000</v>
      </c>
      <c r="Z295" s="171">
        <f t="shared" si="182"/>
        <v>2250000</v>
      </c>
      <c r="AA295" s="171">
        <f t="shared" si="182"/>
        <v>2250000</v>
      </c>
      <c r="AB295" s="171">
        <f t="shared" si="182"/>
        <v>2250000</v>
      </c>
      <c r="AC295" s="171">
        <f t="shared" si="182"/>
        <v>2250000</v>
      </c>
      <c r="AD295" s="171">
        <f t="shared" si="182"/>
        <v>2250000</v>
      </c>
      <c r="AE295" s="171">
        <f t="shared" si="182"/>
        <v>2250000</v>
      </c>
      <c r="AF295" s="171">
        <f t="shared" si="182"/>
        <v>2250000</v>
      </c>
      <c r="AG295" s="80"/>
      <c r="AH295" s="72" t="s">
        <v>94</v>
      </c>
      <c r="AJ295" s="159">
        <f>SUM(AJ288:AJ294)</f>
        <v>2250000</v>
      </c>
      <c r="AK295" s="113"/>
      <c r="AL295" s="91"/>
      <c r="AM295" s="91"/>
      <c r="AP295" s="159">
        <f>SUM(AP288:AP294)</f>
        <v>386.28</v>
      </c>
      <c r="AQ295" s="113"/>
      <c r="AR295" s="159">
        <f>SUM(AR288:AR294)</f>
        <v>190958</v>
      </c>
      <c r="AS295" s="113"/>
      <c r="AT295" s="159">
        <f>SUM(AT288:AT294)</f>
        <v>6566.7600000000093</v>
      </c>
      <c r="AU295" s="113"/>
      <c r="AV295" s="159">
        <f>SUM(AV288:AV294)</f>
        <v>2243433.2400000002</v>
      </c>
    </row>
    <row r="296" spans="1:48" s="72" customFormat="1" ht="15" thickTop="1" x14ac:dyDescent="0.3">
      <c r="A296" s="80"/>
      <c r="B296" s="67"/>
      <c r="C296" s="81"/>
      <c r="D296" s="85"/>
      <c r="E296" s="85"/>
      <c r="F296" s="85"/>
      <c r="G296" s="85"/>
      <c r="H296" s="85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0"/>
      <c r="AH296" s="67"/>
      <c r="AI296" s="67"/>
      <c r="AJ296" s="122"/>
      <c r="AK296" s="122"/>
      <c r="AL296" s="91"/>
      <c r="AM296" s="91"/>
      <c r="AN296" s="67"/>
      <c r="AO296" s="67"/>
      <c r="AP296" s="122"/>
      <c r="AQ296" s="149"/>
      <c r="AR296" s="122"/>
      <c r="AS296" s="149"/>
      <c r="AT296" s="122"/>
      <c r="AU296" s="149"/>
      <c r="AV296" s="122"/>
    </row>
    <row r="297" spans="1:48" x14ac:dyDescent="0.3">
      <c r="A297" s="80"/>
      <c r="AG297" s="80"/>
      <c r="AL297" s="91"/>
      <c r="AM297" s="91"/>
      <c r="AU297" s="90"/>
    </row>
    <row r="298" spans="1:48" x14ac:dyDescent="0.3">
      <c r="A298" s="80"/>
      <c r="AG298" s="80"/>
      <c r="AL298" s="91"/>
      <c r="AM298" s="91"/>
    </row>
    <row r="299" spans="1:48" ht="15" thickBot="1" x14ac:dyDescent="0.35">
      <c r="A299" s="80"/>
      <c r="AG299" s="80"/>
      <c r="AH299" s="101" t="s">
        <v>179</v>
      </c>
      <c r="AL299" s="172">
        <f>ROUND(AR295/AV295,4)</f>
        <v>8.5099999999999995E-2</v>
      </c>
      <c r="AM299" s="97"/>
    </row>
    <row r="300" spans="1:48" ht="15" thickTop="1" x14ac:dyDescent="0.3">
      <c r="A300" s="80"/>
      <c r="AG300" s="80"/>
      <c r="AL300" s="122"/>
      <c r="AM300" s="122"/>
    </row>
    <row r="301" spans="1:48" x14ac:dyDescent="0.3">
      <c r="A301" s="80"/>
      <c r="AG301" s="80"/>
    </row>
    <row r="302" spans="1:48" x14ac:dyDescent="0.3">
      <c r="A302" s="80"/>
      <c r="AG302" s="80"/>
    </row>
    <row r="303" spans="1:48" x14ac:dyDescent="0.3">
      <c r="A303" s="80"/>
      <c r="AG303" s="80"/>
    </row>
    <row r="304" spans="1:48" x14ac:dyDescent="0.3">
      <c r="A304" s="80"/>
      <c r="AG304" s="80"/>
    </row>
    <row r="305" spans="1:71" x14ac:dyDescent="0.3">
      <c r="A305" s="80"/>
      <c r="AG305" s="80"/>
    </row>
    <row r="306" spans="1:71" x14ac:dyDescent="0.3">
      <c r="A306" s="80"/>
      <c r="AG306" s="80"/>
    </row>
    <row r="307" spans="1:71" x14ac:dyDescent="0.3">
      <c r="A307" s="80"/>
      <c r="AG307" s="80"/>
    </row>
    <row r="308" spans="1:71" x14ac:dyDescent="0.3">
      <c r="A308" s="80"/>
      <c r="AG308" s="80"/>
    </row>
    <row r="309" spans="1:71" x14ac:dyDescent="0.3">
      <c r="A309" s="80"/>
      <c r="AG309" s="80"/>
    </row>
    <row r="310" spans="1:71" x14ac:dyDescent="0.3">
      <c r="A310" s="80"/>
      <c r="AG310" s="80"/>
    </row>
    <row r="311" spans="1:71" x14ac:dyDescent="0.3">
      <c r="A311" s="80"/>
      <c r="AG311" s="80"/>
    </row>
    <row r="312" spans="1:71" x14ac:dyDescent="0.3">
      <c r="A312" s="80"/>
      <c r="AG312" s="80"/>
    </row>
    <row r="313" spans="1:71" x14ac:dyDescent="0.3">
      <c r="A313" s="80"/>
      <c r="AG313" s="80"/>
    </row>
    <row r="314" spans="1:71" x14ac:dyDescent="0.3">
      <c r="A314" s="80"/>
      <c r="AG314" s="80"/>
    </row>
    <row r="315" spans="1:71" x14ac:dyDescent="0.3">
      <c r="A315" s="118" t="s">
        <v>169</v>
      </c>
      <c r="O315" s="119" t="str">
        <f>Linkin!C28</f>
        <v>W/P - 7-5</v>
      </c>
      <c r="AA315" s="119" t="str">
        <f>$O$315</f>
        <v>W/P - 7-5</v>
      </c>
      <c r="AF315" s="119" t="str">
        <f>$O$315</f>
        <v>W/P - 7-5</v>
      </c>
      <c r="AG315" s="80"/>
    </row>
    <row r="316" spans="1:71" x14ac:dyDescent="0.3">
      <c r="A316" s="118" t="s">
        <v>170</v>
      </c>
      <c r="O316" s="119" t="str">
        <f ca="1">RIGHT(CELL("filename",$A$4),LEN(CELL("filename",$A$4))-SEARCH("\Capital",CELL("filename",$A$4),1))</f>
        <v>Capital Structure\[KAWC 2018 Rate Case - Capital Structure.xlsx]Sch J WPs</v>
      </c>
      <c r="AA316" s="119" t="str">
        <f ca="1">RIGHT(CELL("filename",$A$4),LEN(CELL("filename",$A$4))-SEARCH("\Capital",CELL("filename",$A$4),1))</f>
        <v>Capital Structure\[KAWC 2018 Rate Case - Capital Structure.xlsx]Sch J WPs</v>
      </c>
      <c r="AF316" s="119" t="str">
        <f ca="1">RIGHT(CELL("filename",$A$4),LEN(CELL("filename",$A$4))-SEARCH("\Capital",CELL("filename",$A$4),1))</f>
        <v>Capital Structure\[KAWC 2018 Rate Case - Capital Structure.xlsx]Sch J WPs</v>
      </c>
      <c r="AG316" s="80"/>
    </row>
    <row r="317" spans="1:71" x14ac:dyDescent="0.3">
      <c r="A317" s="80"/>
      <c r="AG317" s="80"/>
    </row>
    <row r="318" spans="1:71" x14ac:dyDescent="0.3">
      <c r="A318" s="101" t="s">
        <v>18</v>
      </c>
      <c r="AG318" s="80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</row>
    <row r="319" spans="1:71" x14ac:dyDescent="0.3">
      <c r="A319" s="101" t="s">
        <v>99</v>
      </c>
      <c r="AG319" s="80"/>
    </row>
    <row r="320" spans="1:71" x14ac:dyDescent="0.3">
      <c r="C320" s="158"/>
      <c r="AG320" s="80"/>
    </row>
    <row r="321" spans="1:33" x14ac:dyDescent="0.3">
      <c r="A321" s="140"/>
      <c r="B321" s="140" t="s">
        <v>56</v>
      </c>
      <c r="C321" s="140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  <c r="V321" s="141"/>
      <c r="W321" s="141"/>
      <c r="X321" s="141"/>
      <c r="Y321" s="141"/>
      <c r="Z321" s="141"/>
      <c r="AA321" s="141"/>
      <c r="AB321" s="141"/>
      <c r="AC321" s="141"/>
      <c r="AD321" s="141"/>
      <c r="AE321" s="141"/>
      <c r="AF321" s="141"/>
      <c r="AG321" s="80"/>
    </row>
    <row r="322" spans="1:33" x14ac:dyDescent="0.3">
      <c r="A322" s="80" t="s">
        <v>22</v>
      </c>
      <c r="B322" s="80" t="s">
        <v>87</v>
      </c>
      <c r="D322" s="84" t="s">
        <v>88</v>
      </c>
      <c r="E322" s="84" t="s">
        <v>88</v>
      </c>
      <c r="F322" s="84" t="s">
        <v>88</v>
      </c>
      <c r="G322" s="84" t="s">
        <v>88</v>
      </c>
      <c r="H322" s="84" t="s">
        <v>88</v>
      </c>
      <c r="I322" s="84" t="s">
        <v>88</v>
      </c>
      <c r="J322" s="84" t="s">
        <v>88</v>
      </c>
      <c r="K322" s="84" t="s">
        <v>88</v>
      </c>
      <c r="L322" s="84" t="s">
        <v>88</v>
      </c>
      <c r="M322" s="84" t="s">
        <v>88</v>
      </c>
      <c r="N322" s="84" t="s">
        <v>88</v>
      </c>
      <c r="O322" s="84" t="s">
        <v>88</v>
      </c>
      <c r="P322" s="84" t="s">
        <v>88</v>
      </c>
      <c r="Q322" s="84" t="s">
        <v>88</v>
      </c>
      <c r="R322" s="84" t="s">
        <v>88</v>
      </c>
      <c r="S322" s="84" t="s">
        <v>88</v>
      </c>
      <c r="T322" s="84" t="s">
        <v>88</v>
      </c>
      <c r="U322" s="84" t="s">
        <v>88</v>
      </c>
      <c r="V322" s="84" t="s">
        <v>88</v>
      </c>
      <c r="W322" s="84" t="s">
        <v>88</v>
      </c>
      <c r="X322" s="84" t="s">
        <v>88</v>
      </c>
      <c r="Y322" s="84" t="s">
        <v>88</v>
      </c>
      <c r="Z322" s="84" t="s">
        <v>88</v>
      </c>
      <c r="AA322" s="84" t="s">
        <v>88</v>
      </c>
      <c r="AB322" s="84" t="s">
        <v>88</v>
      </c>
      <c r="AC322" s="84" t="s">
        <v>88</v>
      </c>
      <c r="AD322" s="84" t="s">
        <v>88</v>
      </c>
      <c r="AE322" s="84" t="s">
        <v>88</v>
      </c>
      <c r="AF322" s="80" t="s">
        <v>175</v>
      </c>
      <c r="AG322" s="80"/>
    </row>
    <row r="323" spans="1:33" x14ac:dyDescent="0.3">
      <c r="A323" s="145" t="s">
        <v>27</v>
      </c>
      <c r="B323" s="145" t="s">
        <v>50</v>
      </c>
      <c r="C323" s="145"/>
      <c r="D323" s="146">
        <f>D285</f>
        <v>43190</v>
      </c>
      <c r="E323" s="146">
        <f>$E$9</f>
        <v>43220</v>
      </c>
      <c r="F323" s="146">
        <f>$F$9</f>
        <v>43251</v>
      </c>
      <c r="G323" s="146">
        <f>$G$9</f>
        <v>43281</v>
      </c>
      <c r="H323" s="146">
        <f>$H$9</f>
        <v>43312</v>
      </c>
      <c r="I323" s="146">
        <f>$I$9</f>
        <v>43343</v>
      </c>
      <c r="J323" s="146">
        <f>$J$9</f>
        <v>43373</v>
      </c>
      <c r="K323" s="146">
        <f>$K$9</f>
        <v>43404</v>
      </c>
      <c r="L323" s="146">
        <f>$L$9</f>
        <v>43434</v>
      </c>
      <c r="M323" s="146">
        <f>$M$9</f>
        <v>43465</v>
      </c>
      <c r="N323" s="146">
        <f>$N$9</f>
        <v>43496</v>
      </c>
      <c r="O323" s="146">
        <f>$O$9</f>
        <v>43524</v>
      </c>
      <c r="P323" s="146">
        <f>$P$9</f>
        <v>43555</v>
      </c>
      <c r="Q323" s="146">
        <f>$Q$9</f>
        <v>43585</v>
      </c>
      <c r="R323" s="146">
        <f>$R$9</f>
        <v>43616</v>
      </c>
      <c r="S323" s="146">
        <f>$S$9</f>
        <v>43646</v>
      </c>
      <c r="T323" s="146">
        <f>$T$9</f>
        <v>43677</v>
      </c>
      <c r="U323" s="146">
        <f>$U$9</f>
        <v>43708</v>
      </c>
      <c r="V323" s="146">
        <f>$V$9</f>
        <v>43738</v>
      </c>
      <c r="W323" s="146">
        <f>$W$9</f>
        <v>43769</v>
      </c>
      <c r="X323" s="146">
        <f>$X$9</f>
        <v>43799</v>
      </c>
      <c r="Y323" s="146">
        <f>$Y$9</f>
        <v>43830</v>
      </c>
      <c r="Z323" s="146">
        <f>$Z$9</f>
        <v>43861</v>
      </c>
      <c r="AA323" s="146">
        <f>$AA$9</f>
        <v>43890</v>
      </c>
      <c r="AB323" s="146">
        <f>$AB$9</f>
        <v>43921</v>
      </c>
      <c r="AC323" s="146">
        <f>$AC$9</f>
        <v>43951</v>
      </c>
      <c r="AD323" s="146">
        <f>$AD$9</f>
        <v>43982</v>
      </c>
      <c r="AE323" s="146">
        <f>$AE$9</f>
        <v>44012</v>
      </c>
      <c r="AF323" s="147" t="s">
        <v>26</v>
      </c>
      <c r="AG323" s="80"/>
    </row>
    <row r="324" spans="1:33" x14ac:dyDescent="0.3">
      <c r="A324" s="80">
        <v>1</v>
      </c>
      <c r="B324" s="72"/>
      <c r="C324" s="80"/>
      <c r="D324" s="88"/>
      <c r="E324" s="88"/>
      <c r="F324" s="88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0"/>
    </row>
    <row r="325" spans="1:33" x14ac:dyDescent="0.3">
      <c r="A325" s="80">
        <v>2</v>
      </c>
      <c r="D325" s="122"/>
      <c r="AG325" s="80"/>
    </row>
    <row r="326" spans="1:33" x14ac:dyDescent="0.3">
      <c r="A326" s="80">
        <v>3</v>
      </c>
      <c r="B326" s="72" t="str">
        <f>B290</f>
        <v>8.47% Series, $100 Par</v>
      </c>
      <c r="D326" s="116">
        <v>7210.56</v>
      </c>
      <c r="E326" s="116">
        <f t="shared" ref="E326:Z326" si="183">D326-E366</f>
        <v>7178.3700000000008</v>
      </c>
      <c r="F326" s="116">
        <f t="shared" si="183"/>
        <v>7146.1800000000012</v>
      </c>
      <c r="G326" s="116">
        <f t="shared" si="183"/>
        <v>7113.9900000000016</v>
      </c>
      <c r="H326" s="116">
        <f t="shared" si="183"/>
        <v>7081.800000000002</v>
      </c>
      <c r="I326" s="116">
        <f t="shared" si="183"/>
        <v>7049.6100000000024</v>
      </c>
      <c r="J326" s="116">
        <f t="shared" si="183"/>
        <v>7017.4200000000028</v>
      </c>
      <c r="K326" s="116">
        <f>+J326</f>
        <v>7017.4200000000028</v>
      </c>
      <c r="L326" s="116">
        <f t="shared" si="183"/>
        <v>6985.2300000000032</v>
      </c>
      <c r="M326" s="116">
        <f t="shared" si="183"/>
        <v>6953.0400000000036</v>
      </c>
      <c r="N326" s="116">
        <f t="shared" si="183"/>
        <v>6920.850000000004</v>
      </c>
      <c r="O326" s="116">
        <f t="shared" si="183"/>
        <v>6888.6600000000044</v>
      </c>
      <c r="P326" s="116">
        <f t="shared" si="183"/>
        <v>6856.4700000000048</v>
      </c>
      <c r="Q326" s="116">
        <f t="shared" si="183"/>
        <v>6824.2800000000052</v>
      </c>
      <c r="R326" s="116">
        <f t="shared" si="183"/>
        <v>6792.0900000000056</v>
      </c>
      <c r="S326" s="116">
        <f t="shared" si="183"/>
        <v>6759.900000000006</v>
      </c>
      <c r="T326" s="116">
        <f t="shared" si="183"/>
        <v>6727.7100000000064</v>
      </c>
      <c r="U326" s="116">
        <f t="shared" si="183"/>
        <v>6695.5200000000068</v>
      </c>
      <c r="V326" s="116">
        <f t="shared" si="183"/>
        <v>6663.3300000000072</v>
      </c>
      <c r="W326" s="116">
        <f t="shared" si="183"/>
        <v>6631.1400000000076</v>
      </c>
      <c r="X326" s="116">
        <f t="shared" si="183"/>
        <v>6598.950000000008</v>
      </c>
      <c r="Y326" s="116">
        <f t="shared" si="183"/>
        <v>6566.7600000000084</v>
      </c>
      <c r="Z326" s="116">
        <f t="shared" si="183"/>
        <v>6534.5700000000088</v>
      </c>
      <c r="AA326" s="116">
        <f t="shared" ref="AA326:AE326" si="184">Z326-AA366</f>
        <v>6502.3800000000092</v>
      </c>
      <c r="AB326" s="116">
        <f t="shared" si="184"/>
        <v>6470.1900000000096</v>
      </c>
      <c r="AC326" s="116">
        <f t="shared" si="184"/>
        <v>6438.00000000001</v>
      </c>
      <c r="AD326" s="116">
        <f t="shared" si="184"/>
        <v>6405.8100000000104</v>
      </c>
      <c r="AE326" s="116">
        <f t="shared" si="184"/>
        <v>6373.6200000000108</v>
      </c>
      <c r="AF326" s="116">
        <f>AVERAGE(S326:AE326)</f>
        <v>6566.7600000000093</v>
      </c>
      <c r="AG326" s="80"/>
    </row>
    <row r="327" spans="1:33" x14ac:dyDescent="0.3">
      <c r="A327" s="80">
        <v>4</v>
      </c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92"/>
      <c r="X327" s="92"/>
      <c r="Y327" s="92"/>
      <c r="Z327" s="92"/>
      <c r="AA327" s="92"/>
      <c r="AB327" s="92"/>
      <c r="AC327" s="92"/>
      <c r="AD327" s="92"/>
      <c r="AE327" s="92"/>
      <c r="AF327" s="92"/>
      <c r="AG327" s="80"/>
    </row>
    <row r="328" spans="1:33" x14ac:dyDescent="0.3">
      <c r="A328" s="80">
        <v>5</v>
      </c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92"/>
      <c r="X328" s="92"/>
      <c r="Y328" s="92"/>
      <c r="Z328" s="92"/>
      <c r="AA328" s="92"/>
      <c r="AB328" s="92"/>
      <c r="AC328" s="92"/>
      <c r="AD328" s="92"/>
      <c r="AE328" s="92"/>
      <c r="AF328" s="92"/>
      <c r="AG328" s="80"/>
    </row>
    <row r="329" spans="1:33" x14ac:dyDescent="0.3">
      <c r="A329" s="80">
        <v>6</v>
      </c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92"/>
      <c r="X329" s="92"/>
      <c r="Y329" s="92"/>
      <c r="Z329" s="92"/>
      <c r="AA329" s="92"/>
      <c r="AB329" s="92"/>
      <c r="AC329" s="92"/>
      <c r="AD329" s="92"/>
      <c r="AE329" s="92"/>
      <c r="AF329" s="92"/>
      <c r="AG329" s="80"/>
    </row>
    <row r="330" spans="1:33" x14ac:dyDescent="0.3">
      <c r="A330" s="80">
        <v>7</v>
      </c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92"/>
      <c r="X330" s="92"/>
      <c r="Y330" s="92"/>
      <c r="Z330" s="92"/>
      <c r="AA330" s="92"/>
      <c r="AB330" s="92"/>
      <c r="AC330" s="92"/>
      <c r="AD330" s="92"/>
      <c r="AE330" s="92"/>
      <c r="AF330" s="92"/>
      <c r="AG330" s="80"/>
    </row>
    <row r="331" spans="1:33" x14ac:dyDescent="0.3">
      <c r="A331" s="80">
        <v>8</v>
      </c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92"/>
      <c r="X331" s="92"/>
      <c r="Y331" s="92"/>
      <c r="Z331" s="92"/>
      <c r="AA331" s="92"/>
      <c r="AB331" s="92"/>
      <c r="AC331" s="92"/>
      <c r="AD331" s="92"/>
      <c r="AE331" s="92"/>
      <c r="AF331" s="92"/>
      <c r="AG331" s="80"/>
    </row>
    <row r="332" spans="1:33" x14ac:dyDescent="0.3">
      <c r="A332" s="80">
        <v>9</v>
      </c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92"/>
      <c r="X332" s="92"/>
      <c r="Y332" s="92"/>
      <c r="Z332" s="92"/>
      <c r="AA332" s="92"/>
      <c r="AB332" s="92"/>
      <c r="AC332" s="92"/>
      <c r="AD332" s="92"/>
      <c r="AE332" s="92"/>
      <c r="AF332" s="92"/>
      <c r="AG332" s="80"/>
    </row>
    <row r="333" spans="1:33" ht="15" thickBot="1" x14ac:dyDescent="0.35">
      <c r="A333" s="80">
        <v>10</v>
      </c>
      <c r="B333" s="72" t="s">
        <v>94</v>
      </c>
      <c r="D333" s="159">
        <f t="shared" ref="D333:AF333" si="185">SUM(D324:D332)</f>
        <v>7210.56</v>
      </c>
      <c r="E333" s="159">
        <f t="shared" si="185"/>
        <v>7178.3700000000008</v>
      </c>
      <c r="F333" s="159">
        <f t="shared" si="185"/>
        <v>7146.1800000000012</v>
      </c>
      <c r="G333" s="159">
        <f t="shared" si="185"/>
        <v>7113.9900000000016</v>
      </c>
      <c r="H333" s="159">
        <f t="shared" si="185"/>
        <v>7081.800000000002</v>
      </c>
      <c r="I333" s="159">
        <f t="shared" si="185"/>
        <v>7049.6100000000024</v>
      </c>
      <c r="J333" s="159">
        <f t="shared" si="185"/>
        <v>7017.4200000000028</v>
      </c>
      <c r="K333" s="159">
        <f t="shared" si="185"/>
        <v>7017.4200000000028</v>
      </c>
      <c r="L333" s="159">
        <f t="shared" si="185"/>
        <v>6985.2300000000032</v>
      </c>
      <c r="M333" s="159">
        <f t="shared" si="185"/>
        <v>6953.0400000000036</v>
      </c>
      <c r="N333" s="159">
        <f t="shared" si="185"/>
        <v>6920.850000000004</v>
      </c>
      <c r="O333" s="159">
        <f t="shared" si="185"/>
        <v>6888.6600000000044</v>
      </c>
      <c r="P333" s="159">
        <f t="shared" si="185"/>
        <v>6856.4700000000048</v>
      </c>
      <c r="Q333" s="159">
        <f t="shared" si="185"/>
        <v>6824.2800000000052</v>
      </c>
      <c r="R333" s="159">
        <f t="shared" si="185"/>
        <v>6792.0900000000056</v>
      </c>
      <c r="S333" s="159">
        <f t="shared" si="185"/>
        <v>6759.900000000006</v>
      </c>
      <c r="T333" s="159">
        <f t="shared" si="185"/>
        <v>6727.7100000000064</v>
      </c>
      <c r="U333" s="159">
        <f t="shared" si="185"/>
        <v>6695.5200000000068</v>
      </c>
      <c r="V333" s="159">
        <f t="shared" si="185"/>
        <v>6663.3300000000072</v>
      </c>
      <c r="W333" s="159">
        <f t="shared" si="185"/>
        <v>6631.1400000000076</v>
      </c>
      <c r="X333" s="159">
        <f t="shared" si="185"/>
        <v>6598.950000000008</v>
      </c>
      <c r="Y333" s="159">
        <f t="shared" si="185"/>
        <v>6566.7600000000084</v>
      </c>
      <c r="Z333" s="159">
        <f t="shared" si="185"/>
        <v>6534.5700000000088</v>
      </c>
      <c r="AA333" s="159">
        <f t="shared" si="185"/>
        <v>6502.3800000000092</v>
      </c>
      <c r="AB333" s="159">
        <f t="shared" si="185"/>
        <v>6470.1900000000096</v>
      </c>
      <c r="AC333" s="159">
        <f t="shared" si="185"/>
        <v>6438.00000000001</v>
      </c>
      <c r="AD333" s="159">
        <f t="shared" si="185"/>
        <v>6405.8100000000104</v>
      </c>
      <c r="AE333" s="159">
        <f t="shared" si="185"/>
        <v>6373.6200000000108</v>
      </c>
      <c r="AF333" s="159">
        <f t="shared" si="185"/>
        <v>6566.7600000000093</v>
      </c>
      <c r="AG333" s="80"/>
    </row>
    <row r="334" spans="1:33" ht="15" thickTop="1" x14ac:dyDescent="0.3">
      <c r="A334" s="80"/>
      <c r="D334" s="85"/>
      <c r="E334" s="85"/>
      <c r="F334" s="85"/>
      <c r="G334" s="85"/>
      <c r="H334" s="85"/>
      <c r="I334" s="85"/>
      <c r="J334" s="85"/>
      <c r="K334" s="85"/>
      <c r="L334" s="85"/>
      <c r="M334" s="85"/>
      <c r="N334" s="85"/>
      <c r="O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85"/>
      <c r="AC334" s="85"/>
      <c r="AD334" s="85"/>
      <c r="AE334" s="85"/>
      <c r="AF334" s="85"/>
      <c r="AG334" s="80"/>
    </row>
    <row r="335" spans="1:33" x14ac:dyDescent="0.3">
      <c r="A335" s="80"/>
      <c r="AG335" s="80"/>
    </row>
    <row r="336" spans="1:33" x14ac:dyDescent="0.3">
      <c r="A336" s="80"/>
      <c r="AG336" s="80"/>
    </row>
    <row r="337" spans="1:33" x14ac:dyDescent="0.3">
      <c r="A337" s="80"/>
      <c r="AG337" s="80"/>
    </row>
    <row r="338" spans="1:33" x14ac:dyDescent="0.3">
      <c r="A338" s="80"/>
      <c r="AG338" s="80"/>
    </row>
    <row r="339" spans="1:33" x14ac:dyDescent="0.3">
      <c r="A339" s="80"/>
      <c r="AG339" s="80"/>
    </row>
    <row r="340" spans="1:33" x14ac:dyDescent="0.3">
      <c r="A340" s="80"/>
      <c r="AG340" s="80"/>
    </row>
    <row r="341" spans="1:33" x14ac:dyDescent="0.3">
      <c r="A341" s="80"/>
      <c r="AG341" s="80"/>
    </row>
    <row r="342" spans="1:33" x14ac:dyDescent="0.3">
      <c r="A342" s="80"/>
      <c r="AG342" s="80"/>
    </row>
    <row r="343" spans="1:33" x14ac:dyDescent="0.3">
      <c r="A343" s="80"/>
      <c r="AG343" s="80"/>
    </row>
    <row r="344" spans="1:33" x14ac:dyDescent="0.3">
      <c r="A344" s="80"/>
      <c r="AG344" s="80"/>
    </row>
    <row r="345" spans="1:33" x14ac:dyDescent="0.3">
      <c r="A345" s="80"/>
      <c r="AG345" s="80"/>
    </row>
    <row r="346" spans="1:33" x14ac:dyDescent="0.3">
      <c r="A346" s="80"/>
      <c r="AG346" s="80"/>
    </row>
    <row r="347" spans="1:33" x14ac:dyDescent="0.3">
      <c r="A347" s="80"/>
      <c r="AG347" s="80"/>
    </row>
    <row r="348" spans="1:33" x14ac:dyDescent="0.3">
      <c r="A348" s="80"/>
      <c r="AG348" s="80"/>
    </row>
    <row r="349" spans="1:33" x14ac:dyDescent="0.3">
      <c r="A349" s="80"/>
      <c r="AG349" s="80"/>
    </row>
    <row r="350" spans="1:33" x14ac:dyDescent="0.3">
      <c r="A350" s="80"/>
      <c r="AG350" s="80"/>
    </row>
    <row r="351" spans="1:33" x14ac:dyDescent="0.3">
      <c r="A351" s="80"/>
      <c r="AG351" s="80"/>
    </row>
    <row r="352" spans="1:33" x14ac:dyDescent="0.3">
      <c r="A352" s="80"/>
      <c r="AG352" s="80"/>
    </row>
    <row r="353" spans="1:71" x14ac:dyDescent="0.3">
      <c r="A353" s="118" t="s">
        <v>169</v>
      </c>
      <c r="O353" s="119" t="str">
        <f>Linkin!C28</f>
        <v>W/P - 7-5</v>
      </c>
      <c r="AA353" s="119" t="str">
        <f>$O$353</f>
        <v>W/P - 7-5</v>
      </c>
      <c r="AF353" s="119" t="str">
        <f>$O$353</f>
        <v>W/P - 7-5</v>
      </c>
      <c r="AG353" s="80"/>
    </row>
    <row r="354" spans="1:71" x14ac:dyDescent="0.3">
      <c r="A354" s="118" t="s">
        <v>170</v>
      </c>
      <c r="O354" s="119" t="str">
        <f ca="1">RIGHT(CELL("filename",$A$4),LEN(CELL("filename",$A$4))-SEARCH("\Capital",CELL("filename",$A$4),1))</f>
        <v>Capital Structure\[KAWC 2018 Rate Case - Capital Structure.xlsx]Sch J WPs</v>
      </c>
      <c r="AA354" s="119" t="str">
        <f ca="1">RIGHT(CELL("filename",$A$4),LEN(CELL("filename",$A$4))-SEARCH("\Capital",CELL("filename",$A$4),1))</f>
        <v>Capital Structure\[KAWC 2018 Rate Case - Capital Structure.xlsx]Sch J WPs</v>
      </c>
      <c r="AF354" s="119" t="str">
        <f ca="1">RIGHT(CELL("filename",$A$4),LEN(CELL("filename",$A$4))-SEARCH("\Capital",CELL("filename",$A$4),1))</f>
        <v>Capital Structure\[KAWC 2018 Rate Case - Capital Structure.xlsx]Sch J WPs</v>
      </c>
      <c r="AG354" s="80"/>
    </row>
    <row r="355" spans="1:71" x14ac:dyDescent="0.3">
      <c r="AG355" s="80"/>
    </row>
    <row r="356" spans="1:71" x14ac:dyDescent="0.3">
      <c r="A356" s="101" t="s">
        <v>18</v>
      </c>
      <c r="AG356" s="80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</row>
    <row r="357" spans="1:71" x14ac:dyDescent="0.3">
      <c r="A357" s="101" t="s">
        <v>100</v>
      </c>
      <c r="AG357" s="80"/>
    </row>
    <row r="358" spans="1:71" x14ac:dyDescent="0.3">
      <c r="AG358" s="80"/>
    </row>
    <row r="359" spans="1:71" x14ac:dyDescent="0.3">
      <c r="A359" s="140"/>
      <c r="B359" s="140" t="s">
        <v>56</v>
      </c>
      <c r="C359" s="140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  <c r="AA359" s="141"/>
      <c r="AB359" s="141"/>
      <c r="AC359" s="141"/>
      <c r="AD359" s="141"/>
      <c r="AE359" s="141"/>
      <c r="AF359" s="141"/>
      <c r="AG359" s="80"/>
    </row>
    <row r="360" spans="1:71" x14ac:dyDescent="0.3">
      <c r="A360" s="80" t="s">
        <v>22</v>
      </c>
      <c r="B360" s="80" t="s">
        <v>87</v>
      </c>
      <c r="D360" s="80" t="s">
        <v>96</v>
      </c>
      <c r="E360" s="80" t="s">
        <v>96</v>
      </c>
      <c r="F360" s="80" t="s">
        <v>96</v>
      </c>
      <c r="G360" s="80" t="s">
        <v>96</v>
      </c>
      <c r="H360" s="80" t="s">
        <v>96</v>
      </c>
      <c r="I360" s="80" t="s">
        <v>96</v>
      </c>
      <c r="J360" s="80" t="s">
        <v>96</v>
      </c>
      <c r="K360" s="80" t="s">
        <v>96</v>
      </c>
      <c r="L360" s="80" t="s">
        <v>96</v>
      </c>
      <c r="M360" s="80" t="s">
        <v>96</v>
      </c>
      <c r="N360" s="80" t="s">
        <v>96</v>
      </c>
      <c r="O360" s="80" t="s">
        <v>96</v>
      </c>
      <c r="P360" s="80" t="s">
        <v>96</v>
      </c>
      <c r="Q360" s="80" t="s">
        <v>96</v>
      </c>
      <c r="R360" s="80" t="s">
        <v>96</v>
      </c>
      <c r="S360" s="80" t="s">
        <v>96</v>
      </c>
      <c r="T360" s="80" t="s">
        <v>96</v>
      </c>
      <c r="U360" s="80" t="s">
        <v>96</v>
      </c>
      <c r="V360" s="80" t="s">
        <v>96</v>
      </c>
      <c r="W360" s="80" t="s">
        <v>96</v>
      </c>
      <c r="X360" s="80" t="s">
        <v>96</v>
      </c>
      <c r="Y360" s="80" t="s">
        <v>96</v>
      </c>
      <c r="Z360" s="80" t="s">
        <v>96</v>
      </c>
      <c r="AA360" s="80" t="s">
        <v>96</v>
      </c>
      <c r="AB360" s="80" t="s">
        <v>96</v>
      </c>
      <c r="AC360" s="80" t="s">
        <v>96</v>
      </c>
      <c r="AD360" s="80" t="s">
        <v>96</v>
      </c>
      <c r="AE360" s="80" t="s">
        <v>96</v>
      </c>
      <c r="AF360" s="80" t="s">
        <v>97</v>
      </c>
      <c r="AG360" s="80"/>
      <c r="AH360" s="173" t="s">
        <v>135</v>
      </c>
    </row>
    <row r="361" spans="1:71" x14ac:dyDescent="0.3">
      <c r="A361" s="145" t="s">
        <v>27</v>
      </c>
      <c r="B361" s="145" t="s">
        <v>50</v>
      </c>
      <c r="C361" s="145"/>
      <c r="D361" s="146">
        <f>$D$9</f>
        <v>43190</v>
      </c>
      <c r="E361" s="146">
        <f>$E$9</f>
        <v>43220</v>
      </c>
      <c r="F361" s="146">
        <f>$F$9</f>
        <v>43251</v>
      </c>
      <c r="G361" s="146">
        <f>$G$9</f>
        <v>43281</v>
      </c>
      <c r="H361" s="146">
        <f>$H$9</f>
        <v>43312</v>
      </c>
      <c r="I361" s="146">
        <f>$I$9</f>
        <v>43343</v>
      </c>
      <c r="J361" s="146">
        <f>$J$9</f>
        <v>43373</v>
      </c>
      <c r="K361" s="146">
        <f>$K$9</f>
        <v>43404</v>
      </c>
      <c r="L361" s="146">
        <f>$L$9</f>
        <v>43434</v>
      </c>
      <c r="M361" s="146">
        <f>$M$9</f>
        <v>43465</v>
      </c>
      <c r="N361" s="146">
        <f>$N$9</f>
        <v>43496</v>
      </c>
      <c r="O361" s="146">
        <f>$O$9</f>
        <v>43524</v>
      </c>
      <c r="P361" s="146">
        <f>$P$9</f>
        <v>43555</v>
      </c>
      <c r="Q361" s="146">
        <f>$Q$9</f>
        <v>43585</v>
      </c>
      <c r="R361" s="146">
        <f>$R$9</f>
        <v>43616</v>
      </c>
      <c r="S361" s="146">
        <f>$S$9</f>
        <v>43646</v>
      </c>
      <c r="T361" s="146">
        <f>$T$9</f>
        <v>43677</v>
      </c>
      <c r="U361" s="146">
        <f>$U$9</f>
        <v>43708</v>
      </c>
      <c r="V361" s="146">
        <f>$V$9</f>
        <v>43738</v>
      </c>
      <c r="W361" s="146">
        <f>$W$9</f>
        <v>43769</v>
      </c>
      <c r="X361" s="146">
        <f>$X$9</f>
        <v>43799</v>
      </c>
      <c r="Y361" s="146">
        <f>$Y$9</f>
        <v>43830</v>
      </c>
      <c r="Z361" s="146">
        <f>$Z$9</f>
        <v>43861</v>
      </c>
      <c r="AA361" s="146">
        <f>$AA$9</f>
        <v>43890</v>
      </c>
      <c r="AB361" s="146">
        <f>$AB$9</f>
        <v>43921</v>
      </c>
      <c r="AC361" s="146">
        <f>$AC$9</f>
        <v>43951</v>
      </c>
      <c r="AD361" s="146">
        <f>$AD$9</f>
        <v>43982</v>
      </c>
      <c r="AE361" s="146">
        <f>$AE$9</f>
        <v>44012</v>
      </c>
      <c r="AF361" s="147" t="s">
        <v>85</v>
      </c>
      <c r="AG361" s="80"/>
    </row>
    <row r="362" spans="1:71" x14ac:dyDescent="0.3">
      <c r="A362" s="80">
        <v>1</v>
      </c>
      <c r="B362" s="85"/>
      <c r="D362" s="85"/>
      <c r="E362" s="85"/>
      <c r="F362" s="85"/>
      <c r="G362" s="85"/>
      <c r="H362" s="85"/>
      <c r="I362" s="85"/>
      <c r="J362" s="85"/>
      <c r="K362" s="85"/>
      <c r="L362" s="85"/>
      <c r="M362" s="85"/>
      <c r="N362" s="85"/>
      <c r="O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85"/>
      <c r="AC362" s="85"/>
      <c r="AD362" s="85"/>
      <c r="AE362" s="85"/>
      <c r="AF362" s="85"/>
      <c r="AG362" s="80"/>
    </row>
    <row r="363" spans="1:71" x14ac:dyDescent="0.3">
      <c r="A363" s="80">
        <v>2</v>
      </c>
      <c r="AG363" s="80"/>
    </row>
    <row r="364" spans="1:71" x14ac:dyDescent="0.3">
      <c r="A364" s="80">
        <v>3</v>
      </c>
      <c r="B364" s="72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0"/>
    </row>
    <row r="365" spans="1:71" x14ac:dyDescent="0.3">
      <c r="A365" s="80">
        <v>4</v>
      </c>
      <c r="D365" s="122"/>
      <c r="P365" s="122"/>
      <c r="AF365" s="121"/>
      <c r="AG365" s="80"/>
    </row>
    <row r="366" spans="1:71" x14ac:dyDescent="0.3">
      <c r="A366" s="80">
        <v>5</v>
      </c>
      <c r="B366" s="72" t="str">
        <f>B290</f>
        <v>8.47% Series, $100 Par</v>
      </c>
      <c r="D366" s="116">
        <v>32.19</v>
      </c>
      <c r="E366" s="116">
        <f t="shared" ref="E366:Z366" si="186">D366</f>
        <v>32.19</v>
      </c>
      <c r="F366" s="116">
        <f t="shared" si="186"/>
        <v>32.19</v>
      </c>
      <c r="G366" s="116">
        <f t="shared" si="186"/>
        <v>32.19</v>
      </c>
      <c r="H366" s="116">
        <f t="shared" si="186"/>
        <v>32.19</v>
      </c>
      <c r="I366" s="116">
        <f t="shared" si="186"/>
        <v>32.19</v>
      </c>
      <c r="J366" s="116">
        <f t="shared" si="186"/>
        <v>32.19</v>
      </c>
      <c r="K366" s="116">
        <f t="shared" si="186"/>
        <v>32.19</v>
      </c>
      <c r="L366" s="116">
        <f t="shared" ref="L366" si="187">K366</f>
        <v>32.19</v>
      </c>
      <c r="M366" s="116">
        <f t="shared" ref="M366" si="188">L366</f>
        <v>32.19</v>
      </c>
      <c r="N366" s="116">
        <f t="shared" ref="N366" si="189">M366</f>
        <v>32.19</v>
      </c>
      <c r="O366" s="116">
        <f t="shared" ref="O366" si="190">N366</f>
        <v>32.19</v>
      </c>
      <c r="P366" s="116">
        <f t="shared" si="186"/>
        <v>32.19</v>
      </c>
      <c r="Q366" s="116">
        <f t="shared" si="186"/>
        <v>32.19</v>
      </c>
      <c r="R366" s="116">
        <f t="shared" si="186"/>
        <v>32.19</v>
      </c>
      <c r="S366" s="116">
        <f t="shared" si="186"/>
        <v>32.19</v>
      </c>
      <c r="T366" s="116">
        <f t="shared" si="186"/>
        <v>32.19</v>
      </c>
      <c r="U366" s="116">
        <f t="shared" si="186"/>
        <v>32.19</v>
      </c>
      <c r="V366" s="116">
        <f t="shared" si="186"/>
        <v>32.19</v>
      </c>
      <c r="W366" s="116">
        <f t="shared" si="186"/>
        <v>32.19</v>
      </c>
      <c r="X366" s="116">
        <f t="shared" si="186"/>
        <v>32.19</v>
      </c>
      <c r="Y366" s="116">
        <f t="shared" si="186"/>
        <v>32.19</v>
      </c>
      <c r="Z366" s="116">
        <f t="shared" si="186"/>
        <v>32.19</v>
      </c>
      <c r="AA366" s="116">
        <f t="shared" ref="AA366" si="191">Z366</f>
        <v>32.19</v>
      </c>
      <c r="AB366" s="116">
        <f t="shared" ref="AB366" si="192">AA366</f>
        <v>32.19</v>
      </c>
      <c r="AC366" s="116">
        <f t="shared" ref="AC366" si="193">AB366</f>
        <v>32.19</v>
      </c>
      <c r="AD366" s="116">
        <f t="shared" ref="AD366" si="194">AC366</f>
        <v>32.19</v>
      </c>
      <c r="AE366" s="116">
        <f t="shared" ref="AE366" si="195">AD366</f>
        <v>32.19</v>
      </c>
      <c r="AF366" s="116">
        <f>SUM(T366:AE366)</f>
        <v>386.28</v>
      </c>
      <c r="AG366" s="80"/>
    </row>
    <row r="367" spans="1:71" x14ac:dyDescent="0.3">
      <c r="A367" s="80">
        <v>6</v>
      </c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92"/>
      <c r="X367" s="92"/>
      <c r="Y367" s="92"/>
      <c r="Z367" s="92"/>
      <c r="AA367" s="92"/>
      <c r="AB367" s="92"/>
      <c r="AC367" s="92"/>
      <c r="AD367" s="92"/>
      <c r="AE367" s="92"/>
      <c r="AF367" s="92"/>
      <c r="AG367" s="80"/>
    </row>
    <row r="368" spans="1:71" x14ac:dyDescent="0.3">
      <c r="A368" s="80">
        <v>7</v>
      </c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80"/>
    </row>
    <row r="369" spans="1:33" x14ac:dyDescent="0.3">
      <c r="A369" s="80">
        <v>8</v>
      </c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92"/>
      <c r="X369" s="92"/>
      <c r="Y369" s="92"/>
      <c r="Z369" s="92"/>
      <c r="AA369" s="92"/>
      <c r="AB369" s="92"/>
      <c r="AC369" s="92"/>
      <c r="AD369" s="92"/>
      <c r="AE369" s="92"/>
      <c r="AF369" s="92"/>
      <c r="AG369" s="80"/>
    </row>
    <row r="370" spans="1:33" x14ac:dyDescent="0.3">
      <c r="A370" s="80">
        <v>9</v>
      </c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92"/>
      <c r="X370" s="92"/>
      <c r="Y370" s="92"/>
      <c r="Z370" s="92"/>
      <c r="AA370" s="92"/>
      <c r="AB370" s="92"/>
      <c r="AC370" s="92"/>
      <c r="AD370" s="92"/>
      <c r="AE370" s="92"/>
      <c r="AF370" s="92"/>
      <c r="AG370" s="80"/>
    </row>
    <row r="371" spans="1:33" ht="15" thickBot="1" x14ac:dyDescent="0.35">
      <c r="A371" s="80">
        <v>10</v>
      </c>
      <c r="B371" s="72" t="s">
        <v>94</v>
      </c>
      <c r="D371" s="159">
        <f t="shared" ref="D371:AE371" si="196">SUM(D364:D370)</f>
        <v>32.19</v>
      </c>
      <c r="E371" s="159">
        <f t="shared" si="196"/>
        <v>32.19</v>
      </c>
      <c r="F371" s="159">
        <f t="shared" si="196"/>
        <v>32.19</v>
      </c>
      <c r="G371" s="159">
        <f t="shared" si="196"/>
        <v>32.19</v>
      </c>
      <c r="H371" s="159">
        <f t="shared" si="196"/>
        <v>32.19</v>
      </c>
      <c r="I371" s="159">
        <f t="shared" si="196"/>
        <v>32.19</v>
      </c>
      <c r="J371" s="159">
        <f t="shared" si="196"/>
        <v>32.19</v>
      </c>
      <c r="K371" s="159">
        <f t="shared" si="196"/>
        <v>32.19</v>
      </c>
      <c r="L371" s="159">
        <f t="shared" si="196"/>
        <v>32.19</v>
      </c>
      <c r="M371" s="159">
        <f t="shared" si="196"/>
        <v>32.19</v>
      </c>
      <c r="N371" s="159">
        <f t="shared" si="196"/>
        <v>32.19</v>
      </c>
      <c r="O371" s="159">
        <f t="shared" si="196"/>
        <v>32.19</v>
      </c>
      <c r="P371" s="159">
        <f t="shared" si="196"/>
        <v>32.19</v>
      </c>
      <c r="Q371" s="159">
        <f t="shared" si="196"/>
        <v>32.19</v>
      </c>
      <c r="R371" s="159">
        <f t="shared" si="196"/>
        <v>32.19</v>
      </c>
      <c r="S371" s="159">
        <f t="shared" si="196"/>
        <v>32.19</v>
      </c>
      <c r="T371" s="159">
        <f t="shared" si="196"/>
        <v>32.19</v>
      </c>
      <c r="U371" s="159">
        <f t="shared" si="196"/>
        <v>32.19</v>
      </c>
      <c r="V371" s="159">
        <f t="shared" si="196"/>
        <v>32.19</v>
      </c>
      <c r="W371" s="159">
        <f t="shared" si="196"/>
        <v>32.19</v>
      </c>
      <c r="X371" s="159">
        <f t="shared" si="196"/>
        <v>32.19</v>
      </c>
      <c r="Y371" s="159">
        <f t="shared" si="196"/>
        <v>32.19</v>
      </c>
      <c r="Z371" s="159">
        <f t="shared" si="196"/>
        <v>32.19</v>
      </c>
      <c r="AA371" s="159">
        <f t="shared" si="196"/>
        <v>32.19</v>
      </c>
      <c r="AB371" s="159">
        <f t="shared" si="196"/>
        <v>32.19</v>
      </c>
      <c r="AC371" s="159">
        <f t="shared" si="196"/>
        <v>32.19</v>
      </c>
      <c r="AD371" s="159">
        <f t="shared" si="196"/>
        <v>32.19</v>
      </c>
      <c r="AE371" s="159">
        <f t="shared" si="196"/>
        <v>32.19</v>
      </c>
      <c r="AF371" s="159">
        <f>SUM(AF364:AF370)</f>
        <v>386.28</v>
      </c>
      <c r="AG371" s="80"/>
    </row>
    <row r="372" spans="1:33" ht="15" thickTop="1" x14ac:dyDescent="0.3">
      <c r="A372" s="80"/>
      <c r="D372" s="85"/>
      <c r="E372" s="85"/>
      <c r="F372" s="85"/>
      <c r="G372" s="85"/>
      <c r="H372" s="85"/>
      <c r="I372" s="85"/>
      <c r="J372" s="85"/>
      <c r="K372" s="85"/>
      <c r="L372" s="85"/>
      <c r="M372" s="85"/>
      <c r="N372" s="85"/>
      <c r="O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85"/>
      <c r="AC372" s="85"/>
      <c r="AD372" s="85"/>
      <c r="AE372" s="85"/>
      <c r="AF372" s="85"/>
      <c r="AG372" s="80"/>
    </row>
    <row r="373" spans="1:33" x14ac:dyDescent="0.3">
      <c r="A373" s="80"/>
      <c r="AG373" s="80"/>
    </row>
    <row r="374" spans="1:33" x14ac:dyDescent="0.3">
      <c r="A374" s="80"/>
      <c r="AG374" s="80"/>
    </row>
    <row r="375" spans="1:33" x14ac:dyDescent="0.3">
      <c r="A375" s="80"/>
      <c r="AG375" s="80"/>
    </row>
    <row r="376" spans="1:33" x14ac:dyDescent="0.3">
      <c r="A376" s="80"/>
      <c r="AG376" s="80"/>
    </row>
    <row r="377" spans="1:33" x14ac:dyDescent="0.3">
      <c r="A377" s="80"/>
      <c r="AG377" s="80"/>
    </row>
    <row r="378" spans="1:33" x14ac:dyDescent="0.3">
      <c r="A378" s="80"/>
      <c r="AG378" s="80"/>
    </row>
    <row r="379" spans="1:33" x14ac:dyDescent="0.3">
      <c r="A379" s="80"/>
      <c r="AG379" s="80"/>
    </row>
    <row r="380" spans="1:33" x14ac:dyDescent="0.3">
      <c r="A380" s="80"/>
      <c r="AG380" s="80"/>
    </row>
    <row r="381" spans="1:33" x14ac:dyDescent="0.3">
      <c r="A381" s="80"/>
      <c r="AG381" s="80"/>
    </row>
    <row r="382" spans="1:33" x14ac:dyDescent="0.3">
      <c r="A382" s="80"/>
      <c r="AG382" s="80"/>
    </row>
    <row r="383" spans="1:33" x14ac:dyDescent="0.3">
      <c r="A383" s="80"/>
      <c r="AG383" s="80"/>
    </row>
    <row r="384" spans="1:33" x14ac:dyDescent="0.3">
      <c r="A384" s="80"/>
      <c r="AG384" s="80"/>
    </row>
    <row r="385" spans="1:71" x14ac:dyDescent="0.3">
      <c r="A385" s="80"/>
      <c r="AG385" s="80"/>
    </row>
    <row r="386" spans="1:71" x14ac:dyDescent="0.3">
      <c r="A386" s="80"/>
      <c r="AG386" s="80"/>
    </row>
    <row r="387" spans="1:71" x14ac:dyDescent="0.3">
      <c r="A387" s="80"/>
      <c r="AG387" s="80"/>
    </row>
    <row r="388" spans="1:71" x14ac:dyDescent="0.3">
      <c r="A388" s="80"/>
      <c r="AG388" s="80"/>
    </row>
    <row r="389" spans="1:71" x14ac:dyDescent="0.3">
      <c r="A389" s="80"/>
      <c r="AG389" s="80"/>
    </row>
    <row r="390" spans="1:71" x14ac:dyDescent="0.3">
      <c r="A390" s="80"/>
      <c r="AG390" s="80"/>
    </row>
    <row r="391" spans="1:71" x14ac:dyDescent="0.3">
      <c r="A391" s="118" t="s">
        <v>169</v>
      </c>
      <c r="O391" s="119" t="str">
        <f>Linkin!C28</f>
        <v>W/P - 7-5</v>
      </c>
      <c r="AA391" s="119" t="str">
        <f>$O$391</f>
        <v>W/P - 7-5</v>
      </c>
      <c r="AF391" s="119" t="str">
        <f>$O$391</f>
        <v>W/P - 7-5</v>
      </c>
      <c r="AG391" s="80"/>
    </row>
    <row r="392" spans="1:71" x14ac:dyDescent="0.3">
      <c r="A392" s="118" t="s">
        <v>170</v>
      </c>
      <c r="O392" s="119" t="str">
        <f ca="1">RIGHT(CELL("filename",$A$4),LEN(CELL("filename",$A$4))-SEARCH("\Capital",CELL("filename",$A$4),1))</f>
        <v>Capital Structure\[KAWC 2018 Rate Case - Capital Structure.xlsx]Sch J WPs</v>
      </c>
      <c r="AA392" s="119" t="str">
        <f ca="1">RIGHT(CELL("filename",$A$4),LEN(CELL("filename",$A$4))-SEARCH("\Capital",CELL("filename",$A$4),1))</f>
        <v>Capital Structure\[KAWC 2018 Rate Case - Capital Structure.xlsx]Sch J WPs</v>
      </c>
      <c r="AF392" s="119" t="str">
        <f ca="1">RIGHT(CELL("filename",$A$4),LEN(CELL("filename",$A$4))-SEARCH("\Capital",CELL("filename",$A$4),1))</f>
        <v>Capital Structure\[KAWC 2018 Rate Case - Capital Structure.xlsx]Sch J WPs</v>
      </c>
      <c r="AG392" s="80"/>
    </row>
    <row r="393" spans="1:71" x14ac:dyDescent="0.3">
      <c r="A393" s="80"/>
      <c r="AG393" s="80"/>
    </row>
    <row r="394" spans="1:71" x14ac:dyDescent="0.3">
      <c r="A394" s="101" t="s">
        <v>18</v>
      </c>
      <c r="AG394" s="80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</row>
    <row r="395" spans="1:71" x14ac:dyDescent="0.3">
      <c r="A395" s="101" t="s">
        <v>101</v>
      </c>
      <c r="AG395" s="80"/>
    </row>
    <row r="396" spans="1:71" x14ac:dyDescent="0.3">
      <c r="AG396" s="80"/>
      <c r="AH396" s="173" t="s">
        <v>134</v>
      </c>
    </row>
    <row r="397" spans="1:71" x14ac:dyDescent="0.3">
      <c r="A397" s="140"/>
      <c r="B397" s="140" t="s">
        <v>56</v>
      </c>
      <c r="C397" s="140"/>
      <c r="D397" s="141"/>
      <c r="E397" s="141"/>
      <c r="F397" s="141"/>
      <c r="G397" s="141"/>
      <c r="H397" s="141"/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  <c r="V397" s="141"/>
      <c r="W397" s="141"/>
      <c r="X397" s="141"/>
      <c r="Y397" s="141"/>
      <c r="Z397" s="141"/>
      <c r="AA397" s="141"/>
      <c r="AB397" s="141"/>
      <c r="AC397" s="141"/>
      <c r="AD397" s="141"/>
      <c r="AE397" s="141"/>
      <c r="AF397" s="141"/>
      <c r="AG397" s="80"/>
    </row>
    <row r="398" spans="1:71" x14ac:dyDescent="0.3">
      <c r="A398" s="80" t="s">
        <v>22</v>
      </c>
      <c r="B398" s="80" t="s">
        <v>87</v>
      </c>
      <c r="D398" s="80" t="s">
        <v>96</v>
      </c>
      <c r="E398" s="80" t="s">
        <v>96</v>
      </c>
      <c r="F398" s="80" t="s">
        <v>96</v>
      </c>
      <c r="G398" s="80" t="s">
        <v>96</v>
      </c>
      <c r="H398" s="80" t="s">
        <v>96</v>
      </c>
      <c r="I398" s="80" t="s">
        <v>96</v>
      </c>
      <c r="J398" s="80" t="s">
        <v>96</v>
      </c>
      <c r="K398" s="80" t="s">
        <v>96</v>
      </c>
      <c r="L398" s="80" t="s">
        <v>96</v>
      </c>
      <c r="M398" s="80" t="s">
        <v>96</v>
      </c>
      <c r="N398" s="80" t="s">
        <v>96</v>
      </c>
      <c r="O398" s="80" t="s">
        <v>96</v>
      </c>
      <c r="P398" s="80" t="s">
        <v>96</v>
      </c>
      <c r="Q398" s="80" t="s">
        <v>96</v>
      </c>
      <c r="R398" s="80" t="s">
        <v>96</v>
      </c>
      <c r="S398" s="80" t="s">
        <v>96</v>
      </c>
      <c r="T398" s="80" t="s">
        <v>96</v>
      </c>
      <c r="U398" s="80" t="s">
        <v>96</v>
      </c>
      <c r="V398" s="80" t="s">
        <v>96</v>
      </c>
      <c r="W398" s="80" t="s">
        <v>96</v>
      </c>
      <c r="X398" s="80" t="s">
        <v>96</v>
      </c>
      <c r="Y398" s="80" t="s">
        <v>96</v>
      </c>
      <c r="Z398" s="80" t="s">
        <v>96</v>
      </c>
      <c r="AA398" s="80" t="s">
        <v>96</v>
      </c>
      <c r="AB398" s="80" t="s">
        <v>96</v>
      </c>
      <c r="AC398" s="80" t="s">
        <v>96</v>
      </c>
      <c r="AD398" s="80" t="s">
        <v>96</v>
      </c>
      <c r="AE398" s="80" t="s">
        <v>96</v>
      </c>
      <c r="AF398" s="80" t="s">
        <v>97</v>
      </c>
      <c r="AG398" s="80"/>
      <c r="AH398" s="116"/>
    </row>
    <row r="399" spans="1:71" x14ac:dyDescent="0.3">
      <c r="A399" s="145" t="s">
        <v>27</v>
      </c>
      <c r="B399" s="145" t="s">
        <v>50</v>
      </c>
      <c r="C399" s="145"/>
      <c r="D399" s="146">
        <f>$D$9</f>
        <v>43190</v>
      </c>
      <c r="E399" s="146">
        <f>$E$9</f>
        <v>43220</v>
      </c>
      <c r="F399" s="146">
        <f>$F$9</f>
        <v>43251</v>
      </c>
      <c r="G399" s="146">
        <f>$G$9</f>
        <v>43281</v>
      </c>
      <c r="H399" s="146">
        <f>$H$9</f>
        <v>43312</v>
      </c>
      <c r="I399" s="146">
        <f>$I$9</f>
        <v>43343</v>
      </c>
      <c r="J399" s="146">
        <f>$J$9</f>
        <v>43373</v>
      </c>
      <c r="K399" s="146">
        <f>$K$9</f>
        <v>43404</v>
      </c>
      <c r="L399" s="146">
        <f>$L$9</f>
        <v>43434</v>
      </c>
      <c r="M399" s="146">
        <f>$M$9</f>
        <v>43465</v>
      </c>
      <c r="N399" s="146">
        <f>$N$9</f>
        <v>43496</v>
      </c>
      <c r="O399" s="146">
        <f>$O$9</f>
        <v>43524</v>
      </c>
      <c r="P399" s="146">
        <f>$P$9</f>
        <v>43555</v>
      </c>
      <c r="Q399" s="146">
        <f>$Q$9</f>
        <v>43585</v>
      </c>
      <c r="R399" s="146">
        <f>$R$9</f>
        <v>43616</v>
      </c>
      <c r="S399" s="146">
        <f>$S$9</f>
        <v>43646</v>
      </c>
      <c r="T399" s="146">
        <f>$T$9</f>
        <v>43677</v>
      </c>
      <c r="U399" s="146">
        <f>$U$9</f>
        <v>43708</v>
      </c>
      <c r="V399" s="146">
        <f>$V$9</f>
        <v>43738</v>
      </c>
      <c r="W399" s="146">
        <f>$W$9</f>
        <v>43769</v>
      </c>
      <c r="X399" s="146">
        <f>$X$9</f>
        <v>43799</v>
      </c>
      <c r="Y399" s="146">
        <f>$Y$9</f>
        <v>43830</v>
      </c>
      <c r="Z399" s="146">
        <f>$Z$9</f>
        <v>43861</v>
      </c>
      <c r="AA399" s="146">
        <f>$AA$9</f>
        <v>43890</v>
      </c>
      <c r="AB399" s="146">
        <f>$AB$9</f>
        <v>43921</v>
      </c>
      <c r="AC399" s="146">
        <f>$AC$9</f>
        <v>43951</v>
      </c>
      <c r="AD399" s="146">
        <f>$AD$9</f>
        <v>43982</v>
      </c>
      <c r="AE399" s="146">
        <f>$AE$9</f>
        <v>44012</v>
      </c>
      <c r="AF399" s="147" t="s">
        <v>85</v>
      </c>
      <c r="AG399" s="80"/>
    </row>
    <row r="400" spans="1:71" x14ac:dyDescent="0.3">
      <c r="A400" s="80">
        <v>1</v>
      </c>
      <c r="B400" s="85"/>
      <c r="D400" s="85"/>
      <c r="E400" s="85"/>
      <c r="F400" s="85"/>
      <c r="G400" s="85"/>
      <c r="H400" s="85"/>
      <c r="I400" s="85"/>
      <c r="J400" s="85"/>
      <c r="K400" s="85"/>
      <c r="L400" s="85"/>
      <c r="M400" s="85"/>
      <c r="N400" s="85"/>
      <c r="O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85"/>
      <c r="AC400" s="85"/>
      <c r="AD400" s="85"/>
      <c r="AE400" s="85"/>
      <c r="AF400" s="85"/>
      <c r="AG400" s="80"/>
    </row>
    <row r="401" spans="1:33" x14ac:dyDescent="0.3">
      <c r="A401" s="80">
        <v>2</v>
      </c>
      <c r="AG401" s="80"/>
    </row>
    <row r="402" spans="1:33" x14ac:dyDescent="0.3">
      <c r="A402" s="80">
        <v>3</v>
      </c>
      <c r="B402" s="72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163"/>
      <c r="AG402" s="80"/>
    </row>
    <row r="403" spans="1:33" x14ac:dyDescent="0.3">
      <c r="A403" s="80">
        <v>4</v>
      </c>
      <c r="AG403" s="80"/>
    </row>
    <row r="404" spans="1:33" x14ac:dyDescent="0.3">
      <c r="A404" s="80">
        <v>5</v>
      </c>
      <c r="B404" s="72" t="str">
        <f>B290</f>
        <v>8.47% Series, $100 Par</v>
      </c>
      <c r="D404" s="116">
        <f t="shared" ref="D404:AE404" si="197">ROUND(+D290/12*$C$290,4)</f>
        <v>15881.25</v>
      </c>
      <c r="E404" s="116">
        <f t="shared" si="197"/>
        <v>15881.25</v>
      </c>
      <c r="F404" s="116">
        <f t="shared" si="197"/>
        <v>15881.25</v>
      </c>
      <c r="G404" s="116">
        <f t="shared" si="197"/>
        <v>15881.25</v>
      </c>
      <c r="H404" s="116">
        <f t="shared" si="197"/>
        <v>15881.25</v>
      </c>
      <c r="I404" s="116">
        <f t="shared" si="197"/>
        <v>15881.25</v>
      </c>
      <c r="J404" s="116">
        <f t="shared" si="197"/>
        <v>15881.25</v>
      </c>
      <c r="K404" s="116">
        <f t="shared" si="197"/>
        <v>15881.25</v>
      </c>
      <c r="L404" s="116">
        <f t="shared" si="197"/>
        <v>15881.25</v>
      </c>
      <c r="M404" s="116">
        <f t="shared" si="197"/>
        <v>15881.25</v>
      </c>
      <c r="N404" s="116">
        <f t="shared" si="197"/>
        <v>15881.25</v>
      </c>
      <c r="O404" s="116">
        <f t="shared" si="197"/>
        <v>15881.25</v>
      </c>
      <c r="P404" s="116">
        <f t="shared" si="197"/>
        <v>15881.25</v>
      </c>
      <c r="Q404" s="116">
        <f t="shared" si="197"/>
        <v>15881.25</v>
      </c>
      <c r="R404" s="116">
        <f t="shared" si="197"/>
        <v>15881.25</v>
      </c>
      <c r="S404" s="116">
        <f t="shared" si="197"/>
        <v>15881.25</v>
      </c>
      <c r="T404" s="116">
        <f t="shared" si="197"/>
        <v>15881.25</v>
      </c>
      <c r="U404" s="116">
        <f t="shared" si="197"/>
        <v>15881.25</v>
      </c>
      <c r="V404" s="116">
        <f t="shared" si="197"/>
        <v>15881.25</v>
      </c>
      <c r="W404" s="116">
        <f t="shared" si="197"/>
        <v>15881.25</v>
      </c>
      <c r="X404" s="116">
        <f t="shared" si="197"/>
        <v>15881.25</v>
      </c>
      <c r="Y404" s="116">
        <f t="shared" si="197"/>
        <v>15881.25</v>
      </c>
      <c r="Z404" s="116">
        <f t="shared" si="197"/>
        <v>15881.25</v>
      </c>
      <c r="AA404" s="116">
        <f t="shared" si="197"/>
        <v>15881.25</v>
      </c>
      <c r="AB404" s="116">
        <f t="shared" si="197"/>
        <v>15881.25</v>
      </c>
      <c r="AC404" s="116">
        <f t="shared" si="197"/>
        <v>15881.25</v>
      </c>
      <c r="AD404" s="116">
        <f t="shared" si="197"/>
        <v>15881.25</v>
      </c>
      <c r="AE404" s="116">
        <f t="shared" si="197"/>
        <v>15881.25</v>
      </c>
      <c r="AF404" s="116">
        <f>SUM(T404:AE404)</f>
        <v>190575</v>
      </c>
      <c r="AG404" s="80"/>
    </row>
    <row r="405" spans="1:33" x14ac:dyDescent="0.3">
      <c r="A405" s="80">
        <v>6</v>
      </c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92"/>
      <c r="X405" s="92"/>
      <c r="Y405" s="92"/>
      <c r="Z405" s="92"/>
      <c r="AA405" s="92"/>
      <c r="AB405" s="92"/>
      <c r="AC405" s="92"/>
      <c r="AD405" s="92"/>
      <c r="AE405" s="92"/>
      <c r="AF405" s="92"/>
      <c r="AG405" s="80"/>
    </row>
    <row r="406" spans="1:33" x14ac:dyDescent="0.3">
      <c r="A406" s="80">
        <v>7</v>
      </c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92"/>
      <c r="X406" s="92"/>
      <c r="Y406" s="92"/>
      <c r="Z406" s="92"/>
      <c r="AA406" s="92"/>
      <c r="AB406" s="92"/>
      <c r="AC406" s="92"/>
      <c r="AD406" s="92"/>
      <c r="AE406" s="92"/>
      <c r="AF406" s="92"/>
      <c r="AG406" s="80"/>
    </row>
    <row r="407" spans="1:33" x14ac:dyDescent="0.3">
      <c r="A407" s="80">
        <v>8</v>
      </c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92"/>
      <c r="X407" s="92"/>
      <c r="Y407" s="92"/>
      <c r="Z407" s="92"/>
      <c r="AA407" s="92"/>
      <c r="AB407" s="92"/>
      <c r="AC407" s="92"/>
      <c r="AD407" s="92"/>
      <c r="AE407" s="92"/>
      <c r="AF407" s="92"/>
      <c r="AG407" s="80"/>
    </row>
    <row r="408" spans="1:33" x14ac:dyDescent="0.3">
      <c r="A408" s="80">
        <v>9</v>
      </c>
      <c r="P408" s="67"/>
      <c r="AG408" s="80"/>
    </row>
    <row r="409" spans="1:33" ht="15" thickBot="1" x14ac:dyDescent="0.35">
      <c r="A409" s="80">
        <v>10</v>
      </c>
      <c r="B409" s="72" t="s">
        <v>94</v>
      </c>
      <c r="D409" s="159">
        <f t="shared" ref="D409:AE409" si="198">SUM(D402:D408)</f>
        <v>15881.25</v>
      </c>
      <c r="E409" s="159">
        <f t="shared" si="198"/>
        <v>15881.25</v>
      </c>
      <c r="F409" s="159">
        <f t="shared" si="198"/>
        <v>15881.25</v>
      </c>
      <c r="G409" s="159">
        <f t="shared" si="198"/>
        <v>15881.25</v>
      </c>
      <c r="H409" s="159">
        <f t="shared" si="198"/>
        <v>15881.25</v>
      </c>
      <c r="I409" s="159">
        <f t="shared" si="198"/>
        <v>15881.25</v>
      </c>
      <c r="J409" s="159">
        <f t="shared" si="198"/>
        <v>15881.25</v>
      </c>
      <c r="K409" s="159">
        <f t="shared" si="198"/>
        <v>15881.25</v>
      </c>
      <c r="L409" s="159">
        <f t="shared" si="198"/>
        <v>15881.25</v>
      </c>
      <c r="M409" s="159">
        <f t="shared" si="198"/>
        <v>15881.25</v>
      </c>
      <c r="N409" s="159">
        <f t="shared" si="198"/>
        <v>15881.25</v>
      </c>
      <c r="O409" s="159">
        <f t="shared" si="198"/>
        <v>15881.25</v>
      </c>
      <c r="P409" s="159">
        <f t="shared" si="198"/>
        <v>15881.25</v>
      </c>
      <c r="Q409" s="159">
        <f t="shared" si="198"/>
        <v>15881.25</v>
      </c>
      <c r="R409" s="159">
        <f t="shared" si="198"/>
        <v>15881.25</v>
      </c>
      <c r="S409" s="159">
        <f t="shared" si="198"/>
        <v>15881.25</v>
      </c>
      <c r="T409" s="159">
        <f t="shared" si="198"/>
        <v>15881.25</v>
      </c>
      <c r="U409" s="159">
        <f t="shared" si="198"/>
        <v>15881.25</v>
      </c>
      <c r="V409" s="159">
        <f t="shared" si="198"/>
        <v>15881.25</v>
      </c>
      <c r="W409" s="159">
        <f t="shared" si="198"/>
        <v>15881.25</v>
      </c>
      <c r="X409" s="159">
        <f t="shared" si="198"/>
        <v>15881.25</v>
      </c>
      <c r="Y409" s="159">
        <f t="shared" si="198"/>
        <v>15881.25</v>
      </c>
      <c r="Z409" s="159">
        <f t="shared" si="198"/>
        <v>15881.25</v>
      </c>
      <c r="AA409" s="159">
        <f t="shared" si="198"/>
        <v>15881.25</v>
      </c>
      <c r="AB409" s="159">
        <f t="shared" si="198"/>
        <v>15881.25</v>
      </c>
      <c r="AC409" s="159">
        <f t="shared" si="198"/>
        <v>15881.25</v>
      </c>
      <c r="AD409" s="159">
        <f t="shared" si="198"/>
        <v>15881.25</v>
      </c>
      <c r="AE409" s="159">
        <f t="shared" si="198"/>
        <v>15881.25</v>
      </c>
      <c r="AF409" s="159">
        <f>SUM(AF402:AF408)</f>
        <v>190575</v>
      </c>
      <c r="AG409" s="80"/>
    </row>
    <row r="410" spans="1:33" ht="15" thickTop="1" x14ac:dyDescent="0.3">
      <c r="A410" s="80"/>
      <c r="D410" s="85"/>
      <c r="E410" s="85"/>
      <c r="F410" s="85"/>
      <c r="G410" s="85"/>
      <c r="H410" s="85"/>
      <c r="I410" s="85"/>
      <c r="J410" s="85"/>
      <c r="K410" s="85"/>
      <c r="L410" s="85"/>
      <c r="M410" s="85"/>
      <c r="N410" s="85"/>
      <c r="O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85"/>
      <c r="AC410" s="85"/>
      <c r="AD410" s="85"/>
      <c r="AE410" s="85"/>
      <c r="AF410" s="85"/>
      <c r="AG410" s="80"/>
    </row>
    <row r="411" spans="1:33" x14ac:dyDescent="0.3">
      <c r="A411" s="80"/>
      <c r="AG411" s="80"/>
    </row>
    <row r="412" spans="1:33" x14ac:dyDescent="0.3">
      <c r="A412" s="80"/>
      <c r="AG412" s="80"/>
    </row>
    <row r="413" spans="1:33" x14ac:dyDescent="0.3">
      <c r="A413" s="80"/>
      <c r="D413" s="92"/>
      <c r="AG413" s="80"/>
    </row>
    <row r="414" spans="1:33" x14ac:dyDescent="0.3">
      <c r="A414" s="80"/>
      <c r="AG414" s="80"/>
    </row>
    <row r="415" spans="1:33" x14ac:dyDescent="0.3">
      <c r="A415" s="80"/>
      <c r="AG415" s="80"/>
    </row>
    <row r="416" spans="1:33" x14ac:dyDescent="0.3">
      <c r="A416" s="80"/>
      <c r="AG416" s="80"/>
    </row>
    <row r="417" spans="1:71" x14ac:dyDescent="0.3">
      <c r="A417" s="80"/>
      <c r="AG417" s="80"/>
    </row>
    <row r="418" spans="1:71" x14ac:dyDescent="0.3">
      <c r="A418" s="80"/>
      <c r="AG418" s="80"/>
    </row>
    <row r="419" spans="1:71" x14ac:dyDescent="0.3">
      <c r="A419" s="80"/>
      <c r="AG419" s="80"/>
    </row>
    <row r="420" spans="1:71" x14ac:dyDescent="0.3">
      <c r="A420" s="80"/>
      <c r="AG420" s="80"/>
    </row>
    <row r="421" spans="1:71" x14ac:dyDescent="0.3">
      <c r="A421" s="80"/>
      <c r="AG421" s="80"/>
    </row>
    <row r="422" spans="1:71" x14ac:dyDescent="0.3">
      <c r="A422" s="80"/>
      <c r="AG422" s="80"/>
    </row>
    <row r="423" spans="1:71" x14ac:dyDescent="0.3">
      <c r="A423" s="80"/>
      <c r="AG423" s="80"/>
    </row>
    <row r="424" spans="1:71" x14ac:dyDescent="0.3">
      <c r="A424" s="80"/>
      <c r="AG424" s="80"/>
    </row>
    <row r="425" spans="1:71" x14ac:dyDescent="0.3">
      <c r="A425" s="80"/>
      <c r="AG425" s="80"/>
    </row>
    <row r="426" spans="1:71" x14ac:dyDescent="0.3">
      <c r="A426" s="80"/>
      <c r="AG426" s="80"/>
    </row>
    <row r="427" spans="1:71" x14ac:dyDescent="0.3">
      <c r="A427" s="80"/>
      <c r="AG427" s="80"/>
    </row>
    <row r="428" spans="1:71" x14ac:dyDescent="0.3">
      <c r="A428" s="80"/>
      <c r="AG428" s="80"/>
    </row>
    <row r="429" spans="1:71" x14ac:dyDescent="0.3">
      <c r="A429" s="118" t="s">
        <v>169</v>
      </c>
      <c r="O429" s="119" t="str">
        <f>Linkin!C26</f>
        <v>W/P - 7-3</v>
      </c>
      <c r="AA429" s="119" t="str">
        <f>$O$429</f>
        <v>W/P - 7-3</v>
      </c>
      <c r="AF429" s="119" t="str">
        <f>$O$429</f>
        <v>W/P - 7-3</v>
      </c>
      <c r="AG429" s="80"/>
    </row>
    <row r="430" spans="1:71" x14ac:dyDescent="0.3">
      <c r="A430" s="118" t="s">
        <v>170</v>
      </c>
      <c r="O430" s="119" t="str">
        <f ca="1">RIGHT(CELL("filename",$A$4),LEN(CELL("filename",$A$4))-SEARCH("\Capital",CELL("filename",$A$4),1))</f>
        <v>Capital Structure\[KAWC 2018 Rate Case - Capital Structure.xlsx]Sch J WPs</v>
      </c>
      <c r="AA430" s="119" t="str">
        <f ca="1">RIGHT(CELL("filename",$A$4),LEN(CELL("filename",$A$4))-SEARCH("\Capital",CELL("filename",$A$4),1))</f>
        <v>Capital Structure\[KAWC 2018 Rate Case - Capital Structure.xlsx]Sch J WPs</v>
      </c>
      <c r="AF430" s="119" t="str">
        <f ca="1">RIGHT(CELL("filename",$A$4),LEN(CELL("filename",$A$4))-SEARCH("\Capital",CELL("filename",$A$4),1))</f>
        <v>Capital Structure\[KAWC 2018 Rate Case - Capital Structure.xlsx]Sch J WPs</v>
      </c>
      <c r="AG430" s="80"/>
    </row>
    <row r="431" spans="1:71" x14ac:dyDescent="0.3">
      <c r="A431" s="80"/>
      <c r="AG431" s="80"/>
    </row>
    <row r="432" spans="1:71" x14ac:dyDescent="0.3">
      <c r="A432" s="101" t="s">
        <v>18</v>
      </c>
      <c r="AG432" s="80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</row>
    <row r="433" spans="1:34" x14ac:dyDescent="0.3">
      <c r="A433" s="101" t="s">
        <v>102</v>
      </c>
      <c r="AG433" s="80"/>
    </row>
    <row r="434" spans="1:34" x14ac:dyDescent="0.3">
      <c r="AG434" s="80"/>
    </row>
    <row r="435" spans="1:34" x14ac:dyDescent="0.3">
      <c r="A435" s="140"/>
      <c r="B435" s="140"/>
      <c r="C435" s="140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  <c r="V435" s="141"/>
      <c r="W435" s="141"/>
      <c r="X435" s="141"/>
      <c r="Y435" s="141"/>
      <c r="Z435" s="141"/>
      <c r="AA435" s="141"/>
      <c r="AB435" s="141"/>
      <c r="AC435" s="141"/>
      <c r="AD435" s="141"/>
      <c r="AE435" s="141"/>
      <c r="AF435" s="141"/>
      <c r="AG435" s="80"/>
    </row>
    <row r="436" spans="1:34" x14ac:dyDescent="0.3">
      <c r="A436" s="80" t="s">
        <v>22</v>
      </c>
      <c r="B436" s="80"/>
      <c r="D436" s="80" t="s">
        <v>88</v>
      </c>
      <c r="E436" s="80" t="s">
        <v>88</v>
      </c>
      <c r="F436" s="80" t="s">
        <v>88</v>
      </c>
      <c r="G436" s="80" t="s">
        <v>88</v>
      </c>
      <c r="H436" s="80" t="s">
        <v>88</v>
      </c>
      <c r="I436" s="80" t="s">
        <v>88</v>
      </c>
      <c r="J436" s="80" t="s">
        <v>88</v>
      </c>
      <c r="K436" s="80" t="s">
        <v>88</v>
      </c>
      <c r="L436" s="80" t="s">
        <v>88</v>
      </c>
      <c r="M436" s="80" t="s">
        <v>88</v>
      </c>
      <c r="N436" s="80" t="s">
        <v>88</v>
      </c>
      <c r="O436" s="80" t="s">
        <v>88</v>
      </c>
      <c r="P436" s="80" t="s">
        <v>88</v>
      </c>
      <c r="Q436" s="80" t="s">
        <v>88</v>
      </c>
      <c r="R436" s="80" t="s">
        <v>88</v>
      </c>
      <c r="S436" s="80" t="s">
        <v>88</v>
      </c>
      <c r="T436" s="80" t="s">
        <v>88</v>
      </c>
      <c r="U436" s="80" t="s">
        <v>88</v>
      </c>
      <c r="V436" s="80" t="s">
        <v>88</v>
      </c>
      <c r="W436" s="80" t="s">
        <v>88</v>
      </c>
      <c r="X436" s="80" t="s">
        <v>88</v>
      </c>
      <c r="Y436" s="80" t="s">
        <v>88</v>
      </c>
      <c r="Z436" s="80" t="s">
        <v>88</v>
      </c>
      <c r="AA436" s="80" t="s">
        <v>88</v>
      </c>
      <c r="AB436" s="80" t="s">
        <v>88</v>
      </c>
      <c r="AC436" s="80" t="s">
        <v>88</v>
      </c>
      <c r="AD436" s="80" t="s">
        <v>88</v>
      </c>
      <c r="AE436" s="80" t="s">
        <v>88</v>
      </c>
      <c r="AF436" s="80" t="s">
        <v>175</v>
      </c>
      <c r="AG436" s="80"/>
    </row>
    <row r="437" spans="1:34" x14ac:dyDescent="0.3">
      <c r="A437" s="145" t="s">
        <v>27</v>
      </c>
      <c r="B437" s="145"/>
      <c r="C437" s="145"/>
      <c r="D437" s="146">
        <f>$D$9</f>
        <v>43190</v>
      </c>
      <c r="E437" s="146">
        <f>$E$9</f>
        <v>43220</v>
      </c>
      <c r="F437" s="146">
        <f>$F$9</f>
        <v>43251</v>
      </c>
      <c r="G437" s="146">
        <f>$G$9</f>
        <v>43281</v>
      </c>
      <c r="H437" s="146">
        <f>$H$9</f>
        <v>43312</v>
      </c>
      <c r="I437" s="146">
        <f>$I$9</f>
        <v>43343</v>
      </c>
      <c r="J437" s="146">
        <f>$J$9</f>
        <v>43373</v>
      </c>
      <c r="K437" s="146">
        <f>$K$9</f>
        <v>43404</v>
      </c>
      <c r="L437" s="146">
        <f>$L$9</f>
        <v>43434</v>
      </c>
      <c r="M437" s="146">
        <f>$M$9</f>
        <v>43465</v>
      </c>
      <c r="N437" s="146">
        <f>$N$9</f>
        <v>43496</v>
      </c>
      <c r="O437" s="146">
        <f>$O$9</f>
        <v>43524</v>
      </c>
      <c r="P437" s="146">
        <f>$P$9</f>
        <v>43555</v>
      </c>
      <c r="Q437" s="146">
        <f>$Q$9</f>
        <v>43585</v>
      </c>
      <c r="R437" s="146">
        <f>$R$9</f>
        <v>43616</v>
      </c>
      <c r="S437" s="146">
        <f>$S$9</f>
        <v>43646</v>
      </c>
      <c r="T437" s="146">
        <f>$T$9</f>
        <v>43677</v>
      </c>
      <c r="U437" s="146">
        <f>$U$9</f>
        <v>43708</v>
      </c>
      <c r="V437" s="146">
        <f>$V$9</f>
        <v>43738</v>
      </c>
      <c r="W437" s="146">
        <f>$W$9</f>
        <v>43769</v>
      </c>
      <c r="X437" s="146">
        <f>$X$9</f>
        <v>43799</v>
      </c>
      <c r="Y437" s="146">
        <f>$Y$9</f>
        <v>43830</v>
      </c>
      <c r="Z437" s="146">
        <f>$Z$9</f>
        <v>43861</v>
      </c>
      <c r="AA437" s="146">
        <f>$AA$9</f>
        <v>43890</v>
      </c>
      <c r="AB437" s="146">
        <f>$AB$9</f>
        <v>43921</v>
      </c>
      <c r="AC437" s="146">
        <f>$AC$9</f>
        <v>43951</v>
      </c>
      <c r="AD437" s="146">
        <f>$AD$9</f>
        <v>43982</v>
      </c>
      <c r="AE437" s="146">
        <f>$AE$9</f>
        <v>44012</v>
      </c>
      <c r="AF437" s="147" t="s">
        <v>26</v>
      </c>
      <c r="AG437" s="80"/>
    </row>
    <row r="438" spans="1:34" x14ac:dyDescent="0.3">
      <c r="A438" s="80">
        <v>1</v>
      </c>
      <c r="B438" s="85"/>
      <c r="D438" s="85"/>
      <c r="E438" s="85"/>
      <c r="F438" s="85"/>
      <c r="G438" s="85"/>
      <c r="H438" s="85"/>
      <c r="I438" s="85"/>
      <c r="J438" s="85"/>
      <c r="K438" s="85"/>
      <c r="L438" s="85"/>
      <c r="M438" s="85"/>
      <c r="N438" s="85"/>
      <c r="O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85"/>
      <c r="AC438" s="85"/>
      <c r="AD438" s="85"/>
      <c r="AE438" s="85"/>
      <c r="AF438" s="85"/>
      <c r="AG438" s="80"/>
    </row>
    <row r="439" spans="1:34" x14ac:dyDescent="0.3">
      <c r="A439" s="80">
        <v>2</v>
      </c>
      <c r="AG439" s="80"/>
      <c r="AH439" s="173"/>
    </row>
    <row r="440" spans="1:34" x14ac:dyDescent="0.3">
      <c r="A440" s="80">
        <v>3</v>
      </c>
      <c r="AG440" s="80"/>
    </row>
    <row r="441" spans="1:34" x14ac:dyDescent="0.3">
      <c r="A441" s="80">
        <v>4</v>
      </c>
      <c r="AE441" s="210"/>
      <c r="AG441" s="80"/>
    </row>
    <row r="442" spans="1:34" x14ac:dyDescent="0.3">
      <c r="A442" s="80">
        <v>5</v>
      </c>
      <c r="AE442" s="167"/>
      <c r="AG442" s="80"/>
    </row>
    <row r="443" spans="1:34" x14ac:dyDescent="0.3">
      <c r="A443" s="80">
        <v>6</v>
      </c>
      <c r="AG443" s="80"/>
    </row>
    <row r="444" spans="1:34" ht="15" thickBot="1" x14ac:dyDescent="0.35">
      <c r="A444" s="80">
        <v>7</v>
      </c>
      <c r="B444" s="72" t="s">
        <v>206</v>
      </c>
      <c r="D444" s="218">
        <f>-+'STD 2018 WP'!E13</f>
        <v>10387366.119999999</v>
      </c>
      <c r="E444" s="218">
        <f>-'STD 2018 WP'!E14</f>
        <v>17155540.02</v>
      </c>
      <c r="F444" s="218">
        <f>-'STD 2018 WP'!E15</f>
        <v>14148556.85</v>
      </c>
      <c r="G444" s="218">
        <f>-'STD 2018 WP'!E16</f>
        <v>14728469.26</v>
      </c>
      <c r="H444" s="218">
        <f>-'STD 2018 WP'!E17</f>
        <v>17200086.079999998</v>
      </c>
      <c r="I444" s="218">
        <f>-'STD 2018 WP'!E18</f>
        <v>14822428.4</v>
      </c>
      <c r="J444" s="159">
        <f t="shared" ref="J444:S444" si="199">I444+J446</f>
        <v>15480149.32485179</v>
      </c>
      <c r="K444" s="159">
        <f>J444+K446</f>
        <v>16549735.509703571</v>
      </c>
      <c r="L444" s="159">
        <f t="shared" si="199"/>
        <v>17644893.694555365</v>
      </c>
      <c r="M444" s="159">
        <f>L444+M446</f>
        <v>18509737.879407145</v>
      </c>
      <c r="N444" s="159">
        <f t="shared" si="199"/>
        <v>17998749.390685841</v>
      </c>
      <c r="O444" s="159">
        <f t="shared" si="199"/>
        <v>17047056.517370932</v>
      </c>
      <c r="P444" s="159">
        <f t="shared" si="199"/>
        <v>17639341.399774536</v>
      </c>
      <c r="Q444" s="159">
        <f>P444+Q446</f>
        <v>19850450.398749281</v>
      </c>
      <c r="R444" s="159">
        <f t="shared" si="199"/>
        <v>-3459543.0571591929</v>
      </c>
      <c r="S444" s="159">
        <f t="shared" si="199"/>
        <v>3541569.6153645134</v>
      </c>
      <c r="T444" s="159">
        <f t="shared" ref="T444:Z444" si="200">S444+T446</f>
        <v>647836.68240228202</v>
      </c>
      <c r="U444" s="159">
        <f t="shared" si="200"/>
        <v>-1583592.1355458177</v>
      </c>
      <c r="V444" s="159">
        <f t="shared" si="200"/>
        <v>2254057.7161992262</v>
      </c>
      <c r="W444" s="159">
        <f t="shared" si="200"/>
        <v>360208.51166106155</v>
      </c>
      <c r="X444" s="159">
        <f t="shared" si="200"/>
        <v>281214.04773850692</v>
      </c>
      <c r="Y444" s="159">
        <f t="shared" si="200"/>
        <v>12378305.408784971</v>
      </c>
      <c r="Z444" s="159">
        <f t="shared" si="200"/>
        <v>9350551.2563851569</v>
      </c>
      <c r="AA444" s="159">
        <f t="shared" ref="AA444" si="201">Z444+AA446</f>
        <v>8139954.1536107296</v>
      </c>
      <c r="AB444" s="159">
        <f t="shared" ref="AB444" si="202">AA444+AB446</f>
        <v>10561804.795308685</v>
      </c>
      <c r="AC444" s="159">
        <f t="shared" ref="AC444" si="203">AB444+AC446</f>
        <v>9932757.2346126996</v>
      </c>
      <c r="AD444" s="159">
        <f t="shared" ref="AD444" si="204">AC444+AD446</f>
        <v>12784037.388348483</v>
      </c>
      <c r="AE444" s="159">
        <f t="shared" ref="AE444" si="205">AD444+AE446</f>
        <v>18696695.555414919</v>
      </c>
      <c r="AF444" s="159">
        <f>AVERAGE(S444:AE444)+AF456</f>
        <v>4637155.9601647807</v>
      </c>
      <c r="AG444" s="80"/>
    </row>
    <row r="445" spans="1:34" ht="15" thickTop="1" x14ac:dyDescent="0.3">
      <c r="A445" s="80">
        <v>8</v>
      </c>
      <c r="D445" s="85"/>
      <c r="E445" s="85"/>
      <c r="F445" s="85"/>
      <c r="G445" s="85"/>
      <c r="H445" s="85"/>
      <c r="I445" s="85"/>
      <c r="J445" s="163"/>
      <c r="K445" s="163"/>
      <c r="L445" s="85"/>
      <c r="M445" s="85"/>
      <c r="N445" s="85"/>
      <c r="O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0"/>
    </row>
    <row r="446" spans="1:34" x14ac:dyDescent="0.3">
      <c r="A446" s="80">
        <v>9</v>
      </c>
      <c r="B446" s="90" t="s">
        <v>209</v>
      </c>
      <c r="D446" s="174"/>
      <c r="E446" s="175"/>
      <c r="F446" s="175"/>
      <c r="G446" s="175"/>
      <c r="H446" s="175"/>
      <c r="I446" s="175"/>
      <c r="J446" s="167">
        <f>'Link In BS Projection'!C22</f>
        <v>657720.92485179007</v>
      </c>
      <c r="K446" s="167">
        <f>'Link In BS Projection'!D22</f>
        <v>1069586.1848517805</v>
      </c>
      <c r="L446" s="167">
        <f>'Link In BS Projection'!E22</f>
        <v>1095158.1848517954</v>
      </c>
      <c r="M446" s="167">
        <f>'Link In BS Projection'!F22</f>
        <v>864844.18485177867</v>
      </c>
      <c r="N446" s="167">
        <f>'Link In BS Projection'!G22</f>
        <v>-510988.48872130411</v>
      </c>
      <c r="O446" s="167">
        <f>'Link In BS Projection'!H22</f>
        <v>-951692.87331491103</v>
      </c>
      <c r="P446" s="167">
        <f>'Link In BS Projection'!I22</f>
        <v>592284.88240360282</v>
      </c>
      <c r="Q446" s="167">
        <f>'Link In BS Projection'!J22</f>
        <v>2211108.9989747433</v>
      </c>
      <c r="R446" s="167">
        <f>'Link In BS Projection'!K22</f>
        <v>-23309993.455908474</v>
      </c>
      <c r="S446" s="167">
        <f>'Link In BS Projection'!L22</f>
        <v>7001112.6725237062</v>
      </c>
      <c r="T446" s="167">
        <f>'Link In BS Projection'!M22</f>
        <v>-2893732.9329622313</v>
      </c>
      <c r="U446" s="167">
        <f>'Link In BS Projection'!N22</f>
        <v>-2231428.8179480997</v>
      </c>
      <c r="V446" s="167">
        <f>'Link In BS Projection'!O22</f>
        <v>3837649.8517450439</v>
      </c>
      <c r="W446" s="167">
        <f>'Link In BS Projection'!P22</f>
        <v>-1893849.2045381647</v>
      </c>
      <c r="X446" s="167">
        <f>'Link In BS Projection'!Q22</f>
        <v>-78994.463922554627</v>
      </c>
      <c r="Y446" s="167">
        <f>'Link In BS Projection'!R22</f>
        <v>12097091.361046463</v>
      </c>
      <c r="Z446" s="167">
        <f>'Link In BS Projection'!S22</f>
        <v>-3027754.1523998138</v>
      </c>
      <c r="AA446" s="167">
        <f>'Link In BS Projection'!T22</f>
        <v>-1210597.1027744273</v>
      </c>
      <c r="AB446" s="167">
        <f>'Link In BS Projection'!U22</f>
        <v>2421850.6416979553</v>
      </c>
      <c r="AC446" s="167">
        <f>'Link In BS Projection'!V22</f>
        <v>-629047.56069598533</v>
      </c>
      <c r="AD446" s="167">
        <f>'Link In BS Projection'!W22</f>
        <v>2851280.153735782</v>
      </c>
      <c r="AE446" s="167">
        <f>'Link In BS Projection'!X22</f>
        <v>5912658.1670664353</v>
      </c>
      <c r="AG446" s="80"/>
    </row>
    <row r="447" spans="1:34" x14ac:dyDescent="0.3">
      <c r="A447" s="80">
        <v>10</v>
      </c>
      <c r="D447" s="175"/>
      <c r="I447" s="167"/>
      <c r="AG447" s="80"/>
    </row>
    <row r="448" spans="1:34" x14ac:dyDescent="0.3">
      <c r="A448" s="80">
        <v>11</v>
      </c>
      <c r="B448" s="67" t="s">
        <v>265</v>
      </c>
      <c r="D448" s="176">
        <v>2.0646999999999999E-2</v>
      </c>
      <c r="E448" s="176">
        <v>2.3466000000000001E-2</v>
      </c>
      <c r="F448" s="176">
        <v>2.3224000000000002E-2</v>
      </c>
      <c r="G448" s="176">
        <v>2.3587E-2</v>
      </c>
      <c r="H448" s="176">
        <v>2.3951E-2</v>
      </c>
      <c r="I448" s="176">
        <v>2.3883000000000001E-2</v>
      </c>
      <c r="J448" s="176">
        <v>2.3515999999999999E-2</v>
      </c>
      <c r="K448" s="176">
        <v>2.5343120212784197E-2</v>
      </c>
      <c r="L448" s="176">
        <v>2.5804135789852398E-2</v>
      </c>
      <c r="M448" s="176">
        <v>2.7520544455084596E-2</v>
      </c>
      <c r="N448" s="176">
        <v>2.8338139229408702E-2</v>
      </c>
      <c r="O448" s="176">
        <v>2.8686581219739198E-2</v>
      </c>
      <c r="P448" s="176">
        <v>2.9394665161876801E-2</v>
      </c>
      <c r="Q448" s="176">
        <v>2.93527670590602E-2</v>
      </c>
      <c r="R448" s="176">
        <v>2.9927308206853E-2</v>
      </c>
      <c r="S448" s="176">
        <v>3.1157223605900296E-2</v>
      </c>
      <c r="T448" s="176">
        <v>3.1167787454695398E-2</v>
      </c>
      <c r="U448" s="176">
        <v>3.1626299773786497E-2</v>
      </c>
      <c r="V448" s="176">
        <v>3.2429304882061999E-2</v>
      </c>
      <c r="W448" s="176">
        <v>3.2465934238095302E-2</v>
      </c>
      <c r="X448" s="176">
        <v>3.2768383395882401E-2</v>
      </c>
      <c r="Y448" s="176">
        <v>3.3247307652407396E-2</v>
      </c>
      <c r="Z448" s="176">
        <v>3.3247307659770201E-2</v>
      </c>
      <c r="AA448" s="176">
        <v>3.3393762141448201E-2</v>
      </c>
      <c r="AB448" s="176">
        <v>3.3611399661280704E-2</v>
      </c>
      <c r="AC448" s="176">
        <v>3.35989225215872E-2</v>
      </c>
      <c r="AD448" s="176">
        <v>3.3513399413722597E-2</v>
      </c>
      <c r="AE448" s="176">
        <v>3.3377991544647899E-2</v>
      </c>
      <c r="AF448" s="176">
        <f>AVERAGE(S448:AE448)</f>
        <v>3.2738847995791229E-2</v>
      </c>
      <c r="AG448" s="80"/>
    </row>
    <row r="449" spans="1:33" x14ac:dyDescent="0.3">
      <c r="A449" s="80">
        <v>12</v>
      </c>
      <c r="D449" s="177"/>
      <c r="G449" s="167"/>
      <c r="P449" s="163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G449" s="80"/>
    </row>
    <row r="450" spans="1:33" x14ac:dyDescent="0.3">
      <c r="A450" s="80">
        <v>13</v>
      </c>
      <c r="B450" s="67" t="s">
        <v>47</v>
      </c>
      <c r="G450" s="178"/>
      <c r="H450" s="87"/>
      <c r="I450" s="87"/>
      <c r="J450" s="175"/>
      <c r="K450" s="206"/>
      <c r="L450" s="175"/>
      <c r="M450" s="175"/>
      <c r="N450" s="175"/>
      <c r="O450" s="175"/>
      <c r="P450" s="175"/>
      <c r="Q450" s="175"/>
      <c r="R450" s="175"/>
      <c r="S450" s="175"/>
      <c r="T450" s="167">
        <f t="shared" ref="T450:AE450" si="206">T444*(T448/12)</f>
        <v>1682.6363352057779</v>
      </c>
      <c r="U450" s="167">
        <f t="shared" si="206"/>
        <v>-4173.5966331818972</v>
      </c>
      <c r="V450" s="167">
        <f t="shared" si="206"/>
        <v>6091.4604083657568</v>
      </c>
      <c r="W450" s="167">
        <f t="shared" si="206"/>
        <v>974.54215429918406</v>
      </c>
      <c r="X450" s="167">
        <f t="shared" si="206"/>
        <v>767.91081105028093</v>
      </c>
      <c r="Y450" s="167">
        <f t="shared" si="206"/>
        <v>34295.444011777705</v>
      </c>
      <c r="Z450" s="167">
        <f t="shared" si="206"/>
        <v>25906.721200790675</v>
      </c>
      <c r="AA450" s="167">
        <f t="shared" si="206"/>
        <v>22651.974403997501</v>
      </c>
      <c r="AB450" s="167">
        <f t="shared" si="206"/>
        <v>29583.086843295936</v>
      </c>
      <c r="AC450" s="167">
        <f t="shared" si="206"/>
        <v>27810.828395957236</v>
      </c>
      <c r="AD450" s="167">
        <f t="shared" si="206"/>
        <v>35703.045926307146</v>
      </c>
      <c r="AE450" s="167">
        <f t="shared" si="206"/>
        <v>52004.845513457927</v>
      </c>
      <c r="AF450" s="210">
        <f>SUM(T450:AE450)</f>
        <v>233298.89937132323</v>
      </c>
      <c r="AG450" s="80"/>
    </row>
    <row r="451" spans="1:33" x14ac:dyDescent="0.3">
      <c r="A451" s="80"/>
      <c r="K451" s="206"/>
      <c r="M451" s="206"/>
      <c r="T451" s="179"/>
      <c r="AE451" s="100"/>
      <c r="AG451" s="80"/>
    </row>
    <row r="452" spans="1:33" x14ac:dyDescent="0.3">
      <c r="A452" s="80"/>
      <c r="K452" s="207"/>
      <c r="M452" s="207"/>
      <c r="T452" s="90"/>
      <c r="AG452" s="80"/>
    </row>
    <row r="453" spans="1:33" x14ac:dyDescent="0.3">
      <c r="A453" s="80"/>
      <c r="J453" s="177"/>
      <c r="K453" s="207"/>
      <c r="L453" s="177"/>
      <c r="M453" s="177"/>
      <c r="N453" s="177"/>
      <c r="O453" s="177"/>
      <c r="P453" s="177"/>
      <c r="Q453" s="177"/>
      <c r="R453" s="177"/>
      <c r="S453" s="177"/>
      <c r="T453" s="177"/>
      <c r="U453" s="177"/>
      <c r="V453" s="177"/>
      <c r="W453" s="177"/>
      <c r="X453" s="177"/>
      <c r="Y453" s="177"/>
      <c r="AE453" s="200" t="s">
        <v>292</v>
      </c>
      <c r="AF453" s="100">
        <f>Linkin!C51</f>
        <v>441122362.12330645</v>
      </c>
      <c r="AG453" s="80"/>
    </row>
    <row r="454" spans="1:33" x14ac:dyDescent="0.3">
      <c r="A454" s="80"/>
      <c r="K454" s="167"/>
      <c r="Q454" s="167"/>
      <c r="T454" s="179"/>
      <c r="AE454" s="200" t="s">
        <v>293</v>
      </c>
      <c r="AF454" s="92">
        <f>Linkin!C52</f>
        <v>439040641.14268005</v>
      </c>
      <c r="AG454" s="80"/>
    </row>
    <row r="455" spans="1:33" x14ac:dyDescent="0.3">
      <c r="A455" s="80"/>
      <c r="AE455" s="200"/>
      <c r="AG455" s="80"/>
    </row>
    <row r="456" spans="1:33" x14ac:dyDescent="0.3">
      <c r="A456" s="80"/>
      <c r="AE456" s="200" t="s">
        <v>294</v>
      </c>
      <c r="AF456" s="242">
        <f>AF454-AF453</f>
        <v>-2081720.9806264043</v>
      </c>
      <c r="AG456" s="80"/>
    </row>
    <row r="457" spans="1:33" x14ac:dyDescent="0.3">
      <c r="A457" s="80"/>
      <c r="AG457" s="80"/>
    </row>
    <row r="458" spans="1:33" x14ac:dyDescent="0.3">
      <c r="A458" s="80"/>
      <c r="AG458" s="80"/>
    </row>
    <row r="459" spans="1:33" x14ac:dyDescent="0.3">
      <c r="A459" s="80"/>
      <c r="AG459" s="80"/>
    </row>
    <row r="460" spans="1:33" x14ac:dyDescent="0.3">
      <c r="A460" s="80"/>
      <c r="AG460" s="80"/>
    </row>
    <row r="461" spans="1:33" x14ac:dyDescent="0.3">
      <c r="A461" s="80"/>
      <c r="AG461" s="80"/>
    </row>
    <row r="462" spans="1:33" x14ac:dyDescent="0.3">
      <c r="A462" s="80"/>
      <c r="AG462" s="80"/>
    </row>
    <row r="463" spans="1:33" x14ac:dyDescent="0.3">
      <c r="A463" s="80"/>
      <c r="AG463" s="80"/>
    </row>
    <row r="464" spans="1:33" x14ac:dyDescent="0.3">
      <c r="A464" s="80"/>
      <c r="AG464" s="80"/>
    </row>
    <row r="465" spans="1:71" x14ac:dyDescent="0.3">
      <c r="A465" s="80"/>
      <c r="AG465" s="80"/>
    </row>
    <row r="466" spans="1:71" x14ac:dyDescent="0.3">
      <c r="A466" s="80"/>
      <c r="AG466" s="80"/>
    </row>
    <row r="467" spans="1:71" x14ac:dyDescent="0.3">
      <c r="A467" s="80"/>
      <c r="AG467" s="80"/>
    </row>
    <row r="468" spans="1:71" x14ac:dyDescent="0.3">
      <c r="A468" s="80"/>
      <c r="AG468" s="80"/>
    </row>
    <row r="469" spans="1:71" x14ac:dyDescent="0.3">
      <c r="A469" s="80"/>
      <c r="AG469" s="80"/>
    </row>
    <row r="470" spans="1:71" x14ac:dyDescent="0.3">
      <c r="A470" s="80"/>
      <c r="AG470" s="80"/>
    </row>
    <row r="471" spans="1:71" x14ac:dyDescent="0.3">
      <c r="A471" s="80"/>
      <c r="AG471" s="80"/>
    </row>
    <row r="472" spans="1:71" x14ac:dyDescent="0.3">
      <c r="A472" s="118" t="s">
        <v>169</v>
      </c>
      <c r="O472" s="119" t="str">
        <f>Linkin!C29</f>
        <v>W/P - 7-6</v>
      </c>
      <c r="AA472" s="119" t="str">
        <f>$O$472</f>
        <v>W/P - 7-6</v>
      </c>
      <c r="AF472" s="119" t="str">
        <f>$O$472</f>
        <v>W/P - 7-6</v>
      </c>
      <c r="AG472" s="80"/>
    </row>
    <row r="473" spans="1:71" x14ac:dyDescent="0.3">
      <c r="A473" s="118" t="s">
        <v>170</v>
      </c>
      <c r="O473" s="119" t="str">
        <f ca="1">RIGHT(CELL("filename",$A$4),LEN(CELL("filename",$A$4))-SEARCH("\Capital",CELL("filename",$A$4),1))</f>
        <v>Capital Structure\[KAWC 2018 Rate Case - Capital Structure.xlsx]Sch J WPs</v>
      </c>
      <c r="AA473" s="119" t="str">
        <f ca="1">RIGHT(CELL("filename",$A$4),LEN(CELL("filename",$A$4))-SEARCH("\Capital",CELL("filename",$A$4),1))</f>
        <v>Capital Structure\[KAWC 2018 Rate Case - Capital Structure.xlsx]Sch J WPs</v>
      </c>
      <c r="AF473" s="119" t="str">
        <f ca="1">RIGHT(CELL("filename",$A$4),LEN(CELL("filename",$A$4))-SEARCH("\Capital",CELL("filename",$A$4),1))</f>
        <v>Capital Structure\[KAWC 2018 Rate Case - Capital Structure.xlsx]Sch J WPs</v>
      </c>
      <c r="AG473" s="80"/>
    </row>
    <row r="474" spans="1:71" x14ac:dyDescent="0.3">
      <c r="A474" s="80"/>
      <c r="AG474" s="80"/>
    </row>
    <row r="475" spans="1:71" x14ac:dyDescent="0.3">
      <c r="A475" s="101" t="s">
        <v>18</v>
      </c>
      <c r="E475" s="92"/>
      <c r="F475" s="92"/>
      <c r="G475" s="92"/>
      <c r="AG475" s="80"/>
      <c r="AI475" s="87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</row>
    <row r="476" spans="1:71" x14ac:dyDescent="0.3">
      <c r="A476" s="101" t="s">
        <v>103</v>
      </c>
      <c r="AG476" s="80"/>
      <c r="AH476" s="87" t="s">
        <v>141</v>
      </c>
    </row>
    <row r="477" spans="1:71" x14ac:dyDescent="0.3">
      <c r="AG477" s="80"/>
    </row>
    <row r="478" spans="1:71" x14ac:dyDescent="0.3">
      <c r="A478" s="140"/>
      <c r="B478" s="140"/>
      <c r="C478" s="140"/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  <c r="V478" s="141"/>
      <c r="W478" s="141"/>
      <c r="X478" s="141"/>
      <c r="Y478" s="141"/>
      <c r="Z478" s="141"/>
      <c r="AA478" s="141"/>
      <c r="AB478" s="141"/>
      <c r="AC478" s="141"/>
      <c r="AD478" s="141"/>
      <c r="AE478" s="141"/>
      <c r="AF478" s="141"/>
      <c r="AG478" s="80"/>
    </row>
    <row r="479" spans="1:71" x14ac:dyDescent="0.3">
      <c r="A479" s="80" t="s">
        <v>22</v>
      </c>
      <c r="B479" s="80"/>
      <c r="D479" s="80" t="s">
        <v>88</v>
      </c>
      <c r="E479" s="80" t="s">
        <v>88</v>
      </c>
      <c r="F479" s="80" t="s">
        <v>88</v>
      </c>
      <c r="G479" s="80" t="s">
        <v>88</v>
      </c>
      <c r="H479" s="80" t="s">
        <v>88</v>
      </c>
      <c r="I479" s="80" t="s">
        <v>88</v>
      </c>
      <c r="J479" s="80" t="s">
        <v>88</v>
      </c>
      <c r="K479" s="80" t="s">
        <v>88</v>
      </c>
      <c r="L479" s="80" t="s">
        <v>88</v>
      </c>
      <c r="M479" s="80" t="s">
        <v>88</v>
      </c>
      <c r="N479" s="80" t="s">
        <v>88</v>
      </c>
      <c r="O479" s="80" t="s">
        <v>88</v>
      </c>
      <c r="P479" s="80" t="s">
        <v>88</v>
      </c>
      <c r="Q479" s="80" t="s">
        <v>88</v>
      </c>
      <c r="R479" s="80" t="s">
        <v>88</v>
      </c>
      <c r="S479" s="80" t="s">
        <v>88</v>
      </c>
      <c r="T479" s="80" t="s">
        <v>88</v>
      </c>
      <c r="U479" s="80" t="s">
        <v>88</v>
      </c>
      <c r="V479" s="80" t="s">
        <v>88</v>
      </c>
      <c r="W479" s="80" t="s">
        <v>88</v>
      </c>
      <c r="X479" s="80" t="s">
        <v>88</v>
      </c>
      <c r="Y479" s="80" t="s">
        <v>88</v>
      </c>
      <c r="Z479" s="80" t="s">
        <v>88</v>
      </c>
      <c r="AA479" s="80" t="s">
        <v>88</v>
      </c>
      <c r="AB479" s="80" t="s">
        <v>88</v>
      </c>
      <c r="AC479" s="80" t="s">
        <v>88</v>
      </c>
      <c r="AD479" s="80" t="s">
        <v>88</v>
      </c>
      <c r="AE479" s="80" t="s">
        <v>88</v>
      </c>
      <c r="AF479" s="80" t="s">
        <v>175</v>
      </c>
      <c r="AG479" s="80"/>
    </row>
    <row r="480" spans="1:71" x14ac:dyDescent="0.3">
      <c r="A480" s="145" t="s">
        <v>27</v>
      </c>
      <c r="B480" s="145"/>
      <c r="C480" s="145"/>
      <c r="D480" s="146">
        <f>$D$9</f>
        <v>43190</v>
      </c>
      <c r="E480" s="146">
        <f>$E$9</f>
        <v>43220</v>
      </c>
      <c r="F480" s="146">
        <f>$F$9</f>
        <v>43251</v>
      </c>
      <c r="G480" s="146">
        <f>$G$9</f>
        <v>43281</v>
      </c>
      <c r="H480" s="146">
        <f>$H$9</f>
        <v>43312</v>
      </c>
      <c r="I480" s="146">
        <f>$I$9</f>
        <v>43343</v>
      </c>
      <c r="J480" s="146">
        <f>$J$9</f>
        <v>43373</v>
      </c>
      <c r="K480" s="146">
        <f>$K$9</f>
        <v>43404</v>
      </c>
      <c r="L480" s="146">
        <f>$L$9</f>
        <v>43434</v>
      </c>
      <c r="M480" s="146">
        <f>$M$9</f>
        <v>43465</v>
      </c>
      <c r="N480" s="146">
        <f>$N$9</f>
        <v>43496</v>
      </c>
      <c r="O480" s="146">
        <f>$O$9</f>
        <v>43524</v>
      </c>
      <c r="P480" s="146">
        <f>$P$9</f>
        <v>43555</v>
      </c>
      <c r="Q480" s="146">
        <f>$Q$9</f>
        <v>43585</v>
      </c>
      <c r="R480" s="146">
        <f>$R$9</f>
        <v>43616</v>
      </c>
      <c r="S480" s="146">
        <f>$S$9</f>
        <v>43646</v>
      </c>
      <c r="T480" s="146">
        <f>$T$9</f>
        <v>43677</v>
      </c>
      <c r="U480" s="146">
        <f>$U$9</f>
        <v>43708</v>
      </c>
      <c r="V480" s="146">
        <f>$V$9</f>
        <v>43738</v>
      </c>
      <c r="W480" s="146">
        <f>$W$9</f>
        <v>43769</v>
      </c>
      <c r="X480" s="146">
        <f>$X$9</f>
        <v>43799</v>
      </c>
      <c r="Y480" s="146">
        <f>$Y$9</f>
        <v>43830</v>
      </c>
      <c r="Z480" s="146">
        <f>$Z$9</f>
        <v>43861</v>
      </c>
      <c r="AA480" s="146">
        <f>$AA$9</f>
        <v>43890</v>
      </c>
      <c r="AB480" s="146">
        <f>$AB$9</f>
        <v>43921</v>
      </c>
      <c r="AC480" s="146">
        <f>$AC$9</f>
        <v>43951</v>
      </c>
      <c r="AD480" s="146">
        <f>$AD$9</f>
        <v>43982</v>
      </c>
      <c r="AE480" s="146">
        <f>$AE$9</f>
        <v>44012</v>
      </c>
      <c r="AF480" s="147" t="s">
        <v>26</v>
      </c>
      <c r="AG480" s="80"/>
      <c r="AH480" s="67" t="s">
        <v>143</v>
      </c>
    </row>
    <row r="481" spans="1:34" x14ac:dyDescent="0.3">
      <c r="A481" s="80">
        <v>1</v>
      </c>
      <c r="B481" s="85"/>
      <c r="D481" s="163"/>
      <c r="E481" s="85"/>
      <c r="F481" s="85"/>
      <c r="G481" s="85"/>
      <c r="H481" s="85"/>
      <c r="I481" s="85"/>
      <c r="J481" s="85"/>
      <c r="K481" s="85"/>
      <c r="L481" s="85"/>
      <c r="M481" s="85"/>
      <c r="N481" s="85"/>
      <c r="O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85"/>
      <c r="AC481" s="85"/>
      <c r="AD481" s="85"/>
      <c r="AE481" s="85"/>
      <c r="AF481" s="85"/>
      <c r="AG481" s="80"/>
      <c r="AH481" s="87" t="s">
        <v>142</v>
      </c>
    </row>
    <row r="482" spans="1:34" x14ac:dyDescent="0.3">
      <c r="A482" s="80">
        <v>2</v>
      </c>
      <c r="AG482" s="80"/>
      <c r="AH482" s="92" t="s">
        <v>144</v>
      </c>
    </row>
    <row r="483" spans="1:34" x14ac:dyDescent="0.3">
      <c r="A483" s="80">
        <v>3</v>
      </c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  <c r="AA483" s="122"/>
      <c r="AB483" s="122"/>
      <c r="AC483" s="122"/>
      <c r="AD483" s="122"/>
      <c r="AE483" s="122"/>
      <c r="AF483" s="122"/>
      <c r="AG483" s="80"/>
    </row>
    <row r="484" spans="1:34" x14ac:dyDescent="0.3">
      <c r="A484" s="80">
        <v>4</v>
      </c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G484" s="80"/>
    </row>
    <row r="485" spans="1:34" x14ac:dyDescent="0.3">
      <c r="A485" s="80">
        <v>5</v>
      </c>
      <c r="B485" s="81"/>
      <c r="D485" s="238" t="s">
        <v>154</v>
      </c>
      <c r="E485" s="237"/>
      <c r="F485" s="237"/>
      <c r="G485" s="238" t="s">
        <v>154</v>
      </c>
      <c r="H485" s="237"/>
      <c r="I485" s="237"/>
      <c r="J485" s="238" t="s">
        <v>285</v>
      </c>
      <c r="K485" s="87"/>
      <c r="L485" s="87"/>
      <c r="M485" s="238" t="s">
        <v>285</v>
      </c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G485" s="80"/>
    </row>
    <row r="486" spans="1:34" x14ac:dyDescent="0.3">
      <c r="A486" s="80">
        <v>6</v>
      </c>
      <c r="B486" s="67" t="s">
        <v>138</v>
      </c>
      <c r="D486" s="100">
        <v>1865195.29</v>
      </c>
      <c r="E486" s="100"/>
      <c r="F486" s="100"/>
      <c r="G486" s="100">
        <v>2288390.86</v>
      </c>
      <c r="H486" s="100"/>
      <c r="I486" s="100"/>
      <c r="J486" s="100">
        <v>3601350.47</v>
      </c>
      <c r="K486" s="100"/>
      <c r="L486" s="87"/>
      <c r="M486" s="87">
        <v>4604247.5</v>
      </c>
      <c r="N486" s="100"/>
      <c r="O486" s="87"/>
      <c r="P486" s="87"/>
      <c r="Q486" s="100"/>
      <c r="R486" s="100"/>
      <c r="S486" s="100"/>
      <c r="T486" s="100"/>
      <c r="U486" s="177"/>
      <c r="V486" s="177"/>
      <c r="W486" s="100"/>
      <c r="Z486" s="100"/>
      <c r="AA486" s="100"/>
      <c r="AB486" s="100"/>
      <c r="AC486" s="100"/>
      <c r="AE486" s="80"/>
    </row>
    <row r="487" spans="1:34" x14ac:dyDescent="0.3">
      <c r="A487" s="80">
        <v>7</v>
      </c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G487" s="80"/>
    </row>
    <row r="488" spans="1:34" x14ac:dyDescent="0.3">
      <c r="A488" s="80">
        <v>8</v>
      </c>
      <c r="F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G488" s="80"/>
    </row>
    <row r="489" spans="1:34" x14ac:dyDescent="0.3">
      <c r="A489" s="80">
        <v>9</v>
      </c>
      <c r="B489" s="67" t="s">
        <v>156</v>
      </c>
      <c r="C489" s="92"/>
      <c r="D489" s="100">
        <v>36568776.5</v>
      </c>
      <c r="E489" s="100">
        <v>36568776.5</v>
      </c>
      <c r="F489" s="100">
        <v>36568776.5</v>
      </c>
      <c r="G489" s="100">
        <v>36568776.5</v>
      </c>
      <c r="H489" s="100">
        <v>36568776.5</v>
      </c>
      <c r="I489" s="100">
        <v>36568776.5</v>
      </c>
      <c r="J489" s="100">
        <f t="shared" ref="J489:AE489" si="207">I489+J497</f>
        <v>36568776.5</v>
      </c>
      <c r="K489" s="100">
        <f t="shared" si="207"/>
        <v>36568776.5</v>
      </c>
      <c r="L489" s="100">
        <f t="shared" si="207"/>
        <v>36568776.5</v>
      </c>
      <c r="M489" s="100">
        <f t="shared" si="207"/>
        <v>36568776.5</v>
      </c>
      <c r="N489" s="100">
        <f t="shared" si="207"/>
        <v>36568776.5</v>
      </c>
      <c r="O489" s="100">
        <f t="shared" si="207"/>
        <v>36568776.5</v>
      </c>
      <c r="P489" s="100">
        <f t="shared" si="207"/>
        <v>36568776.5</v>
      </c>
      <c r="Q489" s="100">
        <f t="shared" si="207"/>
        <v>36568776.5</v>
      </c>
      <c r="R489" s="100">
        <f t="shared" si="207"/>
        <v>36568776.5</v>
      </c>
      <c r="S489" s="100">
        <f t="shared" si="207"/>
        <v>36568776.5</v>
      </c>
      <c r="T489" s="100">
        <f t="shared" si="207"/>
        <v>36568776.5</v>
      </c>
      <c r="U489" s="100">
        <f t="shared" si="207"/>
        <v>36568776.5</v>
      </c>
      <c r="V489" s="100">
        <f t="shared" si="207"/>
        <v>36568776.5</v>
      </c>
      <c r="W489" s="100">
        <f t="shared" si="207"/>
        <v>36568776.5</v>
      </c>
      <c r="X489" s="100">
        <f t="shared" si="207"/>
        <v>36568776.5</v>
      </c>
      <c r="Y489" s="100">
        <f t="shared" si="207"/>
        <v>36568776.5</v>
      </c>
      <c r="Z489" s="100">
        <f t="shared" si="207"/>
        <v>36568776.5</v>
      </c>
      <c r="AA489" s="100">
        <f t="shared" si="207"/>
        <v>36568776.5</v>
      </c>
      <c r="AB489" s="100">
        <f t="shared" si="207"/>
        <v>36568776.5</v>
      </c>
      <c r="AC489" s="100">
        <f t="shared" si="207"/>
        <v>36568776.5</v>
      </c>
      <c r="AD489" s="100">
        <f t="shared" si="207"/>
        <v>36568776.5</v>
      </c>
      <c r="AE489" s="100">
        <f t="shared" si="207"/>
        <v>36568776.5</v>
      </c>
      <c r="AF489" s="100">
        <f>AVERAGE(S489:AE489)</f>
        <v>36568776.5</v>
      </c>
      <c r="AG489" s="80"/>
    </row>
    <row r="490" spans="1:34" x14ac:dyDescent="0.3">
      <c r="A490" s="80">
        <v>10</v>
      </c>
      <c r="B490" s="67" t="s">
        <v>208</v>
      </c>
      <c r="D490" s="92">
        <v>94142227.060000002</v>
      </c>
      <c r="E490" s="92">
        <v>94142227.060000002</v>
      </c>
      <c r="F490" s="92">
        <v>94140330.159999996</v>
      </c>
      <c r="G490" s="92">
        <v>94151942.890000001</v>
      </c>
      <c r="H490" s="92">
        <v>79071935.180000007</v>
      </c>
      <c r="I490" s="92">
        <v>94155935.159999996</v>
      </c>
      <c r="J490" s="92">
        <f t="shared" ref="J490:AE490" si="208">I490+J498</f>
        <v>94158801.92788738</v>
      </c>
      <c r="K490" s="92">
        <f t="shared" si="208"/>
        <v>94161668.695774764</v>
      </c>
      <c r="L490" s="92">
        <f t="shared" si="208"/>
        <v>94164535.463662148</v>
      </c>
      <c r="M490" s="92">
        <f t="shared" si="208"/>
        <v>94167402.231549561</v>
      </c>
      <c r="N490" s="92">
        <f t="shared" si="208"/>
        <v>94167402.231549561</v>
      </c>
      <c r="O490" s="92">
        <f t="shared" si="208"/>
        <v>94169902.231549561</v>
      </c>
      <c r="P490" s="92">
        <f t="shared" si="208"/>
        <v>94174079.953405559</v>
      </c>
      <c r="Q490" s="92">
        <f t="shared" si="208"/>
        <v>94174079.953405559</v>
      </c>
      <c r="R490" s="92">
        <f t="shared" si="208"/>
        <v>100176579.95340556</v>
      </c>
      <c r="S490" s="92">
        <f t="shared" si="208"/>
        <v>100180943.87763022</v>
      </c>
      <c r="T490" s="92">
        <f t="shared" si="208"/>
        <v>100180943.87763022</v>
      </c>
      <c r="U490" s="92">
        <f t="shared" si="208"/>
        <v>100183443.87763022</v>
      </c>
      <c r="V490" s="92">
        <f t="shared" si="208"/>
        <v>100187874.93915065</v>
      </c>
      <c r="W490" s="92">
        <f t="shared" si="208"/>
        <v>100187874.93915065</v>
      </c>
      <c r="X490" s="92">
        <f t="shared" si="208"/>
        <v>100190374.93915065</v>
      </c>
      <c r="Y490" s="92">
        <f t="shared" si="208"/>
        <v>100196806.00067107</v>
      </c>
      <c r="Z490" s="92">
        <f t="shared" si="208"/>
        <v>100196806.00067107</v>
      </c>
      <c r="AA490" s="92">
        <f t="shared" si="208"/>
        <v>100196806.00067107</v>
      </c>
      <c r="AB490" s="92">
        <f t="shared" si="208"/>
        <v>100296806.00067107</v>
      </c>
      <c r="AC490" s="92">
        <f t="shared" si="208"/>
        <v>100296806.00067107</v>
      </c>
      <c r="AD490" s="92">
        <f t="shared" si="208"/>
        <v>100396806.00067107</v>
      </c>
      <c r="AE490" s="92">
        <f t="shared" si="208"/>
        <v>100496806.00067107</v>
      </c>
      <c r="AF490" s="92">
        <f t="shared" ref="AF490:AF491" si="209">AVERAGE(S490:AE490)</f>
        <v>100245315.26577231</v>
      </c>
      <c r="AG490" s="80"/>
    </row>
    <row r="491" spans="1:34" x14ac:dyDescent="0.3">
      <c r="A491" s="80">
        <v>11</v>
      </c>
      <c r="B491" s="67" t="s">
        <v>140</v>
      </c>
      <c r="D491" s="92">
        <f>67983608.65+1886732.16</f>
        <v>69870340.810000002</v>
      </c>
      <c r="E491" s="92">
        <f>2237847.46+67983608.65</f>
        <v>70221456.109999999</v>
      </c>
      <c r="F491" s="92">
        <f>4097887.58+67983608.65</f>
        <v>72081496.230000004</v>
      </c>
      <c r="G491" s="92">
        <f>3310555.79+67983608.65</f>
        <v>71294164.440000013</v>
      </c>
      <c r="H491" s="92">
        <v>56422772.480000004</v>
      </c>
      <c r="I491" s="92">
        <v>75575450.219999999</v>
      </c>
      <c r="J491" s="92">
        <f t="shared" ref="J491:AE491" si="210">I491+J499</f>
        <v>75229107.302168131</v>
      </c>
      <c r="K491" s="92">
        <f t="shared" si="210"/>
        <v>74882764.384336263</v>
      </c>
      <c r="L491" s="92">
        <f t="shared" si="210"/>
        <v>74536421.466504395</v>
      </c>
      <c r="M491" s="92">
        <f t="shared" si="210"/>
        <v>74190078.548672527</v>
      </c>
      <c r="N491" s="92">
        <f t="shared" si="210"/>
        <v>75181219.473093361</v>
      </c>
      <c r="O491" s="92">
        <f t="shared" si="210"/>
        <v>76095182.560422868</v>
      </c>
      <c r="P491" s="92">
        <f t="shared" si="210"/>
        <v>73183055.415599257</v>
      </c>
      <c r="Q491" s="92">
        <f t="shared" si="210"/>
        <v>74267357.251239896</v>
      </c>
      <c r="R491" s="92">
        <f t="shared" si="210"/>
        <v>75847584.699669316</v>
      </c>
      <c r="S491" s="92">
        <f t="shared" si="210"/>
        <v>75752729.976215959</v>
      </c>
      <c r="T491" s="92">
        <f t="shared" si="210"/>
        <v>78252994.146834403</v>
      </c>
      <c r="U491" s="92">
        <f t="shared" si="210"/>
        <v>80880014.552813828</v>
      </c>
      <c r="V491" s="92">
        <f t="shared" si="210"/>
        <v>79946268.904198319</v>
      </c>
      <c r="W491" s="92">
        <f t="shared" si="210"/>
        <v>82117381.037766248</v>
      </c>
      <c r="X491" s="92">
        <f t="shared" si="210"/>
        <v>83762692.024286985</v>
      </c>
      <c r="Y491" s="92">
        <f t="shared" si="210"/>
        <v>79478458.240943819</v>
      </c>
      <c r="Z491" s="92">
        <f t="shared" si="210"/>
        <v>80537145.668991923</v>
      </c>
      <c r="AA491" s="92">
        <f t="shared" si="210"/>
        <v>81519781.723359913</v>
      </c>
      <c r="AB491" s="92">
        <f t="shared" si="210"/>
        <v>78714664.388832927</v>
      </c>
      <c r="AC491" s="92">
        <f t="shared" si="210"/>
        <v>79867508.151016131</v>
      </c>
      <c r="AD491" s="92">
        <f t="shared" si="210"/>
        <v>81498784.097796574</v>
      </c>
      <c r="AE491" s="92">
        <f t="shared" si="210"/>
        <v>81018560.921028703</v>
      </c>
      <c r="AF491" s="92">
        <f t="shared" si="209"/>
        <v>80257460.294929668</v>
      </c>
      <c r="AG491" s="80"/>
    </row>
    <row r="492" spans="1:34" x14ac:dyDescent="0.3">
      <c r="A492" s="80">
        <v>12</v>
      </c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92"/>
      <c r="X492" s="92"/>
      <c r="Y492" s="92"/>
      <c r="Z492" s="92"/>
      <c r="AA492" s="92"/>
      <c r="AB492" s="92"/>
      <c r="AC492" s="92"/>
      <c r="AD492" s="92"/>
      <c r="AE492" s="92"/>
      <c r="AF492" s="92"/>
      <c r="AG492" s="80"/>
    </row>
    <row r="493" spans="1:34" ht="15" thickBot="1" x14ac:dyDescent="0.35">
      <c r="A493" s="80">
        <v>13</v>
      </c>
      <c r="D493" s="159">
        <f>SUM(D489:D491)</f>
        <v>200581344.37</v>
      </c>
      <c r="E493" s="159">
        <f>SUM(E489:E491)</f>
        <v>200932459.67000002</v>
      </c>
      <c r="F493" s="159">
        <f>SUM(F489:F491)</f>
        <v>202790602.88999999</v>
      </c>
      <c r="G493" s="159">
        <f>SUM(G489:G491)</f>
        <v>202014883.83000001</v>
      </c>
      <c r="H493" s="159">
        <f t="shared" ref="H493:AE493" si="211">SUM(H489:H491)</f>
        <v>172063484.16000003</v>
      </c>
      <c r="I493" s="159">
        <f t="shared" si="211"/>
        <v>206300161.88</v>
      </c>
      <c r="J493" s="159">
        <f t="shared" si="211"/>
        <v>205956685.73005551</v>
      </c>
      <c r="K493" s="159">
        <f t="shared" si="211"/>
        <v>205613209.58011103</v>
      </c>
      <c r="L493" s="159">
        <f t="shared" si="211"/>
        <v>205269733.43016654</v>
      </c>
      <c r="M493" s="159">
        <f t="shared" si="211"/>
        <v>204926257.28022209</v>
      </c>
      <c r="N493" s="159">
        <f t="shared" si="211"/>
        <v>205917398.20464292</v>
      </c>
      <c r="O493" s="159">
        <f t="shared" si="211"/>
        <v>206833861.29197243</v>
      </c>
      <c r="P493" s="159">
        <f t="shared" si="211"/>
        <v>203925911.86900482</v>
      </c>
      <c r="Q493" s="159">
        <f t="shared" si="211"/>
        <v>205010213.70464545</v>
      </c>
      <c r="R493" s="159">
        <f t="shared" si="211"/>
        <v>212592941.15307486</v>
      </c>
      <c r="S493" s="159">
        <f t="shared" si="211"/>
        <v>212502450.35384619</v>
      </c>
      <c r="T493" s="159">
        <f t="shared" si="211"/>
        <v>215002714.52446464</v>
      </c>
      <c r="U493" s="159">
        <f t="shared" si="211"/>
        <v>217632234.93044406</v>
      </c>
      <c r="V493" s="159">
        <f t="shared" si="211"/>
        <v>216702920.34334895</v>
      </c>
      <c r="W493" s="159">
        <f t="shared" si="211"/>
        <v>218874032.47691688</v>
      </c>
      <c r="X493" s="159">
        <f t="shared" si="211"/>
        <v>220521843.46343762</v>
      </c>
      <c r="Y493" s="159">
        <f t="shared" si="211"/>
        <v>216244040.74161491</v>
      </c>
      <c r="Z493" s="159">
        <f t="shared" si="211"/>
        <v>217302728.16966301</v>
      </c>
      <c r="AA493" s="159">
        <f t="shared" si="211"/>
        <v>218285364.224031</v>
      </c>
      <c r="AB493" s="159">
        <f t="shared" si="211"/>
        <v>215580246.88950402</v>
      </c>
      <c r="AC493" s="159">
        <f t="shared" si="211"/>
        <v>216733090.6516872</v>
      </c>
      <c r="AD493" s="159">
        <f t="shared" si="211"/>
        <v>218464366.59846765</v>
      </c>
      <c r="AE493" s="159">
        <f t="shared" si="211"/>
        <v>218084143.42169979</v>
      </c>
      <c r="AF493" s="159">
        <f>SUM(AF489:AF492)</f>
        <v>217071552.06070197</v>
      </c>
      <c r="AG493" s="80"/>
    </row>
    <row r="494" spans="1:34" ht="15" thickTop="1" x14ac:dyDescent="0.3">
      <c r="A494" s="80">
        <v>14</v>
      </c>
      <c r="D494" s="81" t="s">
        <v>154</v>
      </c>
      <c r="E494" s="81" t="s">
        <v>154</v>
      </c>
      <c r="F494" s="81" t="s">
        <v>154</v>
      </c>
      <c r="G494" s="81" t="s">
        <v>154</v>
      </c>
      <c r="H494" s="81" t="s">
        <v>154</v>
      </c>
      <c r="I494" s="81" t="s">
        <v>154</v>
      </c>
      <c r="J494" s="180" t="s">
        <v>155</v>
      </c>
      <c r="K494" s="180" t="s">
        <v>155</v>
      </c>
      <c r="L494" s="180" t="s">
        <v>155</v>
      </c>
      <c r="M494" s="180" t="s">
        <v>155</v>
      </c>
      <c r="N494" s="180" t="s">
        <v>155</v>
      </c>
      <c r="O494" s="180" t="s">
        <v>155</v>
      </c>
      <c r="P494" s="180" t="s">
        <v>155</v>
      </c>
      <c r="Q494" s="180" t="s">
        <v>155</v>
      </c>
      <c r="R494" s="180" t="s">
        <v>155</v>
      </c>
      <c r="S494" s="180" t="s">
        <v>155</v>
      </c>
      <c r="T494" s="180" t="s">
        <v>155</v>
      </c>
      <c r="U494" s="180" t="s">
        <v>155</v>
      </c>
      <c r="V494" s="180" t="s">
        <v>155</v>
      </c>
      <c r="W494" s="180" t="s">
        <v>155</v>
      </c>
      <c r="X494" s="180" t="s">
        <v>155</v>
      </c>
      <c r="Y494" s="180" t="s">
        <v>155</v>
      </c>
      <c r="Z494" s="180" t="s">
        <v>155</v>
      </c>
      <c r="AA494" s="180" t="s">
        <v>155</v>
      </c>
      <c r="AB494" s="180" t="s">
        <v>155</v>
      </c>
      <c r="AC494" s="180" t="s">
        <v>155</v>
      </c>
      <c r="AD494" s="180" t="s">
        <v>155</v>
      </c>
      <c r="AE494" s="180" t="s">
        <v>155</v>
      </c>
      <c r="AF494" s="180" t="s">
        <v>155</v>
      </c>
      <c r="AG494" s="80"/>
    </row>
    <row r="495" spans="1:34" x14ac:dyDescent="0.3">
      <c r="A495" s="80">
        <v>15</v>
      </c>
      <c r="E495" s="181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82"/>
      <c r="AA495" s="183"/>
      <c r="AB495" s="183"/>
      <c r="AC495" s="183"/>
      <c r="AD495" s="183"/>
      <c r="AE495" s="183"/>
      <c r="AG495" s="80"/>
    </row>
    <row r="496" spans="1:34" x14ac:dyDescent="0.3">
      <c r="A496" s="80">
        <v>16</v>
      </c>
      <c r="B496" s="184" t="s">
        <v>209</v>
      </c>
      <c r="D496" s="92"/>
      <c r="E496" s="92"/>
      <c r="F496" s="92"/>
      <c r="G496" s="92"/>
      <c r="H496" s="92"/>
      <c r="I496" s="92"/>
      <c r="O496" s="92"/>
      <c r="P496" s="92"/>
      <c r="Q496" s="92"/>
      <c r="R496" s="92"/>
      <c r="S496" s="92"/>
      <c r="T496" s="92"/>
      <c r="U496" s="92"/>
      <c r="V496" s="92"/>
      <c r="W496" s="92"/>
      <c r="X496" s="92"/>
      <c r="Y496" s="92"/>
      <c r="Z496" s="92"/>
      <c r="AA496" s="92"/>
      <c r="AB496" s="92"/>
      <c r="AC496" s="92"/>
      <c r="AD496" s="92"/>
      <c r="AE496" s="92"/>
      <c r="AG496" s="80"/>
    </row>
    <row r="497" spans="1:71" x14ac:dyDescent="0.3">
      <c r="A497" s="80">
        <v>17</v>
      </c>
      <c r="B497" s="67" t="s">
        <v>156</v>
      </c>
      <c r="D497" s="92"/>
      <c r="E497" s="92"/>
      <c r="F497" s="92"/>
      <c r="G497" s="92"/>
      <c r="H497" s="92"/>
      <c r="I497" s="92"/>
      <c r="J497" s="92">
        <f>'Link In BS Projection'!C9</f>
        <v>0</v>
      </c>
      <c r="K497" s="92">
        <f>'Link In BS Projection'!D9</f>
        <v>0</v>
      </c>
      <c r="L497" s="92">
        <f>'Link In BS Projection'!E9</f>
        <v>0</v>
      </c>
      <c r="M497" s="92">
        <f>'Link In BS Projection'!F9</f>
        <v>0</v>
      </c>
      <c r="N497" s="92">
        <f>'Link In BS Projection'!G9</f>
        <v>0</v>
      </c>
      <c r="O497" s="92">
        <f>'Link In BS Projection'!H9</f>
        <v>0</v>
      </c>
      <c r="P497" s="92">
        <f>'Link In BS Projection'!I9</f>
        <v>0</v>
      </c>
      <c r="Q497" s="92">
        <f>'Link In BS Projection'!J9</f>
        <v>0</v>
      </c>
      <c r="R497" s="92">
        <f>'Link In BS Projection'!K9</f>
        <v>0</v>
      </c>
      <c r="S497" s="92">
        <f>'Link In BS Projection'!L9</f>
        <v>0</v>
      </c>
      <c r="T497" s="92">
        <f>'Link In BS Projection'!M9</f>
        <v>0</v>
      </c>
      <c r="U497" s="92">
        <f>'Link In BS Projection'!N9</f>
        <v>0</v>
      </c>
      <c r="V497" s="92">
        <f>'Link In BS Projection'!O9</f>
        <v>0</v>
      </c>
      <c r="W497" s="92">
        <f>'Link In BS Projection'!P9</f>
        <v>0</v>
      </c>
      <c r="X497" s="92">
        <f>'Link In BS Projection'!Q9</f>
        <v>0</v>
      </c>
      <c r="Y497" s="92">
        <f>'Link In BS Projection'!R9</f>
        <v>0</v>
      </c>
      <c r="Z497" s="92">
        <f>'Link In BS Projection'!S9</f>
        <v>0</v>
      </c>
      <c r="AA497" s="92">
        <f>'Link In BS Projection'!T9</f>
        <v>0</v>
      </c>
      <c r="AB497" s="92">
        <f>'Link In BS Projection'!U9</f>
        <v>0</v>
      </c>
      <c r="AC497" s="92">
        <f>'Link In BS Projection'!V9</f>
        <v>0</v>
      </c>
      <c r="AD497" s="92">
        <f>'Link In BS Projection'!W9</f>
        <v>0</v>
      </c>
      <c r="AE497" s="92">
        <f>'Link In BS Projection'!X9</f>
        <v>0</v>
      </c>
      <c r="AG497" s="80"/>
    </row>
    <row r="498" spans="1:71" x14ac:dyDescent="0.3">
      <c r="A498" s="80">
        <v>18</v>
      </c>
      <c r="B498" s="67" t="s">
        <v>139</v>
      </c>
      <c r="E498" s="92"/>
      <c r="F498" s="92"/>
      <c r="G498" s="92"/>
      <c r="H498" s="92"/>
      <c r="I498" s="92"/>
      <c r="J498" s="92">
        <f>'Link In BS Projection'!C10</f>
        <v>2866.7678873836994</v>
      </c>
      <c r="K498" s="92">
        <f>'Link In BS Projection'!D10</f>
        <v>2866.7678873836994</v>
      </c>
      <c r="L498" s="92">
        <f>'Link In BS Projection'!E10</f>
        <v>2866.7678873836994</v>
      </c>
      <c r="M498" s="92">
        <f>'Link In BS Projection'!F10</f>
        <v>2866.7678874135017</v>
      </c>
      <c r="N498" s="92">
        <f>'Link In BS Projection'!G10</f>
        <v>0</v>
      </c>
      <c r="O498" s="92">
        <f>'Link In BS Projection'!H10</f>
        <v>2500</v>
      </c>
      <c r="P498" s="92">
        <f>'Link In BS Projection'!I10</f>
        <v>4177.7218559980392</v>
      </c>
      <c r="Q498" s="92">
        <f>'Link In BS Projection'!J10</f>
        <v>0</v>
      </c>
      <c r="R498" s="92">
        <f>'Link In BS Projection'!K10+6000000</f>
        <v>6002500</v>
      </c>
      <c r="S498" s="92">
        <f>'Link In BS Projection'!L10</f>
        <v>4363.9242246598005</v>
      </c>
      <c r="T498" s="92">
        <f>'Link In BS Projection'!M10</f>
        <v>0</v>
      </c>
      <c r="U498" s="92">
        <f>'Link In BS Projection'!N10</f>
        <v>2500</v>
      </c>
      <c r="V498" s="92">
        <f>'Link In BS Projection'!O10</f>
        <v>4431.0615204274654</v>
      </c>
      <c r="W498" s="92">
        <f>'Link In BS Projection'!P10</f>
        <v>0</v>
      </c>
      <c r="X498" s="92">
        <f>'Link In BS Projection'!Q10</f>
        <v>2500</v>
      </c>
      <c r="Y498" s="92">
        <f>'Link In BS Projection'!R10</f>
        <v>6431.0615204274654</v>
      </c>
      <c r="Z498" s="92">
        <f>'Link In BS Projection'!S10</f>
        <v>0</v>
      </c>
      <c r="AA498" s="92">
        <f>'Link In BS Projection'!T10</f>
        <v>0</v>
      </c>
      <c r="AB498" s="92">
        <f>'Link In BS Projection'!U10</f>
        <v>100000</v>
      </c>
      <c r="AC498" s="92">
        <f>'Link In BS Projection'!V10</f>
        <v>0</v>
      </c>
      <c r="AD498" s="92">
        <f>'Link In BS Projection'!W10</f>
        <v>100000</v>
      </c>
      <c r="AE498" s="92">
        <f>'Link In BS Projection'!X10</f>
        <v>100000</v>
      </c>
      <c r="AG498" s="80"/>
    </row>
    <row r="499" spans="1:71" x14ac:dyDescent="0.3">
      <c r="A499" s="80">
        <v>19</v>
      </c>
      <c r="B499" s="67" t="s">
        <v>140</v>
      </c>
      <c r="D499" s="100"/>
      <c r="E499" s="100"/>
      <c r="F499" s="100"/>
      <c r="G499" s="100"/>
      <c r="H499" s="100"/>
      <c r="J499" s="92">
        <f>'Link In BS Projection'!C11</f>
        <v>-346342.91783186793</v>
      </c>
      <c r="K499" s="92">
        <f>'Link In BS Projection'!D11</f>
        <v>-346342.91783186793</v>
      </c>
      <c r="L499" s="92">
        <f>'Link In BS Projection'!E11</f>
        <v>-346342.91783186793</v>
      </c>
      <c r="M499" s="92">
        <f>'Link In BS Projection'!F11</f>
        <v>-346342.91783186793</v>
      </c>
      <c r="N499" s="92">
        <f>'Link In BS Projection'!G11</f>
        <v>991140.92442083359</v>
      </c>
      <c r="O499" s="92">
        <f>'Link In BS Projection'!H11</f>
        <v>913963.08732950687</v>
      </c>
      <c r="P499" s="92">
        <f>'Link In BS Projection'!I11</f>
        <v>-2912127.1448236108</v>
      </c>
      <c r="Q499" s="92">
        <f>'Link In BS Projection'!J11</f>
        <v>1084301.8356406391</v>
      </c>
      <c r="R499" s="92">
        <f>'Link In BS Projection'!K11</f>
        <v>1580227.4484294206</v>
      </c>
      <c r="S499" s="92">
        <f>'Link In BS Projection'!L11</f>
        <v>-94854.723453357816</v>
      </c>
      <c r="T499" s="92">
        <f>'Link In BS Projection'!M11</f>
        <v>2500264.1706184447</v>
      </c>
      <c r="U499" s="92">
        <f>'Link In BS Projection'!N11</f>
        <v>2627020.4059794247</v>
      </c>
      <c r="V499" s="92">
        <f>'Link In BS Projection'!O11</f>
        <v>-933745.64861550927</v>
      </c>
      <c r="W499" s="92">
        <f>'Link In BS Projection'!P11</f>
        <v>2171112.1335679293</v>
      </c>
      <c r="X499" s="92">
        <f>'Link In BS Projection'!Q11</f>
        <v>1645310.9865207374</v>
      </c>
      <c r="Y499" s="92">
        <f>'Link In BS Projection'!R11</f>
        <v>-4284233.7833431661</v>
      </c>
      <c r="Z499" s="92">
        <f>'Link In BS Projection'!S11</f>
        <v>1058687.428048104</v>
      </c>
      <c r="AA499" s="92">
        <f>'Link In BS Projection'!T11</f>
        <v>982636.0543679893</v>
      </c>
      <c r="AB499" s="92">
        <f>'Link In BS Projection'!U11</f>
        <v>-2805117.3345269859</v>
      </c>
      <c r="AC499" s="92">
        <f>'Link In BS Projection'!V11</f>
        <v>1152843.7621832043</v>
      </c>
      <c r="AD499" s="92">
        <f>'Link In BS Projection'!W11</f>
        <v>1631275.9467804432</v>
      </c>
      <c r="AE499" s="92">
        <f>'Link In BS Projection'!X11</f>
        <v>-480223.17676787078</v>
      </c>
      <c r="AF499" s="92"/>
      <c r="AG499" s="80"/>
      <c r="AH499" s="92"/>
      <c r="AI499" s="92"/>
      <c r="AJ499" s="92"/>
      <c r="AL499" s="92"/>
      <c r="AN499" s="92"/>
      <c r="AP499" s="92"/>
    </row>
    <row r="500" spans="1:71" x14ac:dyDescent="0.3">
      <c r="A500" s="80"/>
      <c r="E500" s="92"/>
      <c r="F500" s="92"/>
      <c r="G500" s="92"/>
      <c r="H500" s="185"/>
      <c r="I500" s="185"/>
      <c r="J500" s="185"/>
      <c r="K500" s="185"/>
      <c r="L500" s="185"/>
      <c r="M500" s="185"/>
      <c r="N500" s="185"/>
      <c r="O500" s="185"/>
      <c r="P500" s="185"/>
      <c r="Q500" s="185"/>
      <c r="R500" s="185"/>
      <c r="S500" s="185"/>
      <c r="T500" s="185"/>
      <c r="U500" s="185"/>
      <c r="V500" s="185"/>
      <c r="W500" s="185"/>
      <c r="X500" s="185"/>
      <c r="Y500" s="185"/>
      <c r="Z500" s="185"/>
      <c r="AA500" s="185"/>
      <c r="AB500" s="185"/>
      <c r="AC500" s="185"/>
      <c r="AD500" s="185"/>
      <c r="AE500" s="185"/>
      <c r="AG500" s="80"/>
    </row>
    <row r="501" spans="1:71" x14ac:dyDescent="0.3">
      <c r="A501" s="80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92"/>
      <c r="X501" s="92"/>
      <c r="Y501" s="92"/>
      <c r="Z501" s="92"/>
      <c r="AA501" s="92"/>
      <c r="AB501" s="92"/>
      <c r="AC501" s="92"/>
      <c r="AD501" s="92"/>
      <c r="AE501" s="92"/>
      <c r="AF501" s="92"/>
      <c r="AG501" s="80"/>
    </row>
    <row r="502" spans="1:71" x14ac:dyDescent="0.3">
      <c r="A502" s="80"/>
      <c r="E502" s="92"/>
      <c r="F502" s="92"/>
      <c r="G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92"/>
      <c r="X502" s="92"/>
      <c r="Y502" s="92"/>
      <c r="Z502" s="92"/>
      <c r="AA502" s="92"/>
      <c r="AB502" s="92"/>
      <c r="AC502" s="92"/>
      <c r="AD502" s="92"/>
      <c r="AE502" s="92"/>
      <c r="AG502" s="80"/>
    </row>
    <row r="503" spans="1:71" x14ac:dyDescent="0.3">
      <c r="A503" s="80"/>
      <c r="E503" s="92"/>
      <c r="F503" s="92"/>
      <c r="G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92"/>
      <c r="X503" s="92"/>
      <c r="Y503" s="92"/>
      <c r="AG503" s="80"/>
    </row>
    <row r="504" spans="1:71" x14ac:dyDescent="0.3">
      <c r="A504" s="80"/>
      <c r="E504" s="92"/>
      <c r="F504" s="92"/>
      <c r="G504" s="92"/>
      <c r="H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92"/>
      <c r="X504" s="92"/>
      <c r="Y504" s="92"/>
      <c r="AG504" s="80"/>
    </row>
    <row r="505" spans="1:71" x14ac:dyDescent="0.3">
      <c r="A505" s="118" t="s">
        <v>169</v>
      </c>
      <c r="E505" s="92"/>
      <c r="F505" s="92"/>
      <c r="G505" s="92"/>
      <c r="H505" s="92"/>
      <c r="J505" s="92"/>
      <c r="K505" s="92"/>
      <c r="L505" s="92"/>
      <c r="M505" s="92"/>
      <c r="N505" s="92"/>
      <c r="O505" s="119" t="str">
        <f>Linkin!C30</f>
        <v>W/P - 7-7</v>
      </c>
      <c r="P505" s="92"/>
      <c r="Q505" s="92"/>
      <c r="R505" s="92"/>
      <c r="S505" s="92"/>
      <c r="T505" s="92"/>
      <c r="U505" s="92"/>
      <c r="V505" s="92"/>
      <c r="W505" s="92"/>
      <c r="X505" s="92"/>
      <c r="Y505" s="92"/>
      <c r="AA505" s="119" t="str">
        <f>$O$505</f>
        <v>W/P - 7-7</v>
      </c>
      <c r="AF505" s="119" t="str">
        <f>$O$505</f>
        <v>W/P - 7-7</v>
      </c>
      <c r="AG505" s="80"/>
    </row>
    <row r="506" spans="1:71" x14ac:dyDescent="0.3">
      <c r="A506" s="118" t="s">
        <v>170</v>
      </c>
      <c r="E506" s="92"/>
      <c r="F506" s="92"/>
      <c r="G506" s="92"/>
      <c r="H506" s="92"/>
      <c r="J506" s="92"/>
      <c r="K506" s="92"/>
      <c r="L506" s="92"/>
      <c r="M506" s="92"/>
      <c r="N506" s="92"/>
      <c r="O506" s="119" t="str">
        <f ca="1">RIGHT(CELL("filename",$A$4),LEN(CELL("filename",$A$4))-SEARCH("\Capital",CELL("filename",$A$4),1))</f>
        <v>Capital Structure\[KAWC 2018 Rate Case - Capital Structure.xlsx]Sch J WPs</v>
      </c>
      <c r="P506" s="92"/>
      <c r="Q506" s="92"/>
      <c r="R506" s="92"/>
      <c r="S506" s="92"/>
      <c r="T506" s="92"/>
      <c r="U506" s="92"/>
      <c r="V506" s="92"/>
      <c r="W506" s="92"/>
      <c r="X506" s="92"/>
      <c r="Y506" s="92"/>
      <c r="AA506" s="119" t="str">
        <f ca="1">RIGHT(CELL("filename",$A$4),LEN(CELL("filename",$A$4))-SEARCH("\Capital",CELL("filename",$A$4),1))</f>
        <v>Capital Structure\[KAWC 2018 Rate Case - Capital Structure.xlsx]Sch J WPs</v>
      </c>
      <c r="AF506" s="119" t="str">
        <f ca="1">RIGHT(CELL("filename",$A$4),LEN(CELL("filename",$A$4))-SEARCH("\Capital",CELL("filename",$A$4),1))</f>
        <v>Capital Structure\[KAWC 2018 Rate Case - Capital Structure.xlsx]Sch J WPs</v>
      </c>
      <c r="AG506" s="80"/>
    </row>
    <row r="507" spans="1:71" x14ac:dyDescent="0.3">
      <c r="A507" s="80"/>
      <c r="E507" s="92"/>
      <c r="F507" s="92"/>
      <c r="G507" s="92"/>
      <c r="H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92"/>
      <c r="X507" s="92"/>
      <c r="Y507" s="92"/>
      <c r="AG507" s="80"/>
    </row>
    <row r="508" spans="1:71" x14ac:dyDescent="0.3">
      <c r="A508" s="101" t="s">
        <v>18</v>
      </c>
      <c r="AG508" s="80"/>
      <c r="AW508" s="85"/>
      <c r="AX508" s="85"/>
      <c r="AY508" s="85"/>
      <c r="AZ508" s="85"/>
      <c r="BA508" s="85"/>
      <c r="BB508" s="85"/>
      <c r="BC508" s="85"/>
      <c r="BD508" s="85"/>
      <c r="BE508" s="85"/>
      <c r="BF508" s="85"/>
      <c r="BG508" s="85"/>
      <c r="BH508" s="85"/>
      <c r="BI508" s="85"/>
      <c r="BJ508" s="85"/>
      <c r="BK508" s="85"/>
      <c r="BL508" s="85"/>
      <c r="BM508" s="85"/>
      <c r="BN508" s="85"/>
      <c r="BO508" s="85"/>
      <c r="BP508" s="85"/>
      <c r="BQ508" s="85"/>
      <c r="BR508" s="85"/>
      <c r="BS508" s="85"/>
    </row>
    <row r="509" spans="1:71" x14ac:dyDescent="0.3">
      <c r="A509" s="101" t="s">
        <v>104</v>
      </c>
      <c r="AG509" s="80"/>
    </row>
    <row r="510" spans="1:71" x14ac:dyDescent="0.3">
      <c r="AG510" s="80"/>
    </row>
    <row r="511" spans="1:71" x14ac:dyDescent="0.3">
      <c r="A511" s="140"/>
      <c r="B511" s="140"/>
      <c r="C511" s="140"/>
      <c r="D511" s="141"/>
      <c r="E511" s="141"/>
      <c r="F511" s="141"/>
      <c r="G511" s="141"/>
      <c r="H511" s="141"/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  <c r="V511" s="141"/>
      <c r="W511" s="141"/>
      <c r="X511" s="141"/>
      <c r="Y511" s="141"/>
      <c r="Z511" s="141"/>
      <c r="AA511" s="141"/>
      <c r="AB511" s="141"/>
      <c r="AC511" s="141"/>
      <c r="AD511" s="141"/>
      <c r="AE511" s="141"/>
      <c r="AF511" s="141"/>
      <c r="AG511" s="80"/>
    </row>
    <row r="512" spans="1:71" x14ac:dyDescent="0.3">
      <c r="A512" s="80" t="s">
        <v>22</v>
      </c>
      <c r="B512" s="80"/>
      <c r="D512" s="80" t="s">
        <v>88</v>
      </c>
      <c r="E512" s="80" t="s">
        <v>88</v>
      </c>
      <c r="F512" s="80" t="s">
        <v>88</v>
      </c>
      <c r="G512" s="80" t="s">
        <v>88</v>
      </c>
      <c r="H512" s="80" t="s">
        <v>88</v>
      </c>
      <c r="I512" s="80" t="s">
        <v>88</v>
      </c>
      <c r="J512" s="80" t="s">
        <v>88</v>
      </c>
      <c r="K512" s="80" t="s">
        <v>88</v>
      </c>
      <c r="L512" s="80" t="s">
        <v>88</v>
      </c>
      <c r="M512" s="80" t="s">
        <v>88</v>
      </c>
      <c r="N512" s="80" t="s">
        <v>88</v>
      </c>
      <c r="O512" s="80" t="s">
        <v>88</v>
      </c>
      <c r="P512" s="80" t="s">
        <v>88</v>
      </c>
      <c r="Q512" s="80" t="s">
        <v>88</v>
      </c>
      <c r="R512" s="80" t="s">
        <v>88</v>
      </c>
      <c r="S512" s="80" t="s">
        <v>88</v>
      </c>
      <c r="T512" s="80" t="s">
        <v>88</v>
      </c>
      <c r="U512" s="80" t="s">
        <v>88</v>
      </c>
      <c r="V512" s="80" t="s">
        <v>88</v>
      </c>
      <c r="W512" s="80" t="s">
        <v>88</v>
      </c>
      <c r="X512" s="80" t="s">
        <v>88</v>
      </c>
      <c r="Y512" s="80" t="s">
        <v>88</v>
      </c>
      <c r="Z512" s="80" t="s">
        <v>88</v>
      </c>
      <c r="AA512" s="80" t="s">
        <v>88</v>
      </c>
      <c r="AB512" s="80" t="s">
        <v>88</v>
      </c>
      <c r="AC512" s="80" t="s">
        <v>88</v>
      </c>
      <c r="AD512" s="80" t="s">
        <v>88</v>
      </c>
      <c r="AE512" s="80" t="s">
        <v>88</v>
      </c>
      <c r="AF512" s="80" t="s">
        <v>175</v>
      </c>
      <c r="AG512" s="80"/>
    </row>
    <row r="513" spans="1:35" x14ac:dyDescent="0.3">
      <c r="A513" s="145" t="s">
        <v>27</v>
      </c>
      <c r="B513" s="145"/>
      <c r="C513" s="145"/>
      <c r="D513" s="146">
        <f>$D$9</f>
        <v>43190</v>
      </c>
      <c r="E513" s="146">
        <f>$E$9</f>
        <v>43220</v>
      </c>
      <c r="F513" s="146">
        <f>$F$9</f>
        <v>43251</v>
      </c>
      <c r="G513" s="146">
        <f>$G$9</f>
        <v>43281</v>
      </c>
      <c r="H513" s="146">
        <f>$H$9</f>
        <v>43312</v>
      </c>
      <c r="I513" s="146">
        <f>$I$9</f>
        <v>43343</v>
      </c>
      <c r="J513" s="146">
        <f>$J$9</f>
        <v>43373</v>
      </c>
      <c r="K513" s="146">
        <f>$K$9</f>
        <v>43404</v>
      </c>
      <c r="L513" s="146">
        <f>$L$9</f>
        <v>43434</v>
      </c>
      <c r="M513" s="146">
        <f>$M$9</f>
        <v>43465</v>
      </c>
      <c r="N513" s="146">
        <f>$N$9</f>
        <v>43496</v>
      </c>
      <c r="O513" s="146">
        <f>$O$9</f>
        <v>43524</v>
      </c>
      <c r="P513" s="146">
        <f>$P$9</f>
        <v>43555</v>
      </c>
      <c r="Q513" s="146">
        <f>$Q$9</f>
        <v>43585</v>
      </c>
      <c r="R513" s="146">
        <f>$R$9</f>
        <v>43616</v>
      </c>
      <c r="S513" s="146">
        <f>$S$9</f>
        <v>43646</v>
      </c>
      <c r="T513" s="146">
        <f>$T$9</f>
        <v>43677</v>
      </c>
      <c r="U513" s="146">
        <f>$U$9</f>
        <v>43708</v>
      </c>
      <c r="V513" s="146">
        <f>$V$9</f>
        <v>43738</v>
      </c>
      <c r="W513" s="146">
        <f>$W$9</f>
        <v>43769</v>
      </c>
      <c r="X513" s="146">
        <f>$X$9</f>
        <v>43799</v>
      </c>
      <c r="Y513" s="146">
        <f>$Y$9</f>
        <v>43830</v>
      </c>
      <c r="Z513" s="146">
        <f>$Z$9</f>
        <v>43861</v>
      </c>
      <c r="AA513" s="146">
        <f>$AA$9</f>
        <v>43890</v>
      </c>
      <c r="AB513" s="146">
        <f>$AB$9</f>
        <v>43921</v>
      </c>
      <c r="AC513" s="146">
        <f>$AC$9</f>
        <v>43951</v>
      </c>
      <c r="AD513" s="146">
        <f>$AD$9</f>
        <v>43982</v>
      </c>
      <c r="AE513" s="146">
        <f>$AE$9</f>
        <v>44012</v>
      </c>
      <c r="AF513" s="147" t="s">
        <v>26</v>
      </c>
      <c r="AG513" s="80"/>
    </row>
    <row r="514" spans="1:35" x14ac:dyDescent="0.3">
      <c r="A514" s="80">
        <v>1</v>
      </c>
      <c r="B514" s="85"/>
      <c r="D514" s="85"/>
      <c r="E514" s="85"/>
      <c r="F514" s="85"/>
      <c r="G514" s="85"/>
      <c r="H514" s="85"/>
      <c r="I514" s="85"/>
      <c r="J514" s="85"/>
      <c r="K514" s="85"/>
      <c r="L514" s="85"/>
      <c r="M514" s="85"/>
      <c r="N514" s="85"/>
      <c r="O514" s="85"/>
      <c r="Q514" s="85"/>
      <c r="R514" s="85"/>
      <c r="S514" s="85"/>
      <c r="T514" s="85"/>
      <c r="U514" s="85"/>
      <c r="V514" s="85"/>
      <c r="W514" s="85"/>
      <c r="X514" s="85"/>
      <c r="Y514" s="85"/>
      <c r="Z514" s="85"/>
      <c r="AA514" s="85"/>
      <c r="AB514" s="85"/>
      <c r="AC514" s="85"/>
      <c r="AD514" s="85"/>
      <c r="AE514" s="85"/>
      <c r="AF514" s="85"/>
      <c r="AG514" s="80"/>
    </row>
    <row r="515" spans="1:35" x14ac:dyDescent="0.3">
      <c r="A515" s="80">
        <v>2</v>
      </c>
      <c r="AG515" s="80"/>
    </row>
    <row r="516" spans="1:35" x14ac:dyDescent="0.3">
      <c r="A516" s="80">
        <v>3</v>
      </c>
      <c r="AG516" s="80"/>
    </row>
    <row r="517" spans="1:35" x14ac:dyDescent="0.3">
      <c r="A517" s="80">
        <v>4</v>
      </c>
      <c r="AG517" s="80"/>
    </row>
    <row r="518" spans="1:35" x14ac:dyDescent="0.3">
      <c r="A518" s="80">
        <v>5</v>
      </c>
      <c r="D518" s="186"/>
      <c r="E518" s="186"/>
      <c r="F518" s="186"/>
      <c r="G518" s="186"/>
      <c r="H518" s="186"/>
      <c r="I518" s="186"/>
      <c r="J518" s="186"/>
      <c r="K518" s="186"/>
      <c r="L518" s="186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  <c r="AA518" s="186"/>
      <c r="AB518" s="186"/>
      <c r="AC518" s="186"/>
      <c r="AD518" s="186"/>
      <c r="AE518" s="186"/>
      <c r="AF518" s="186"/>
      <c r="AG518" s="80"/>
    </row>
    <row r="519" spans="1:35" x14ac:dyDescent="0.3">
      <c r="A519" s="80">
        <v>6</v>
      </c>
      <c r="AG519" s="80"/>
    </row>
    <row r="520" spans="1:35" x14ac:dyDescent="0.3">
      <c r="A520" s="80">
        <v>7</v>
      </c>
      <c r="AG520" s="80"/>
    </row>
    <row r="521" spans="1:35" x14ac:dyDescent="0.3">
      <c r="A521" s="80">
        <v>8</v>
      </c>
      <c r="D521" s="167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8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80"/>
    </row>
    <row r="522" spans="1:35" x14ac:dyDescent="0.3">
      <c r="A522" s="80">
        <v>9</v>
      </c>
      <c r="AG522" s="80"/>
    </row>
    <row r="523" spans="1:35" ht="15" thickBot="1" x14ac:dyDescent="0.35">
      <c r="A523" s="80">
        <v>10</v>
      </c>
      <c r="B523" s="72" t="s">
        <v>105</v>
      </c>
      <c r="D523" s="208">
        <f>-SUM('Unamort ITCs 2018 WP'!E27+'Unamort ITCs 2018 WP'!E40)</f>
        <v>328717.52999999991</v>
      </c>
      <c r="E523" s="112">
        <f t="shared" ref="E523:Z523" si="212">D523-E542-E543</f>
        <v>322814.1999999999</v>
      </c>
      <c r="F523" s="112">
        <f t="shared" si="212"/>
        <v>316910.86999999988</v>
      </c>
      <c r="G523" s="112">
        <f t="shared" si="212"/>
        <v>311007.53999999986</v>
      </c>
      <c r="H523" s="112">
        <f t="shared" si="212"/>
        <v>305104.20999999985</v>
      </c>
      <c r="I523" s="112">
        <f t="shared" si="212"/>
        <v>299200.87999999983</v>
      </c>
      <c r="J523" s="112">
        <f t="shared" si="212"/>
        <v>293297.54999999981</v>
      </c>
      <c r="K523" s="112">
        <f t="shared" si="212"/>
        <v>287394.2199999998</v>
      </c>
      <c r="L523" s="112">
        <f t="shared" si="212"/>
        <v>281490.88999999978</v>
      </c>
      <c r="M523" s="112">
        <f t="shared" si="212"/>
        <v>275587.55999999976</v>
      </c>
      <c r="N523" s="112">
        <f t="shared" si="212"/>
        <v>269684.22999999975</v>
      </c>
      <c r="O523" s="112">
        <f t="shared" si="212"/>
        <v>263780.89999999973</v>
      </c>
      <c r="P523" s="112">
        <f t="shared" si="212"/>
        <v>257877.56999999975</v>
      </c>
      <c r="Q523" s="112">
        <f t="shared" si="212"/>
        <v>251974.23999999976</v>
      </c>
      <c r="R523" s="112">
        <f t="shared" si="212"/>
        <v>246070.90999999977</v>
      </c>
      <c r="S523" s="112">
        <f t="shared" si="212"/>
        <v>240167.57999999978</v>
      </c>
      <c r="T523" s="112">
        <f t="shared" si="212"/>
        <v>234264.2499999998</v>
      </c>
      <c r="U523" s="112">
        <f t="shared" si="212"/>
        <v>228360.91999999981</v>
      </c>
      <c r="V523" s="112">
        <f t="shared" si="212"/>
        <v>222457.58999999982</v>
      </c>
      <c r="W523" s="112">
        <f t="shared" si="212"/>
        <v>216554.25999999983</v>
      </c>
      <c r="X523" s="112">
        <f t="shared" si="212"/>
        <v>210650.92999999985</v>
      </c>
      <c r="Y523" s="112">
        <f t="shared" si="212"/>
        <v>204747.59999999986</v>
      </c>
      <c r="Z523" s="112">
        <f t="shared" si="212"/>
        <v>198844.26999999987</v>
      </c>
      <c r="AA523" s="112">
        <f t="shared" ref="AA523:AE523" si="213">Z523-AA542-AA543</f>
        <v>192940.93999999989</v>
      </c>
      <c r="AB523" s="112">
        <f t="shared" si="213"/>
        <v>187037.6099999999</v>
      </c>
      <c r="AC523" s="112">
        <f t="shared" si="213"/>
        <v>181134.27999999991</v>
      </c>
      <c r="AD523" s="112">
        <f t="shared" si="213"/>
        <v>175230.94999999992</v>
      </c>
      <c r="AE523" s="112">
        <f t="shared" si="213"/>
        <v>169327.61999999994</v>
      </c>
      <c r="AF523" s="112">
        <f>ROUND(AVERAGE(S523:AE523),0)</f>
        <v>204748</v>
      </c>
      <c r="AG523" s="80"/>
      <c r="AH523" s="67">
        <v>25510100</v>
      </c>
      <c r="AI523" s="188">
        <v>0.03</v>
      </c>
    </row>
    <row r="524" spans="1:35" ht="15" thickTop="1" x14ac:dyDescent="0.3">
      <c r="A524" s="80">
        <v>11</v>
      </c>
      <c r="D524" s="209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  <c r="AA524" s="122"/>
      <c r="AB524" s="122"/>
      <c r="AC524" s="122"/>
      <c r="AD524" s="122"/>
      <c r="AE524" s="122"/>
      <c r="AF524" s="122"/>
      <c r="AG524" s="80"/>
      <c r="AH524" s="67">
        <v>25510200</v>
      </c>
      <c r="AI524" s="188">
        <v>0.04</v>
      </c>
    </row>
    <row r="525" spans="1:35" x14ac:dyDescent="0.3">
      <c r="A525" s="80">
        <v>12</v>
      </c>
      <c r="D525" s="210"/>
      <c r="P525" s="67"/>
      <c r="AG525" s="80"/>
      <c r="AH525" s="67">
        <v>25510300</v>
      </c>
      <c r="AI525" s="188">
        <v>0.1</v>
      </c>
    </row>
    <row r="526" spans="1:35" ht="15" thickBot="1" x14ac:dyDescent="0.35">
      <c r="A526" s="80">
        <v>13</v>
      </c>
      <c r="B526" s="72" t="s">
        <v>106</v>
      </c>
      <c r="D526" s="208">
        <f>-'Unamort ITCs 2018 WP'!E14</f>
        <v>23392.560000000001</v>
      </c>
      <c r="E526" s="112">
        <f t="shared" ref="E526:Z526" si="214">D526-E541</f>
        <v>22754.890000000003</v>
      </c>
      <c r="F526" s="112">
        <f t="shared" si="214"/>
        <v>22117.220000000005</v>
      </c>
      <c r="G526" s="112">
        <f t="shared" si="214"/>
        <v>21479.550000000007</v>
      </c>
      <c r="H526" s="112">
        <f t="shared" si="214"/>
        <v>20841.880000000008</v>
      </c>
      <c r="I526" s="112">
        <f t="shared" si="214"/>
        <v>20204.21000000001</v>
      </c>
      <c r="J526" s="112">
        <f t="shared" si="214"/>
        <v>19566.540000000012</v>
      </c>
      <c r="K526" s="112">
        <f t="shared" si="214"/>
        <v>18928.870000000014</v>
      </c>
      <c r="L526" s="112">
        <f t="shared" si="214"/>
        <v>18291.200000000015</v>
      </c>
      <c r="M526" s="112">
        <f t="shared" si="214"/>
        <v>17653.530000000017</v>
      </c>
      <c r="N526" s="112">
        <f t="shared" si="214"/>
        <v>17015.860000000019</v>
      </c>
      <c r="O526" s="112">
        <f t="shared" si="214"/>
        <v>16378.190000000019</v>
      </c>
      <c r="P526" s="112">
        <f t="shared" si="214"/>
        <v>15740.520000000019</v>
      </c>
      <c r="Q526" s="112">
        <f t="shared" si="214"/>
        <v>15102.850000000019</v>
      </c>
      <c r="R526" s="112">
        <f t="shared" si="214"/>
        <v>14465.180000000018</v>
      </c>
      <c r="S526" s="112">
        <f t="shared" si="214"/>
        <v>13827.510000000018</v>
      </c>
      <c r="T526" s="112">
        <f t="shared" si="214"/>
        <v>13189.840000000018</v>
      </c>
      <c r="U526" s="112">
        <f t="shared" si="214"/>
        <v>12552.170000000018</v>
      </c>
      <c r="V526" s="112">
        <f t="shared" si="214"/>
        <v>11914.500000000018</v>
      </c>
      <c r="W526" s="112">
        <f t="shared" si="214"/>
        <v>11276.830000000018</v>
      </c>
      <c r="X526" s="112">
        <f t="shared" si="214"/>
        <v>10639.160000000018</v>
      </c>
      <c r="Y526" s="112">
        <f t="shared" si="214"/>
        <v>10001.490000000018</v>
      </c>
      <c r="Z526" s="112">
        <f t="shared" si="214"/>
        <v>9363.8200000000179</v>
      </c>
      <c r="AA526" s="112">
        <f t="shared" ref="AA526:AE526" si="215">Z526-AA541</f>
        <v>8726.1500000000178</v>
      </c>
      <c r="AB526" s="112">
        <f t="shared" si="215"/>
        <v>8088.4800000000178</v>
      </c>
      <c r="AC526" s="112">
        <f t="shared" si="215"/>
        <v>7450.8100000000177</v>
      </c>
      <c r="AD526" s="112">
        <f t="shared" si="215"/>
        <v>6813.1400000000176</v>
      </c>
      <c r="AE526" s="112">
        <f t="shared" si="215"/>
        <v>6175.4700000000175</v>
      </c>
      <c r="AF526" s="112">
        <f>ROUND(AVERAGE(S526:AE526),0)</f>
        <v>10001</v>
      </c>
      <c r="AG526" s="80"/>
    </row>
    <row r="527" spans="1:35" ht="15" thickTop="1" x14ac:dyDescent="0.3">
      <c r="A527" s="80">
        <v>14</v>
      </c>
      <c r="D527" s="163"/>
      <c r="E527" s="163"/>
      <c r="F527" s="163"/>
      <c r="G527" s="187"/>
      <c r="H527" s="187"/>
      <c r="I527" s="187"/>
      <c r="J527" s="187"/>
      <c r="K527" s="187"/>
      <c r="L527" s="187"/>
      <c r="M527" s="187"/>
      <c r="N527" s="187"/>
      <c r="O527" s="187"/>
      <c r="P527" s="187"/>
      <c r="Q527" s="187"/>
      <c r="R527" s="187"/>
      <c r="S527" s="187"/>
      <c r="T527" s="187"/>
      <c r="U527" s="187"/>
      <c r="V527" s="187"/>
      <c r="W527" s="187"/>
      <c r="X527" s="187"/>
      <c r="Y527" s="187"/>
      <c r="Z527" s="187"/>
      <c r="AA527" s="187"/>
      <c r="AB527" s="187"/>
      <c r="AC527" s="187"/>
      <c r="AD527" s="187"/>
      <c r="AE527" s="187"/>
      <c r="AF527" s="187"/>
      <c r="AG527" s="80"/>
    </row>
    <row r="528" spans="1:35" x14ac:dyDescent="0.3">
      <c r="A528" s="80">
        <v>15</v>
      </c>
      <c r="AG528" s="80"/>
    </row>
    <row r="529" spans="1:35" ht="15" thickBot="1" x14ac:dyDescent="0.35">
      <c r="A529" s="80">
        <v>16</v>
      </c>
      <c r="B529" s="72" t="s">
        <v>112</v>
      </c>
      <c r="D529" s="112">
        <f>SUM(D541:O541)</f>
        <v>7652.04</v>
      </c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8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80"/>
    </row>
    <row r="530" spans="1:35" ht="15" thickTop="1" x14ac:dyDescent="0.3">
      <c r="A530" s="80">
        <v>17</v>
      </c>
      <c r="D530" s="8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8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80"/>
    </row>
    <row r="531" spans="1:35" ht="15" thickBot="1" x14ac:dyDescent="0.35">
      <c r="A531" s="80">
        <v>18</v>
      </c>
      <c r="B531" s="72" t="s">
        <v>113</v>
      </c>
      <c r="D531" s="112">
        <f>SUM(D542:O542)</f>
        <v>0</v>
      </c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8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80"/>
    </row>
    <row r="532" spans="1:35" ht="15" thickTop="1" x14ac:dyDescent="0.3">
      <c r="A532" s="80">
        <v>19</v>
      </c>
      <c r="D532" s="8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8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80"/>
    </row>
    <row r="533" spans="1:35" ht="15" thickBot="1" x14ac:dyDescent="0.35">
      <c r="A533" s="80">
        <v>20</v>
      </c>
      <c r="B533" s="72" t="s">
        <v>114</v>
      </c>
      <c r="D533" s="112">
        <f>SUM(D543:O543)</f>
        <v>70839.960000000006</v>
      </c>
      <c r="AG533" s="80"/>
    </row>
    <row r="534" spans="1:35" ht="15" thickTop="1" x14ac:dyDescent="0.3">
      <c r="A534" s="80">
        <v>21</v>
      </c>
      <c r="D534" s="85"/>
      <c r="AG534" s="80"/>
    </row>
    <row r="535" spans="1:35" x14ac:dyDescent="0.3">
      <c r="A535" s="80">
        <v>22</v>
      </c>
      <c r="AG535" s="80"/>
    </row>
    <row r="536" spans="1:35" x14ac:dyDescent="0.3">
      <c r="A536" s="80">
        <v>23</v>
      </c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0"/>
    </row>
    <row r="537" spans="1:35" x14ac:dyDescent="0.3">
      <c r="A537" s="80">
        <v>24</v>
      </c>
      <c r="AG537" s="80"/>
    </row>
    <row r="538" spans="1:35" x14ac:dyDescent="0.3">
      <c r="A538" s="80">
        <v>25</v>
      </c>
      <c r="AG538" s="80"/>
    </row>
    <row r="539" spans="1:35" x14ac:dyDescent="0.3">
      <c r="A539" s="80">
        <v>26</v>
      </c>
      <c r="AG539" s="80"/>
    </row>
    <row r="540" spans="1:35" x14ac:dyDescent="0.3">
      <c r="A540" s="80">
        <v>27</v>
      </c>
      <c r="AG540" s="80"/>
    </row>
    <row r="541" spans="1:35" x14ac:dyDescent="0.3">
      <c r="A541" s="80">
        <v>28</v>
      </c>
      <c r="B541" s="72" t="s">
        <v>264</v>
      </c>
      <c r="D541" s="94">
        <f>'Unamort ITCs 2018 WP'!D14</f>
        <v>637.66999999999996</v>
      </c>
      <c r="E541" s="92">
        <f t="shared" ref="E541:U541" si="216">+D541</f>
        <v>637.66999999999996</v>
      </c>
      <c r="F541" s="92">
        <f t="shared" si="216"/>
        <v>637.66999999999996</v>
      </c>
      <c r="G541" s="92">
        <f t="shared" si="216"/>
        <v>637.66999999999996</v>
      </c>
      <c r="H541" s="92">
        <f t="shared" si="216"/>
        <v>637.66999999999996</v>
      </c>
      <c r="I541" s="92">
        <f t="shared" si="216"/>
        <v>637.66999999999996</v>
      </c>
      <c r="J541" s="92">
        <f t="shared" si="216"/>
        <v>637.66999999999996</v>
      </c>
      <c r="K541" s="92">
        <f t="shared" si="216"/>
        <v>637.66999999999996</v>
      </c>
      <c r="L541" s="92">
        <f t="shared" si="216"/>
        <v>637.66999999999996</v>
      </c>
      <c r="M541" s="92">
        <f t="shared" si="216"/>
        <v>637.66999999999996</v>
      </c>
      <c r="N541" s="92">
        <f t="shared" si="216"/>
        <v>637.66999999999996</v>
      </c>
      <c r="O541" s="92">
        <f t="shared" si="216"/>
        <v>637.66999999999996</v>
      </c>
      <c r="P541" s="92">
        <f t="shared" si="216"/>
        <v>637.66999999999996</v>
      </c>
      <c r="Q541" s="92">
        <f t="shared" si="216"/>
        <v>637.66999999999996</v>
      </c>
      <c r="R541" s="92">
        <f t="shared" si="216"/>
        <v>637.66999999999996</v>
      </c>
      <c r="S541" s="92">
        <f t="shared" si="216"/>
        <v>637.66999999999996</v>
      </c>
      <c r="T541" s="92">
        <f t="shared" si="216"/>
        <v>637.66999999999996</v>
      </c>
      <c r="U541" s="92">
        <f t="shared" si="216"/>
        <v>637.66999999999996</v>
      </c>
      <c r="V541" s="92">
        <f t="shared" ref="U541:Z543" si="217">+U541</f>
        <v>637.66999999999996</v>
      </c>
      <c r="W541" s="92">
        <f t="shared" si="217"/>
        <v>637.66999999999996</v>
      </c>
      <c r="X541" s="92">
        <f t="shared" si="217"/>
        <v>637.66999999999996</v>
      </c>
      <c r="Y541" s="92">
        <f t="shared" si="217"/>
        <v>637.66999999999996</v>
      </c>
      <c r="Z541" s="92">
        <f t="shared" si="217"/>
        <v>637.66999999999996</v>
      </c>
      <c r="AA541" s="92">
        <f t="shared" ref="AA541:AA543" si="218">+Z541</f>
        <v>637.66999999999996</v>
      </c>
      <c r="AB541" s="92">
        <f t="shared" ref="AB541:AB543" si="219">+AA541</f>
        <v>637.66999999999996</v>
      </c>
      <c r="AC541" s="92">
        <f t="shared" ref="AC541:AC543" si="220">+AB541</f>
        <v>637.66999999999996</v>
      </c>
      <c r="AD541" s="92">
        <f t="shared" ref="AD541:AD543" si="221">+AC541</f>
        <v>637.66999999999996</v>
      </c>
      <c r="AE541" s="92">
        <f t="shared" ref="AE541:AE543" si="222">+AD541</f>
        <v>637.66999999999996</v>
      </c>
      <c r="AG541" s="80"/>
      <c r="AH541" s="200">
        <v>69522000</v>
      </c>
      <c r="AI541" s="168" t="s">
        <v>211</v>
      </c>
    </row>
    <row r="542" spans="1:35" x14ac:dyDescent="0.3">
      <c r="A542" s="80">
        <v>29</v>
      </c>
      <c r="B542" s="72" t="s">
        <v>262</v>
      </c>
      <c r="D542" s="94">
        <f>'Unamort ITCs 2018 WP'!D27</f>
        <v>0</v>
      </c>
      <c r="E542" s="92">
        <f t="shared" ref="E542:T543" si="223">+D542</f>
        <v>0</v>
      </c>
      <c r="F542" s="92">
        <f t="shared" si="223"/>
        <v>0</v>
      </c>
      <c r="G542" s="92">
        <f t="shared" si="223"/>
        <v>0</v>
      </c>
      <c r="H542" s="92">
        <f t="shared" si="223"/>
        <v>0</v>
      </c>
      <c r="I542" s="92">
        <f t="shared" si="223"/>
        <v>0</v>
      </c>
      <c r="J542" s="92">
        <f t="shared" si="223"/>
        <v>0</v>
      </c>
      <c r="K542" s="92">
        <f t="shared" si="223"/>
        <v>0</v>
      </c>
      <c r="L542" s="92">
        <f t="shared" si="223"/>
        <v>0</v>
      </c>
      <c r="M542" s="92">
        <f t="shared" si="223"/>
        <v>0</v>
      </c>
      <c r="N542" s="92">
        <f t="shared" si="223"/>
        <v>0</v>
      </c>
      <c r="O542" s="92">
        <f t="shared" si="223"/>
        <v>0</v>
      </c>
      <c r="P542" s="92">
        <f t="shared" si="223"/>
        <v>0</v>
      </c>
      <c r="Q542" s="92">
        <f t="shared" si="223"/>
        <v>0</v>
      </c>
      <c r="R542" s="92">
        <f t="shared" si="223"/>
        <v>0</v>
      </c>
      <c r="S542" s="92">
        <f t="shared" si="223"/>
        <v>0</v>
      </c>
      <c r="T542" s="92">
        <f t="shared" si="223"/>
        <v>0</v>
      </c>
      <c r="U542" s="92">
        <f t="shared" si="217"/>
        <v>0</v>
      </c>
      <c r="V542" s="92">
        <f t="shared" si="217"/>
        <v>0</v>
      </c>
      <c r="W542" s="92">
        <f t="shared" si="217"/>
        <v>0</v>
      </c>
      <c r="X542" s="92">
        <f t="shared" si="217"/>
        <v>0</v>
      </c>
      <c r="Y542" s="92">
        <f t="shared" si="217"/>
        <v>0</v>
      </c>
      <c r="Z542" s="92">
        <f t="shared" si="217"/>
        <v>0</v>
      </c>
      <c r="AA542" s="92">
        <f t="shared" si="218"/>
        <v>0</v>
      </c>
      <c r="AB542" s="92">
        <f t="shared" si="219"/>
        <v>0</v>
      </c>
      <c r="AC542" s="92">
        <f t="shared" si="220"/>
        <v>0</v>
      </c>
      <c r="AD542" s="92">
        <f t="shared" si="221"/>
        <v>0</v>
      </c>
      <c r="AE542" s="92">
        <f t="shared" si="222"/>
        <v>0</v>
      </c>
      <c r="AG542" s="80"/>
      <c r="AH542" s="200">
        <v>69523000</v>
      </c>
      <c r="AI542" s="168" t="s">
        <v>212</v>
      </c>
    </row>
    <row r="543" spans="1:35" x14ac:dyDescent="0.3">
      <c r="A543" s="80">
        <v>30</v>
      </c>
      <c r="B543" s="72" t="s">
        <v>263</v>
      </c>
      <c r="D543" s="94">
        <f>'Unamort ITCs 2018 WP'!D40</f>
        <v>5903.33</v>
      </c>
      <c r="E543" s="92">
        <f t="shared" si="223"/>
        <v>5903.33</v>
      </c>
      <c r="F543" s="92">
        <f t="shared" si="223"/>
        <v>5903.33</v>
      </c>
      <c r="G543" s="92">
        <f t="shared" si="223"/>
        <v>5903.33</v>
      </c>
      <c r="H543" s="92">
        <f t="shared" si="223"/>
        <v>5903.33</v>
      </c>
      <c r="I543" s="92">
        <f t="shared" si="223"/>
        <v>5903.33</v>
      </c>
      <c r="J543" s="92">
        <f t="shared" si="223"/>
        <v>5903.33</v>
      </c>
      <c r="K543" s="92">
        <f t="shared" si="223"/>
        <v>5903.33</v>
      </c>
      <c r="L543" s="92">
        <f t="shared" si="223"/>
        <v>5903.33</v>
      </c>
      <c r="M543" s="92">
        <f t="shared" si="223"/>
        <v>5903.33</v>
      </c>
      <c r="N543" s="92">
        <f t="shared" si="223"/>
        <v>5903.33</v>
      </c>
      <c r="O543" s="92">
        <f t="shared" si="223"/>
        <v>5903.33</v>
      </c>
      <c r="P543" s="92">
        <f t="shared" si="223"/>
        <v>5903.33</v>
      </c>
      <c r="Q543" s="92">
        <f t="shared" si="223"/>
        <v>5903.33</v>
      </c>
      <c r="R543" s="92">
        <f t="shared" si="223"/>
        <v>5903.33</v>
      </c>
      <c r="S543" s="92">
        <f t="shared" si="223"/>
        <v>5903.33</v>
      </c>
      <c r="T543" s="92">
        <f t="shared" si="223"/>
        <v>5903.33</v>
      </c>
      <c r="U543" s="92">
        <f t="shared" si="217"/>
        <v>5903.33</v>
      </c>
      <c r="V543" s="92">
        <f t="shared" si="217"/>
        <v>5903.33</v>
      </c>
      <c r="W543" s="92">
        <f t="shared" si="217"/>
        <v>5903.33</v>
      </c>
      <c r="X543" s="92">
        <f t="shared" si="217"/>
        <v>5903.33</v>
      </c>
      <c r="Y543" s="92">
        <f t="shared" si="217"/>
        <v>5903.33</v>
      </c>
      <c r="Z543" s="92">
        <f t="shared" si="217"/>
        <v>5903.33</v>
      </c>
      <c r="AA543" s="92">
        <f t="shared" si="218"/>
        <v>5903.33</v>
      </c>
      <c r="AB543" s="92">
        <f t="shared" si="219"/>
        <v>5903.33</v>
      </c>
      <c r="AC543" s="92">
        <f t="shared" si="220"/>
        <v>5903.33</v>
      </c>
      <c r="AD543" s="92">
        <f t="shared" si="221"/>
        <v>5903.33</v>
      </c>
      <c r="AE543" s="92">
        <f t="shared" si="222"/>
        <v>5903.33</v>
      </c>
      <c r="AG543" s="80"/>
      <c r="AH543" s="200">
        <v>69524000</v>
      </c>
      <c r="AI543" s="168" t="s">
        <v>213</v>
      </c>
    </row>
    <row r="544" spans="1:35" x14ac:dyDescent="0.3">
      <c r="AG544" s="80"/>
    </row>
    <row r="545" spans="33:33" x14ac:dyDescent="0.3">
      <c r="AG545" s="80"/>
    </row>
    <row r="546" spans="33:33" x14ac:dyDescent="0.3">
      <c r="AG546" s="80"/>
    </row>
    <row r="547" spans="33:33" x14ac:dyDescent="0.3">
      <c r="AG547" s="80"/>
    </row>
    <row r="548" spans="33:33" x14ac:dyDescent="0.3">
      <c r="AG548" s="80"/>
    </row>
  </sheetData>
  <pageMargins left="0.7" right="0.7" top="1" bottom="0.75" header="0.3" footer="0.4"/>
  <pageSetup scale="48" orientation="landscape" r:id="rId1"/>
  <headerFooter>
    <oddFooter>&amp;R&amp;11Page &amp;P of &amp;N</oddFooter>
  </headerFooter>
  <rowBreaks count="12" manualBreakCount="12">
    <brk id="46" min="3" max="31" man="1"/>
    <brk id="92" min="3" max="31" man="1"/>
    <brk id="138" min="3" max="31" man="1"/>
    <brk id="184" min="3" max="31" man="1"/>
    <brk id="230" min="3" max="31" man="1"/>
    <brk id="276" min="3" max="31" man="1"/>
    <brk id="314" min="3" max="31" man="1"/>
    <brk id="352" min="3" max="31" man="1"/>
    <brk id="390" min="3" max="31" man="1"/>
    <brk id="428" min="3" max="31" man="1"/>
    <brk id="471" min="3" max="31" man="1"/>
    <brk id="504" min="3" max="31" man="1"/>
  </rowBreaks>
  <colBreaks count="3" manualBreakCount="3">
    <brk id="15" max="450" man="1"/>
    <brk id="27" max="542" man="1"/>
    <brk id="32" min="3" max="523" man="1"/>
  </colBreaks>
  <customProperties>
    <customPr name="_pios_id" r:id="rId2"/>
  </customPropertie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Linkout</vt:lpstr>
      <vt:lpstr>Linkin</vt:lpstr>
      <vt:lpstr>Link In BS Projection</vt:lpstr>
      <vt:lpstr>Sch J-1</vt:lpstr>
      <vt:lpstr>Sch J-2</vt:lpstr>
      <vt:lpstr>Sch J-3</vt:lpstr>
      <vt:lpstr>Sch J-4</vt:lpstr>
      <vt:lpstr>Sch J-5</vt:lpstr>
      <vt:lpstr>Sch J WPs</vt:lpstr>
      <vt:lpstr>STD 2018 WP</vt:lpstr>
      <vt:lpstr>Unamort ITCs 2018 WP</vt:lpstr>
      <vt:lpstr>LTD Discount</vt:lpstr>
      <vt:lpstr>Notes</vt:lpstr>
      <vt:lpstr>'Link In BS Projection'!Print_Area</vt:lpstr>
      <vt:lpstr>Linkin!Print_Area</vt:lpstr>
      <vt:lpstr>Linkout!Print_Area</vt:lpstr>
      <vt:lpstr>'Sch J WPs'!Print_Area</vt:lpstr>
      <vt:lpstr>'Sch J-1'!Print_Area</vt:lpstr>
      <vt:lpstr>'Sch J-2'!Print_Area</vt:lpstr>
      <vt:lpstr>'Sch J-3'!Print_Area</vt:lpstr>
      <vt:lpstr>'Sch J-4'!Print_Area</vt:lpstr>
      <vt:lpstr>'Sch J-5'!Print_Area</vt:lpstr>
      <vt:lpstr>'Unamort ITCs 2018 WP'!Print_Area</vt:lpstr>
      <vt:lpstr>'Link In BS Projection'!Print_Titles</vt:lpstr>
      <vt:lpstr>'Sch J WPs'!Print_Titles</vt:lpstr>
    </vt:vector>
  </TitlesOfParts>
  <Company>KAWC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Frost</dc:creator>
  <cp:lastModifiedBy>Lori N O'Malley</cp:lastModifiedBy>
  <cp:lastPrinted>2018-12-04T21:25:49Z</cp:lastPrinted>
  <dcterms:created xsi:type="dcterms:W3CDTF">1998-12-14T20:29:10Z</dcterms:created>
  <dcterms:modified xsi:type="dcterms:W3CDTF">2019-04-11T13:49:55Z</dcterms:modified>
</cp:coreProperties>
</file>