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0" yWindow="-195" windowWidth="12120" windowHeight="9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Sheet1!$A$2:$L$42</definedName>
  </definedNames>
  <calcPr calcId="125725"/>
</workbook>
</file>

<file path=xl/calcChain.xml><?xml version="1.0" encoding="utf-8"?>
<calcChain xmlns="http://schemas.openxmlformats.org/spreadsheetml/2006/main">
  <c r="A39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I9"/>
  <c r="V9" s="1"/>
  <c r="H11"/>
  <c r="I11" s="1"/>
  <c r="H10"/>
  <c r="I10" s="1"/>
  <c r="F9"/>
  <c r="E11"/>
  <c r="E10"/>
  <c r="C11"/>
  <c r="C10"/>
  <c r="H13"/>
  <c r="I13" s="1"/>
  <c r="H33"/>
  <c r="I33" s="1"/>
  <c r="C34"/>
  <c r="E34"/>
  <c r="H34"/>
  <c r="I34" s="1"/>
  <c r="C35"/>
  <c r="E35"/>
  <c r="H35"/>
  <c r="I35" s="1"/>
  <c r="C36"/>
  <c r="E36"/>
  <c r="H36"/>
  <c r="I36" s="1"/>
  <c r="H39"/>
  <c r="I39" s="1"/>
  <c r="H38"/>
  <c r="I38" s="1"/>
  <c r="E39"/>
  <c r="E38"/>
  <c r="C39"/>
  <c r="F39" s="1"/>
  <c r="C38"/>
  <c r="C12"/>
  <c r="E12"/>
  <c r="H12"/>
  <c r="I12" s="1"/>
  <c r="C13"/>
  <c r="E13"/>
  <c r="C14"/>
  <c r="E14"/>
  <c r="H14"/>
  <c r="I14" s="1"/>
  <c r="C15"/>
  <c r="E15"/>
  <c r="H15"/>
  <c r="I15" s="1"/>
  <c r="C16"/>
  <c r="E16"/>
  <c r="H16"/>
  <c r="I16" s="1"/>
  <c r="C17"/>
  <c r="E17"/>
  <c r="H17"/>
  <c r="I17" s="1"/>
  <c r="C18"/>
  <c r="E18"/>
  <c r="H18"/>
  <c r="I18" s="1"/>
  <c r="C19"/>
  <c r="E19"/>
  <c r="H19"/>
  <c r="I19" s="1"/>
  <c r="C20"/>
  <c r="E20"/>
  <c r="H20"/>
  <c r="I20" s="1"/>
  <c r="C21"/>
  <c r="E21"/>
  <c r="H21"/>
  <c r="I21" s="1"/>
  <c r="C22"/>
  <c r="E22"/>
  <c r="H22"/>
  <c r="I22" s="1"/>
  <c r="C23"/>
  <c r="E23"/>
  <c r="H23"/>
  <c r="I23" s="1"/>
  <c r="C24"/>
  <c r="E24"/>
  <c r="H24"/>
  <c r="I24" s="1"/>
  <c r="C25"/>
  <c r="E25"/>
  <c r="H25"/>
  <c r="I25" s="1"/>
  <c r="C26"/>
  <c r="E26"/>
  <c r="H26"/>
  <c r="I26" s="1"/>
  <c r="C27"/>
  <c r="E27"/>
  <c r="H27"/>
  <c r="I27" s="1"/>
  <c r="C28"/>
  <c r="E28"/>
  <c r="H28"/>
  <c r="I28" s="1"/>
  <c r="C29"/>
  <c r="E29"/>
  <c r="H29"/>
  <c r="I29" s="1"/>
  <c r="C30"/>
  <c r="E30"/>
  <c r="H30"/>
  <c r="I30" s="1"/>
  <c r="C31"/>
  <c r="E31"/>
  <c r="H31"/>
  <c r="I31" s="1"/>
  <c r="C32"/>
  <c r="E32"/>
  <c r="H32"/>
  <c r="I32" s="1"/>
  <c r="C33"/>
  <c r="E33"/>
  <c r="C37"/>
  <c r="E37"/>
  <c r="H37"/>
  <c r="I37" s="1"/>
  <c r="S39"/>
  <c r="S38"/>
  <c r="T38"/>
  <c r="S37"/>
  <c r="S36"/>
  <c r="T36"/>
  <c r="S35"/>
  <c r="S23"/>
  <c r="T23"/>
  <c r="T9"/>
  <c r="U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T35"/>
  <c r="T37"/>
  <c r="T39"/>
  <c r="L4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F38" l="1"/>
  <c r="F11"/>
  <c r="F24"/>
  <c r="J24" s="1"/>
  <c r="W24" s="1"/>
  <c r="F14"/>
  <c r="J14" s="1"/>
  <c r="W14" s="1"/>
  <c r="F31"/>
  <c r="J31" s="1"/>
  <c r="W31" s="1"/>
  <c r="F29"/>
  <c r="J29" s="1"/>
  <c r="W29" s="1"/>
  <c r="F27"/>
  <c r="J27" s="1"/>
  <c r="W27" s="1"/>
  <c r="F25"/>
  <c r="J25" s="1"/>
  <c r="W25" s="1"/>
  <c r="F17"/>
  <c r="J17" s="1"/>
  <c r="W17" s="1"/>
  <c r="F15"/>
  <c r="J15" s="1"/>
  <c r="W15" s="1"/>
  <c r="F12"/>
  <c r="J12" s="1"/>
  <c r="W12" s="1"/>
  <c r="F32"/>
  <c r="J32" s="1"/>
  <c r="W32" s="1"/>
  <c r="F30"/>
  <c r="J30" s="1"/>
  <c r="W30" s="1"/>
  <c r="F26"/>
  <c r="J26" s="1"/>
  <c r="W26" s="1"/>
  <c r="F23"/>
  <c r="J23" s="1"/>
  <c r="W23" s="1"/>
  <c r="F20"/>
  <c r="J20" s="1"/>
  <c r="W20" s="1"/>
  <c r="F36"/>
  <c r="J36" s="1"/>
  <c r="W36" s="1"/>
  <c r="F34"/>
  <c r="J34" s="1"/>
  <c r="W34" s="1"/>
  <c r="F37"/>
  <c r="J37" s="1"/>
  <c r="F10"/>
  <c r="J10" s="1"/>
  <c r="W10" s="1"/>
  <c r="F35"/>
  <c r="J35" s="1"/>
  <c r="W35" s="1"/>
  <c r="F33"/>
  <c r="J33" s="1"/>
  <c r="W33" s="1"/>
  <c r="F28"/>
  <c r="J28" s="1"/>
  <c r="W28" s="1"/>
  <c r="F22"/>
  <c r="J22" s="1"/>
  <c r="W22" s="1"/>
  <c r="F21"/>
  <c r="J21" s="1"/>
  <c r="W21" s="1"/>
  <c r="F19"/>
  <c r="J19" s="1"/>
  <c r="W19" s="1"/>
  <c r="F18"/>
  <c r="J18" s="1"/>
  <c r="W18" s="1"/>
  <c r="F16"/>
  <c r="J16" s="1"/>
  <c r="W16" s="1"/>
  <c r="F13"/>
  <c r="J13" s="1"/>
  <c r="W13" s="1"/>
  <c r="J11"/>
  <c r="W11" s="1"/>
  <c r="J9"/>
  <c r="W9" s="1"/>
  <c r="V10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J39"/>
  <c r="W39" s="1"/>
  <c r="I42"/>
  <c r="J38"/>
  <c r="W38" s="1"/>
  <c r="F42" l="1"/>
  <c r="J42"/>
  <c r="K9"/>
  <c r="L9" s="1"/>
  <c r="W37"/>
  <c r="K10" l="1"/>
  <c r="L10" s="1"/>
  <c r="O9"/>
  <c r="N9"/>
  <c r="M9"/>
  <c r="K11" l="1"/>
  <c r="L11" s="1"/>
  <c r="N10"/>
  <c r="O10"/>
  <c r="M10"/>
  <c r="K12" l="1"/>
  <c r="K13" s="1"/>
  <c r="N11"/>
  <c r="O11"/>
  <c r="M11"/>
  <c r="L12" l="1"/>
  <c r="M12" s="1"/>
  <c r="K14"/>
  <c r="L13"/>
  <c r="N12" l="1"/>
  <c r="O12"/>
  <c r="L14"/>
  <c r="K15"/>
  <c r="O13"/>
  <c r="M13"/>
  <c r="N13"/>
  <c r="L15" l="1"/>
  <c r="K16"/>
  <c r="M14"/>
  <c r="N14"/>
  <c r="O14"/>
  <c r="K17" l="1"/>
  <c r="L16"/>
  <c r="N15"/>
  <c r="M15"/>
  <c r="O15"/>
  <c r="O16" l="1"/>
  <c r="M16"/>
  <c r="N16"/>
  <c r="L17"/>
  <c r="K18"/>
  <c r="N17" l="1"/>
  <c r="O17"/>
  <c r="M17"/>
  <c r="L18"/>
  <c r="K19"/>
  <c r="M18" l="1"/>
  <c r="N18"/>
  <c r="O18"/>
  <c r="L19"/>
  <c r="K20"/>
  <c r="O19" l="1"/>
  <c r="N19"/>
  <c r="M19"/>
  <c r="L20"/>
  <c r="K21"/>
  <c r="O20" l="1"/>
  <c r="M20"/>
  <c r="N20"/>
  <c r="L21"/>
  <c r="K22"/>
  <c r="N21" l="1"/>
  <c r="M21"/>
  <c r="O21"/>
  <c r="L22"/>
  <c r="K23"/>
  <c r="N22" l="1"/>
  <c r="M22"/>
  <c r="O22"/>
  <c r="K24"/>
  <c r="L23"/>
  <c r="L24" l="1"/>
  <c r="K25"/>
  <c r="N23"/>
  <c r="M23"/>
  <c r="O23"/>
  <c r="L25" l="1"/>
  <c r="K26"/>
  <c r="N24"/>
  <c r="O24"/>
  <c r="M24"/>
  <c r="L26" l="1"/>
  <c r="K27"/>
  <c r="N25"/>
  <c r="O25"/>
  <c r="M25"/>
  <c r="K28" l="1"/>
  <c r="L27"/>
  <c r="M26"/>
  <c r="O26"/>
  <c r="N26"/>
  <c r="M27" l="1"/>
  <c r="O27"/>
  <c r="N27"/>
  <c r="K29"/>
  <c r="L28"/>
  <c r="L29" l="1"/>
  <c r="K30"/>
  <c r="O28"/>
  <c r="M28"/>
  <c r="N28"/>
  <c r="L30" l="1"/>
  <c r="K31"/>
  <c r="M29"/>
  <c r="O29"/>
  <c r="N29"/>
  <c r="L31" l="1"/>
  <c r="K32"/>
  <c r="N30"/>
  <c r="M30"/>
  <c r="O30"/>
  <c r="L32" l="1"/>
  <c r="K33"/>
  <c r="M31"/>
  <c r="O31"/>
  <c r="N31"/>
  <c r="L33" l="1"/>
  <c r="K34"/>
  <c r="O32"/>
  <c r="M32"/>
  <c r="N32"/>
  <c r="K35" l="1"/>
  <c r="L34"/>
  <c r="O33"/>
  <c r="N33"/>
  <c r="M33"/>
  <c r="N34" l="1"/>
  <c r="M34"/>
  <c r="O34"/>
  <c r="K36"/>
  <c r="L35"/>
  <c r="L36" l="1"/>
  <c r="K37"/>
  <c r="N35"/>
  <c r="O35"/>
  <c r="M35"/>
  <c r="K38" l="1"/>
  <c r="L37"/>
  <c r="M36"/>
  <c r="N36"/>
  <c r="O36"/>
  <c r="M37" l="1"/>
  <c r="N37"/>
  <c r="O37"/>
  <c r="L38"/>
  <c r="K39"/>
  <c r="L39" s="1"/>
  <c r="M38" l="1"/>
  <c r="O38"/>
  <c r="N38"/>
  <c r="O39"/>
  <c r="N39"/>
  <c r="M39"/>
</calcChain>
</file>

<file path=xl/sharedStrings.xml><?xml version="1.0" encoding="utf-8"?>
<sst xmlns="http://schemas.openxmlformats.org/spreadsheetml/2006/main" count="71" uniqueCount="38">
  <si>
    <t>PRESENT</t>
  </si>
  <si>
    <t>READING</t>
  </si>
  <si>
    <t>WIN.ROAD</t>
  </si>
  <si>
    <t>METER 1</t>
  </si>
  <si>
    <t>PREVIOUS</t>
  </si>
  <si>
    <t>STONEY</t>
  </si>
  <si>
    <t>METER 2</t>
  </si>
  <si>
    <t>ACTUAL</t>
  </si>
  <si>
    <t>USAGE</t>
  </si>
  <si>
    <t>PUMP ST.</t>
  </si>
  <si>
    <t>USE</t>
  </si>
  <si>
    <t>TOTAL</t>
  </si>
  <si>
    <t xml:space="preserve">ALL </t>
  </si>
  <si>
    <t>BOUR CO.</t>
  </si>
  <si>
    <t>DATE</t>
  </si>
  <si>
    <t>TODATE</t>
  </si>
  <si>
    <t xml:space="preserve">WATER </t>
  </si>
  <si>
    <t>PURCHASED</t>
  </si>
  <si>
    <t xml:space="preserve">MONTH </t>
  </si>
  <si>
    <t>DAILY</t>
  </si>
  <si>
    <t>AVERAGE</t>
  </si>
  <si>
    <t>HOURLY</t>
  </si>
  <si>
    <t>USAGE PER</t>
  </si>
  <si>
    <t>CUSTOMER</t>
  </si>
  <si>
    <t>Estimated</t>
  </si>
  <si>
    <t>Monthly</t>
  </si>
  <si>
    <t>Usage</t>
  </si>
  <si>
    <t>AVG.DAILY</t>
  </si>
  <si>
    <t>PUMP ST</t>
  </si>
  <si>
    <t>ONLY</t>
  </si>
  <si>
    <t>PER CUST.</t>
  </si>
  <si>
    <t>TELEMETRY</t>
  </si>
  <si>
    <t>PUMP STAT</t>
  </si>
  <si>
    <t>247 CUST.</t>
  </si>
  <si>
    <t>TOTALS</t>
  </si>
  <si>
    <t>READ METERS.</t>
  </si>
  <si>
    <t>315 CUST</t>
  </si>
  <si>
    <t>MASTER METER READINGS BOURBON COUNTY ONLY YEAR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</si>
</sst>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92D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3" borderId="0" xfId="0" applyFill="1"/>
    <xf numFmtId="0" fontId="4" fillId="4" borderId="3" xfId="0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5" borderId="3" xfId="0" applyFont="1" applyFill="1" applyBorder="1" applyAlignment="1"/>
    <xf numFmtId="0" fontId="4" fillId="5" borderId="1" xfId="0" applyFont="1" applyFill="1" applyBorder="1" applyAlignment="1"/>
    <xf numFmtId="0" fontId="6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0" borderId="0" xfId="0" applyFont="1"/>
    <xf numFmtId="0" fontId="4" fillId="2" borderId="0" xfId="0" applyFont="1" applyFill="1"/>
    <xf numFmtId="0" fontId="7" fillId="2" borderId="0" xfId="0" applyFont="1" applyFill="1"/>
    <xf numFmtId="0" fontId="4" fillId="5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Fill="1" applyBorder="1"/>
    <xf numFmtId="0" fontId="7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1" fontId="4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3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9" fillId="3" borderId="1" xfId="0" applyNumberFormat="1" applyFont="1" applyFill="1" applyBorder="1" applyAlignment="1"/>
    <xf numFmtId="1" fontId="9" fillId="3" borderId="1" xfId="0" applyNumberFormat="1" applyFont="1" applyFill="1" applyBorder="1"/>
    <xf numFmtId="0" fontId="10" fillId="0" borderId="0" xfId="0" applyFont="1"/>
    <xf numFmtId="0" fontId="7" fillId="2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9" borderId="0" xfId="0" applyFill="1"/>
    <xf numFmtId="0" fontId="5" fillId="0" borderId="4" xfId="0" applyFont="1" applyFill="1" applyBorder="1" applyAlignment="1">
      <alignment horizontal="center"/>
    </xf>
    <xf numFmtId="0" fontId="0" fillId="10" borderId="0" xfId="0" applyFill="1"/>
    <xf numFmtId="0" fontId="13" fillId="11" borderId="0" xfId="0" applyFont="1" applyFill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25"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41" sqref="B41"/>
    </sheetView>
  </sheetViews>
  <sheetFormatPr defaultRowHeight="12.75"/>
  <cols>
    <col min="1" max="1" width="7.28515625" bestFit="1" customWidth="1"/>
    <col min="2" max="2" width="11.42578125" customWidth="1"/>
    <col min="3" max="3" width="11.28515625" customWidth="1"/>
    <col min="4" max="4" width="10.5703125" customWidth="1"/>
    <col min="5" max="5" width="11.5703125" customWidth="1"/>
    <col min="6" max="6" width="9.42578125" customWidth="1"/>
    <col min="7" max="7" width="11" customWidth="1"/>
    <col min="8" max="8" width="13.7109375" bestFit="1" customWidth="1"/>
    <col min="9" max="10" width="14.85546875" bestFit="1" customWidth="1"/>
    <col min="11" max="11" width="11.85546875" customWidth="1"/>
    <col min="12" max="12" width="10.7109375" customWidth="1"/>
    <col min="13" max="13" width="12.140625" bestFit="1" customWidth="1"/>
    <col min="14" max="14" width="11.5703125" customWidth="1"/>
    <col min="15" max="15" width="16.140625" bestFit="1" customWidth="1"/>
    <col min="16" max="16" width="1.140625" customWidth="1"/>
    <col min="17" max="17" width="2.140625" customWidth="1"/>
    <col min="18" max="19" width="11" bestFit="1" customWidth="1"/>
    <col min="20" max="20" width="12.140625" bestFit="1" customWidth="1"/>
    <col min="21" max="21" width="12" bestFit="1" customWidth="1"/>
    <col min="22" max="22" width="12" customWidth="1"/>
    <col min="23" max="23" width="11.5703125" bestFit="1" customWidth="1"/>
  </cols>
  <sheetData>
    <row r="1" spans="1:23">
      <c r="K1" s="58"/>
    </row>
    <row r="2" spans="1:23" ht="20.2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W2" s="2" t="s">
        <v>30</v>
      </c>
    </row>
    <row r="3" spans="1:23" ht="6.75" customHeight="1">
      <c r="W3" s="2"/>
    </row>
    <row r="4" spans="1:23">
      <c r="A4" s="4"/>
      <c r="B4" s="10" t="s">
        <v>2</v>
      </c>
      <c r="C4" s="5"/>
      <c r="D4" s="11" t="s">
        <v>5</v>
      </c>
      <c r="E4" s="5"/>
      <c r="F4" s="5" t="s">
        <v>5</v>
      </c>
      <c r="G4" s="12" t="s">
        <v>9</v>
      </c>
      <c r="H4" s="6"/>
      <c r="I4" s="6"/>
      <c r="J4" s="24"/>
      <c r="K4" s="28" t="s">
        <v>16</v>
      </c>
      <c r="L4" s="30" t="s">
        <v>19</v>
      </c>
      <c r="M4" s="36" t="s">
        <v>21</v>
      </c>
      <c r="N4" s="29" t="s">
        <v>33</v>
      </c>
      <c r="R4" s="12" t="s">
        <v>9</v>
      </c>
      <c r="S4" s="6"/>
      <c r="T4" s="44"/>
      <c r="U4" s="49" t="s">
        <v>32</v>
      </c>
      <c r="V4" s="49" t="s">
        <v>32</v>
      </c>
      <c r="W4" s="2" t="s">
        <v>27</v>
      </c>
    </row>
    <row r="5" spans="1:23">
      <c r="A5" s="4"/>
      <c r="B5" s="14" t="s">
        <v>0</v>
      </c>
      <c r="C5" s="13" t="s">
        <v>4</v>
      </c>
      <c r="D5" s="16" t="s">
        <v>0</v>
      </c>
      <c r="E5" s="18" t="s">
        <v>4</v>
      </c>
      <c r="F5" s="12" t="s">
        <v>5</v>
      </c>
      <c r="G5" s="20" t="s">
        <v>0</v>
      </c>
      <c r="H5" s="17" t="s">
        <v>4</v>
      </c>
      <c r="I5" s="19" t="s">
        <v>7</v>
      </c>
      <c r="J5" s="25" t="s">
        <v>11</v>
      </c>
      <c r="K5" s="28" t="s">
        <v>17</v>
      </c>
      <c r="L5" s="30" t="s">
        <v>20</v>
      </c>
      <c r="M5" s="36"/>
      <c r="N5" s="29" t="s">
        <v>19</v>
      </c>
      <c r="O5" s="29" t="s">
        <v>24</v>
      </c>
      <c r="R5" s="20" t="s">
        <v>0</v>
      </c>
      <c r="S5" s="17" t="s">
        <v>4</v>
      </c>
      <c r="T5" s="45" t="s">
        <v>7</v>
      </c>
      <c r="U5" s="2" t="s">
        <v>11</v>
      </c>
      <c r="V5" s="2" t="s">
        <v>11</v>
      </c>
      <c r="W5" s="2" t="s">
        <v>28</v>
      </c>
    </row>
    <row r="6" spans="1:23">
      <c r="A6" s="4"/>
      <c r="B6" s="14" t="s">
        <v>1</v>
      </c>
      <c r="C6" s="13" t="s">
        <v>1</v>
      </c>
      <c r="D6" s="16" t="s">
        <v>1</v>
      </c>
      <c r="E6" s="18" t="s">
        <v>1</v>
      </c>
      <c r="F6" s="12" t="s">
        <v>7</v>
      </c>
      <c r="G6" s="20" t="s">
        <v>1</v>
      </c>
      <c r="H6" s="17" t="s">
        <v>1</v>
      </c>
      <c r="I6" s="19" t="s">
        <v>10</v>
      </c>
      <c r="J6" s="25" t="s">
        <v>12</v>
      </c>
      <c r="K6" s="28" t="s">
        <v>18</v>
      </c>
      <c r="L6" s="30"/>
      <c r="M6" s="36" t="s">
        <v>20</v>
      </c>
      <c r="N6" s="29" t="s">
        <v>22</v>
      </c>
      <c r="O6" s="29" t="s">
        <v>25</v>
      </c>
      <c r="R6" s="20" t="s">
        <v>1</v>
      </c>
      <c r="S6" s="17" t="s">
        <v>1</v>
      </c>
      <c r="T6" s="45" t="s">
        <v>10</v>
      </c>
      <c r="U6" s="2" t="s">
        <v>31</v>
      </c>
      <c r="V6" s="2" t="s">
        <v>7</v>
      </c>
      <c r="W6" s="2" t="s">
        <v>29</v>
      </c>
    </row>
    <row r="7" spans="1:23">
      <c r="A7" s="3" t="s">
        <v>14</v>
      </c>
      <c r="B7" s="15" t="s">
        <v>3</v>
      </c>
      <c r="C7" s="13" t="s">
        <v>3</v>
      </c>
      <c r="D7" s="16" t="s">
        <v>6</v>
      </c>
      <c r="E7" s="18" t="s">
        <v>6</v>
      </c>
      <c r="F7" s="12" t="s">
        <v>8</v>
      </c>
      <c r="G7" s="15"/>
      <c r="H7" s="12" t="s">
        <v>9</v>
      </c>
      <c r="I7" s="12" t="s">
        <v>9</v>
      </c>
      <c r="J7" s="25" t="s">
        <v>13</v>
      </c>
      <c r="K7" s="28" t="s">
        <v>15</v>
      </c>
      <c r="L7" s="30"/>
      <c r="M7" s="36"/>
      <c r="N7" s="29" t="s">
        <v>23</v>
      </c>
      <c r="O7" s="29" t="s">
        <v>26</v>
      </c>
      <c r="R7" s="15"/>
      <c r="S7" s="12" t="s">
        <v>9</v>
      </c>
      <c r="T7" s="46" t="s">
        <v>9</v>
      </c>
      <c r="U7" s="2" t="s">
        <v>8</v>
      </c>
      <c r="V7" s="2" t="s">
        <v>8</v>
      </c>
      <c r="W7" s="2" t="s">
        <v>36</v>
      </c>
    </row>
    <row r="8" spans="1:23" s="9" customFormat="1" ht="6.75" customHeight="1">
      <c r="A8" s="7"/>
      <c r="B8" s="8"/>
      <c r="C8" s="8"/>
      <c r="D8" s="8"/>
      <c r="E8" s="8"/>
      <c r="F8" s="8"/>
      <c r="G8" s="8"/>
      <c r="H8" s="7"/>
      <c r="I8" s="7"/>
      <c r="J8" s="7"/>
      <c r="K8" s="27"/>
      <c r="L8" s="33"/>
      <c r="M8" s="33"/>
      <c r="N8" s="6"/>
      <c r="O8" s="39"/>
      <c r="R8" s="8"/>
      <c r="S8" s="7"/>
      <c r="T8" s="7"/>
      <c r="U8" s="48"/>
      <c r="V8" s="48"/>
      <c r="W8" s="41"/>
    </row>
    <row r="9" spans="1:23">
      <c r="A9" s="65">
        <v>43221</v>
      </c>
      <c r="B9" s="2">
        <v>127002000</v>
      </c>
      <c r="C9" s="2">
        <v>126925000</v>
      </c>
      <c r="D9" s="2">
        <v>332360000</v>
      </c>
      <c r="E9" s="2">
        <v>332310000</v>
      </c>
      <c r="F9" s="20">
        <f>(B9-C9)-(D9-E9)</f>
        <v>27000</v>
      </c>
      <c r="G9" s="50">
        <v>466209000</v>
      </c>
      <c r="H9" s="2">
        <v>466155000</v>
      </c>
      <c r="I9" s="20">
        <f>G9-H9</f>
        <v>54000</v>
      </c>
      <c r="J9" s="26">
        <f t="shared" ref="J9:J39" si="0">+F9+I9</f>
        <v>81000</v>
      </c>
      <c r="K9" s="29">
        <f>+J9</f>
        <v>81000</v>
      </c>
      <c r="L9" s="2">
        <f>+K9/1</f>
        <v>81000</v>
      </c>
      <c r="M9" s="37">
        <f>L9/24</f>
        <v>3375</v>
      </c>
      <c r="N9" s="38">
        <f>L9/247</f>
        <v>327.93522267206475</v>
      </c>
      <c r="O9" s="40">
        <f>L9*31</f>
        <v>2511000</v>
      </c>
      <c r="R9" s="2">
        <v>2677000</v>
      </c>
      <c r="S9" s="12">
        <v>2490000</v>
      </c>
      <c r="T9" s="24">
        <f>R9-S9</f>
        <v>187000</v>
      </c>
      <c r="U9" s="2">
        <f>+T9</f>
        <v>187000</v>
      </c>
      <c r="V9" s="2">
        <f>+I9</f>
        <v>54000</v>
      </c>
      <c r="W9" s="43">
        <f>J9/315</f>
        <v>257.14285714285717</v>
      </c>
    </row>
    <row r="10" spans="1:23">
      <c r="A10" s="65">
        <f>A9+1</f>
        <v>43222</v>
      </c>
      <c r="B10" s="2">
        <v>127002000</v>
      </c>
      <c r="C10" s="12">
        <f>+B9</f>
        <v>127002000</v>
      </c>
      <c r="D10" s="2">
        <v>332360000</v>
      </c>
      <c r="E10" s="12">
        <f>+D9</f>
        <v>332360000</v>
      </c>
      <c r="F10" s="20">
        <f>(B10-C10)-(D10-E10)</f>
        <v>0</v>
      </c>
      <c r="G10" s="50">
        <v>466267000</v>
      </c>
      <c r="H10" s="12">
        <f t="shared" ref="H10:H16" si="1">+G9</f>
        <v>466209000</v>
      </c>
      <c r="I10" s="20">
        <f>G10-H10</f>
        <v>58000</v>
      </c>
      <c r="J10" s="26">
        <f t="shared" si="0"/>
        <v>58000</v>
      </c>
      <c r="K10" s="29">
        <f>+K9+J10</f>
        <v>139000</v>
      </c>
      <c r="L10" s="2">
        <f>+K10/2</f>
        <v>69500</v>
      </c>
      <c r="M10" s="37">
        <f t="shared" ref="M10:M39" si="2">L10/24</f>
        <v>2895.8333333333335</v>
      </c>
      <c r="N10" s="38">
        <f t="shared" ref="N10:N39" si="3">L10/247</f>
        <v>281.37651821862346</v>
      </c>
      <c r="O10" s="40">
        <f t="shared" ref="O10:O39" si="4">L10*31</f>
        <v>2154500</v>
      </c>
      <c r="R10" s="2">
        <v>2914000</v>
      </c>
      <c r="S10" s="12">
        <f t="shared" ref="S10:S39" si="5">+R9</f>
        <v>2677000</v>
      </c>
      <c r="T10" s="24">
        <f t="shared" ref="T10:T39" si="6">R10-S10</f>
        <v>237000</v>
      </c>
      <c r="U10" s="2">
        <f>+U9+T10</f>
        <v>424000</v>
      </c>
      <c r="V10" s="2">
        <f>+V9+I10</f>
        <v>112000</v>
      </c>
      <c r="W10" s="43">
        <f t="shared" ref="W10:W39" si="7">J10/315</f>
        <v>184.12698412698413</v>
      </c>
    </row>
    <row r="11" spans="1:23">
      <c r="A11" s="65">
        <f t="shared" ref="A11:A39" si="8">A10+1</f>
        <v>43223</v>
      </c>
      <c r="B11" s="2">
        <v>127002000</v>
      </c>
      <c r="C11" s="12">
        <f>+B10</f>
        <v>127002000</v>
      </c>
      <c r="D11" s="2">
        <v>332360000</v>
      </c>
      <c r="E11" s="12">
        <f>+D10</f>
        <v>332360000</v>
      </c>
      <c r="F11" s="20">
        <f>(B11-C11)-(D11-E11)</f>
        <v>0</v>
      </c>
      <c r="G11" s="2">
        <v>466316000</v>
      </c>
      <c r="H11" s="12">
        <f t="shared" si="1"/>
        <v>466267000</v>
      </c>
      <c r="I11" s="20">
        <f>G11-H11</f>
        <v>49000</v>
      </c>
      <c r="J11" s="26">
        <f t="shared" si="0"/>
        <v>49000</v>
      </c>
      <c r="K11" s="29">
        <f t="shared" ref="K11:K39" si="9">+K10+J11</f>
        <v>188000</v>
      </c>
      <c r="L11" s="34">
        <f>+K11/3</f>
        <v>62666.666666666664</v>
      </c>
      <c r="M11" s="37">
        <f t="shared" si="2"/>
        <v>2611.1111111111109</v>
      </c>
      <c r="N11" s="38">
        <f t="shared" si="3"/>
        <v>253.71120107962213</v>
      </c>
      <c r="O11" s="57">
        <f t="shared" si="4"/>
        <v>1942666.6666666665</v>
      </c>
      <c r="R11" s="2">
        <v>3103000</v>
      </c>
      <c r="S11" s="12">
        <f t="shared" si="5"/>
        <v>2914000</v>
      </c>
      <c r="T11" s="24">
        <f t="shared" si="6"/>
        <v>189000</v>
      </c>
      <c r="U11" s="2">
        <f>+U10+T11</f>
        <v>613000</v>
      </c>
      <c r="V11" s="2">
        <f t="shared" ref="V11:V39" si="10">+V10+I11</f>
        <v>161000</v>
      </c>
      <c r="W11" s="43">
        <f t="shared" si="7"/>
        <v>155.55555555555554</v>
      </c>
    </row>
    <row r="12" spans="1:23">
      <c r="A12" s="65">
        <f t="shared" si="8"/>
        <v>43224</v>
      </c>
      <c r="B12" s="2">
        <v>127221000</v>
      </c>
      <c r="C12" s="12">
        <f t="shared" ref="C12:C39" si="11">+B11</f>
        <v>127002000</v>
      </c>
      <c r="D12" s="2">
        <v>332520000</v>
      </c>
      <c r="E12" s="12">
        <f>+D11</f>
        <v>332360000</v>
      </c>
      <c r="F12" s="20">
        <f>(B12-C12)-(D12-E12)</f>
        <v>59000</v>
      </c>
      <c r="G12" s="2">
        <v>466363000</v>
      </c>
      <c r="H12" s="12">
        <f t="shared" si="1"/>
        <v>466316000</v>
      </c>
      <c r="I12" s="20">
        <f>G12-H12</f>
        <v>47000</v>
      </c>
      <c r="J12" s="26">
        <f t="shared" si="0"/>
        <v>106000</v>
      </c>
      <c r="K12" s="29">
        <f t="shared" si="9"/>
        <v>294000</v>
      </c>
      <c r="L12" s="2">
        <f>+K12/4</f>
        <v>73500</v>
      </c>
      <c r="M12" s="37">
        <f t="shared" si="2"/>
        <v>3062.5</v>
      </c>
      <c r="N12" s="38">
        <f t="shared" si="3"/>
        <v>297.57085020242914</v>
      </c>
      <c r="O12" s="40">
        <f t="shared" si="4"/>
        <v>2278500</v>
      </c>
      <c r="R12" s="2">
        <v>3258000</v>
      </c>
      <c r="S12" s="12">
        <f t="shared" si="5"/>
        <v>3103000</v>
      </c>
      <c r="T12" s="24">
        <f t="shared" si="6"/>
        <v>155000</v>
      </c>
      <c r="U12" s="2">
        <f t="shared" ref="U12:U39" si="12">+U11+T12</f>
        <v>768000</v>
      </c>
      <c r="V12" s="2">
        <f t="shared" si="10"/>
        <v>208000</v>
      </c>
      <c r="W12" s="43">
        <f t="shared" si="7"/>
        <v>336.50793650793651</v>
      </c>
    </row>
    <row r="13" spans="1:23">
      <c r="A13" s="65">
        <f t="shared" si="8"/>
        <v>43225</v>
      </c>
      <c r="B13" s="2">
        <v>127221000</v>
      </c>
      <c r="C13" s="12">
        <f>+B12</f>
        <v>127221000</v>
      </c>
      <c r="D13" s="2">
        <v>332520000</v>
      </c>
      <c r="E13" s="12">
        <f t="shared" ref="E13:E32" si="13">+D12</f>
        <v>332520000</v>
      </c>
      <c r="F13" s="20">
        <f>(B13-C13)-(D13-E13)</f>
        <v>0</v>
      </c>
      <c r="G13" s="2">
        <v>466409000</v>
      </c>
      <c r="H13" s="12">
        <f t="shared" si="1"/>
        <v>466363000</v>
      </c>
      <c r="I13" s="20">
        <f t="shared" ref="I13:I39" si="14">G13-H13</f>
        <v>46000</v>
      </c>
      <c r="J13" s="26">
        <f t="shared" si="0"/>
        <v>46000</v>
      </c>
      <c r="K13" s="29">
        <f t="shared" si="9"/>
        <v>340000</v>
      </c>
      <c r="L13" s="2">
        <f>+K13/5</f>
        <v>68000</v>
      </c>
      <c r="M13" s="37">
        <f t="shared" si="2"/>
        <v>2833.3333333333335</v>
      </c>
      <c r="N13" s="38">
        <f t="shared" si="3"/>
        <v>275.30364372469637</v>
      </c>
      <c r="O13" s="40">
        <f t="shared" si="4"/>
        <v>2108000</v>
      </c>
      <c r="R13" s="2">
        <v>3421000</v>
      </c>
      <c r="S13" s="12">
        <f t="shared" si="5"/>
        <v>3258000</v>
      </c>
      <c r="T13" s="24">
        <f t="shared" si="6"/>
        <v>163000</v>
      </c>
      <c r="U13" s="2">
        <f t="shared" si="12"/>
        <v>931000</v>
      </c>
      <c r="V13" s="2">
        <f t="shared" si="10"/>
        <v>254000</v>
      </c>
      <c r="W13" s="43">
        <f t="shared" si="7"/>
        <v>146.03174603174602</v>
      </c>
    </row>
    <row r="14" spans="1:23">
      <c r="A14" s="65">
        <f t="shared" si="8"/>
        <v>43226</v>
      </c>
      <c r="B14" s="2">
        <v>127221000</v>
      </c>
      <c r="C14" s="12">
        <f>+B13</f>
        <v>127221000</v>
      </c>
      <c r="D14" s="2">
        <v>332520000</v>
      </c>
      <c r="E14" s="12">
        <f>+D13</f>
        <v>332520000</v>
      </c>
      <c r="F14" s="20">
        <f t="shared" ref="F14:F39" si="15">(B14-C14)-(D14-E14)</f>
        <v>0</v>
      </c>
      <c r="G14" s="2">
        <v>466463000</v>
      </c>
      <c r="H14" s="12">
        <f t="shared" si="1"/>
        <v>466409000</v>
      </c>
      <c r="I14" s="20">
        <f t="shared" si="14"/>
        <v>54000</v>
      </c>
      <c r="J14" s="26">
        <f t="shared" si="0"/>
        <v>54000</v>
      </c>
      <c r="K14" s="29">
        <f t="shared" si="9"/>
        <v>394000</v>
      </c>
      <c r="L14" s="34">
        <f>+K14/6</f>
        <v>65666.666666666672</v>
      </c>
      <c r="M14" s="37">
        <f t="shared" si="2"/>
        <v>2736.1111111111113</v>
      </c>
      <c r="N14" s="38">
        <f t="shared" si="3"/>
        <v>265.85695006747642</v>
      </c>
      <c r="O14" s="56">
        <f t="shared" si="4"/>
        <v>2035666.6666666667</v>
      </c>
      <c r="R14" s="2">
        <v>3641000</v>
      </c>
      <c r="S14" s="12">
        <f t="shared" si="5"/>
        <v>3421000</v>
      </c>
      <c r="T14" s="24">
        <f t="shared" si="6"/>
        <v>220000</v>
      </c>
      <c r="U14" s="2">
        <f t="shared" si="12"/>
        <v>1151000</v>
      </c>
      <c r="V14" s="2">
        <f t="shared" si="10"/>
        <v>308000</v>
      </c>
      <c r="W14" s="43">
        <f t="shared" si="7"/>
        <v>171.42857142857142</v>
      </c>
    </row>
    <row r="15" spans="1:23">
      <c r="A15" s="65">
        <f t="shared" si="8"/>
        <v>43227</v>
      </c>
      <c r="B15" s="2">
        <v>127411000</v>
      </c>
      <c r="C15" s="12">
        <f t="shared" si="11"/>
        <v>127221000</v>
      </c>
      <c r="D15" s="2">
        <v>332665000</v>
      </c>
      <c r="E15" s="12">
        <f t="shared" si="13"/>
        <v>332520000</v>
      </c>
      <c r="F15" s="20">
        <f t="shared" si="15"/>
        <v>45000</v>
      </c>
      <c r="G15" s="2">
        <v>466511000</v>
      </c>
      <c r="H15" s="12">
        <f t="shared" si="1"/>
        <v>466463000</v>
      </c>
      <c r="I15" s="20">
        <f t="shared" si="14"/>
        <v>48000</v>
      </c>
      <c r="J15" s="26">
        <f t="shared" si="0"/>
        <v>93000</v>
      </c>
      <c r="K15" s="29">
        <f t="shared" si="9"/>
        <v>487000</v>
      </c>
      <c r="L15" s="34">
        <f>+K15/7</f>
        <v>69571.428571428565</v>
      </c>
      <c r="M15" s="37">
        <f t="shared" si="2"/>
        <v>2898.8095238095234</v>
      </c>
      <c r="N15" s="38">
        <f t="shared" si="3"/>
        <v>281.66570271833427</v>
      </c>
      <c r="O15" s="57">
        <f t="shared" si="4"/>
        <v>2156714.2857142854</v>
      </c>
      <c r="R15" s="2">
        <v>3838000</v>
      </c>
      <c r="S15" s="12">
        <f t="shared" si="5"/>
        <v>3641000</v>
      </c>
      <c r="T15" s="24">
        <f t="shared" si="6"/>
        <v>197000</v>
      </c>
      <c r="U15" s="2">
        <f t="shared" si="12"/>
        <v>1348000</v>
      </c>
      <c r="V15" s="2">
        <f t="shared" si="10"/>
        <v>356000</v>
      </c>
      <c r="W15" s="43">
        <f t="shared" si="7"/>
        <v>295.23809523809524</v>
      </c>
    </row>
    <row r="16" spans="1:23" s="9" customFormat="1">
      <c r="A16" s="65">
        <f t="shared" si="8"/>
        <v>43228</v>
      </c>
      <c r="B16" s="2">
        <v>127411000</v>
      </c>
      <c r="C16" s="12">
        <f t="shared" si="11"/>
        <v>127411000</v>
      </c>
      <c r="D16" s="2">
        <v>332665000</v>
      </c>
      <c r="E16" s="12">
        <f t="shared" si="13"/>
        <v>332665000</v>
      </c>
      <c r="F16" s="20">
        <f>(B16-C16)-(D16-E16)</f>
        <v>0</v>
      </c>
      <c r="G16" s="2">
        <v>466557000</v>
      </c>
      <c r="H16" s="12">
        <f t="shared" si="1"/>
        <v>466511000</v>
      </c>
      <c r="I16" s="20">
        <f t="shared" si="14"/>
        <v>46000</v>
      </c>
      <c r="J16" s="51">
        <f t="shared" si="0"/>
        <v>46000</v>
      </c>
      <c r="K16" s="52">
        <f t="shared" si="9"/>
        <v>533000</v>
      </c>
      <c r="L16" s="53">
        <f>+K16/8</f>
        <v>66625</v>
      </c>
      <c r="M16" s="54">
        <f t="shared" si="2"/>
        <v>2776.0416666666665</v>
      </c>
      <c r="N16" s="38">
        <f t="shared" si="3"/>
        <v>269.73684210526318</v>
      </c>
      <c r="O16" s="40">
        <f t="shared" si="4"/>
        <v>2065375</v>
      </c>
      <c r="R16" s="50">
        <v>4125000</v>
      </c>
      <c r="S16" s="50">
        <f t="shared" si="5"/>
        <v>3838000</v>
      </c>
      <c r="T16" s="55">
        <f t="shared" si="6"/>
        <v>287000</v>
      </c>
      <c r="U16" s="50">
        <f t="shared" si="12"/>
        <v>1635000</v>
      </c>
      <c r="V16" s="50">
        <f t="shared" si="10"/>
        <v>402000</v>
      </c>
      <c r="W16" s="43">
        <f t="shared" si="7"/>
        <v>146.03174603174602</v>
      </c>
    </row>
    <row r="17" spans="1:23">
      <c r="A17" s="65">
        <f t="shared" si="8"/>
        <v>43229</v>
      </c>
      <c r="B17" s="2">
        <v>127541000</v>
      </c>
      <c r="C17" s="12">
        <f t="shared" si="11"/>
        <v>127411000</v>
      </c>
      <c r="D17" s="2">
        <v>332770000</v>
      </c>
      <c r="E17" s="12">
        <f>+D16</f>
        <v>332665000</v>
      </c>
      <c r="F17" s="20">
        <f>(B17-C17)-(D17-E17)</f>
        <v>25000</v>
      </c>
      <c r="G17" s="2">
        <v>466633000</v>
      </c>
      <c r="H17" s="12">
        <f t="shared" ref="H17:H33" si="16">+G16</f>
        <v>466557000</v>
      </c>
      <c r="I17" s="20">
        <f t="shared" si="14"/>
        <v>76000</v>
      </c>
      <c r="J17" s="26">
        <f t="shared" si="0"/>
        <v>101000</v>
      </c>
      <c r="K17" s="29">
        <f t="shared" si="9"/>
        <v>634000</v>
      </c>
      <c r="L17" s="34">
        <f>+K17/9</f>
        <v>70444.444444444438</v>
      </c>
      <c r="M17" s="37">
        <f t="shared" si="2"/>
        <v>2935.1851851851848</v>
      </c>
      <c r="N17" s="38">
        <f t="shared" si="3"/>
        <v>285.20017993702203</v>
      </c>
      <c r="O17" s="57">
        <f t="shared" si="4"/>
        <v>2183777.7777777775</v>
      </c>
      <c r="R17" s="2">
        <v>4294000</v>
      </c>
      <c r="S17" s="12">
        <f t="shared" si="5"/>
        <v>4125000</v>
      </c>
      <c r="T17" s="24">
        <f t="shared" si="6"/>
        <v>169000</v>
      </c>
      <c r="U17" s="2">
        <f t="shared" si="12"/>
        <v>1804000</v>
      </c>
      <c r="V17" s="2">
        <f t="shared" si="10"/>
        <v>478000</v>
      </c>
      <c r="W17" s="43">
        <f t="shared" si="7"/>
        <v>320.63492063492066</v>
      </c>
    </row>
    <row r="18" spans="1:23">
      <c r="A18" s="65">
        <f t="shared" si="8"/>
        <v>43230</v>
      </c>
      <c r="B18" s="2">
        <v>127541000</v>
      </c>
      <c r="C18" s="12">
        <f t="shared" si="11"/>
        <v>127541000</v>
      </c>
      <c r="D18" s="2">
        <v>332770000</v>
      </c>
      <c r="E18" s="12">
        <f>+D17</f>
        <v>332770000</v>
      </c>
      <c r="F18" s="20">
        <f t="shared" si="15"/>
        <v>0</v>
      </c>
      <c r="G18" s="2">
        <v>466708000</v>
      </c>
      <c r="H18" s="12">
        <f t="shared" si="16"/>
        <v>466633000</v>
      </c>
      <c r="I18" s="20">
        <f t="shared" si="14"/>
        <v>75000</v>
      </c>
      <c r="J18" s="26">
        <f t="shared" si="0"/>
        <v>75000</v>
      </c>
      <c r="K18" s="29">
        <f t="shared" si="9"/>
        <v>709000</v>
      </c>
      <c r="L18" s="2">
        <f>+K18/10</f>
        <v>70900</v>
      </c>
      <c r="M18" s="37">
        <f t="shared" si="2"/>
        <v>2954.1666666666665</v>
      </c>
      <c r="N18" s="38">
        <f t="shared" si="3"/>
        <v>287.04453441295544</v>
      </c>
      <c r="O18" s="40">
        <f t="shared" si="4"/>
        <v>2197900</v>
      </c>
      <c r="R18" s="2">
        <v>4500000</v>
      </c>
      <c r="S18" s="12">
        <f t="shared" si="5"/>
        <v>4294000</v>
      </c>
      <c r="T18" s="24">
        <f t="shared" si="6"/>
        <v>206000</v>
      </c>
      <c r="U18" s="2">
        <f t="shared" si="12"/>
        <v>2010000</v>
      </c>
      <c r="V18" s="2">
        <f t="shared" si="10"/>
        <v>553000</v>
      </c>
      <c r="W18" s="43">
        <f t="shared" si="7"/>
        <v>238.0952380952381</v>
      </c>
    </row>
    <row r="19" spans="1:23">
      <c r="A19" s="65">
        <f t="shared" si="8"/>
        <v>43231</v>
      </c>
      <c r="B19" s="2">
        <v>127699000</v>
      </c>
      <c r="C19" s="12">
        <f t="shared" si="11"/>
        <v>127541000</v>
      </c>
      <c r="D19" s="2">
        <v>332890000</v>
      </c>
      <c r="E19" s="12">
        <f t="shared" si="13"/>
        <v>332770000</v>
      </c>
      <c r="F19" s="20">
        <f t="shared" si="15"/>
        <v>38000</v>
      </c>
      <c r="G19" s="2">
        <v>466788000</v>
      </c>
      <c r="H19" s="12">
        <f t="shared" si="16"/>
        <v>466708000</v>
      </c>
      <c r="I19" s="20">
        <f t="shared" si="14"/>
        <v>80000</v>
      </c>
      <c r="J19" s="26">
        <f t="shared" si="0"/>
        <v>118000</v>
      </c>
      <c r="K19" s="29">
        <f t="shared" si="9"/>
        <v>827000</v>
      </c>
      <c r="L19" s="34">
        <f>+K19/11</f>
        <v>75181.818181818177</v>
      </c>
      <c r="M19" s="37">
        <f t="shared" si="2"/>
        <v>3132.5757575757575</v>
      </c>
      <c r="N19" s="38">
        <f t="shared" si="3"/>
        <v>304.37983069562017</v>
      </c>
      <c r="O19" s="57">
        <f t="shared" si="4"/>
        <v>2330636.3636363633</v>
      </c>
      <c r="R19" s="2">
        <v>4651000</v>
      </c>
      <c r="S19" s="12">
        <f t="shared" si="5"/>
        <v>4500000</v>
      </c>
      <c r="T19" s="24">
        <f t="shared" si="6"/>
        <v>151000</v>
      </c>
      <c r="U19" s="2">
        <f t="shared" si="12"/>
        <v>2161000</v>
      </c>
      <c r="V19" s="2">
        <f t="shared" si="10"/>
        <v>633000</v>
      </c>
      <c r="W19" s="43">
        <f t="shared" si="7"/>
        <v>374.60317460317458</v>
      </c>
    </row>
    <row r="20" spans="1:23">
      <c r="A20" s="65">
        <f t="shared" si="8"/>
        <v>43232</v>
      </c>
      <c r="B20" s="2">
        <v>127699000</v>
      </c>
      <c r="C20" s="12">
        <f t="shared" si="11"/>
        <v>127699000</v>
      </c>
      <c r="D20" s="2">
        <v>332890000</v>
      </c>
      <c r="E20" s="12">
        <f t="shared" si="13"/>
        <v>332890000</v>
      </c>
      <c r="F20" s="20">
        <f t="shared" si="15"/>
        <v>0</v>
      </c>
      <c r="G20" s="2">
        <v>466864000</v>
      </c>
      <c r="H20" s="12">
        <f t="shared" si="16"/>
        <v>466788000</v>
      </c>
      <c r="I20" s="20">
        <f t="shared" si="14"/>
        <v>76000</v>
      </c>
      <c r="J20" s="26">
        <f t="shared" si="0"/>
        <v>76000</v>
      </c>
      <c r="K20" s="29">
        <f t="shared" si="9"/>
        <v>903000</v>
      </c>
      <c r="L20" s="34">
        <f>+K20/12</f>
        <v>75250</v>
      </c>
      <c r="M20" s="37">
        <f t="shared" si="2"/>
        <v>3135.4166666666665</v>
      </c>
      <c r="N20" s="38">
        <f t="shared" si="3"/>
        <v>304.65587044534414</v>
      </c>
      <c r="O20" s="57">
        <f t="shared" si="4"/>
        <v>2332750</v>
      </c>
      <c r="R20" s="2">
        <v>4884000</v>
      </c>
      <c r="S20" s="12">
        <f t="shared" si="5"/>
        <v>4651000</v>
      </c>
      <c r="T20" s="24">
        <f t="shared" si="6"/>
        <v>233000</v>
      </c>
      <c r="U20" s="2">
        <f t="shared" si="12"/>
        <v>2394000</v>
      </c>
      <c r="V20" s="2">
        <f t="shared" si="10"/>
        <v>709000</v>
      </c>
      <c r="W20" s="43">
        <f t="shared" si="7"/>
        <v>241.26984126984127</v>
      </c>
    </row>
    <row r="21" spans="1:23">
      <c r="A21" s="65">
        <f t="shared" si="8"/>
        <v>43233</v>
      </c>
      <c r="B21" s="2">
        <v>127699000</v>
      </c>
      <c r="C21" s="12">
        <f t="shared" si="11"/>
        <v>127699000</v>
      </c>
      <c r="D21" s="2">
        <v>332890000</v>
      </c>
      <c r="E21" s="12">
        <f t="shared" si="13"/>
        <v>332890000</v>
      </c>
      <c r="F21" s="20">
        <f t="shared" si="15"/>
        <v>0</v>
      </c>
      <c r="G21" s="2">
        <v>466927000</v>
      </c>
      <c r="H21" s="12">
        <f t="shared" si="16"/>
        <v>466864000</v>
      </c>
      <c r="I21" s="20">
        <f t="shared" si="14"/>
        <v>63000</v>
      </c>
      <c r="J21" s="26">
        <f t="shared" si="0"/>
        <v>63000</v>
      </c>
      <c r="K21" s="29">
        <f t="shared" si="9"/>
        <v>966000</v>
      </c>
      <c r="L21" s="34">
        <f>+K21/13</f>
        <v>74307.692307692312</v>
      </c>
      <c r="M21" s="37">
        <f t="shared" si="2"/>
        <v>3096.1538461538462</v>
      </c>
      <c r="N21" s="38">
        <f t="shared" si="3"/>
        <v>300.84085954531298</v>
      </c>
      <c r="O21" s="57">
        <f t="shared" si="4"/>
        <v>2303538.4615384615</v>
      </c>
      <c r="R21" s="2">
        <v>5081000</v>
      </c>
      <c r="S21" s="12">
        <f t="shared" si="5"/>
        <v>4884000</v>
      </c>
      <c r="T21" s="24">
        <f t="shared" si="6"/>
        <v>197000</v>
      </c>
      <c r="U21" s="2">
        <f t="shared" si="12"/>
        <v>2591000</v>
      </c>
      <c r="V21" s="2">
        <f t="shared" si="10"/>
        <v>772000</v>
      </c>
      <c r="W21" s="43">
        <f t="shared" si="7"/>
        <v>200</v>
      </c>
    </row>
    <row r="22" spans="1:23">
      <c r="A22" s="65">
        <f t="shared" si="8"/>
        <v>43234</v>
      </c>
      <c r="B22" s="2">
        <v>127976000</v>
      </c>
      <c r="C22" s="12">
        <f t="shared" si="11"/>
        <v>127699000</v>
      </c>
      <c r="D22" s="2">
        <v>333100000</v>
      </c>
      <c r="E22" s="12">
        <f t="shared" si="13"/>
        <v>332890000</v>
      </c>
      <c r="F22" s="20">
        <f t="shared" si="15"/>
        <v>67000</v>
      </c>
      <c r="G22" s="2">
        <v>467002000</v>
      </c>
      <c r="H22" s="12">
        <f t="shared" si="16"/>
        <v>466927000</v>
      </c>
      <c r="I22" s="20">
        <f t="shared" si="14"/>
        <v>75000</v>
      </c>
      <c r="J22" s="26">
        <f t="shared" si="0"/>
        <v>142000</v>
      </c>
      <c r="K22" s="29">
        <f t="shared" si="9"/>
        <v>1108000</v>
      </c>
      <c r="L22" s="34">
        <f>+K22/14</f>
        <v>79142.857142857145</v>
      </c>
      <c r="M22" s="37">
        <f t="shared" si="2"/>
        <v>3297.6190476190477</v>
      </c>
      <c r="N22" s="38">
        <f t="shared" si="3"/>
        <v>320.4164256795836</v>
      </c>
      <c r="O22" s="57">
        <f t="shared" si="4"/>
        <v>2453428.5714285714</v>
      </c>
      <c r="R22" s="2">
        <v>5274000</v>
      </c>
      <c r="S22" s="12">
        <f t="shared" si="5"/>
        <v>5081000</v>
      </c>
      <c r="T22" s="24">
        <f t="shared" si="6"/>
        <v>193000</v>
      </c>
      <c r="U22" s="2">
        <f t="shared" si="12"/>
        <v>2784000</v>
      </c>
      <c r="V22" s="2">
        <f t="shared" si="10"/>
        <v>847000</v>
      </c>
      <c r="W22" s="43">
        <f t="shared" si="7"/>
        <v>450.79365079365078</v>
      </c>
    </row>
    <row r="23" spans="1:23">
      <c r="A23" s="65">
        <f t="shared" si="8"/>
        <v>43235</v>
      </c>
      <c r="B23" s="2">
        <v>127976000</v>
      </c>
      <c r="C23" s="12">
        <f t="shared" si="11"/>
        <v>127976000</v>
      </c>
      <c r="D23" s="2">
        <v>333100000</v>
      </c>
      <c r="E23" s="12">
        <f t="shared" si="13"/>
        <v>333100000</v>
      </c>
      <c r="F23" s="20">
        <f>(B23-C23)-(D23-E23)</f>
        <v>0</v>
      </c>
      <c r="G23" s="2">
        <v>467095000</v>
      </c>
      <c r="H23" s="12">
        <f t="shared" si="16"/>
        <v>467002000</v>
      </c>
      <c r="I23" s="20">
        <f t="shared" si="14"/>
        <v>93000</v>
      </c>
      <c r="J23" s="26">
        <f t="shared" si="0"/>
        <v>93000</v>
      </c>
      <c r="K23" s="29">
        <f t="shared" si="9"/>
        <v>1201000</v>
      </c>
      <c r="L23" s="34">
        <f>+K23/15</f>
        <v>80066.666666666672</v>
      </c>
      <c r="M23" s="37">
        <f t="shared" si="2"/>
        <v>3336.1111111111113</v>
      </c>
      <c r="N23" s="38">
        <f t="shared" si="3"/>
        <v>324.15654520917678</v>
      </c>
      <c r="O23" s="57">
        <f t="shared" si="4"/>
        <v>2482066.666666667</v>
      </c>
      <c r="Q23" s="21"/>
      <c r="R23" s="2">
        <v>5517000</v>
      </c>
      <c r="S23" s="12">
        <f t="shared" si="5"/>
        <v>5274000</v>
      </c>
      <c r="T23" s="24">
        <f t="shared" si="6"/>
        <v>243000</v>
      </c>
      <c r="U23" s="2">
        <f t="shared" si="12"/>
        <v>3027000</v>
      </c>
      <c r="V23" s="2">
        <f t="shared" si="10"/>
        <v>940000</v>
      </c>
      <c r="W23" s="43">
        <f t="shared" si="7"/>
        <v>295.23809523809524</v>
      </c>
    </row>
    <row r="24" spans="1:23">
      <c r="A24" s="65">
        <f t="shared" si="8"/>
        <v>43236</v>
      </c>
      <c r="B24" s="2">
        <v>128154000</v>
      </c>
      <c r="C24" s="12">
        <f t="shared" si="11"/>
        <v>127976000</v>
      </c>
      <c r="D24" s="2">
        <v>333230000</v>
      </c>
      <c r="E24" s="12">
        <f>+D23</f>
        <v>333100000</v>
      </c>
      <c r="F24" s="20">
        <f>(B24-C24)-(D24-E24)</f>
        <v>48000</v>
      </c>
      <c r="G24" s="2">
        <v>467169000</v>
      </c>
      <c r="H24" s="12">
        <f t="shared" si="16"/>
        <v>467095000</v>
      </c>
      <c r="I24" s="20">
        <f t="shared" si="14"/>
        <v>74000</v>
      </c>
      <c r="J24" s="26">
        <f t="shared" si="0"/>
        <v>122000</v>
      </c>
      <c r="K24" s="29">
        <f t="shared" si="9"/>
        <v>1323000</v>
      </c>
      <c r="L24" s="34">
        <f>+K24/16</f>
        <v>82687.5</v>
      </c>
      <c r="M24" s="37">
        <f t="shared" si="2"/>
        <v>3445.3125</v>
      </c>
      <c r="N24" s="38">
        <f t="shared" si="3"/>
        <v>334.76720647773277</v>
      </c>
      <c r="O24" s="57">
        <f t="shared" si="4"/>
        <v>2563312.5</v>
      </c>
      <c r="R24" s="2">
        <v>5699000</v>
      </c>
      <c r="S24" s="12">
        <f t="shared" si="5"/>
        <v>5517000</v>
      </c>
      <c r="T24" s="24">
        <f t="shared" si="6"/>
        <v>182000</v>
      </c>
      <c r="U24" s="2">
        <f t="shared" si="12"/>
        <v>3209000</v>
      </c>
      <c r="V24" s="2">
        <f t="shared" si="10"/>
        <v>1014000</v>
      </c>
      <c r="W24" s="43">
        <f t="shared" si="7"/>
        <v>387.30158730158729</v>
      </c>
    </row>
    <row r="25" spans="1:23">
      <c r="A25" s="65">
        <f t="shared" si="8"/>
        <v>43237</v>
      </c>
      <c r="B25" s="2">
        <v>128154000</v>
      </c>
      <c r="C25" s="12">
        <f t="shared" si="11"/>
        <v>128154000</v>
      </c>
      <c r="D25" s="2">
        <v>333230000</v>
      </c>
      <c r="E25" s="12">
        <f>+D24</f>
        <v>333230000</v>
      </c>
      <c r="F25" s="20">
        <f t="shared" si="15"/>
        <v>0</v>
      </c>
      <c r="G25" s="2">
        <v>467264000</v>
      </c>
      <c r="H25" s="12">
        <f t="shared" si="16"/>
        <v>467169000</v>
      </c>
      <c r="I25" s="20">
        <f t="shared" si="14"/>
        <v>95000</v>
      </c>
      <c r="J25" s="26">
        <f t="shared" si="0"/>
        <v>95000</v>
      </c>
      <c r="K25" s="29">
        <f t="shared" si="9"/>
        <v>1418000</v>
      </c>
      <c r="L25" s="34">
        <f>+K25/17</f>
        <v>83411.76470588235</v>
      </c>
      <c r="M25" s="37">
        <f t="shared" si="2"/>
        <v>3475.4901960784314</v>
      </c>
      <c r="N25" s="38">
        <f t="shared" si="3"/>
        <v>337.69945225053584</v>
      </c>
      <c r="O25" s="57">
        <f t="shared" si="4"/>
        <v>2585764.7058823528</v>
      </c>
      <c r="R25" s="2">
        <v>5903000</v>
      </c>
      <c r="S25" s="12">
        <f t="shared" si="5"/>
        <v>5699000</v>
      </c>
      <c r="T25" s="24">
        <f t="shared" si="6"/>
        <v>204000</v>
      </c>
      <c r="U25" s="2">
        <f t="shared" si="12"/>
        <v>3413000</v>
      </c>
      <c r="V25" s="2">
        <f t="shared" si="10"/>
        <v>1109000</v>
      </c>
      <c r="W25" s="43">
        <f t="shared" si="7"/>
        <v>301.58730158730157</v>
      </c>
    </row>
    <row r="26" spans="1:23">
      <c r="A26" s="65">
        <f t="shared" si="8"/>
        <v>43238</v>
      </c>
      <c r="B26" s="2">
        <v>128323000</v>
      </c>
      <c r="C26" s="12">
        <f t="shared" si="11"/>
        <v>128154000</v>
      </c>
      <c r="D26" s="2">
        <v>333360000</v>
      </c>
      <c r="E26" s="12">
        <f t="shared" si="13"/>
        <v>333230000</v>
      </c>
      <c r="F26" s="20">
        <f t="shared" si="15"/>
        <v>39000</v>
      </c>
      <c r="G26" s="2">
        <v>467320000</v>
      </c>
      <c r="H26" s="12">
        <f t="shared" si="16"/>
        <v>467264000</v>
      </c>
      <c r="I26" s="20">
        <f t="shared" si="14"/>
        <v>56000</v>
      </c>
      <c r="J26" s="26">
        <f t="shared" si="0"/>
        <v>95000</v>
      </c>
      <c r="K26" s="29">
        <f t="shared" si="9"/>
        <v>1513000</v>
      </c>
      <c r="L26" s="34">
        <f>+K26/18</f>
        <v>84055.555555555562</v>
      </c>
      <c r="M26" s="37">
        <f t="shared" si="2"/>
        <v>3502.3148148148152</v>
      </c>
      <c r="N26" s="38">
        <f t="shared" si="3"/>
        <v>340.30589293747192</v>
      </c>
      <c r="O26" s="57">
        <f t="shared" si="4"/>
        <v>2605722.2222222225</v>
      </c>
      <c r="R26" s="2">
        <v>6154000</v>
      </c>
      <c r="S26" s="12">
        <f t="shared" si="5"/>
        <v>5903000</v>
      </c>
      <c r="T26" s="24">
        <f t="shared" si="6"/>
        <v>251000</v>
      </c>
      <c r="U26" s="2">
        <f t="shared" si="12"/>
        <v>3664000</v>
      </c>
      <c r="V26" s="2">
        <f t="shared" si="10"/>
        <v>1165000</v>
      </c>
      <c r="W26" s="43">
        <f t="shared" si="7"/>
        <v>301.58730158730157</v>
      </c>
    </row>
    <row r="27" spans="1:23">
      <c r="A27" s="65">
        <f t="shared" si="8"/>
        <v>43239</v>
      </c>
      <c r="B27" s="2">
        <v>128323000</v>
      </c>
      <c r="C27" s="12">
        <f t="shared" si="11"/>
        <v>128323000</v>
      </c>
      <c r="D27" s="2">
        <v>333360000</v>
      </c>
      <c r="E27" s="12">
        <f t="shared" si="13"/>
        <v>333360000</v>
      </c>
      <c r="F27" s="20">
        <f>(B27-C27)-(D27-E27)</f>
        <v>0</v>
      </c>
      <c r="G27" s="2">
        <v>467439000</v>
      </c>
      <c r="H27" s="12">
        <f t="shared" si="16"/>
        <v>467320000</v>
      </c>
      <c r="I27" s="20">
        <f t="shared" si="14"/>
        <v>119000</v>
      </c>
      <c r="J27" s="26">
        <f t="shared" si="0"/>
        <v>119000</v>
      </c>
      <c r="K27" s="29">
        <f t="shared" si="9"/>
        <v>1632000</v>
      </c>
      <c r="L27" s="34">
        <f>+K27/19</f>
        <v>85894.736842105267</v>
      </c>
      <c r="M27" s="37">
        <f t="shared" si="2"/>
        <v>3578.9473684210529</v>
      </c>
      <c r="N27" s="38">
        <f t="shared" si="3"/>
        <v>347.75197102066909</v>
      </c>
      <c r="O27" s="57">
        <f t="shared" si="4"/>
        <v>2662736.8421052634</v>
      </c>
      <c r="R27" s="2">
        <v>6339000</v>
      </c>
      <c r="S27" s="12">
        <f t="shared" si="5"/>
        <v>6154000</v>
      </c>
      <c r="T27" s="24">
        <f t="shared" si="6"/>
        <v>185000</v>
      </c>
      <c r="U27" s="2">
        <f t="shared" si="12"/>
        <v>3849000</v>
      </c>
      <c r="V27" s="2">
        <f t="shared" si="10"/>
        <v>1284000</v>
      </c>
      <c r="W27" s="43">
        <f t="shared" si="7"/>
        <v>377.77777777777777</v>
      </c>
    </row>
    <row r="28" spans="1:23">
      <c r="A28" s="65">
        <f t="shared" si="8"/>
        <v>43240</v>
      </c>
      <c r="B28" s="2">
        <v>128501000</v>
      </c>
      <c r="C28" s="12">
        <f>+B27</f>
        <v>128323000</v>
      </c>
      <c r="D28" s="2">
        <v>333515000</v>
      </c>
      <c r="E28" s="12">
        <f t="shared" si="13"/>
        <v>333360000</v>
      </c>
      <c r="F28" s="20">
        <f>(B28-C28)-(D28-E28)</f>
        <v>23000</v>
      </c>
      <c r="G28" s="2">
        <v>467554000</v>
      </c>
      <c r="H28" s="12">
        <f t="shared" si="16"/>
        <v>467439000</v>
      </c>
      <c r="I28" s="20">
        <f t="shared" si="14"/>
        <v>115000</v>
      </c>
      <c r="J28" s="26">
        <f t="shared" si="0"/>
        <v>138000</v>
      </c>
      <c r="K28" s="29">
        <f t="shared" si="9"/>
        <v>1770000</v>
      </c>
      <c r="L28" s="2">
        <f>+K28/20</f>
        <v>88500</v>
      </c>
      <c r="M28" s="37">
        <f t="shared" si="2"/>
        <v>3687.5</v>
      </c>
      <c r="N28" s="38">
        <f t="shared" si="3"/>
        <v>358.29959514170042</v>
      </c>
      <c r="O28" s="40">
        <f t="shared" si="4"/>
        <v>2743500</v>
      </c>
      <c r="R28" s="2">
        <v>6650000</v>
      </c>
      <c r="S28" s="12">
        <f t="shared" si="5"/>
        <v>6339000</v>
      </c>
      <c r="T28" s="24">
        <f t="shared" si="6"/>
        <v>311000</v>
      </c>
      <c r="U28" s="2">
        <f t="shared" si="12"/>
        <v>4160000</v>
      </c>
      <c r="V28" s="2">
        <f t="shared" si="10"/>
        <v>1399000</v>
      </c>
      <c r="W28" s="43">
        <f t="shared" si="7"/>
        <v>438.09523809523807</v>
      </c>
    </row>
    <row r="29" spans="1:23">
      <c r="A29" s="65">
        <f t="shared" si="8"/>
        <v>43241</v>
      </c>
      <c r="B29" s="2">
        <v>128501000</v>
      </c>
      <c r="C29" s="12">
        <f>+B28</f>
        <v>128501000</v>
      </c>
      <c r="D29" s="2">
        <v>333515000</v>
      </c>
      <c r="E29" s="12">
        <f t="shared" si="13"/>
        <v>333515000</v>
      </c>
      <c r="F29" s="20">
        <f t="shared" si="15"/>
        <v>0</v>
      </c>
      <c r="G29" s="2">
        <v>467615000</v>
      </c>
      <c r="H29" s="12">
        <f t="shared" si="16"/>
        <v>467554000</v>
      </c>
      <c r="I29" s="20">
        <f t="shared" si="14"/>
        <v>61000</v>
      </c>
      <c r="J29" s="26">
        <f t="shared" si="0"/>
        <v>61000</v>
      </c>
      <c r="K29" s="29">
        <f t="shared" si="9"/>
        <v>1831000</v>
      </c>
      <c r="L29" s="34">
        <f>+K29/21</f>
        <v>87190.476190476184</v>
      </c>
      <c r="M29" s="37">
        <f t="shared" si="2"/>
        <v>3632.9365079365075</v>
      </c>
      <c r="N29" s="38">
        <f t="shared" si="3"/>
        <v>352.99787931366876</v>
      </c>
      <c r="O29" s="57">
        <f t="shared" si="4"/>
        <v>2702904.7619047617</v>
      </c>
      <c r="R29" s="2">
        <v>6880000</v>
      </c>
      <c r="S29" s="12">
        <f t="shared" si="5"/>
        <v>6650000</v>
      </c>
      <c r="T29" s="24">
        <f t="shared" si="6"/>
        <v>230000</v>
      </c>
      <c r="U29" s="2">
        <f t="shared" si="12"/>
        <v>4390000</v>
      </c>
      <c r="V29" s="2">
        <f t="shared" si="10"/>
        <v>1460000</v>
      </c>
      <c r="W29" s="43">
        <f t="shared" si="7"/>
        <v>193.65079365079364</v>
      </c>
    </row>
    <row r="30" spans="1:23">
      <c r="A30" s="65">
        <f t="shared" si="8"/>
        <v>43242</v>
      </c>
      <c r="B30" s="2">
        <v>128501000</v>
      </c>
      <c r="C30" s="12">
        <f t="shared" si="11"/>
        <v>128501000</v>
      </c>
      <c r="D30" s="2">
        <v>333515000</v>
      </c>
      <c r="E30" s="12">
        <f t="shared" si="13"/>
        <v>333515000</v>
      </c>
      <c r="F30" s="20">
        <f t="shared" si="15"/>
        <v>0</v>
      </c>
      <c r="G30" s="2">
        <v>467732000</v>
      </c>
      <c r="H30" s="12">
        <f t="shared" si="16"/>
        <v>467615000</v>
      </c>
      <c r="I30" s="20">
        <f t="shared" si="14"/>
        <v>117000</v>
      </c>
      <c r="J30" s="26">
        <f t="shared" si="0"/>
        <v>117000</v>
      </c>
      <c r="K30" s="29">
        <f t="shared" si="9"/>
        <v>1948000</v>
      </c>
      <c r="L30" s="34">
        <f>+K30/22</f>
        <v>88545.454545454544</v>
      </c>
      <c r="M30" s="37">
        <f t="shared" si="2"/>
        <v>3689.3939393939395</v>
      </c>
      <c r="N30" s="38">
        <f t="shared" si="3"/>
        <v>358.48362164151638</v>
      </c>
      <c r="O30" s="57">
        <f t="shared" si="4"/>
        <v>2744909.0909090908</v>
      </c>
      <c r="R30" s="2">
        <v>7100000</v>
      </c>
      <c r="S30" s="12">
        <f t="shared" si="5"/>
        <v>6880000</v>
      </c>
      <c r="T30" s="24">
        <f t="shared" si="6"/>
        <v>220000</v>
      </c>
      <c r="U30" s="2">
        <f t="shared" si="12"/>
        <v>4610000</v>
      </c>
      <c r="V30" s="2">
        <f t="shared" si="10"/>
        <v>1577000</v>
      </c>
      <c r="W30" s="43">
        <f t="shared" si="7"/>
        <v>371.42857142857144</v>
      </c>
    </row>
    <row r="31" spans="1:23">
      <c r="A31" s="65">
        <f t="shared" si="8"/>
        <v>43243</v>
      </c>
      <c r="B31" s="2">
        <v>128812000</v>
      </c>
      <c r="C31" s="12">
        <f t="shared" si="11"/>
        <v>128501000</v>
      </c>
      <c r="D31" s="2">
        <v>333755000</v>
      </c>
      <c r="E31" s="12">
        <f t="shared" si="13"/>
        <v>333515000</v>
      </c>
      <c r="F31" s="20">
        <f t="shared" si="15"/>
        <v>71000</v>
      </c>
      <c r="G31" s="2">
        <v>467818000</v>
      </c>
      <c r="H31" s="12">
        <f t="shared" si="16"/>
        <v>467732000</v>
      </c>
      <c r="I31" s="20">
        <f t="shared" si="14"/>
        <v>86000</v>
      </c>
      <c r="J31" s="62">
        <f t="shared" si="0"/>
        <v>157000</v>
      </c>
      <c r="K31" s="29">
        <f t="shared" si="9"/>
        <v>2105000</v>
      </c>
      <c r="L31" s="34">
        <f>+K31/23</f>
        <v>91521.739130434784</v>
      </c>
      <c r="M31" s="37">
        <f t="shared" si="2"/>
        <v>3813.4057971014495</v>
      </c>
      <c r="N31" s="38">
        <f t="shared" si="3"/>
        <v>370.53335680337972</v>
      </c>
      <c r="O31" s="57">
        <f t="shared" si="4"/>
        <v>2837173.9130434785</v>
      </c>
      <c r="R31" s="2">
        <v>7350000</v>
      </c>
      <c r="S31" s="12">
        <f t="shared" si="5"/>
        <v>7100000</v>
      </c>
      <c r="T31" s="24">
        <f t="shared" si="6"/>
        <v>250000</v>
      </c>
      <c r="U31" s="2">
        <f t="shared" si="12"/>
        <v>4860000</v>
      </c>
      <c r="V31" s="2">
        <f t="shared" si="10"/>
        <v>1663000</v>
      </c>
      <c r="W31" s="43">
        <f t="shared" si="7"/>
        <v>498.41269841269843</v>
      </c>
    </row>
    <row r="32" spans="1:23">
      <c r="A32" s="65">
        <f t="shared" si="8"/>
        <v>43244</v>
      </c>
      <c r="B32" s="2">
        <v>128812000</v>
      </c>
      <c r="C32" s="12">
        <f t="shared" si="11"/>
        <v>128812000</v>
      </c>
      <c r="D32" s="2">
        <v>333755000</v>
      </c>
      <c r="E32" s="12">
        <f t="shared" si="13"/>
        <v>333755000</v>
      </c>
      <c r="F32" s="20">
        <f>(B32-C32)-(D32-E32)</f>
        <v>0</v>
      </c>
      <c r="G32" s="2">
        <v>467911000</v>
      </c>
      <c r="H32" s="12">
        <f t="shared" si="16"/>
        <v>467818000</v>
      </c>
      <c r="I32" s="20">
        <f t="shared" si="14"/>
        <v>93000</v>
      </c>
      <c r="J32" s="26">
        <f t="shared" si="0"/>
        <v>93000</v>
      </c>
      <c r="K32" s="29">
        <f t="shared" si="9"/>
        <v>2198000</v>
      </c>
      <c r="L32" s="34">
        <f>+K32/24</f>
        <v>91583.333333333328</v>
      </c>
      <c r="M32" s="37">
        <f t="shared" si="2"/>
        <v>3815.9722222222222</v>
      </c>
      <c r="N32" s="38">
        <f t="shared" si="3"/>
        <v>370.78272604588392</v>
      </c>
      <c r="O32" s="57">
        <f t="shared" si="4"/>
        <v>2839083.333333333</v>
      </c>
      <c r="R32" s="2">
        <v>7623000</v>
      </c>
      <c r="S32" s="12">
        <f t="shared" si="5"/>
        <v>7350000</v>
      </c>
      <c r="T32" s="24">
        <f t="shared" si="6"/>
        <v>273000</v>
      </c>
      <c r="U32" s="2">
        <f t="shared" si="12"/>
        <v>5133000</v>
      </c>
      <c r="V32" s="2">
        <f t="shared" si="10"/>
        <v>1756000</v>
      </c>
      <c r="W32" s="43">
        <f t="shared" si="7"/>
        <v>295.23809523809524</v>
      </c>
    </row>
    <row r="33" spans="1:23">
      <c r="A33" s="65">
        <f t="shared" si="8"/>
        <v>43245</v>
      </c>
      <c r="B33" s="2">
        <v>128812000</v>
      </c>
      <c r="C33" s="12">
        <f t="shared" si="11"/>
        <v>128812000</v>
      </c>
      <c r="D33" s="2">
        <v>333755000</v>
      </c>
      <c r="E33" s="12">
        <f t="shared" ref="E33:E39" si="17">+D32</f>
        <v>333755000</v>
      </c>
      <c r="F33" s="20">
        <f t="shared" si="15"/>
        <v>0</v>
      </c>
      <c r="G33" s="2">
        <v>468022000</v>
      </c>
      <c r="H33" s="12">
        <f t="shared" si="16"/>
        <v>467911000</v>
      </c>
      <c r="I33" s="20">
        <f t="shared" si="14"/>
        <v>111000</v>
      </c>
      <c r="J33" s="26">
        <f t="shared" si="0"/>
        <v>111000</v>
      </c>
      <c r="K33" s="29">
        <f t="shared" si="9"/>
        <v>2309000</v>
      </c>
      <c r="L33" s="2">
        <f>+K33/25</f>
        <v>92360</v>
      </c>
      <c r="M33" s="37">
        <f t="shared" si="2"/>
        <v>3848.3333333333335</v>
      </c>
      <c r="N33" s="38">
        <f t="shared" si="3"/>
        <v>373.92712550607285</v>
      </c>
      <c r="O33" s="40">
        <f t="shared" si="4"/>
        <v>2863160</v>
      </c>
      <c r="R33" s="2">
        <v>7804000</v>
      </c>
      <c r="S33" s="12">
        <f t="shared" si="5"/>
        <v>7623000</v>
      </c>
      <c r="T33" s="24">
        <f t="shared" si="6"/>
        <v>181000</v>
      </c>
      <c r="U33" s="2">
        <f t="shared" si="12"/>
        <v>5314000</v>
      </c>
      <c r="V33" s="2">
        <f t="shared" si="10"/>
        <v>1867000</v>
      </c>
      <c r="W33" s="43">
        <f t="shared" si="7"/>
        <v>352.38095238095241</v>
      </c>
    </row>
    <row r="34" spans="1:23">
      <c r="A34" s="65">
        <f t="shared" si="8"/>
        <v>43246</v>
      </c>
      <c r="B34" s="2">
        <v>129098000</v>
      </c>
      <c r="C34" s="12">
        <f t="shared" si="11"/>
        <v>128812000</v>
      </c>
      <c r="D34" s="2">
        <v>333965000</v>
      </c>
      <c r="E34" s="12">
        <f t="shared" si="17"/>
        <v>333755000</v>
      </c>
      <c r="F34" s="20">
        <f>(B34-C34)-(D34-E34)</f>
        <v>76000</v>
      </c>
      <c r="G34" s="2">
        <v>468100000</v>
      </c>
      <c r="H34" s="12">
        <f t="shared" ref="H34:H39" si="18">+G33</f>
        <v>468022000</v>
      </c>
      <c r="I34" s="20">
        <f t="shared" si="14"/>
        <v>78000</v>
      </c>
      <c r="J34" s="26">
        <f t="shared" si="0"/>
        <v>154000</v>
      </c>
      <c r="K34" s="29">
        <f t="shared" si="9"/>
        <v>2463000</v>
      </c>
      <c r="L34" s="34">
        <f>+K34/26</f>
        <v>94730.769230769234</v>
      </c>
      <c r="M34" s="37">
        <f t="shared" si="2"/>
        <v>3947.1153846153848</v>
      </c>
      <c r="N34" s="38">
        <f t="shared" si="3"/>
        <v>383.52538150109001</v>
      </c>
      <c r="O34" s="57">
        <f t="shared" si="4"/>
        <v>2936653.8461538465</v>
      </c>
      <c r="R34" s="2">
        <v>7965000</v>
      </c>
      <c r="S34" s="12">
        <f t="shared" si="5"/>
        <v>7804000</v>
      </c>
      <c r="T34" s="24">
        <f t="shared" si="6"/>
        <v>161000</v>
      </c>
      <c r="U34" s="2">
        <f t="shared" si="12"/>
        <v>5475000</v>
      </c>
      <c r="V34" s="2">
        <f t="shared" si="10"/>
        <v>1945000</v>
      </c>
      <c r="W34" s="43">
        <f t="shared" si="7"/>
        <v>488.88888888888891</v>
      </c>
    </row>
    <row r="35" spans="1:23">
      <c r="A35" s="65">
        <f t="shared" si="8"/>
        <v>43247</v>
      </c>
      <c r="B35" s="2">
        <v>129098000</v>
      </c>
      <c r="C35" s="12">
        <f t="shared" si="11"/>
        <v>129098000</v>
      </c>
      <c r="D35" s="2">
        <v>333965000</v>
      </c>
      <c r="E35" s="12">
        <f t="shared" si="17"/>
        <v>333965000</v>
      </c>
      <c r="F35" s="20">
        <f t="shared" si="15"/>
        <v>0</v>
      </c>
      <c r="G35" s="2">
        <v>468209000</v>
      </c>
      <c r="H35" s="12">
        <f t="shared" si="18"/>
        <v>468100000</v>
      </c>
      <c r="I35" s="20">
        <f t="shared" si="14"/>
        <v>109000</v>
      </c>
      <c r="J35" s="26">
        <f t="shared" si="0"/>
        <v>109000</v>
      </c>
      <c r="K35" s="29">
        <f t="shared" si="9"/>
        <v>2572000</v>
      </c>
      <c r="L35" s="34">
        <f>+K35/27</f>
        <v>95259.259259259255</v>
      </c>
      <c r="M35" s="37">
        <f t="shared" si="2"/>
        <v>3969.1358024691358</v>
      </c>
      <c r="N35" s="38">
        <f t="shared" si="3"/>
        <v>385.6650172439646</v>
      </c>
      <c r="O35" s="57">
        <f t="shared" si="4"/>
        <v>2953037.0370370368</v>
      </c>
      <c r="R35" s="2">
        <v>8195000</v>
      </c>
      <c r="S35" s="12">
        <f t="shared" si="5"/>
        <v>7965000</v>
      </c>
      <c r="T35" s="24">
        <f t="shared" si="6"/>
        <v>230000</v>
      </c>
      <c r="U35" s="2">
        <f t="shared" si="12"/>
        <v>5705000</v>
      </c>
      <c r="V35" s="2">
        <f t="shared" si="10"/>
        <v>2054000</v>
      </c>
      <c r="W35" s="43">
        <f t="shared" si="7"/>
        <v>346.03174603174602</v>
      </c>
    </row>
    <row r="36" spans="1:23">
      <c r="A36" s="65">
        <f t="shared" si="8"/>
        <v>43248</v>
      </c>
      <c r="B36" s="2">
        <v>129098000</v>
      </c>
      <c r="C36" s="12">
        <f t="shared" si="11"/>
        <v>129098000</v>
      </c>
      <c r="D36" s="2">
        <v>333965000</v>
      </c>
      <c r="E36" s="12">
        <f t="shared" si="17"/>
        <v>333965000</v>
      </c>
      <c r="F36" s="20">
        <f t="shared" si="15"/>
        <v>0</v>
      </c>
      <c r="G36" s="2">
        <v>468323000</v>
      </c>
      <c r="H36" s="12">
        <f t="shared" si="18"/>
        <v>468209000</v>
      </c>
      <c r="I36" s="20">
        <f t="shared" si="14"/>
        <v>114000</v>
      </c>
      <c r="J36" s="26">
        <f t="shared" si="0"/>
        <v>114000</v>
      </c>
      <c r="K36" s="29">
        <f t="shared" si="9"/>
        <v>2686000</v>
      </c>
      <c r="L36" s="34">
        <f>+K36/28</f>
        <v>95928.571428571435</v>
      </c>
      <c r="M36" s="37">
        <f t="shared" si="2"/>
        <v>3997.0238095238096</v>
      </c>
      <c r="N36" s="38">
        <f t="shared" si="3"/>
        <v>388.37478311162522</v>
      </c>
      <c r="O36" s="57">
        <f t="shared" si="4"/>
        <v>2973785.7142857146</v>
      </c>
      <c r="R36" s="2">
        <v>8445000</v>
      </c>
      <c r="S36" s="12">
        <f t="shared" si="5"/>
        <v>8195000</v>
      </c>
      <c r="T36" s="24">
        <f t="shared" si="6"/>
        <v>250000</v>
      </c>
      <c r="U36" s="2">
        <f t="shared" si="12"/>
        <v>5955000</v>
      </c>
      <c r="V36" s="2">
        <f t="shared" si="10"/>
        <v>2168000</v>
      </c>
      <c r="W36" s="43">
        <f t="shared" si="7"/>
        <v>361.90476190476193</v>
      </c>
    </row>
    <row r="37" spans="1:23">
      <c r="A37" s="65">
        <f t="shared" si="8"/>
        <v>43249</v>
      </c>
      <c r="B37" s="2">
        <v>129399000</v>
      </c>
      <c r="C37" s="12">
        <f t="shared" si="11"/>
        <v>129098000</v>
      </c>
      <c r="D37" s="2">
        <v>334210000</v>
      </c>
      <c r="E37" s="12">
        <f t="shared" si="17"/>
        <v>333965000</v>
      </c>
      <c r="F37" s="20">
        <f t="shared" si="15"/>
        <v>56000</v>
      </c>
      <c r="G37" s="2">
        <v>468419000</v>
      </c>
      <c r="H37" s="12">
        <f t="shared" si="18"/>
        <v>468323000</v>
      </c>
      <c r="I37" s="20">
        <f t="shared" si="14"/>
        <v>96000</v>
      </c>
      <c r="J37" s="26">
        <f t="shared" si="0"/>
        <v>152000</v>
      </c>
      <c r="K37" s="29">
        <f t="shared" si="9"/>
        <v>2838000</v>
      </c>
      <c r="L37" s="34">
        <f>+K37/28</f>
        <v>101357.14285714286</v>
      </c>
      <c r="M37" s="37">
        <f t="shared" si="2"/>
        <v>4223.2142857142853</v>
      </c>
      <c r="N37" s="38">
        <f t="shared" si="3"/>
        <v>410.35280508964718</v>
      </c>
      <c r="O37" s="57">
        <f t="shared" si="4"/>
        <v>3142071.4285714286</v>
      </c>
      <c r="R37" s="2">
        <v>8683000</v>
      </c>
      <c r="S37" s="12">
        <f t="shared" si="5"/>
        <v>8445000</v>
      </c>
      <c r="T37" s="24">
        <f t="shared" si="6"/>
        <v>238000</v>
      </c>
      <c r="U37" s="2">
        <f t="shared" si="12"/>
        <v>6193000</v>
      </c>
      <c r="V37" s="2">
        <f t="shared" si="10"/>
        <v>2264000</v>
      </c>
      <c r="W37" s="43">
        <f t="shared" si="7"/>
        <v>482.53968253968253</v>
      </c>
    </row>
    <row r="38" spans="1:23">
      <c r="A38" s="65">
        <f t="shared" si="8"/>
        <v>43250</v>
      </c>
      <c r="B38" s="2">
        <v>129399000</v>
      </c>
      <c r="C38" s="12">
        <f t="shared" si="11"/>
        <v>129399000</v>
      </c>
      <c r="D38" s="2">
        <v>334210000</v>
      </c>
      <c r="E38" s="12">
        <f t="shared" si="17"/>
        <v>334210000</v>
      </c>
      <c r="F38" s="20">
        <f t="shared" si="15"/>
        <v>0</v>
      </c>
      <c r="G38" s="2">
        <v>468524000</v>
      </c>
      <c r="H38" s="12">
        <f t="shared" si="18"/>
        <v>468419000</v>
      </c>
      <c r="I38" s="20">
        <f t="shared" si="14"/>
        <v>105000</v>
      </c>
      <c r="J38" s="26">
        <f t="shared" si="0"/>
        <v>105000</v>
      </c>
      <c r="K38" s="29">
        <f t="shared" si="9"/>
        <v>2943000</v>
      </c>
      <c r="L38" s="34">
        <f>+K38/28</f>
        <v>105107.14285714286</v>
      </c>
      <c r="M38" s="37">
        <f t="shared" si="2"/>
        <v>4379.4642857142853</v>
      </c>
      <c r="N38" s="38">
        <f t="shared" si="3"/>
        <v>425.53499132446501</v>
      </c>
      <c r="O38" s="57">
        <f t="shared" si="4"/>
        <v>3258321.4285714286</v>
      </c>
      <c r="R38" s="2">
        <v>8911000</v>
      </c>
      <c r="S38" s="12">
        <f t="shared" si="5"/>
        <v>8683000</v>
      </c>
      <c r="T38" s="24">
        <f t="shared" si="6"/>
        <v>228000</v>
      </c>
      <c r="U38" s="2">
        <f t="shared" si="12"/>
        <v>6421000</v>
      </c>
      <c r="V38" s="2">
        <f t="shared" si="10"/>
        <v>2369000</v>
      </c>
      <c r="W38" s="43">
        <f t="shared" si="7"/>
        <v>333.33333333333331</v>
      </c>
    </row>
    <row r="39" spans="1:23">
      <c r="A39" s="65">
        <f t="shared" si="8"/>
        <v>43251</v>
      </c>
      <c r="B39" s="2">
        <v>129599000</v>
      </c>
      <c r="C39" s="12">
        <f t="shared" si="11"/>
        <v>129399000</v>
      </c>
      <c r="D39" s="2">
        <v>334355000</v>
      </c>
      <c r="E39" s="12">
        <f t="shared" si="17"/>
        <v>334210000</v>
      </c>
      <c r="F39" s="20">
        <f t="shared" si="15"/>
        <v>55000</v>
      </c>
      <c r="G39" s="2">
        <v>468599000</v>
      </c>
      <c r="H39" s="12">
        <f t="shared" si="18"/>
        <v>468524000</v>
      </c>
      <c r="I39" s="20">
        <f t="shared" si="14"/>
        <v>75000</v>
      </c>
      <c r="J39" s="26">
        <f t="shared" si="0"/>
        <v>130000</v>
      </c>
      <c r="K39" s="29">
        <f t="shared" si="9"/>
        <v>3073000</v>
      </c>
      <c r="L39" s="34">
        <f>+K39/28</f>
        <v>109750</v>
      </c>
      <c r="M39" s="37">
        <f t="shared" si="2"/>
        <v>4572.916666666667</v>
      </c>
      <c r="N39" s="38">
        <f t="shared" si="3"/>
        <v>444.33198380566802</v>
      </c>
      <c r="O39" s="57">
        <f t="shared" si="4"/>
        <v>3402250</v>
      </c>
      <c r="R39" s="2"/>
      <c r="S39" s="12">
        <f t="shared" si="5"/>
        <v>8911000</v>
      </c>
      <c r="T39" s="24">
        <f t="shared" si="6"/>
        <v>-8911000</v>
      </c>
      <c r="U39" s="2">
        <f t="shared" si="12"/>
        <v>-2490000</v>
      </c>
      <c r="V39" s="2">
        <f t="shared" si="10"/>
        <v>2444000</v>
      </c>
      <c r="W39" s="43">
        <f t="shared" si="7"/>
        <v>412.69841269841271</v>
      </c>
    </row>
    <row r="40" spans="1:23" ht="3.75" customHeight="1">
      <c r="A40" s="65"/>
      <c r="B40" s="22"/>
      <c r="C40" s="22"/>
      <c r="D40" s="22"/>
      <c r="E40" s="22"/>
      <c r="F40" s="22"/>
      <c r="G40" s="22"/>
      <c r="H40" s="22"/>
      <c r="I40" s="22"/>
      <c r="J40" s="22"/>
      <c r="K40" s="32"/>
      <c r="L40">
        <f>+K40/27</f>
        <v>0</v>
      </c>
      <c r="N40" s="2"/>
      <c r="R40" s="22"/>
      <c r="S40" s="22"/>
      <c r="T40" s="22"/>
      <c r="U40" s="2"/>
      <c r="V40" s="2"/>
      <c r="W40" s="42"/>
    </row>
    <row r="41" spans="1:23" ht="13.5" thickBot="1">
      <c r="A41" s="65"/>
      <c r="B41" s="1"/>
      <c r="C41" s="1"/>
      <c r="D41" s="1"/>
      <c r="E41" s="1"/>
      <c r="F41" s="1"/>
      <c r="G41" s="1"/>
      <c r="H41" s="1"/>
      <c r="I41" s="31"/>
      <c r="J41" s="31"/>
      <c r="K41" s="29"/>
      <c r="N41" s="2"/>
      <c r="R41" s="1"/>
      <c r="S41" s="1"/>
      <c r="T41" s="31"/>
      <c r="U41" s="2"/>
      <c r="V41" s="2"/>
      <c r="W41" s="42"/>
    </row>
    <row r="42" spans="1:23" ht="13.5" thickBot="1">
      <c r="A42" s="65"/>
      <c r="B42" s="1">
        <v>2018</v>
      </c>
      <c r="C42" s="23" t="s">
        <v>34</v>
      </c>
      <c r="D42" s="23"/>
      <c r="E42" s="23"/>
      <c r="F42" s="30">
        <f>SUM(F9:F41)</f>
        <v>629000</v>
      </c>
      <c r="G42" s="23"/>
      <c r="H42" s="30"/>
      <c r="I42" s="30">
        <f>SUM(I9:I41)</f>
        <v>2444000</v>
      </c>
      <c r="J42" s="60">
        <f>SUM(J9:J39)</f>
        <v>3073000</v>
      </c>
      <c r="K42" s="59"/>
      <c r="L42" s="35"/>
      <c r="N42" s="2"/>
      <c r="R42" s="23"/>
      <c r="S42" s="23"/>
      <c r="T42" s="30"/>
      <c r="U42" s="47"/>
      <c r="V42" s="47"/>
      <c r="W42" s="42"/>
    </row>
    <row r="43" spans="1:23">
      <c r="A43" s="65"/>
    </row>
    <row r="44" spans="1:23">
      <c r="A44" s="65"/>
      <c r="J44" s="63"/>
    </row>
    <row r="45" spans="1:23">
      <c r="A45" s="65"/>
      <c r="B45" s="64"/>
      <c r="C45" t="s">
        <v>35</v>
      </c>
      <c r="D45" s="9"/>
    </row>
    <row r="46" spans="1:23">
      <c r="A46" s="65"/>
      <c r="D46" s="9"/>
    </row>
    <row r="47" spans="1:23">
      <c r="A47" s="65"/>
      <c r="B47" s="61"/>
    </row>
    <row r="48" spans="1:23">
      <c r="A48" s="65"/>
    </row>
    <row r="49" spans="1:1">
      <c r="A49" s="65"/>
    </row>
    <row r="50" spans="1:1">
      <c r="A50" s="65"/>
    </row>
    <row r="51" spans="1:1">
      <c r="A51" s="65"/>
    </row>
    <row r="52" spans="1:1">
      <c r="A52" s="65"/>
    </row>
    <row r="53" spans="1:1">
      <c r="A53" s="65"/>
    </row>
    <row r="54" spans="1:1">
      <c r="A54" s="65"/>
    </row>
    <row r="55" spans="1:1">
      <c r="A55" s="65"/>
    </row>
  </sheetData>
  <mergeCells count="1">
    <mergeCell ref="A2:K2"/>
  </mergeCells>
  <phoneticPr fontId="0" type="noConversion"/>
  <printOptions horizontalCentered="1" verticalCentered="1"/>
  <pageMargins left="0" right="0" top="0.5" bottom="0.5" header="0.5" footer="0.5"/>
  <pageSetup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6784E8A0-A612-4F43-A209-B1CC13BD8A3B}"/>
</file>

<file path=customXml/itemProps2.xml><?xml version="1.0" encoding="utf-8"?>
<ds:datastoreItem xmlns:ds="http://schemas.openxmlformats.org/officeDocument/2006/customXml" ds:itemID="{6C3CE2D9-BE2F-4A07-BBD1-0877A3FDBF03}"/>
</file>

<file path=customXml/itemProps3.xml><?xml version="1.0" encoding="utf-8"?>
<ds:datastoreItem xmlns:ds="http://schemas.openxmlformats.org/officeDocument/2006/customXml" ds:itemID="{A2FC7BDC-DE75-4EDC-9403-F2C4848467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lastModifiedBy>Tim</cp:lastModifiedBy>
  <cp:lastPrinted>2016-01-31T14:44:48Z</cp:lastPrinted>
  <dcterms:created xsi:type="dcterms:W3CDTF">2002-07-26T11:51:45Z</dcterms:created>
  <dcterms:modified xsi:type="dcterms:W3CDTF">2018-05-31T09:48:28Z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