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070" yWindow="-195" windowWidth="12120" windowHeight="910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Sheet1!$A$2:$L$42</definedName>
  </definedNames>
  <calcPr calcId="125725"/>
</workbook>
</file>

<file path=xl/calcChain.xml><?xml version="1.0" encoding="utf-8"?>
<calcChain xmlns="http://schemas.openxmlformats.org/spreadsheetml/2006/main">
  <c r="A38" i="1"/>
  <c r="A39" s="1"/>
  <c r="A37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I9"/>
  <c r="V9" s="1"/>
  <c r="H11"/>
  <c r="I11" s="1"/>
  <c r="H10"/>
  <c r="I10" s="1"/>
  <c r="F9"/>
  <c r="E11"/>
  <c r="E10"/>
  <c r="C11"/>
  <c r="C10"/>
  <c r="H13"/>
  <c r="I13" s="1"/>
  <c r="H33"/>
  <c r="I33" s="1"/>
  <c r="C34"/>
  <c r="E34"/>
  <c r="H34"/>
  <c r="I34" s="1"/>
  <c r="C35"/>
  <c r="E35"/>
  <c r="H35"/>
  <c r="I35" s="1"/>
  <c r="C36"/>
  <c r="E36"/>
  <c r="H36"/>
  <c r="I36" s="1"/>
  <c r="H39"/>
  <c r="I39" s="1"/>
  <c r="H38"/>
  <c r="I38" s="1"/>
  <c r="E39"/>
  <c r="E38"/>
  <c r="C39"/>
  <c r="F39" s="1"/>
  <c r="C38"/>
  <c r="C12"/>
  <c r="E12"/>
  <c r="H12"/>
  <c r="I12" s="1"/>
  <c r="C13"/>
  <c r="E13"/>
  <c r="C14"/>
  <c r="E14"/>
  <c r="H14"/>
  <c r="I14" s="1"/>
  <c r="C15"/>
  <c r="E15"/>
  <c r="H15"/>
  <c r="I15" s="1"/>
  <c r="C16"/>
  <c r="E16"/>
  <c r="H16"/>
  <c r="I16" s="1"/>
  <c r="C17"/>
  <c r="E17"/>
  <c r="H17"/>
  <c r="I17" s="1"/>
  <c r="C18"/>
  <c r="E18"/>
  <c r="H18"/>
  <c r="I18" s="1"/>
  <c r="C19"/>
  <c r="E19"/>
  <c r="H19"/>
  <c r="I19" s="1"/>
  <c r="C20"/>
  <c r="E20"/>
  <c r="H20"/>
  <c r="I20" s="1"/>
  <c r="C21"/>
  <c r="E21"/>
  <c r="H21"/>
  <c r="I21" s="1"/>
  <c r="C22"/>
  <c r="E22"/>
  <c r="H22"/>
  <c r="I22" s="1"/>
  <c r="C23"/>
  <c r="E23"/>
  <c r="H23"/>
  <c r="I23" s="1"/>
  <c r="C24"/>
  <c r="E24"/>
  <c r="H24"/>
  <c r="I24" s="1"/>
  <c r="C25"/>
  <c r="E25"/>
  <c r="H25"/>
  <c r="I25" s="1"/>
  <c r="C26"/>
  <c r="E26"/>
  <c r="H26"/>
  <c r="I26" s="1"/>
  <c r="C27"/>
  <c r="E27"/>
  <c r="H27"/>
  <c r="I27" s="1"/>
  <c r="C28"/>
  <c r="E28"/>
  <c r="H28"/>
  <c r="I28" s="1"/>
  <c r="C29"/>
  <c r="E29"/>
  <c r="H29"/>
  <c r="I29" s="1"/>
  <c r="C30"/>
  <c r="E30"/>
  <c r="H30"/>
  <c r="I30" s="1"/>
  <c r="C31"/>
  <c r="E31"/>
  <c r="H31"/>
  <c r="I31" s="1"/>
  <c r="C32"/>
  <c r="E32"/>
  <c r="H32"/>
  <c r="I32" s="1"/>
  <c r="C33"/>
  <c r="E33"/>
  <c r="C37"/>
  <c r="E37"/>
  <c r="H37"/>
  <c r="I37" s="1"/>
  <c r="S39"/>
  <c r="S38"/>
  <c r="T38"/>
  <c r="S37"/>
  <c r="S36"/>
  <c r="T36"/>
  <c r="S35"/>
  <c r="S23"/>
  <c r="T23"/>
  <c r="T9"/>
  <c r="U9"/>
  <c r="S10"/>
  <c r="T10"/>
  <c r="S11"/>
  <c r="T11"/>
  <c r="S12"/>
  <c r="T12"/>
  <c r="S13"/>
  <c r="T13"/>
  <c r="S14"/>
  <c r="T14"/>
  <c r="S15"/>
  <c r="T15"/>
  <c r="S16"/>
  <c r="T16"/>
  <c r="S17"/>
  <c r="T17"/>
  <c r="S18"/>
  <c r="T18"/>
  <c r="S19"/>
  <c r="T19"/>
  <c r="S20"/>
  <c r="T20"/>
  <c r="S21"/>
  <c r="T21"/>
  <c r="S22"/>
  <c r="T22"/>
  <c r="S24"/>
  <c r="T24"/>
  <c r="S25"/>
  <c r="T25"/>
  <c r="S26"/>
  <c r="T26"/>
  <c r="S27"/>
  <c r="T27"/>
  <c r="S28"/>
  <c r="T28"/>
  <c r="S29"/>
  <c r="T29"/>
  <c r="S30"/>
  <c r="T30"/>
  <c r="S31"/>
  <c r="T31"/>
  <c r="S32"/>
  <c r="T32"/>
  <c r="S33"/>
  <c r="T33"/>
  <c r="S34"/>
  <c r="T34"/>
  <c r="T35"/>
  <c r="T37"/>
  <c r="T39"/>
  <c r="L40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F38" l="1"/>
  <c r="F11"/>
  <c r="F24"/>
  <c r="J24" s="1"/>
  <c r="W24" s="1"/>
  <c r="F14"/>
  <c r="J14" s="1"/>
  <c r="W14" s="1"/>
  <c r="F31"/>
  <c r="J31" s="1"/>
  <c r="W31" s="1"/>
  <c r="F29"/>
  <c r="J29" s="1"/>
  <c r="W29" s="1"/>
  <c r="F27"/>
  <c r="J27" s="1"/>
  <c r="W27" s="1"/>
  <c r="F25"/>
  <c r="J25" s="1"/>
  <c r="W25" s="1"/>
  <c r="F17"/>
  <c r="J17" s="1"/>
  <c r="W17" s="1"/>
  <c r="F15"/>
  <c r="J15" s="1"/>
  <c r="W15" s="1"/>
  <c r="F12"/>
  <c r="J12" s="1"/>
  <c r="W12" s="1"/>
  <c r="F32"/>
  <c r="J32" s="1"/>
  <c r="W32" s="1"/>
  <c r="F30"/>
  <c r="J30" s="1"/>
  <c r="W30" s="1"/>
  <c r="F26"/>
  <c r="J26" s="1"/>
  <c r="W26" s="1"/>
  <c r="F23"/>
  <c r="J23" s="1"/>
  <c r="W23" s="1"/>
  <c r="F20"/>
  <c r="J20" s="1"/>
  <c r="W20" s="1"/>
  <c r="F36"/>
  <c r="J36" s="1"/>
  <c r="W36" s="1"/>
  <c r="F34"/>
  <c r="J34" s="1"/>
  <c r="W34" s="1"/>
  <c r="F37"/>
  <c r="J37" s="1"/>
  <c r="F10"/>
  <c r="J10" s="1"/>
  <c r="W10" s="1"/>
  <c r="F35"/>
  <c r="J35" s="1"/>
  <c r="W35" s="1"/>
  <c r="F33"/>
  <c r="J33" s="1"/>
  <c r="W33" s="1"/>
  <c r="F28"/>
  <c r="J28" s="1"/>
  <c r="W28" s="1"/>
  <c r="F22"/>
  <c r="J22" s="1"/>
  <c r="W22" s="1"/>
  <c r="F21"/>
  <c r="J21" s="1"/>
  <c r="W21" s="1"/>
  <c r="F19"/>
  <c r="J19" s="1"/>
  <c r="W19" s="1"/>
  <c r="F18"/>
  <c r="J18" s="1"/>
  <c r="W18" s="1"/>
  <c r="F16"/>
  <c r="J16" s="1"/>
  <c r="W16" s="1"/>
  <c r="F13"/>
  <c r="J13" s="1"/>
  <c r="W13" s="1"/>
  <c r="J11"/>
  <c r="W11" s="1"/>
  <c r="J9"/>
  <c r="W9" s="1"/>
  <c r="V10"/>
  <c r="V11" s="1"/>
  <c r="V12" s="1"/>
  <c r="V13" s="1"/>
  <c r="V14" s="1"/>
  <c r="V15" s="1"/>
  <c r="V16" s="1"/>
  <c r="V17" s="1"/>
  <c r="V18" s="1"/>
  <c r="V19" s="1"/>
  <c r="V20" s="1"/>
  <c r="V21" s="1"/>
  <c r="V22" s="1"/>
  <c r="V23" s="1"/>
  <c r="V24" s="1"/>
  <c r="V25" s="1"/>
  <c r="V26" s="1"/>
  <c r="V27" s="1"/>
  <c r="V28" s="1"/>
  <c r="V29" s="1"/>
  <c r="V30" s="1"/>
  <c r="V31" s="1"/>
  <c r="V32" s="1"/>
  <c r="V33" s="1"/>
  <c r="V34" s="1"/>
  <c r="V35" s="1"/>
  <c r="V36" s="1"/>
  <c r="V37" s="1"/>
  <c r="V38" s="1"/>
  <c r="V39" s="1"/>
  <c r="J39"/>
  <c r="W39" s="1"/>
  <c r="I42"/>
  <c r="J38"/>
  <c r="W38" s="1"/>
  <c r="F42" l="1"/>
  <c r="J42"/>
  <c r="K9"/>
  <c r="L9" s="1"/>
  <c r="W37"/>
  <c r="K10" l="1"/>
  <c r="L10" s="1"/>
  <c r="O9"/>
  <c r="N9"/>
  <c r="M9"/>
  <c r="K11" l="1"/>
  <c r="L11" s="1"/>
  <c r="N10"/>
  <c r="O10"/>
  <c r="M10"/>
  <c r="K12" l="1"/>
  <c r="K13" s="1"/>
  <c r="N11"/>
  <c r="O11"/>
  <c r="M11"/>
  <c r="L12" l="1"/>
  <c r="M12" s="1"/>
  <c r="K14"/>
  <c r="L13"/>
  <c r="N12" l="1"/>
  <c r="O12"/>
  <c r="L14"/>
  <c r="K15"/>
  <c r="O13"/>
  <c r="M13"/>
  <c r="N13"/>
  <c r="L15" l="1"/>
  <c r="K16"/>
  <c r="M14"/>
  <c r="N14"/>
  <c r="O14"/>
  <c r="K17" l="1"/>
  <c r="L16"/>
  <c r="N15"/>
  <c r="M15"/>
  <c r="O15"/>
  <c r="O16" l="1"/>
  <c r="M16"/>
  <c r="N16"/>
  <c r="L17"/>
  <c r="K18"/>
  <c r="N17" l="1"/>
  <c r="O17"/>
  <c r="M17"/>
  <c r="L18"/>
  <c r="K19"/>
  <c r="M18" l="1"/>
  <c r="N18"/>
  <c r="O18"/>
  <c r="L19"/>
  <c r="K20"/>
  <c r="O19" l="1"/>
  <c r="N19"/>
  <c r="M19"/>
  <c r="L20"/>
  <c r="K21"/>
  <c r="O20" l="1"/>
  <c r="M20"/>
  <c r="N20"/>
  <c r="L21"/>
  <c r="K22"/>
  <c r="N21" l="1"/>
  <c r="M21"/>
  <c r="O21"/>
  <c r="L22"/>
  <c r="K23"/>
  <c r="N22" l="1"/>
  <c r="M22"/>
  <c r="O22"/>
  <c r="K24"/>
  <c r="L23"/>
  <c r="L24" l="1"/>
  <c r="K25"/>
  <c r="N23"/>
  <c r="M23"/>
  <c r="O23"/>
  <c r="L25" l="1"/>
  <c r="K26"/>
  <c r="N24"/>
  <c r="O24"/>
  <c r="M24"/>
  <c r="L26" l="1"/>
  <c r="K27"/>
  <c r="N25"/>
  <c r="O25"/>
  <c r="M25"/>
  <c r="K28" l="1"/>
  <c r="L27"/>
  <c r="M26"/>
  <c r="O26"/>
  <c r="N26"/>
  <c r="M27" l="1"/>
  <c r="O27"/>
  <c r="N27"/>
  <c r="K29"/>
  <c r="L28"/>
  <c r="L29" l="1"/>
  <c r="K30"/>
  <c r="O28"/>
  <c r="M28"/>
  <c r="N28"/>
  <c r="L30" l="1"/>
  <c r="K31"/>
  <c r="M29"/>
  <c r="O29"/>
  <c r="N29"/>
  <c r="L31" l="1"/>
  <c r="K32"/>
  <c r="N30"/>
  <c r="M30"/>
  <c r="O30"/>
  <c r="L32" l="1"/>
  <c r="K33"/>
  <c r="M31"/>
  <c r="O31"/>
  <c r="N31"/>
  <c r="L33" l="1"/>
  <c r="K34"/>
  <c r="O32"/>
  <c r="M32"/>
  <c r="N32"/>
  <c r="K35" l="1"/>
  <c r="L34"/>
  <c r="O33"/>
  <c r="N33"/>
  <c r="M33"/>
  <c r="N34" l="1"/>
  <c r="M34"/>
  <c r="O34"/>
  <c r="K36"/>
  <c r="L35"/>
  <c r="L36" l="1"/>
  <c r="K37"/>
  <c r="N35"/>
  <c r="O35"/>
  <c r="M35"/>
  <c r="K38" l="1"/>
  <c r="L37"/>
  <c r="M36"/>
  <c r="N36"/>
  <c r="O36"/>
  <c r="M37" l="1"/>
  <c r="N37"/>
  <c r="O37"/>
  <c r="L38"/>
  <c r="K39"/>
  <c r="L39" s="1"/>
  <c r="M38" l="1"/>
  <c r="O38"/>
  <c r="N38"/>
  <c r="O39"/>
  <c r="N39"/>
  <c r="M39"/>
</calcChain>
</file>

<file path=xl/sharedStrings.xml><?xml version="1.0" encoding="utf-8"?>
<sst xmlns="http://schemas.openxmlformats.org/spreadsheetml/2006/main" count="71" uniqueCount="38">
  <si>
    <t>PRESENT</t>
  </si>
  <si>
    <t>READING</t>
  </si>
  <si>
    <t>WIN.ROAD</t>
  </si>
  <si>
    <t>METER 1</t>
  </si>
  <si>
    <t>PREVIOUS</t>
  </si>
  <si>
    <t>STONEY</t>
  </si>
  <si>
    <t>METER 2</t>
  </si>
  <si>
    <t>ACTUAL</t>
  </si>
  <si>
    <t>USAGE</t>
  </si>
  <si>
    <t>PUMP ST.</t>
  </si>
  <si>
    <t>USE</t>
  </si>
  <si>
    <t>TOTAL</t>
  </si>
  <si>
    <t xml:space="preserve">ALL </t>
  </si>
  <si>
    <t>BOUR CO.</t>
  </si>
  <si>
    <t>DATE</t>
  </si>
  <si>
    <t>TODATE</t>
  </si>
  <si>
    <t xml:space="preserve">WATER </t>
  </si>
  <si>
    <t>PURCHASED</t>
  </si>
  <si>
    <t xml:space="preserve">MONTH </t>
  </si>
  <si>
    <t>DAILY</t>
  </si>
  <si>
    <t>AVERAGE</t>
  </si>
  <si>
    <t>HOURLY</t>
  </si>
  <si>
    <t>USAGE PER</t>
  </si>
  <si>
    <t>CUSTOMER</t>
  </si>
  <si>
    <t>Estimated</t>
  </si>
  <si>
    <t>Monthly</t>
  </si>
  <si>
    <t>Usage</t>
  </si>
  <si>
    <t>AVG.DAILY</t>
  </si>
  <si>
    <t>PUMP ST</t>
  </si>
  <si>
    <t>ONLY</t>
  </si>
  <si>
    <t>PER CUST.</t>
  </si>
  <si>
    <t>TELEMETRY</t>
  </si>
  <si>
    <t>PUMP STAT</t>
  </si>
  <si>
    <t>247 CUST.</t>
  </si>
  <si>
    <t>TOTALS</t>
  </si>
  <si>
    <t>READ METERS.</t>
  </si>
  <si>
    <t>315 CUST</t>
  </si>
  <si>
    <t>MASTER METER READINGS BOURBON COUNTY ONLY YEAR 2018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</si>
</sst>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4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5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4"/>
      <name val="Arial"/>
      <family val="2"/>
    </font>
    <font>
      <sz val="10"/>
      <color indexed="10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sz val="10"/>
      <color rgb="FF92D05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67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2" borderId="0" xfId="0" applyFont="1" applyFill="1" applyBorder="1"/>
    <xf numFmtId="0" fontId="4" fillId="2" borderId="1" xfId="0" applyFont="1" applyFill="1" applyBorder="1" applyAlignment="1"/>
    <xf numFmtId="0" fontId="4" fillId="2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/>
    <xf numFmtId="0" fontId="0" fillId="3" borderId="0" xfId="0" applyFill="1"/>
    <xf numFmtId="0" fontId="4" fillId="4" borderId="3" xfId="0" applyFont="1" applyFill="1" applyBorder="1" applyAlignment="1"/>
    <xf numFmtId="0" fontId="4" fillId="4" borderId="1" xfId="0" applyFont="1" applyFill="1" applyBorder="1" applyAlignment="1"/>
    <xf numFmtId="0" fontId="4" fillId="4" borderId="1" xfId="0" applyFont="1" applyFill="1" applyBorder="1" applyAlignment="1">
      <alignment horizontal="center"/>
    </xf>
    <xf numFmtId="0" fontId="5" fillId="0" borderId="1" xfId="0" applyFont="1" applyBorder="1" applyAlignment="1"/>
    <xf numFmtId="0" fontId="4" fillId="5" borderId="3" xfId="0" applyFont="1" applyFill="1" applyBorder="1" applyAlignment="1"/>
    <xf numFmtId="0" fontId="4" fillId="5" borderId="1" xfId="0" applyFont="1" applyFill="1" applyBorder="1" applyAlignment="1"/>
    <xf numFmtId="0" fontId="6" fillId="5" borderId="1" xfId="0" applyFont="1" applyFill="1" applyBorder="1" applyAlignment="1"/>
    <xf numFmtId="0" fontId="5" fillId="0" borderId="1" xfId="0" applyFont="1" applyBorder="1" applyAlignment="1">
      <alignment horizontal="center"/>
    </xf>
    <xf numFmtId="0" fontId="5" fillId="3" borderId="1" xfId="0" applyFont="1" applyFill="1" applyBorder="1" applyAlignment="1"/>
    <xf numFmtId="0" fontId="4" fillId="6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8" fillId="0" borderId="0" xfId="0" applyFont="1"/>
    <xf numFmtId="0" fontId="4" fillId="2" borderId="0" xfId="0" applyFont="1" applyFill="1"/>
    <xf numFmtId="0" fontId="7" fillId="2" borderId="0" xfId="0" applyFont="1" applyFill="1"/>
    <xf numFmtId="0" fontId="4" fillId="5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" fillId="2" borderId="1" xfId="0" applyFont="1" applyFill="1" applyBorder="1"/>
    <xf numFmtId="0" fontId="7" fillId="7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0" fillId="2" borderId="0" xfId="0" applyFill="1"/>
    <xf numFmtId="1" fontId="4" fillId="0" borderId="1" xfId="0" applyNumberFormat="1" applyFont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1" fontId="4" fillId="8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9" fillId="3" borderId="1" xfId="0" applyFont="1" applyFill="1" applyBorder="1"/>
    <xf numFmtId="0" fontId="0" fillId="2" borderId="1" xfId="0" applyFill="1" applyBorder="1"/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0" fillId="0" borderId="1" xfId="0" applyBorder="1"/>
    <xf numFmtId="0" fontId="0" fillId="3" borderId="1" xfId="0" applyFill="1" applyBorder="1"/>
    <xf numFmtId="0" fontId="4" fillId="0" borderId="1" xfId="0" applyFont="1" applyBorder="1"/>
    <xf numFmtId="0" fontId="4" fillId="3" borderId="1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1" fontId="4" fillId="3" borderId="4" xfId="0" applyNumberFormat="1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1" fontId="9" fillId="3" borderId="1" xfId="0" applyNumberFormat="1" applyFont="1" applyFill="1" applyBorder="1" applyAlignment="1"/>
    <xf numFmtId="1" fontId="9" fillId="3" borderId="1" xfId="0" applyNumberFormat="1" applyFont="1" applyFill="1" applyBorder="1"/>
    <xf numFmtId="0" fontId="10" fillId="0" borderId="0" xfId="0" applyFont="1"/>
    <xf numFmtId="0" fontId="7" fillId="2" borderId="3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0" fillId="9" borderId="0" xfId="0" applyFill="1"/>
    <xf numFmtId="0" fontId="5" fillId="0" borderId="4" xfId="0" applyFont="1" applyFill="1" applyBorder="1" applyAlignment="1">
      <alignment horizontal="center"/>
    </xf>
    <xf numFmtId="0" fontId="0" fillId="10" borderId="0" xfId="0" applyFill="1"/>
    <xf numFmtId="0" fontId="13" fillId="11" borderId="0" xfId="0" applyFont="1" applyFill="1"/>
    <xf numFmtId="16" fontId="4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Comma 2" xfId="1"/>
    <cellStyle name="Comma 3" xfId="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5"/>
  <sheetViews>
    <sheetView tabSelected="1" zoomScale="125" zoomScaleNormal="100" workbookViewId="0">
      <pane xSplit="1" ySplit="8" topLeftCell="B22" activePane="bottomRight" state="frozen"/>
      <selection pane="topRight" activeCell="B1" sqref="B1"/>
      <selection pane="bottomLeft" activeCell="A9" sqref="A9"/>
      <selection pane="bottomRight" activeCell="B42" sqref="B42"/>
    </sheetView>
  </sheetViews>
  <sheetFormatPr defaultRowHeight="12.75"/>
  <cols>
    <col min="1" max="1" width="7.28515625" bestFit="1" customWidth="1"/>
    <col min="2" max="2" width="11.42578125" customWidth="1"/>
    <col min="3" max="3" width="11.28515625" customWidth="1"/>
    <col min="4" max="4" width="10.5703125" customWidth="1"/>
    <col min="5" max="5" width="11.5703125" customWidth="1"/>
    <col min="6" max="6" width="9.42578125" customWidth="1"/>
    <col min="7" max="7" width="11" customWidth="1"/>
    <col min="8" max="8" width="13.7109375" bestFit="1" customWidth="1"/>
    <col min="9" max="10" width="14.85546875" bestFit="1" customWidth="1"/>
    <col min="11" max="11" width="11.85546875" customWidth="1"/>
    <col min="12" max="12" width="10.7109375" customWidth="1"/>
    <col min="13" max="13" width="12.140625" bestFit="1" customWidth="1"/>
    <col min="14" max="14" width="11.5703125" customWidth="1"/>
    <col min="15" max="15" width="16.140625" bestFit="1" customWidth="1"/>
    <col min="16" max="16" width="1.140625" customWidth="1"/>
    <col min="17" max="17" width="2.140625" customWidth="1"/>
    <col min="18" max="19" width="11" bestFit="1" customWidth="1"/>
    <col min="20" max="20" width="12.140625" bestFit="1" customWidth="1"/>
    <col min="21" max="21" width="12" bestFit="1" customWidth="1"/>
    <col min="22" max="22" width="12" customWidth="1"/>
    <col min="23" max="23" width="11.5703125" bestFit="1" customWidth="1"/>
  </cols>
  <sheetData>
    <row r="1" spans="1:23">
      <c r="K1" s="58"/>
    </row>
    <row r="2" spans="1:23" ht="20.25" customHeight="1">
      <c r="A2" s="66" t="s">
        <v>37</v>
      </c>
      <c r="B2" s="66"/>
      <c r="C2" s="66"/>
      <c r="D2" s="66"/>
      <c r="E2" s="66"/>
      <c r="F2" s="66"/>
      <c r="G2" s="66"/>
      <c r="H2" s="66"/>
      <c r="I2" s="66"/>
      <c r="J2" s="66"/>
      <c r="K2" s="66"/>
      <c r="W2" s="2" t="s">
        <v>30</v>
      </c>
    </row>
    <row r="3" spans="1:23" ht="6.75" customHeight="1">
      <c r="W3" s="2"/>
    </row>
    <row r="4" spans="1:23">
      <c r="A4" s="4"/>
      <c r="B4" s="10" t="s">
        <v>2</v>
      </c>
      <c r="C4" s="5"/>
      <c r="D4" s="11" t="s">
        <v>5</v>
      </c>
      <c r="E4" s="5"/>
      <c r="F4" s="5" t="s">
        <v>5</v>
      </c>
      <c r="G4" s="12" t="s">
        <v>9</v>
      </c>
      <c r="H4" s="6"/>
      <c r="I4" s="6"/>
      <c r="J4" s="24"/>
      <c r="K4" s="28" t="s">
        <v>16</v>
      </c>
      <c r="L4" s="30" t="s">
        <v>19</v>
      </c>
      <c r="M4" s="36" t="s">
        <v>21</v>
      </c>
      <c r="N4" s="29" t="s">
        <v>33</v>
      </c>
      <c r="R4" s="12" t="s">
        <v>9</v>
      </c>
      <c r="S4" s="6"/>
      <c r="T4" s="44"/>
      <c r="U4" s="49" t="s">
        <v>32</v>
      </c>
      <c r="V4" s="49" t="s">
        <v>32</v>
      </c>
      <c r="W4" s="2" t="s">
        <v>27</v>
      </c>
    </row>
    <row r="5" spans="1:23">
      <c r="A5" s="4"/>
      <c r="B5" s="14" t="s">
        <v>0</v>
      </c>
      <c r="C5" s="13" t="s">
        <v>4</v>
      </c>
      <c r="D5" s="16" t="s">
        <v>0</v>
      </c>
      <c r="E5" s="18" t="s">
        <v>4</v>
      </c>
      <c r="F5" s="12" t="s">
        <v>5</v>
      </c>
      <c r="G5" s="20" t="s">
        <v>0</v>
      </c>
      <c r="H5" s="17" t="s">
        <v>4</v>
      </c>
      <c r="I5" s="19" t="s">
        <v>7</v>
      </c>
      <c r="J5" s="25" t="s">
        <v>11</v>
      </c>
      <c r="K5" s="28" t="s">
        <v>17</v>
      </c>
      <c r="L5" s="30" t="s">
        <v>20</v>
      </c>
      <c r="M5" s="36"/>
      <c r="N5" s="29" t="s">
        <v>19</v>
      </c>
      <c r="O5" s="29" t="s">
        <v>24</v>
      </c>
      <c r="R5" s="20" t="s">
        <v>0</v>
      </c>
      <c r="S5" s="17" t="s">
        <v>4</v>
      </c>
      <c r="T5" s="45" t="s">
        <v>7</v>
      </c>
      <c r="U5" s="2" t="s">
        <v>11</v>
      </c>
      <c r="V5" s="2" t="s">
        <v>11</v>
      </c>
      <c r="W5" s="2" t="s">
        <v>28</v>
      </c>
    </row>
    <row r="6" spans="1:23">
      <c r="A6" s="4"/>
      <c r="B6" s="14" t="s">
        <v>1</v>
      </c>
      <c r="C6" s="13" t="s">
        <v>1</v>
      </c>
      <c r="D6" s="16" t="s">
        <v>1</v>
      </c>
      <c r="E6" s="18" t="s">
        <v>1</v>
      </c>
      <c r="F6" s="12" t="s">
        <v>7</v>
      </c>
      <c r="G6" s="20" t="s">
        <v>1</v>
      </c>
      <c r="H6" s="17" t="s">
        <v>1</v>
      </c>
      <c r="I6" s="19" t="s">
        <v>10</v>
      </c>
      <c r="J6" s="25" t="s">
        <v>12</v>
      </c>
      <c r="K6" s="28" t="s">
        <v>18</v>
      </c>
      <c r="L6" s="30"/>
      <c r="M6" s="36" t="s">
        <v>20</v>
      </c>
      <c r="N6" s="29" t="s">
        <v>22</v>
      </c>
      <c r="O6" s="29" t="s">
        <v>25</v>
      </c>
      <c r="R6" s="20" t="s">
        <v>1</v>
      </c>
      <c r="S6" s="17" t="s">
        <v>1</v>
      </c>
      <c r="T6" s="45" t="s">
        <v>10</v>
      </c>
      <c r="U6" s="2" t="s">
        <v>31</v>
      </c>
      <c r="V6" s="2" t="s">
        <v>7</v>
      </c>
      <c r="W6" s="2" t="s">
        <v>29</v>
      </c>
    </row>
    <row r="7" spans="1:23">
      <c r="A7" s="3" t="s">
        <v>14</v>
      </c>
      <c r="B7" s="15" t="s">
        <v>3</v>
      </c>
      <c r="C7" s="13" t="s">
        <v>3</v>
      </c>
      <c r="D7" s="16" t="s">
        <v>6</v>
      </c>
      <c r="E7" s="18" t="s">
        <v>6</v>
      </c>
      <c r="F7" s="12" t="s">
        <v>8</v>
      </c>
      <c r="G7" s="15"/>
      <c r="H7" s="12" t="s">
        <v>9</v>
      </c>
      <c r="I7" s="12" t="s">
        <v>9</v>
      </c>
      <c r="J7" s="25" t="s">
        <v>13</v>
      </c>
      <c r="K7" s="28" t="s">
        <v>15</v>
      </c>
      <c r="L7" s="30"/>
      <c r="M7" s="36"/>
      <c r="N7" s="29" t="s">
        <v>23</v>
      </c>
      <c r="O7" s="29" t="s">
        <v>26</v>
      </c>
      <c r="R7" s="15"/>
      <c r="S7" s="12" t="s">
        <v>9</v>
      </c>
      <c r="T7" s="46" t="s">
        <v>9</v>
      </c>
      <c r="U7" s="2" t="s">
        <v>8</v>
      </c>
      <c r="V7" s="2" t="s">
        <v>8</v>
      </c>
      <c r="W7" s="2" t="s">
        <v>36</v>
      </c>
    </row>
    <row r="8" spans="1:23" s="9" customFormat="1" ht="6.75" customHeight="1">
      <c r="A8" s="7"/>
      <c r="B8" s="8"/>
      <c r="C8" s="8"/>
      <c r="D8" s="8"/>
      <c r="E8" s="8"/>
      <c r="F8" s="8"/>
      <c r="G8" s="8"/>
      <c r="H8" s="7"/>
      <c r="I8" s="7"/>
      <c r="J8" s="7"/>
      <c r="K8" s="27"/>
      <c r="L8" s="33"/>
      <c r="M8" s="33"/>
      <c r="N8" s="6"/>
      <c r="O8" s="39"/>
      <c r="R8" s="8"/>
      <c r="S8" s="7"/>
      <c r="T8" s="7"/>
      <c r="U8" s="48"/>
      <c r="V8" s="48"/>
      <c r="W8" s="41"/>
    </row>
    <row r="9" spans="1:23">
      <c r="A9" s="65">
        <v>43160</v>
      </c>
      <c r="B9" s="2">
        <v>122138000</v>
      </c>
      <c r="C9" s="2">
        <v>122054000</v>
      </c>
      <c r="D9" s="2">
        <v>329295000</v>
      </c>
      <c r="E9" s="2">
        <v>329240000</v>
      </c>
      <c r="F9" s="20">
        <f>(B9-C9)-(D9-E9)</f>
        <v>29000</v>
      </c>
      <c r="G9" s="50">
        <v>463141000</v>
      </c>
      <c r="H9" s="2">
        <v>463093000</v>
      </c>
      <c r="I9" s="20">
        <f>G9-H9</f>
        <v>48000</v>
      </c>
      <c r="J9" s="26">
        <f t="shared" ref="J9:J39" si="0">+F9+I9</f>
        <v>77000</v>
      </c>
      <c r="K9" s="29">
        <f>+J9</f>
        <v>77000</v>
      </c>
      <c r="L9" s="2">
        <f>+K9/1</f>
        <v>77000</v>
      </c>
      <c r="M9" s="37">
        <f>L9/24</f>
        <v>3208.3333333333335</v>
      </c>
      <c r="N9" s="38">
        <f>L9/247</f>
        <v>311.74089068825913</v>
      </c>
      <c r="O9" s="40">
        <f>L9*31</f>
        <v>2387000</v>
      </c>
      <c r="R9" s="2">
        <v>2677000</v>
      </c>
      <c r="S9" s="12">
        <v>2490000</v>
      </c>
      <c r="T9" s="24">
        <f>R9-S9</f>
        <v>187000</v>
      </c>
      <c r="U9" s="2">
        <f>+T9</f>
        <v>187000</v>
      </c>
      <c r="V9" s="2">
        <f>+I9</f>
        <v>48000</v>
      </c>
      <c r="W9" s="43">
        <f>J9/315</f>
        <v>244.44444444444446</v>
      </c>
    </row>
    <row r="10" spans="1:23">
      <c r="A10" s="65">
        <f>A9+1</f>
        <v>43161</v>
      </c>
      <c r="B10" s="2">
        <v>122214000</v>
      </c>
      <c r="C10" s="12">
        <f>+B9</f>
        <v>122138000</v>
      </c>
      <c r="D10" s="2">
        <v>329345000</v>
      </c>
      <c r="E10" s="12">
        <f>+D9</f>
        <v>329295000</v>
      </c>
      <c r="F10" s="20">
        <f>(B10-C10)-(D10-E10)</f>
        <v>26000</v>
      </c>
      <c r="G10" s="50">
        <v>463189000</v>
      </c>
      <c r="H10" s="12">
        <f t="shared" ref="H10:H16" si="1">+G9</f>
        <v>463141000</v>
      </c>
      <c r="I10" s="20">
        <f>G10-H10</f>
        <v>48000</v>
      </c>
      <c r="J10" s="26">
        <f t="shared" si="0"/>
        <v>74000</v>
      </c>
      <c r="K10" s="29">
        <f>+K9+J10</f>
        <v>151000</v>
      </c>
      <c r="L10" s="2">
        <f>+K10/2</f>
        <v>75500</v>
      </c>
      <c r="M10" s="37">
        <f t="shared" ref="M10:M39" si="2">L10/24</f>
        <v>3145.8333333333335</v>
      </c>
      <c r="N10" s="38">
        <f t="shared" ref="N10:N39" si="3">L10/247</f>
        <v>305.66801619433198</v>
      </c>
      <c r="O10" s="40">
        <f t="shared" ref="O10:O39" si="4">L10*31</f>
        <v>2340500</v>
      </c>
      <c r="R10" s="2">
        <v>2914000</v>
      </c>
      <c r="S10" s="12">
        <f t="shared" ref="S10:S39" si="5">+R9</f>
        <v>2677000</v>
      </c>
      <c r="T10" s="24">
        <f t="shared" ref="T10:T39" si="6">R10-S10</f>
        <v>237000</v>
      </c>
      <c r="U10" s="2">
        <f>+U9+T10</f>
        <v>424000</v>
      </c>
      <c r="V10" s="2">
        <f>+V9+I10</f>
        <v>96000</v>
      </c>
      <c r="W10" s="43">
        <f t="shared" ref="W10:W39" si="7">J10/315</f>
        <v>234.92063492063491</v>
      </c>
    </row>
    <row r="11" spans="1:23">
      <c r="A11" s="65">
        <f t="shared" ref="A11:A39" si="8">A10+1</f>
        <v>43162</v>
      </c>
      <c r="B11" s="2">
        <v>122304000</v>
      </c>
      <c r="C11" s="12">
        <f>+B10</f>
        <v>122214000</v>
      </c>
      <c r="D11" s="2">
        <v>329405000</v>
      </c>
      <c r="E11" s="12">
        <f>+D10</f>
        <v>329345000</v>
      </c>
      <c r="F11" s="20">
        <f>(B11-C11)-(D11-E11)</f>
        <v>30000</v>
      </c>
      <c r="G11" s="2">
        <v>463243000</v>
      </c>
      <c r="H11" s="12">
        <f t="shared" si="1"/>
        <v>463189000</v>
      </c>
      <c r="I11" s="20">
        <f>G11-H11</f>
        <v>54000</v>
      </c>
      <c r="J11" s="26">
        <f t="shared" si="0"/>
        <v>84000</v>
      </c>
      <c r="K11" s="29">
        <f t="shared" ref="K11:K39" si="9">+K10+J11</f>
        <v>235000</v>
      </c>
      <c r="L11" s="34">
        <f>+K11/3</f>
        <v>78333.333333333328</v>
      </c>
      <c r="M11" s="37">
        <f t="shared" si="2"/>
        <v>3263.8888888888887</v>
      </c>
      <c r="N11" s="38">
        <f t="shared" si="3"/>
        <v>317.13900134952763</v>
      </c>
      <c r="O11" s="57">
        <f t="shared" si="4"/>
        <v>2428333.333333333</v>
      </c>
      <c r="R11" s="2">
        <v>3103000</v>
      </c>
      <c r="S11" s="12">
        <f t="shared" si="5"/>
        <v>2914000</v>
      </c>
      <c r="T11" s="24">
        <f t="shared" si="6"/>
        <v>189000</v>
      </c>
      <c r="U11" s="2">
        <f>+U10+T11</f>
        <v>613000</v>
      </c>
      <c r="V11" s="2">
        <f t="shared" ref="V11:V39" si="10">+V10+I11</f>
        <v>150000</v>
      </c>
      <c r="W11" s="43">
        <f t="shared" si="7"/>
        <v>266.66666666666669</v>
      </c>
    </row>
    <row r="12" spans="1:23">
      <c r="A12" s="65">
        <f t="shared" si="8"/>
        <v>43163</v>
      </c>
      <c r="B12" s="2">
        <v>122389000</v>
      </c>
      <c r="C12" s="12">
        <f t="shared" ref="C12:C39" si="11">+B11</f>
        <v>122304000</v>
      </c>
      <c r="D12" s="2">
        <v>329460000</v>
      </c>
      <c r="E12" s="12">
        <f>+D11</f>
        <v>329405000</v>
      </c>
      <c r="F12" s="20">
        <f>(B12-C12)-(D12-E12)</f>
        <v>30000</v>
      </c>
      <c r="G12" s="2">
        <v>463295000</v>
      </c>
      <c r="H12" s="12">
        <f t="shared" si="1"/>
        <v>463243000</v>
      </c>
      <c r="I12" s="20">
        <f>G12-H12</f>
        <v>52000</v>
      </c>
      <c r="J12" s="26">
        <f t="shared" si="0"/>
        <v>82000</v>
      </c>
      <c r="K12" s="29">
        <f t="shared" si="9"/>
        <v>317000</v>
      </c>
      <c r="L12" s="2">
        <f>+K12/4</f>
        <v>79250</v>
      </c>
      <c r="M12" s="37">
        <f t="shared" si="2"/>
        <v>3302.0833333333335</v>
      </c>
      <c r="N12" s="38">
        <f t="shared" si="3"/>
        <v>320.85020242914982</v>
      </c>
      <c r="O12" s="40">
        <f t="shared" si="4"/>
        <v>2456750</v>
      </c>
      <c r="R12" s="2">
        <v>3258000</v>
      </c>
      <c r="S12" s="12">
        <f t="shared" si="5"/>
        <v>3103000</v>
      </c>
      <c r="T12" s="24">
        <f t="shared" si="6"/>
        <v>155000</v>
      </c>
      <c r="U12" s="2">
        <f t="shared" ref="U12:U39" si="12">+U11+T12</f>
        <v>768000</v>
      </c>
      <c r="V12" s="2">
        <f t="shared" si="10"/>
        <v>202000</v>
      </c>
      <c r="W12" s="43">
        <f t="shared" si="7"/>
        <v>260.3174603174603</v>
      </c>
    </row>
    <row r="13" spans="1:23">
      <c r="A13" s="65">
        <f t="shared" si="8"/>
        <v>43164</v>
      </c>
      <c r="B13" s="2">
        <v>122474000</v>
      </c>
      <c r="C13" s="12">
        <f>+B12</f>
        <v>122389000</v>
      </c>
      <c r="D13" s="2">
        <v>329515000</v>
      </c>
      <c r="E13" s="12">
        <f t="shared" ref="E13:E32" si="13">+D12</f>
        <v>329460000</v>
      </c>
      <c r="F13" s="20">
        <f>(B13-C13)-(D13-E13)</f>
        <v>30000</v>
      </c>
      <c r="G13" s="2">
        <v>463346000</v>
      </c>
      <c r="H13" s="12">
        <f t="shared" si="1"/>
        <v>463295000</v>
      </c>
      <c r="I13" s="20">
        <f t="shared" ref="I13:I39" si="14">G13-H13</f>
        <v>51000</v>
      </c>
      <c r="J13" s="26">
        <f t="shared" si="0"/>
        <v>81000</v>
      </c>
      <c r="K13" s="29">
        <f t="shared" si="9"/>
        <v>398000</v>
      </c>
      <c r="L13" s="2">
        <f>+K13/5</f>
        <v>79600</v>
      </c>
      <c r="M13" s="37">
        <f t="shared" si="2"/>
        <v>3316.6666666666665</v>
      </c>
      <c r="N13" s="38">
        <f t="shared" si="3"/>
        <v>322.26720647773277</v>
      </c>
      <c r="O13" s="40">
        <f t="shared" si="4"/>
        <v>2467600</v>
      </c>
      <c r="R13" s="2">
        <v>3421000</v>
      </c>
      <c r="S13" s="12">
        <f t="shared" si="5"/>
        <v>3258000</v>
      </c>
      <c r="T13" s="24">
        <f t="shared" si="6"/>
        <v>163000</v>
      </c>
      <c r="U13" s="2">
        <f t="shared" si="12"/>
        <v>931000</v>
      </c>
      <c r="V13" s="2">
        <f t="shared" si="10"/>
        <v>253000</v>
      </c>
      <c r="W13" s="43">
        <f t="shared" si="7"/>
        <v>257.14285714285717</v>
      </c>
    </row>
    <row r="14" spans="1:23">
      <c r="A14" s="65">
        <f t="shared" si="8"/>
        <v>43165</v>
      </c>
      <c r="B14" s="2">
        <v>122555000</v>
      </c>
      <c r="C14" s="12">
        <f>+B13</f>
        <v>122474000</v>
      </c>
      <c r="D14" s="2">
        <v>329570000</v>
      </c>
      <c r="E14" s="12">
        <f>+D13</f>
        <v>329515000</v>
      </c>
      <c r="F14" s="20">
        <f t="shared" ref="F14:F39" si="15">(B14-C14)-(D14-E14)</f>
        <v>26000</v>
      </c>
      <c r="G14" s="2">
        <v>463394000</v>
      </c>
      <c r="H14" s="12">
        <f t="shared" si="1"/>
        <v>463346000</v>
      </c>
      <c r="I14" s="20">
        <f t="shared" si="14"/>
        <v>48000</v>
      </c>
      <c r="J14" s="26">
        <f t="shared" si="0"/>
        <v>74000</v>
      </c>
      <c r="K14" s="29">
        <f t="shared" si="9"/>
        <v>472000</v>
      </c>
      <c r="L14" s="34">
        <f>+K14/6</f>
        <v>78666.666666666672</v>
      </c>
      <c r="M14" s="37">
        <f t="shared" si="2"/>
        <v>3277.7777777777778</v>
      </c>
      <c r="N14" s="38">
        <f t="shared" si="3"/>
        <v>318.4885290148448</v>
      </c>
      <c r="O14" s="56">
        <f t="shared" si="4"/>
        <v>2438666.666666667</v>
      </c>
      <c r="R14" s="2">
        <v>3641000</v>
      </c>
      <c r="S14" s="12">
        <f t="shared" si="5"/>
        <v>3421000</v>
      </c>
      <c r="T14" s="24">
        <f t="shared" si="6"/>
        <v>220000</v>
      </c>
      <c r="U14" s="2">
        <f t="shared" si="12"/>
        <v>1151000</v>
      </c>
      <c r="V14" s="2">
        <f t="shared" si="10"/>
        <v>301000</v>
      </c>
      <c r="W14" s="43">
        <f t="shared" si="7"/>
        <v>234.92063492063491</v>
      </c>
    </row>
    <row r="15" spans="1:23">
      <c r="A15" s="65">
        <f t="shared" si="8"/>
        <v>43166</v>
      </c>
      <c r="B15" s="2">
        <v>122638000</v>
      </c>
      <c r="C15" s="12">
        <f t="shared" si="11"/>
        <v>122555000</v>
      </c>
      <c r="D15" s="2">
        <v>329620000</v>
      </c>
      <c r="E15" s="12">
        <f t="shared" si="13"/>
        <v>329570000</v>
      </c>
      <c r="F15" s="20">
        <f t="shared" si="15"/>
        <v>33000</v>
      </c>
      <c r="G15" s="2">
        <v>463444000</v>
      </c>
      <c r="H15" s="12">
        <f t="shared" si="1"/>
        <v>463394000</v>
      </c>
      <c r="I15" s="20">
        <f t="shared" si="14"/>
        <v>50000</v>
      </c>
      <c r="J15" s="26">
        <f t="shared" si="0"/>
        <v>83000</v>
      </c>
      <c r="K15" s="29">
        <f t="shared" si="9"/>
        <v>555000</v>
      </c>
      <c r="L15" s="34">
        <f>+K15/7</f>
        <v>79285.71428571429</v>
      </c>
      <c r="M15" s="37">
        <f t="shared" si="2"/>
        <v>3303.5714285714289</v>
      </c>
      <c r="N15" s="38">
        <f t="shared" si="3"/>
        <v>320.99479467900522</v>
      </c>
      <c r="O15" s="57">
        <f t="shared" si="4"/>
        <v>2457857.1428571432</v>
      </c>
      <c r="R15" s="2">
        <v>3838000</v>
      </c>
      <c r="S15" s="12">
        <f t="shared" si="5"/>
        <v>3641000</v>
      </c>
      <c r="T15" s="24">
        <f t="shared" si="6"/>
        <v>197000</v>
      </c>
      <c r="U15" s="2">
        <f t="shared" si="12"/>
        <v>1348000</v>
      </c>
      <c r="V15" s="2">
        <f t="shared" si="10"/>
        <v>351000</v>
      </c>
      <c r="W15" s="43">
        <f t="shared" si="7"/>
        <v>263.49206349206349</v>
      </c>
    </row>
    <row r="16" spans="1:23" s="9" customFormat="1">
      <c r="A16" s="65">
        <f t="shared" si="8"/>
        <v>43167</v>
      </c>
      <c r="B16" s="2">
        <v>122715000</v>
      </c>
      <c r="C16" s="12">
        <f t="shared" si="11"/>
        <v>122638000</v>
      </c>
      <c r="D16" s="2">
        <v>329670000</v>
      </c>
      <c r="E16" s="12">
        <f t="shared" si="13"/>
        <v>329620000</v>
      </c>
      <c r="F16" s="20">
        <f>(B16-C16)-(D16-E16)</f>
        <v>27000</v>
      </c>
      <c r="G16" s="2">
        <v>463492000</v>
      </c>
      <c r="H16" s="12">
        <f t="shared" si="1"/>
        <v>463444000</v>
      </c>
      <c r="I16" s="20">
        <f t="shared" si="14"/>
        <v>48000</v>
      </c>
      <c r="J16" s="51">
        <f t="shared" si="0"/>
        <v>75000</v>
      </c>
      <c r="K16" s="52">
        <f t="shared" si="9"/>
        <v>630000</v>
      </c>
      <c r="L16" s="53">
        <f>+K16/8</f>
        <v>78750</v>
      </c>
      <c r="M16" s="54">
        <f t="shared" si="2"/>
        <v>3281.25</v>
      </c>
      <c r="N16" s="38">
        <f t="shared" si="3"/>
        <v>318.82591093117406</v>
      </c>
      <c r="O16" s="40">
        <f t="shared" si="4"/>
        <v>2441250</v>
      </c>
      <c r="R16" s="50">
        <v>4125000</v>
      </c>
      <c r="S16" s="50">
        <f t="shared" si="5"/>
        <v>3838000</v>
      </c>
      <c r="T16" s="55">
        <f t="shared" si="6"/>
        <v>287000</v>
      </c>
      <c r="U16" s="50">
        <f t="shared" si="12"/>
        <v>1635000</v>
      </c>
      <c r="V16" s="50">
        <f t="shared" si="10"/>
        <v>399000</v>
      </c>
      <c r="W16" s="43">
        <f t="shared" si="7"/>
        <v>238.0952380952381</v>
      </c>
    </row>
    <row r="17" spans="1:23">
      <c r="A17" s="65">
        <f t="shared" si="8"/>
        <v>43168</v>
      </c>
      <c r="B17" s="2">
        <v>122792000</v>
      </c>
      <c r="C17" s="12">
        <f t="shared" si="11"/>
        <v>122715000</v>
      </c>
      <c r="D17" s="2">
        <v>329720000</v>
      </c>
      <c r="E17" s="12">
        <f>+D16</f>
        <v>329670000</v>
      </c>
      <c r="F17" s="20">
        <f>(B17-C17)-(D17-E17)</f>
        <v>27000</v>
      </c>
      <c r="G17" s="2">
        <v>463543000</v>
      </c>
      <c r="H17" s="12">
        <f t="shared" ref="H17:H33" si="16">+G16</f>
        <v>463492000</v>
      </c>
      <c r="I17" s="20">
        <f t="shared" si="14"/>
        <v>51000</v>
      </c>
      <c r="J17" s="26">
        <f t="shared" si="0"/>
        <v>78000</v>
      </c>
      <c r="K17" s="29">
        <f t="shared" si="9"/>
        <v>708000</v>
      </c>
      <c r="L17" s="34">
        <f>+K17/9</f>
        <v>78666.666666666672</v>
      </c>
      <c r="M17" s="37">
        <f t="shared" si="2"/>
        <v>3277.7777777777778</v>
      </c>
      <c r="N17" s="38">
        <f t="shared" si="3"/>
        <v>318.4885290148448</v>
      </c>
      <c r="O17" s="57">
        <f t="shared" si="4"/>
        <v>2438666.666666667</v>
      </c>
      <c r="R17" s="2">
        <v>4294000</v>
      </c>
      <c r="S17" s="12">
        <f t="shared" si="5"/>
        <v>4125000</v>
      </c>
      <c r="T17" s="24">
        <f t="shared" si="6"/>
        <v>169000</v>
      </c>
      <c r="U17" s="2">
        <f t="shared" si="12"/>
        <v>1804000</v>
      </c>
      <c r="V17" s="2">
        <f t="shared" si="10"/>
        <v>450000</v>
      </c>
      <c r="W17" s="43">
        <f t="shared" si="7"/>
        <v>247.61904761904762</v>
      </c>
    </row>
    <row r="18" spans="1:23">
      <c r="A18" s="65">
        <f t="shared" si="8"/>
        <v>43169</v>
      </c>
      <c r="B18" s="2">
        <v>122887000</v>
      </c>
      <c r="C18" s="12">
        <f t="shared" si="11"/>
        <v>122792000</v>
      </c>
      <c r="D18" s="2">
        <v>329785000</v>
      </c>
      <c r="E18" s="12">
        <f>+D17</f>
        <v>329720000</v>
      </c>
      <c r="F18" s="20">
        <f t="shared" si="15"/>
        <v>30000</v>
      </c>
      <c r="G18" s="2">
        <v>463589000</v>
      </c>
      <c r="H18" s="12">
        <f t="shared" si="16"/>
        <v>463543000</v>
      </c>
      <c r="I18" s="20">
        <f t="shared" si="14"/>
        <v>46000</v>
      </c>
      <c r="J18" s="26">
        <f t="shared" si="0"/>
        <v>76000</v>
      </c>
      <c r="K18" s="29">
        <f t="shared" si="9"/>
        <v>784000</v>
      </c>
      <c r="L18" s="2">
        <f>+K18/10</f>
        <v>78400</v>
      </c>
      <c r="M18" s="37">
        <f t="shared" si="2"/>
        <v>3266.6666666666665</v>
      </c>
      <c r="N18" s="38">
        <f t="shared" si="3"/>
        <v>317.40890688259111</v>
      </c>
      <c r="O18" s="40">
        <f t="shared" si="4"/>
        <v>2430400</v>
      </c>
      <c r="R18" s="2">
        <v>4500000</v>
      </c>
      <c r="S18" s="12">
        <f t="shared" si="5"/>
        <v>4294000</v>
      </c>
      <c r="T18" s="24">
        <f t="shared" si="6"/>
        <v>206000</v>
      </c>
      <c r="U18" s="2">
        <f t="shared" si="12"/>
        <v>2010000</v>
      </c>
      <c r="V18" s="2">
        <f t="shared" si="10"/>
        <v>496000</v>
      </c>
      <c r="W18" s="43">
        <f t="shared" si="7"/>
        <v>241.26984126984127</v>
      </c>
    </row>
    <row r="19" spans="1:23">
      <c r="A19" s="65">
        <f t="shared" si="8"/>
        <v>43170</v>
      </c>
      <c r="B19" s="2">
        <v>122961000</v>
      </c>
      <c r="C19" s="12">
        <f t="shared" si="11"/>
        <v>122887000</v>
      </c>
      <c r="D19" s="2">
        <v>329830000</v>
      </c>
      <c r="E19" s="12">
        <f t="shared" si="13"/>
        <v>329785000</v>
      </c>
      <c r="F19" s="20">
        <f t="shared" si="15"/>
        <v>29000</v>
      </c>
      <c r="G19" s="2">
        <v>463635000</v>
      </c>
      <c r="H19" s="12">
        <f t="shared" si="16"/>
        <v>463589000</v>
      </c>
      <c r="I19" s="20">
        <f t="shared" si="14"/>
        <v>46000</v>
      </c>
      <c r="J19" s="26">
        <f t="shared" si="0"/>
        <v>75000</v>
      </c>
      <c r="K19" s="29">
        <f t="shared" si="9"/>
        <v>859000</v>
      </c>
      <c r="L19" s="34">
        <f>+K19/11</f>
        <v>78090.909090909088</v>
      </c>
      <c r="M19" s="37">
        <f t="shared" si="2"/>
        <v>3253.7878787878785</v>
      </c>
      <c r="N19" s="38">
        <f t="shared" si="3"/>
        <v>316.15752668384249</v>
      </c>
      <c r="O19" s="57">
        <f t="shared" si="4"/>
        <v>2420818.1818181816</v>
      </c>
      <c r="R19" s="2">
        <v>4651000</v>
      </c>
      <c r="S19" s="12">
        <f t="shared" si="5"/>
        <v>4500000</v>
      </c>
      <c r="T19" s="24">
        <f t="shared" si="6"/>
        <v>151000</v>
      </c>
      <c r="U19" s="2">
        <f t="shared" si="12"/>
        <v>2161000</v>
      </c>
      <c r="V19" s="2">
        <f t="shared" si="10"/>
        <v>542000</v>
      </c>
      <c r="W19" s="43">
        <f t="shared" si="7"/>
        <v>238.0952380952381</v>
      </c>
    </row>
    <row r="20" spans="1:23">
      <c r="A20" s="65">
        <f t="shared" si="8"/>
        <v>43171</v>
      </c>
      <c r="B20" s="2">
        <v>123036000</v>
      </c>
      <c r="C20" s="12">
        <f t="shared" si="11"/>
        <v>122961000</v>
      </c>
      <c r="D20" s="2">
        <v>329875000</v>
      </c>
      <c r="E20" s="12">
        <f t="shared" si="13"/>
        <v>329830000</v>
      </c>
      <c r="F20" s="20">
        <f t="shared" si="15"/>
        <v>30000</v>
      </c>
      <c r="G20" s="2">
        <v>463681000</v>
      </c>
      <c r="H20" s="12">
        <f t="shared" si="16"/>
        <v>463635000</v>
      </c>
      <c r="I20" s="20">
        <f t="shared" si="14"/>
        <v>46000</v>
      </c>
      <c r="J20" s="26">
        <f t="shared" si="0"/>
        <v>76000</v>
      </c>
      <c r="K20" s="29">
        <f t="shared" si="9"/>
        <v>935000</v>
      </c>
      <c r="L20" s="34">
        <f>+K20/12</f>
        <v>77916.666666666672</v>
      </c>
      <c r="M20" s="37">
        <f t="shared" si="2"/>
        <v>3246.5277777777778</v>
      </c>
      <c r="N20" s="38">
        <f t="shared" si="3"/>
        <v>315.45209176788126</v>
      </c>
      <c r="O20" s="57">
        <f t="shared" si="4"/>
        <v>2415416.666666667</v>
      </c>
      <c r="R20" s="2">
        <v>4884000</v>
      </c>
      <c r="S20" s="12">
        <f t="shared" si="5"/>
        <v>4651000</v>
      </c>
      <c r="T20" s="24">
        <f t="shared" si="6"/>
        <v>233000</v>
      </c>
      <c r="U20" s="2">
        <f t="shared" si="12"/>
        <v>2394000</v>
      </c>
      <c r="V20" s="2">
        <f t="shared" si="10"/>
        <v>588000</v>
      </c>
      <c r="W20" s="43">
        <f t="shared" si="7"/>
        <v>241.26984126984127</v>
      </c>
    </row>
    <row r="21" spans="1:23">
      <c r="A21" s="65">
        <f t="shared" si="8"/>
        <v>43172</v>
      </c>
      <c r="B21" s="2">
        <v>123116000</v>
      </c>
      <c r="C21" s="12">
        <f t="shared" si="11"/>
        <v>123036000</v>
      </c>
      <c r="D21" s="2">
        <v>329925000</v>
      </c>
      <c r="E21" s="12">
        <f t="shared" si="13"/>
        <v>329875000</v>
      </c>
      <c r="F21" s="20">
        <f t="shared" si="15"/>
        <v>30000</v>
      </c>
      <c r="G21" s="2">
        <v>463730000</v>
      </c>
      <c r="H21" s="12">
        <f t="shared" si="16"/>
        <v>463681000</v>
      </c>
      <c r="I21" s="20">
        <f t="shared" si="14"/>
        <v>49000</v>
      </c>
      <c r="J21" s="26">
        <f t="shared" si="0"/>
        <v>79000</v>
      </c>
      <c r="K21" s="29">
        <f t="shared" si="9"/>
        <v>1014000</v>
      </c>
      <c r="L21" s="34">
        <f>+K21/13</f>
        <v>78000</v>
      </c>
      <c r="M21" s="37">
        <f t="shared" si="2"/>
        <v>3250</v>
      </c>
      <c r="N21" s="38">
        <f t="shared" si="3"/>
        <v>315.78947368421052</v>
      </c>
      <c r="O21" s="57">
        <f t="shared" si="4"/>
        <v>2418000</v>
      </c>
      <c r="R21" s="2">
        <v>5081000</v>
      </c>
      <c r="S21" s="12">
        <f t="shared" si="5"/>
        <v>4884000</v>
      </c>
      <c r="T21" s="24">
        <f t="shared" si="6"/>
        <v>197000</v>
      </c>
      <c r="U21" s="2">
        <f t="shared" si="12"/>
        <v>2591000</v>
      </c>
      <c r="V21" s="2">
        <f t="shared" si="10"/>
        <v>637000</v>
      </c>
      <c r="W21" s="43">
        <f t="shared" si="7"/>
        <v>250.79365079365078</v>
      </c>
    </row>
    <row r="22" spans="1:23">
      <c r="A22" s="65">
        <f t="shared" si="8"/>
        <v>43173</v>
      </c>
      <c r="B22" s="2">
        <v>123194000</v>
      </c>
      <c r="C22" s="12">
        <f t="shared" si="11"/>
        <v>123116000</v>
      </c>
      <c r="D22" s="2">
        <v>329975000</v>
      </c>
      <c r="E22" s="12">
        <f t="shared" si="13"/>
        <v>329925000</v>
      </c>
      <c r="F22" s="20">
        <f t="shared" si="15"/>
        <v>28000</v>
      </c>
      <c r="G22" s="2">
        <v>463786000</v>
      </c>
      <c r="H22" s="12">
        <f t="shared" si="16"/>
        <v>463730000</v>
      </c>
      <c r="I22" s="20">
        <f t="shared" si="14"/>
        <v>56000</v>
      </c>
      <c r="J22" s="26">
        <f t="shared" si="0"/>
        <v>84000</v>
      </c>
      <c r="K22" s="29">
        <f t="shared" si="9"/>
        <v>1098000</v>
      </c>
      <c r="L22" s="34">
        <f>+K22/14</f>
        <v>78428.571428571435</v>
      </c>
      <c r="M22" s="37">
        <f t="shared" si="2"/>
        <v>3267.8571428571431</v>
      </c>
      <c r="N22" s="38">
        <f t="shared" si="3"/>
        <v>317.52458068247546</v>
      </c>
      <c r="O22" s="57">
        <f t="shared" si="4"/>
        <v>2431285.7142857146</v>
      </c>
      <c r="R22" s="2">
        <v>5274000</v>
      </c>
      <c r="S22" s="12">
        <f t="shared" si="5"/>
        <v>5081000</v>
      </c>
      <c r="T22" s="24">
        <f t="shared" si="6"/>
        <v>193000</v>
      </c>
      <c r="U22" s="2">
        <f t="shared" si="12"/>
        <v>2784000</v>
      </c>
      <c r="V22" s="2">
        <f t="shared" si="10"/>
        <v>693000</v>
      </c>
      <c r="W22" s="43">
        <f t="shared" si="7"/>
        <v>266.66666666666669</v>
      </c>
    </row>
    <row r="23" spans="1:23">
      <c r="A23" s="65">
        <f t="shared" si="8"/>
        <v>43174</v>
      </c>
      <c r="B23" s="2">
        <v>123272000</v>
      </c>
      <c r="C23" s="12">
        <f t="shared" si="11"/>
        <v>123194000</v>
      </c>
      <c r="D23" s="2">
        <v>330025000</v>
      </c>
      <c r="E23" s="12">
        <f t="shared" si="13"/>
        <v>329975000</v>
      </c>
      <c r="F23" s="20">
        <f>(B23-C23)-(D23-E23)</f>
        <v>28000</v>
      </c>
      <c r="G23" s="2">
        <v>463834000</v>
      </c>
      <c r="H23" s="12">
        <f t="shared" si="16"/>
        <v>463786000</v>
      </c>
      <c r="I23" s="20">
        <f t="shared" si="14"/>
        <v>48000</v>
      </c>
      <c r="J23" s="26">
        <f t="shared" si="0"/>
        <v>76000</v>
      </c>
      <c r="K23" s="29">
        <f t="shared" si="9"/>
        <v>1174000</v>
      </c>
      <c r="L23" s="34">
        <f>+K23/15</f>
        <v>78266.666666666672</v>
      </c>
      <c r="M23" s="37">
        <f t="shared" si="2"/>
        <v>3261.1111111111113</v>
      </c>
      <c r="N23" s="38">
        <f t="shared" si="3"/>
        <v>316.86909581646427</v>
      </c>
      <c r="O23" s="57">
        <f t="shared" si="4"/>
        <v>2426266.666666667</v>
      </c>
      <c r="Q23" s="21"/>
      <c r="R23" s="2">
        <v>5517000</v>
      </c>
      <c r="S23" s="12">
        <f t="shared" si="5"/>
        <v>5274000</v>
      </c>
      <c r="T23" s="24">
        <f t="shared" si="6"/>
        <v>243000</v>
      </c>
      <c r="U23" s="2">
        <f t="shared" si="12"/>
        <v>3027000</v>
      </c>
      <c r="V23" s="2">
        <f t="shared" si="10"/>
        <v>741000</v>
      </c>
      <c r="W23" s="43">
        <f t="shared" si="7"/>
        <v>241.26984126984127</v>
      </c>
    </row>
    <row r="24" spans="1:23">
      <c r="A24" s="65">
        <f t="shared" si="8"/>
        <v>43175</v>
      </c>
      <c r="B24" s="2">
        <v>123351000</v>
      </c>
      <c r="C24" s="12">
        <f t="shared" si="11"/>
        <v>123272000</v>
      </c>
      <c r="D24" s="2">
        <v>330075000</v>
      </c>
      <c r="E24" s="12">
        <f>+D23</f>
        <v>330025000</v>
      </c>
      <c r="F24" s="20">
        <f>(B24-C24)-(D24-E24)</f>
        <v>29000</v>
      </c>
      <c r="G24" s="2">
        <v>463886000</v>
      </c>
      <c r="H24" s="12">
        <f t="shared" si="16"/>
        <v>463834000</v>
      </c>
      <c r="I24" s="20">
        <f t="shared" si="14"/>
        <v>52000</v>
      </c>
      <c r="J24" s="26">
        <f t="shared" si="0"/>
        <v>81000</v>
      </c>
      <c r="K24" s="29">
        <f t="shared" si="9"/>
        <v>1255000</v>
      </c>
      <c r="L24" s="34">
        <f>+K24/16</f>
        <v>78437.5</v>
      </c>
      <c r="M24" s="37">
        <f t="shared" si="2"/>
        <v>3268.2291666666665</v>
      </c>
      <c r="N24" s="38">
        <f t="shared" si="3"/>
        <v>317.5607287449393</v>
      </c>
      <c r="O24" s="57">
        <f t="shared" si="4"/>
        <v>2431562.5</v>
      </c>
      <c r="R24" s="2">
        <v>5699000</v>
      </c>
      <c r="S24" s="12">
        <f t="shared" si="5"/>
        <v>5517000</v>
      </c>
      <c r="T24" s="24">
        <f t="shared" si="6"/>
        <v>182000</v>
      </c>
      <c r="U24" s="2">
        <f t="shared" si="12"/>
        <v>3209000</v>
      </c>
      <c r="V24" s="2">
        <f t="shared" si="10"/>
        <v>793000</v>
      </c>
      <c r="W24" s="43">
        <f t="shared" si="7"/>
        <v>257.14285714285717</v>
      </c>
    </row>
    <row r="25" spans="1:23">
      <c r="A25" s="65">
        <f t="shared" si="8"/>
        <v>43176</v>
      </c>
      <c r="B25" s="2">
        <v>123425000</v>
      </c>
      <c r="C25" s="12">
        <f t="shared" si="11"/>
        <v>123351000</v>
      </c>
      <c r="D25" s="2">
        <v>330120000</v>
      </c>
      <c r="E25" s="12">
        <f>+D24</f>
        <v>330075000</v>
      </c>
      <c r="F25" s="20">
        <f t="shared" si="15"/>
        <v>29000</v>
      </c>
      <c r="G25" s="2">
        <v>463933000</v>
      </c>
      <c r="H25" s="12">
        <f t="shared" si="16"/>
        <v>463886000</v>
      </c>
      <c r="I25" s="20">
        <f t="shared" si="14"/>
        <v>47000</v>
      </c>
      <c r="J25" s="26">
        <f t="shared" si="0"/>
        <v>76000</v>
      </c>
      <c r="K25" s="29">
        <f t="shared" si="9"/>
        <v>1331000</v>
      </c>
      <c r="L25" s="34">
        <f>+K25/17</f>
        <v>78294.117647058825</v>
      </c>
      <c r="M25" s="37">
        <f t="shared" si="2"/>
        <v>3262.2549019607845</v>
      </c>
      <c r="N25" s="38">
        <f t="shared" si="3"/>
        <v>316.98023338890215</v>
      </c>
      <c r="O25" s="57">
        <f t="shared" si="4"/>
        <v>2427117.6470588236</v>
      </c>
      <c r="R25" s="2">
        <v>5903000</v>
      </c>
      <c r="S25" s="12">
        <f t="shared" si="5"/>
        <v>5699000</v>
      </c>
      <c r="T25" s="24">
        <f t="shared" si="6"/>
        <v>204000</v>
      </c>
      <c r="U25" s="2">
        <f t="shared" si="12"/>
        <v>3413000</v>
      </c>
      <c r="V25" s="2">
        <f t="shared" si="10"/>
        <v>840000</v>
      </c>
      <c r="W25" s="43">
        <f t="shared" si="7"/>
        <v>241.26984126984127</v>
      </c>
    </row>
    <row r="26" spans="1:23">
      <c r="A26" s="65">
        <f t="shared" si="8"/>
        <v>43177</v>
      </c>
      <c r="B26" s="2">
        <v>123508000</v>
      </c>
      <c r="C26" s="12">
        <f t="shared" si="11"/>
        <v>123425000</v>
      </c>
      <c r="D26" s="2">
        <v>330175000</v>
      </c>
      <c r="E26" s="12">
        <f t="shared" si="13"/>
        <v>330120000</v>
      </c>
      <c r="F26" s="20">
        <f t="shared" si="15"/>
        <v>28000</v>
      </c>
      <c r="G26" s="2">
        <v>463981000</v>
      </c>
      <c r="H26" s="12">
        <f t="shared" si="16"/>
        <v>463933000</v>
      </c>
      <c r="I26" s="20">
        <f t="shared" si="14"/>
        <v>48000</v>
      </c>
      <c r="J26" s="26">
        <f t="shared" si="0"/>
        <v>76000</v>
      </c>
      <c r="K26" s="29">
        <f t="shared" si="9"/>
        <v>1407000</v>
      </c>
      <c r="L26" s="34">
        <f>+K26/18</f>
        <v>78166.666666666672</v>
      </c>
      <c r="M26" s="37">
        <f t="shared" si="2"/>
        <v>3256.9444444444448</v>
      </c>
      <c r="N26" s="38">
        <f t="shared" si="3"/>
        <v>316.4642375168691</v>
      </c>
      <c r="O26" s="57">
        <f t="shared" si="4"/>
        <v>2423166.666666667</v>
      </c>
      <c r="R26" s="2">
        <v>6154000</v>
      </c>
      <c r="S26" s="12">
        <f t="shared" si="5"/>
        <v>5903000</v>
      </c>
      <c r="T26" s="24">
        <f t="shared" si="6"/>
        <v>251000</v>
      </c>
      <c r="U26" s="2">
        <f t="shared" si="12"/>
        <v>3664000</v>
      </c>
      <c r="V26" s="2">
        <f t="shared" si="10"/>
        <v>888000</v>
      </c>
      <c r="W26" s="43">
        <f t="shared" si="7"/>
        <v>241.26984126984127</v>
      </c>
    </row>
    <row r="27" spans="1:23">
      <c r="A27" s="65">
        <f t="shared" si="8"/>
        <v>43178</v>
      </c>
      <c r="B27" s="2">
        <v>123601000</v>
      </c>
      <c r="C27" s="12">
        <f t="shared" si="11"/>
        <v>123508000</v>
      </c>
      <c r="D27" s="2">
        <v>330235000</v>
      </c>
      <c r="E27" s="12">
        <f t="shared" si="13"/>
        <v>330175000</v>
      </c>
      <c r="F27" s="20">
        <f>(B27-C27)-(D27-E27)</f>
        <v>33000</v>
      </c>
      <c r="G27" s="2">
        <v>464029000</v>
      </c>
      <c r="H27" s="12">
        <f t="shared" si="16"/>
        <v>463981000</v>
      </c>
      <c r="I27" s="20">
        <f t="shared" si="14"/>
        <v>48000</v>
      </c>
      <c r="J27" s="26">
        <f t="shared" si="0"/>
        <v>81000</v>
      </c>
      <c r="K27" s="29">
        <f t="shared" si="9"/>
        <v>1488000</v>
      </c>
      <c r="L27" s="34">
        <f>+K27/19</f>
        <v>78315.789473684214</v>
      </c>
      <c r="M27" s="37">
        <f t="shared" si="2"/>
        <v>3263.1578947368421</v>
      </c>
      <c r="N27" s="38">
        <f t="shared" si="3"/>
        <v>317.06797357766891</v>
      </c>
      <c r="O27" s="57">
        <f t="shared" si="4"/>
        <v>2427789.4736842108</v>
      </c>
      <c r="R27" s="2">
        <v>6339000</v>
      </c>
      <c r="S27" s="12">
        <f t="shared" si="5"/>
        <v>6154000</v>
      </c>
      <c r="T27" s="24">
        <f t="shared" si="6"/>
        <v>185000</v>
      </c>
      <c r="U27" s="2">
        <f t="shared" si="12"/>
        <v>3849000</v>
      </c>
      <c r="V27" s="2">
        <f t="shared" si="10"/>
        <v>936000</v>
      </c>
      <c r="W27" s="43">
        <f t="shared" si="7"/>
        <v>257.14285714285717</v>
      </c>
    </row>
    <row r="28" spans="1:23">
      <c r="A28" s="65">
        <f t="shared" si="8"/>
        <v>43179</v>
      </c>
      <c r="B28" s="2">
        <v>123685000</v>
      </c>
      <c r="C28" s="12">
        <f>+B27</f>
        <v>123601000</v>
      </c>
      <c r="D28" s="2">
        <v>330290000</v>
      </c>
      <c r="E28" s="12">
        <f t="shared" si="13"/>
        <v>330235000</v>
      </c>
      <c r="F28" s="20">
        <f>(B28-C28)-(D28-E28)</f>
        <v>29000</v>
      </c>
      <c r="G28" s="2">
        <v>464082000</v>
      </c>
      <c r="H28" s="12">
        <f t="shared" si="16"/>
        <v>464029000</v>
      </c>
      <c r="I28" s="20">
        <f t="shared" si="14"/>
        <v>53000</v>
      </c>
      <c r="J28" s="26">
        <f t="shared" si="0"/>
        <v>82000</v>
      </c>
      <c r="K28" s="29">
        <f t="shared" si="9"/>
        <v>1570000</v>
      </c>
      <c r="L28" s="2">
        <f>+K28/20</f>
        <v>78500</v>
      </c>
      <c r="M28" s="37">
        <f t="shared" si="2"/>
        <v>3270.8333333333335</v>
      </c>
      <c r="N28" s="38">
        <f t="shared" si="3"/>
        <v>317.81376518218622</v>
      </c>
      <c r="O28" s="40">
        <f t="shared" si="4"/>
        <v>2433500</v>
      </c>
      <c r="R28" s="2">
        <v>6650000</v>
      </c>
      <c r="S28" s="12">
        <f t="shared" si="5"/>
        <v>6339000</v>
      </c>
      <c r="T28" s="24">
        <f t="shared" si="6"/>
        <v>311000</v>
      </c>
      <c r="U28" s="2">
        <f t="shared" si="12"/>
        <v>4160000</v>
      </c>
      <c r="V28" s="2">
        <f t="shared" si="10"/>
        <v>989000</v>
      </c>
      <c r="W28" s="43">
        <f t="shared" si="7"/>
        <v>260.3174603174603</v>
      </c>
    </row>
    <row r="29" spans="1:23">
      <c r="A29" s="65">
        <f t="shared" si="8"/>
        <v>43180</v>
      </c>
      <c r="B29" s="2">
        <v>123765000</v>
      </c>
      <c r="C29" s="12">
        <f>+B28</f>
        <v>123685000</v>
      </c>
      <c r="D29" s="2">
        <v>330340000</v>
      </c>
      <c r="E29" s="12">
        <f t="shared" si="13"/>
        <v>330290000</v>
      </c>
      <c r="F29" s="20">
        <f t="shared" si="15"/>
        <v>30000</v>
      </c>
      <c r="G29" s="2">
        <v>464133000</v>
      </c>
      <c r="H29" s="12">
        <f t="shared" si="16"/>
        <v>464082000</v>
      </c>
      <c r="I29" s="20">
        <f t="shared" si="14"/>
        <v>51000</v>
      </c>
      <c r="J29" s="26">
        <f t="shared" si="0"/>
        <v>81000</v>
      </c>
      <c r="K29" s="29">
        <f t="shared" si="9"/>
        <v>1651000</v>
      </c>
      <c r="L29" s="34">
        <f>+K29/21</f>
        <v>78619.047619047618</v>
      </c>
      <c r="M29" s="37">
        <f t="shared" si="2"/>
        <v>3275.7936507936506</v>
      </c>
      <c r="N29" s="38">
        <f t="shared" si="3"/>
        <v>318.29573934837094</v>
      </c>
      <c r="O29" s="57">
        <f t="shared" si="4"/>
        <v>2437190.4761904762</v>
      </c>
      <c r="R29" s="2">
        <v>6880000</v>
      </c>
      <c r="S29" s="12">
        <f t="shared" si="5"/>
        <v>6650000</v>
      </c>
      <c r="T29" s="24">
        <f t="shared" si="6"/>
        <v>230000</v>
      </c>
      <c r="U29" s="2">
        <f t="shared" si="12"/>
        <v>4390000</v>
      </c>
      <c r="V29" s="2">
        <f t="shared" si="10"/>
        <v>1040000</v>
      </c>
      <c r="W29" s="43">
        <f t="shared" si="7"/>
        <v>257.14285714285717</v>
      </c>
    </row>
    <row r="30" spans="1:23">
      <c r="A30" s="65">
        <f t="shared" si="8"/>
        <v>43181</v>
      </c>
      <c r="B30" s="2">
        <v>123843000</v>
      </c>
      <c r="C30" s="12">
        <f t="shared" si="11"/>
        <v>123765000</v>
      </c>
      <c r="D30" s="2">
        <v>330390000</v>
      </c>
      <c r="E30" s="12">
        <f t="shared" si="13"/>
        <v>330340000</v>
      </c>
      <c r="F30" s="20">
        <f t="shared" si="15"/>
        <v>28000</v>
      </c>
      <c r="G30" s="2">
        <v>464184000</v>
      </c>
      <c r="H30" s="12">
        <f t="shared" si="16"/>
        <v>464133000</v>
      </c>
      <c r="I30" s="20">
        <f t="shared" si="14"/>
        <v>51000</v>
      </c>
      <c r="J30" s="26">
        <f t="shared" si="0"/>
        <v>79000</v>
      </c>
      <c r="K30" s="29">
        <f t="shared" si="9"/>
        <v>1730000</v>
      </c>
      <c r="L30" s="34">
        <f>+K30/22</f>
        <v>78636.363636363632</v>
      </c>
      <c r="M30" s="37">
        <f t="shared" si="2"/>
        <v>3276.5151515151515</v>
      </c>
      <c r="N30" s="38">
        <f t="shared" si="3"/>
        <v>318.36584468163414</v>
      </c>
      <c r="O30" s="57">
        <f t="shared" si="4"/>
        <v>2437727.2727272725</v>
      </c>
      <c r="R30" s="2">
        <v>7100000</v>
      </c>
      <c r="S30" s="12">
        <f t="shared" si="5"/>
        <v>6880000</v>
      </c>
      <c r="T30" s="24">
        <f t="shared" si="6"/>
        <v>220000</v>
      </c>
      <c r="U30" s="2">
        <f t="shared" si="12"/>
        <v>4610000</v>
      </c>
      <c r="V30" s="2">
        <f t="shared" si="10"/>
        <v>1091000</v>
      </c>
      <c r="W30" s="43">
        <f t="shared" si="7"/>
        <v>250.79365079365078</v>
      </c>
    </row>
    <row r="31" spans="1:23">
      <c r="A31" s="65">
        <f t="shared" si="8"/>
        <v>43182</v>
      </c>
      <c r="B31" s="2">
        <v>123927000</v>
      </c>
      <c r="C31" s="12">
        <f t="shared" si="11"/>
        <v>123843000</v>
      </c>
      <c r="D31" s="2">
        <v>330445000</v>
      </c>
      <c r="E31" s="12">
        <f t="shared" si="13"/>
        <v>330390000</v>
      </c>
      <c r="F31" s="20">
        <f t="shared" si="15"/>
        <v>29000</v>
      </c>
      <c r="G31" s="2">
        <v>464236000</v>
      </c>
      <c r="H31" s="12">
        <f t="shared" si="16"/>
        <v>464184000</v>
      </c>
      <c r="I31" s="20">
        <f t="shared" si="14"/>
        <v>52000</v>
      </c>
      <c r="J31" s="62">
        <f t="shared" si="0"/>
        <v>81000</v>
      </c>
      <c r="K31" s="29">
        <f t="shared" si="9"/>
        <v>1811000</v>
      </c>
      <c r="L31" s="34">
        <f>+K31/23</f>
        <v>78739.130434782608</v>
      </c>
      <c r="M31" s="37">
        <f t="shared" si="2"/>
        <v>3280.7971014492755</v>
      </c>
      <c r="N31" s="38">
        <f t="shared" si="3"/>
        <v>318.78190459426156</v>
      </c>
      <c r="O31" s="57">
        <f t="shared" si="4"/>
        <v>2440913.0434782607</v>
      </c>
      <c r="R31" s="2">
        <v>7350000</v>
      </c>
      <c r="S31" s="12">
        <f t="shared" si="5"/>
        <v>7100000</v>
      </c>
      <c r="T31" s="24">
        <f t="shared" si="6"/>
        <v>250000</v>
      </c>
      <c r="U31" s="2">
        <f t="shared" si="12"/>
        <v>4860000</v>
      </c>
      <c r="V31" s="2">
        <f t="shared" si="10"/>
        <v>1143000</v>
      </c>
      <c r="W31" s="43">
        <f t="shared" si="7"/>
        <v>257.14285714285717</v>
      </c>
    </row>
    <row r="32" spans="1:23">
      <c r="A32" s="65">
        <f t="shared" si="8"/>
        <v>43183</v>
      </c>
      <c r="B32" s="2">
        <v>124006000</v>
      </c>
      <c r="C32" s="12">
        <f t="shared" si="11"/>
        <v>123927000</v>
      </c>
      <c r="D32" s="2">
        <v>330490000</v>
      </c>
      <c r="E32" s="12">
        <f t="shared" si="13"/>
        <v>330445000</v>
      </c>
      <c r="F32" s="20">
        <f>(B32-C32)-(D32-E32)</f>
        <v>34000</v>
      </c>
      <c r="G32" s="2">
        <v>464283000</v>
      </c>
      <c r="H32" s="12">
        <f t="shared" si="16"/>
        <v>464236000</v>
      </c>
      <c r="I32" s="20">
        <f t="shared" si="14"/>
        <v>47000</v>
      </c>
      <c r="J32" s="26">
        <f t="shared" si="0"/>
        <v>81000</v>
      </c>
      <c r="K32" s="29">
        <f t="shared" si="9"/>
        <v>1892000</v>
      </c>
      <c r="L32" s="34">
        <f>+K32/24</f>
        <v>78833.333333333328</v>
      </c>
      <c r="M32" s="37">
        <f t="shared" si="2"/>
        <v>3284.7222222222222</v>
      </c>
      <c r="N32" s="38">
        <f t="shared" si="3"/>
        <v>319.16329284750333</v>
      </c>
      <c r="O32" s="57">
        <f t="shared" si="4"/>
        <v>2443833.333333333</v>
      </c>
      <c r="R32" s="2">
        <v>7623000</v>
      </c>
      <c r="S32" s="12">
        <f t="shared" si="5"/>
        <v>7350000</v>
      </c>
      <c r="T32" s="24">
        <f t="shared" si="6"/>
        <v>273000</v>
      </c>
      <c r="U32" s="2">
        <f t="shared" si="12"/>
        <v>5133000</v>
      </c>
      <c r="V32" s="2">
        <f t="shared" si="10"/>
        <v>1190000</v>
      </c>
      <c r="W32" s="43">
        <f t="shared" si="7"/>
        <v>257.14285714285717</v>
      </c>
    </row>
    <row r="33" spans="1:23">
      <c r="A33" s="65">
        <f t="shared" si="8"/>
        <v>43184</v>
      </c>
      <c r="B33" s="2">
        <v>124081000</v>
      </c>
      <c r="C33" s="12">
        <f t="shared" si="11"/>
        <v>124006000</v>
      </c>
      <c r="D33" s="2">
        <v>330535000</v>
      </c>
      <c r="E33" s="12">
        <f t="shared" ref="E33:E39" si="17">+D32</f>
        <v>330490000</v>
      </c>
      <c r="F33" s="20">
        <f t="shared" si="15"/>
        <v>30000</v>
      </c>
      <c r="G33" s="2">
        <v>464333000</v>
      </c>
      <c r="H33" s="12">
        <f t="shared" si="16"/>
        <v>464283000</v>
      </c>
      <c r="I33" s="20">
        <f t="shared" si="14"/>
        <v>50000</v>
      </c>
      <c r="J33" s="26">
        <f t="shared" si="0"/>
        <v>80000</v>
      </c>
      <c r="K33" s="29">
        <f t="shared" si="9"/>
        <v>1972000</v>
      </c>
      <c r="L33" s="2">
        <f>+K33/25</f>
        <v>78880</v>
      </c>
      <c r="M33" s="37">
        <f t="shared" si="2"/>
        <v>3286.6666666666665</v>
      </c>
      <c r="N33" s="38">
        <f t="shared" si="3"/>
        <v>319.35222672064776</v>
      </c>
      <c r="O33" s="40">
        <f t="shared" si="4"/>
        <v>2445280</v>
      </c>
      <c r="R33" s="2">
        <v>7804000</v>
      </c>
      <c r="S33" s="12">
        <f t="shared" si="5"/>
        <v>7623000</v>
      </c>
      <c r="T33" s="24">
        <f t="shared" si="6"/>
        <v>181000</v>
      </c>
      <c r="U33" s="2">
        <f t="shared" si="12"/>
        <v>5314000</v>
      </c>
      <c r="V33" s="2">
        <f t="shared" si="10"/>
        <v>1240000</v>
      </c>
      <c r="W33" s="43">
        <f t="shared" si="7"/>
        <v>253.96825396825398</v>
      </c>
    </row>
    <row r="34" spans="1:23">
      <c r="A34" s="65">
        <f t="shared" si="8"/>
        <v>43185</v>
      </c>
      <c r="B34" s="2">
        <v>124161000</v>
      </c>
      <c r="C34" s="12">
        <f t="shared" si="11"/>
        <v>124081000</v>
      </c>
      <c r="D34" s="2">
        <v>330585000</v>
      </c>
      <c r="E34" s="12">
        <f t="shared" si="17"/>
        <v>330535000</v>
      </c>
      <c r="F34" s="20">
        <f>(B34-C34)-(D34-E34)</f>
        <v>30000</v>
      </c>
      <c r="G34" s="2">
        <v>464383000</v>
      </c>
      <c r="H34" s="12">
        <f t="shared" ref="H34:H39" si="18">+G33</f>
        <v>464333000</v>
      </c>
      <c r="I34" s="20">
        <f t="shared" si="14"/>
        <v>50000</v>
      </c>
      <c r="J34" s="26">
        <f t="shared" si="0"/>
        <v>80000</v>
      </c>
      <c r="K34" s="29">
        <f t="shared" si="9"/>
        <v>2052000</v>
      </c>
      <c r="L34" s="34">
        <f>+K34/26</f>
        <v>78923.076923076922</v>
      </c>
      <c r="M34" s="37">
        <f t="shared" si="2"/>
        <v>3288.4615384615386</v>
      </c>
      <c r="N34" s="38">
        <f t="shared" si="3"/>
        <v>319.52662721893489</v>
      </c>
      <c r="O34" s="57">
        <f t="shared" si="4"/>
        <v>2446615.3846153845</v>
      </c>
      <c r="R34" s="2">
        <v>7965000</v>
      </c>
      <c r="S34" s="12">
        <f t="shared" si="5"/>
        <v>7804000</v>
      </c>
      <c r="T34" s="24">
        <f t="shared" si="6"/>
        <v>161000</v>
      </c>
      <c r="U34" s="2">
        <f t="shared" si="12"/>
        <v>5475000</v>
      </c>
      <c r="V34" s="2">
        <f t="shared" si="10"/>
        <v>1290000</v>
      </c>
      <c r="W34" s="43">
        <f t="shared" si="7"/>
        <v>253.96825396825398</v>
      </c>
    </row>
    <row r="35" spans="1:23">
      <c r="A35" s="65">
        <f t="shared" si="8"/>
        <v>43186</v>
      </c>
      <c r="B35" s="2">
        <v>124246000</v>
      </c>
      <c r="C35" s="12">
        <f t="shared" si="11"/>
        <v>124161000</v>
      </c>
      <c r="D35" s="2">
        <v>330640000</v>
      </c>
      <c r="E35" s="12">
        <f t="shared" si="17"/>
        <v>330585000</v>
      </c>
      <c r="F35" s="20">
        <f t="shared" si="15"/>
        <v>30000</v>
      </c>
      <c r="G35" s="2">
        <v>464435000</v>
      </c>
      <c r="H35" s="12">
        <f t="shared" si="18"/>
        <v>464383000</v>
      </c>
      <c r="I35" s="20">
        <f t="shared" si="14"/>
        <v>52000</v>
      </c>
      <c r="J35" s="26">
        <f t="shared" si="0"/>
        <v>82000</v>
      </c>
      <c r="K35" s="29">
        <f t="shared" si="9"/>
        <v>2134000</v>
      </c>
      <c r="L35" s="34">
        <f>+K35/27</f>
        <v>79037.037037037036</v>
      </c>
      <c r="M35" s="37">
        <f t="shared" si="2"/>
        <v>3293.2098765432097</v>
      </c>
      <c r="N35" s="38">
        <f t="shared" si="3"/>
        <v>319.98800419853052</v>
      </c>
      <c r="O35" s="57">
        <f t="shared" si="4"/>
        <v>2450148.1481481483</v>
      </c>
      <c r="R35" s="2">
        <v>8195000</v>
      </c>
      <c r="S35" s="12">
        <f t="shared" si="5"/>
        <v>7965000</v>
      </c>
      <c r="T35" s="24">
        <f t="shared" si="6"/>
        <v>230000</v>
      </c>
      <c r="U35" s="2">
        <f t="shared" si="12"/>
        <v>5705000</v>
      </c>
      <c r="V35" s="2">
        <f t="shared" si="10"/>
        <v>1342000</v>
      </c>
      <c r="W35" s="43">
        <f t="shared" si="7"/>
        <v>260.3174603174603</v>
      </c>
    </row>
    <row r="36" spans="1:23">
      <c r="A36" s="65">
        <f t="shared" si="8"/>
        <v>43187</v>
      </c>
      <c r="B36" s="2">
        <v>124327000</v>
      </c>
      <c r="C36" s="12">
        <f t="shared" si="11"/>
        <v>124246000</v>
      </c>
      <c r="D36" s="2">
        <v>330690000</v>
      </c>
      <c r="E36" s="12">
        <f t="shared" si="17"/>
        <v>330640000</v>
      </c>
      <c r="F36" s="20">
        <f t="shared" si="15"/>
        <v>31000</v>
      </c>
      <c r="G36" s="2">
        <v>464484000</v>
      </c>
      <c r="H36" s="12">
        <f t="shared" si="18"/>
        <v>464435000</v>
      </c>
      <c r="I36" s="20">
        <f t="shared" si="14"/>
        <v>49000</v>
      </c>
      <c r="J36" s="26">
        <f t="shared" si="0"/>
        <v>80000</v>
      </c>
      <c r="K36" s="29">
        <f t="shared" si="9"/>
        <v>2214000</v>
      </c>
      <c r="L36" s="34">
        <f>+K36/28</f>
        <v>79071.428571428565</v>
      </c>
      <c r="M36" s="37">
        <f t="shared" si="2"/>
        <v>3294.6428571428569</v>
      </c>
      <c r="N36" s="38">
        <f t="shared" si="3"/>
        <v>320.12724117987273</v>
      </c>
      <c r="O36" s="57">
        <f t="shared" si="4"/>
        <v>2451214.2857142854</v>
      </c>
      <c r="R36" s="2">
        <v>8445000</v>
      </c>
      <c r="S36" s="12">
        <f t="shared" si="5"/>
        <v>8195000</v>
      </c>
      <c r="T36" s="24">
        <f t="shared" si="6"/>
        <v>250000</v>
      </c>
      <c r="U36" s="2">
        <f t="shared" si="12"/>
        <v>5955000</v>
      </c>
      <c r="V36" s="2">
        <f t="shared" si="10"/>
        <v>1391000</v>
      </c>
      <c r="W36" s="43">
        <f t="shared" si="7"/>
        <v>253.96825396825398</v>
      </c>
    </row>
    <row r="37" spans="1:23">
      <c r="A37" s="65">
        <f t="shared" si="8"/>
        <v>43188</v>
      </c>
      <c r="B37" s="2">
        <v>124412000</v>
      </c>
      <c r="C37" s="12">
        <f t="shared" si="11"/>
        <v>124327000</v>
      </c>
      <c r="D37" s="2">
        <v>330740000</v>
      </c>
      <c r="E37" s="12">
        <f t="shared" si="17"/>
        <v>330690000</v>
      </c>
      <c r="F37" s="20">
        <f t="shared" si="15"/>
        <v>35000</v>
      </c>
      <c r="G37" s="2">
        <v>464535000</v>
      </c>
      <c r="H37" s="12">
        <f t="shared" si="18"/>
        <v>464484000</v>
      </c>
      <c r="I37" s="20">
        <f t="shared" si="14"/>
        <v>51000</v>
      </c>
      <c r="J37" s="26">
        <f t="shared" si="0"/>
        <v>86000</v>
      </c>
      <c r="K37" s="29">
        <f t="shared" si="9"/>
        <v>2300000</v>
      </c>
      <c r="L37" s="34">
        <f>+K37/28</f>
        <v>82142.857142857145</v>
      </c>
      <c r="M37" s="37">
        <f t="shared" si="2"/>
        <v>3422.6190476190477</v>
      </c>
      <c r="N37" s="38">
        <f t="shared" si="3"/>
        <v>332.56217466743783</v>
      </c>
      <c r="O37" s="57">
        <f t="shared" si="4"/>
        <v>2546428.5714285714</v>
      </c>
      <c r="R37" s="2">
        <v>8683000</v>
      </c>
      <c r="S37" s="12">
        <f t="shared" si="5"/>
        <v>8445000</v>
      </c>
      <c r="T37" s="24">
        <f t="shared" si="6"/>
        <v>238000</v>
      </c>
      <c r="U37" s="2">
        <f t="shared" si="12"/>
        <v>6193000</v>
      </c>
      <c r="V37" s="2">
        <f t="shared" si="10"/>
        <v>1442000</v>
      </c>
      <c r="W37" s="43">
        <f t="shared" si="7"/>
        <v>273.01587301587301</v>
      </c>
    </row>
    <row r="38" spans="1:23">
      <c r="A38" s="65">
        <f t="shared" si="8"/>
        <v>43189</v>
      </c>
      <c r="B38" s="2">
        <v>124492000</v>
      </c>
      <c r="C38" s="12">
        <f t="shared" si="11"/>
        <v>124412000</v>
      </c>
      <c r="D38" s="2">
        <v>330785000</v>
      </c>
      <c r="E38" s="12">
        <f t="shared" si="17"/>
        <v>330740000</v>
      </c>
      <c r="F38" s="20">
        <f t="shared" si="15"/>
        <v>35000</v>
      </c>
      <c r="G38" s="2">
        <v>464583000</v>
      </c>
      <c r="H38" s="12">
        <f t="shared" si="18"/>
        <v>464535000</v>
      </c>
      <c r="I38" s="20">
        <f t="shared" si="14"/>
        <v>48000</v>
      </c>
      <c r="J38" s="26">
        <f t="shared" si="0"/>
        <v>83000</v>
      </c>
      <c r="K38" s="29">
        <f t="shared" si="9"/>
        <v>2383000</v>
      </c>
      <c r="L38" s="34">
        <f>+K38/28</f>
        <v>85107.142857142855</v>
      </c>
      <c r="M38" s="37">
        <f t="shared" si="2"/>
        <v>3546.1309523809523</v>
      </c>
      <c r="N38" s="38">
        <f t="shared" si="3"/>
        <v>344.56333140543666</v>
      </c>
      <c r="O38" s="57">
        <f t="shared" si="4"/>
        <v>2638321.4285714286</v>
      </c>
      <c r="R38" s="2">
        <v>8911000</v>
      </c>
      <c r="S38" s="12">
        <f t="shared" si="5"/>
        <v>8683000</v>
      </c>
      <c r="T38" s="24">
        <f t="shared" si="6"/>
        <v>228000</v>
      </c>
      <c r="U38" s="2">
        <f t="shared" si="12"/>
        <v>6421000</v>
      </c>
      <c r="V38" s="2">
        <f t="shared" si="10"/>
        <v>1490000</v>
      </c>
      <c r="W38" s="43">
        <f t="shared" si="7"/>
        <v>263.49206349206349</v>
      </c>
    </row>
    <row r="39" spans="1:23">
      <c r="A39" s="65">
        <f t="shared" si="8"/>
        <v>43190</v>
      </c>
      <c r="B39" s="2">
        <v>124570000</v>
      </c>
      <c r="C39" s="12">
        <f t="shared" si="11"/>
        <v>124492000</v>
      </c>
      <c r="D39" s="2">
        <v>330835000</v>
      </c>
      <c r="E39" s="12">
        <f t="shared" si="17"/>
        <v>330785000</v>
      </c>
      <c r="F39" s="20">
        <f t="shared" si="15"/>
        <v>28000</v>
      </c>
      <c r="G39" s="2">
        <v>464631000</v>
      </c>
      <c r="H39" s="12">
        <f t="shared" si="18"/>
        <v>464583000</v>
      </c>
      <c r="I39" s="20">
        <f t="shared" si="14"/>
        <v>48000</v>
      </c>
      <c r="J39" s="26">
        <f t="shared" si="0"/>
        <v>76000</v>
      </c>
      <c r="K39" s="29">
        <f t="shared" si="9"/>
        <v>2459000</v>
      </c>
      <c r="L39" s="34">
        <f>+K39/28</f>
        <v>87821.428571428565</v>
      </c>
      <c r="M39" s="37">
        <f t="shared" si="2"/>
        <v>3659.2261904761904</v>
      </c>
      <c r="N39" s="38">
        <f t="shared" si="3"/>
        <v>355.55234239444763</v>
      </c>
      <c r="O39" s="57">
        <f t="shared" si="4"/>
        <v>2722464.2857142854</v>
      </c>
      <c r="R39" s="2"/>
      <c r="S39" s="12">
        <f t="shared" si="5"/>
        <v>8911000</v>
      </c>
      <c r="T39" s="24">
        <f t="shared" si="6"/>
        <v>-8911000</v>
      </c>
      <c r="U39" s="2">
        <f t="shared" si="12"/>
        <v>-2490000</v>
      </c>
      <c r="V39" s="2">
        <f t="shared" si="10"/>
        <v>1538000</v>
      </c>
      <c r="W39" s="43">
        <f t="shared" si="7"/>
        <v>241.26984126984127</v>
      </c>
    </row>
    <row r="40" spans="1:23" ht="3.75" customHeight="1">
      <c r="A40" s="65"/>
      <c r="B40" s="22"/>
      <c r="C40" s="22"/>
      <c r="D40" s="22"/>
      <c r="E40" s="22"/>
      <c r="F40" s="22"/>
      <c r="G40" s="22"/>
      <c r="H40" s="22"/>
      <c r="I40" s="22"/>
      <c r="J40" s="22"/>
      <c r="K40" s="32"/>
      <c r="L40">
        <f>+K40/27</f>
        <v>0</v>
      </c>
      <c r="N40" s="2"/>
      <c r="R40" s="22"/>
      <c r="S40" s="22"/>
      <c r="T40" s="22"/>
      <c r="U40" s="2"/>
      <c r="V40" s="2"/>
      <c r="W40" s="42"/>
    </row>
    <row r="41" spans="1:23" ht="13.5" thickBot="1">
      <c r="A41" s="65"/>
      <c r="B41" s="1"/>
      <c r="C41" s="1"/>
      <c r="D41" s="1"/>
      <c r="E41" s="1"/>
      <c r="F41" s="1"/>
      <c r="G41" s="1"/>
      <c r="H41" s="1"/>
      <c r="I41" s="31"/>
      <c r="J41" s="31"/>
      <c r="K41" s="29"/>
      <c r="N41" s="2"/>
      <c r="R41" s="1"/>
      <c r="S41" s="1"/>
      <c r="T41" s="31"/>
      <c r="U41" s="2"/>
      <c r="V41" s="2"/>
      <c r="W41" s="42"/>
    </row>
    <row r="42" spans="1:23" ht="13.5" thickBot="1">
      <c r="A42" s="65"/>
      <c r="B42" s="1">
        <v>2018</v>
      </c>
      <c r="C42" s="23" t="s">
        <v>34</v>
      </c>
      <c r="D42" s="23"/>
      <c r="E42" s="23"/>
      <c r="F42" s="30">
        <f>SUM(F9:F41)</f>
        <v>921000</v>
      </c>
      <c r="G42" s="23"/>
      <c r="H42" s="30"/>
      <c r="I42" s="30">
        <f>SUM(I9:I41)</f>
        <v>1538000</v>
      </c>
      <c r="J42" s="60">
        <f>SUM(J9:J39)</f>
        <v>2459000</v>
      </c>
      <c r="K42" s="59"/>
      <c r="L42" s="35"/>
      <c r="N42" s="2"/>
      <c r="R42" s="23"/>
      <c r="S42" s="23"/>
      <c r="T42" s="30"/>
      <c r="U42" s="47"/>
      <c r="V42" s="47"/>
      <c r="W42" s="42"/>
    </row>
    <row r="43" spans="1:23">
      <c r="A43" s="65"/>
    </row>
    <row r="44" spans="1:23">
      <c r="A44" s="65"/>
      <c r="J44" s="63"/>
    </row>
    <row r="45" spans="1:23">
      <c r="A45" s="65"/>
      <c r="B45" s="64"/>
      <c r="C45" t="s">
        <v>35</v>
      </c>
      <c r="D45" s="9"/>
    </row>
    <row r="46" spans="1:23">
      <c r="A46" s="65"/>
      <c r="D46" s="9"/>
    </row>
    <row r="47" spans="1:23">
      <c r="A47" s="65"/>
      <c r="B47" s="61"/>
    </row>
    <row r="48" spans="1:23">
      <c r="A48" s="65"/>
    </row>
    <row r="49" spans="1:1">
      <c r="A49" s="65"/>
    </row>
    <row r="50" spans="1:1">
      <c r="A50" s="65"/>
    </row>
    <row r="51" spans="1:1">
      <c r="A51" s="65"/>
    </row>
    <row r="52" spans="1:1">
      <c r="A52" s="65"/>
    </row>
    <row r="53" spans="1:1">
      <c r="A53" s="65"/>
    </row>
    <row r="54" spans="1:1">
      <c r="A54" s="65"/>
    </row>
    <row r="55" spans="1:1">
      <c r="A55" s="65"/>
    </row>
  </sheetData>
  <mergeCells count="1">
    <mergeCell ref="A2:K2"/>
  </mergeCells>
  <phoneticPr fontId="0" type="noConversion"/>
  <printOptions horizontalCentered="1" verticalCentered="1"/>
  <pageMargins left="0" right="0" top="0.5" bottom="0.5" header="0.5" footer="0.5"/>
  <pageSetup scale="10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E0505336475743B548BB3731556CC4" ma:contentTypeVersion="0" ma:contentTypeDescription="Create a new document." ma:contentTypeScope="" ma:versionID="1d7b5d509fba3b4f706f31e119f475e1">
  <xsd:schema xmlns:xsd="http://www.w3.org/2001/XMLSchema" xmlns:xs="http://www.w3.org/2001/XMLSchema" xmlns:p="http://schemas.microsoft.com/office/2006/metadata/properties" xmlns:ns1="http://schemas.microsoft.com/sharepoint/v3" xmlns:ns2="3527BF6F-27A6-47D3-AAFB-DBF13EBA6BBE" xmlns:ns3="00c1cf47-8665-4c73-8994-ff3a5e26da0f" xmlns:ns5="7312d0bd-5bb3-4d44-9c84-f993550bda7e" targetNamespace="http://schemas.microsoft.com/office/2006/metadata/properties" ma:root="true" ma:fieldsID="84db1b9bb3b786af1f66671565a50701" ns1:_="" ns2:_="" ns3:_="" ns5:_="">
    <xsd:import namespace="http://schemas.microsoft.com/sharepoint/v3"/>
    <xsd:import namespace="3527BF6F-27A6-47D3-AAFB-DBF13EBA6BBE"/>
    <xsd:import namespace="00c1cf47-8665-4c73-8994-ff3a5e26da0f"/>
    <xsd:import namespace="7312d0bd-5bb3-4d44-9c84-f993550bda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Docket_x0020_Number"/>
                <xsd:element ref="ns3:Party" minOccurs="0"/>
                <xsd:element ref="ns3:Preparer" minOccurs="0"/>
                <xsd:element ref="ns3:Responsible_x0020_Witness" minOccurs="0"/>
                <xsd:element ref="ns3:Internal_x0020_Due_x0020_Date" minOccurs="0"/>
                <xsd:element ref="ns3:Final_x0020_Due_x0020_Date" minOccurs="0"/>
                <xsd:element ref="ns3:Document_x0020_Type"/>
                <xsd:element ref="ns2:Series" minOccurs="0"/>
                <xsd:element ref="ns5:SharedWithUsers" minOccurs="0"/>
                <xsd:element ref="ns5:SharedWithDetail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27BF6F-27A6-47D3-AAFB-DBF13EBA6B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eries" ma:index="19" nillable="true" ma:displayName="Series" ma:internalName="Serie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c1cf47-8665-4c73-8994-ff3a5e26da0f" elementFormDefault="qualified">
    <xsd:import namespace="http://schemas.microsoft.com/office/2006/documentManagement/types"/>
    <xsd:import namespace="http://schemas.microsoft.com/office/infopath/2007/PartnerControls"/>
    <xsd:element name="Docket_x0020_Number" ma:index="11" ma:displayName="Docket Number" ma:internalName="Docket_x0020_Number" ma:readOnly="false">
      <xsd:simpleType>
        <xsd:restriction base="dms:Text">
          <xsd:maxLength value="255"/>
        </xsd:restriction>
      </xsd:simpleType>
    </xsd:element>
    <xsd:element name="Party" ma:index="12" nillable="true" ma:displayName="Party" ma:format="Dropdown" ma:internalName="Party" ma:readOnly="false">
      <xsd:simpleType>
        <xsd:union memberTypes="dms:Text">
          <xsd:simpleType>
            <xsd:restriction base="dms:Choice">
              <xsd:enumeration value="Board of Public Utilities"/>
              <xsd:enumeration value="California American Water"/>
              <xsd:enumeration value="California Utilities Commission"/>
              <xsd:enumeration value="Cities &amp; Villages"/>
              <xsd:enumeration value="Commission Staff"/>
              <xsd:enumeration value="City of Chattanooga"/>
              <xsd:enumeration value="Community Action Counsel"/>
              <xsd:enumeration value="Consumer Advocate Division"/>
              <xsd:enumeration value="Division of Rate Counsel"/>
              <xsd:enumeration value="Division of Ratepayer Advocates"/>
              <xsd:enumeration value="Federal Executive Agency"/>
              <xsd:enumeration value="Hawaii American Water"/>
              <xsd:enumeration value="Hopewell Committee for Fair Utility Rates"/>
              <xsd:enumeration value="Illinois American Water"/>
              <xsd:enumeration value="ICC Staff"/>
              <xsd:enumeration value="Illinois Industrial Water Consumers"/>
              <xsd:enumeration value="Indiana American Water"/>
              <xsd:enumeration value="Indiana Office of Utility Consumer Counselor"/>
              <xsd:enumeration value="Iowa American Water"/>
              <xsd:enumeration value="Iowa Utilities Board"/>
              <xsd:enumeration value="Kentucky American Water"/>
              <xsd:enumeration value="Lexington Fayette Urban County Government"/>
              <xsd:enumeration value="LFUCG"/>
              <xsd:enumeration value="Long Island American Water"/>
              <xsd:enumeration value="Maryland American Water"/>
              <xsd:enumeration value="Missouri American Water"/>
              <xsd:enumeration value="New Jersey American Water"/>
              <xsd:enumeration value="North Star"/>
              <xsd:enumeration value="NYS Dept of Public Service"/>
              <xsd:enumeration value="Office of Consumer Advocate"/>
              <xsd:enumeration value="Office of Public Counsel"/>
              <xsd:enumeration value="Office of Small Business Advocate"/>
              <xsd:enumeration value="Office of Trial Staff"/>
              <xsd:enumeration value="Overland Consulting"/>
              <xsd:enumeration value="Pennsylvania American Water"/>
              <xsd:enumeration value="PSC"/>
              <xsd:enumeration value="Public Service Commission"/>
              <xsd:enumeration value="Public Utilities Commission of Ohio"/>
              <xsd:enumeration value="Public Utility Commission"/>
              <xsd:enumeration value="Public Works Commission"/>
              <xsd:enumeration value="Staff of the Attorney General"/>
              <xsd:enumeration value="Staff Information Request"/>
              <xsd:enumeration value="State Corporation Commission"/>
              <xsd:enumeration value="Tennessee American Water"/>
              <xsd:enumeration value="Tennessee Regulatory Authority"/>
              <xsd:enumeration value="The Utility Reform Network"/>
              <xsd:enumeration value="Utility Intervention Unit"/>
              <xsd:enumeration value="Utility Workers Union of America"/>
              <xsd:enumeration value="Village of Bolingbrook"/>
              <xsd:enumeration value="Virginia American Water"/>
              <xsd:enumeration value="West Lafayette"/>
              <xsd:enumeration value="West Virginia American Water"/>
              <xsd:enumeration value="West Virginia Consumer Advocate Division"/>
              <xsd:enumeration value="N/A"/>
            </xsd:restriction>
          </xsd:simpleType>
        </xsd:union>
      </xsd:simpleType>
    </xsd:element>
    <xsd:element name="Preparer" ma:index="13" nillable="true" ma:displayName="Preparer" ma:internalName="Preparer" ma:readOnly="false">
      <xsd:simpleType>
        <xsd:restriction base="dms:Text">
          <xsd:maxLength value="255"/>
        </xsd:restriction>
      </xsd:simpleType>
    </xsd:element>
    <xsd:element name="Responsible_x0020_Witness" ma:index="14" nillable="true" ma:displayName="Witness" ma:internalName="Responsible_x0020_Witness" ma:readOnly="false">
      <xsd:simpleType>
        <xsd:restriction base="dms:Text">
          <xsd:maxLength value="255"/>
        </xsd:restriction>
      </xsd:simpleType>
    </xsd:element>
    <xsd:element name="Internal_x0020_Due_x0020_Date" ma:index="16" nillable="true" ma:displayName="Int'l Due Date" ma:format="DateOnly" ma:internalName="Internal_x0020_Due_x0020_Date" ma:readOnly="false">
      <xsd:simpleType>
        <xsd:restriction base="dms:DateTime"/>
      </xsd:simpleType>
    </xsd:element>
    <xsd:element name="Final_x0020_Due_x0020_Date" ma:index="17" nillable="true" ma:displayName="Final Due Date" ma:format="DateOnly" ma:internalName="Final_x0020_Due_x0020_Date" ma:readOnly="false">
      <xsd:simpleType>
        <xsd:restriction base="dms:DateTime"/>
      </xsd:simpleType>
    </xsd:element>
    <xsd:element name="Document_x0020_Type" ma:index="18" ma:displayName="Doc Type" ma:format="Dropdown" ma:internalName="Document_x0020_Type" ma:readOnly="false">
      <xsd:simpleType>
        <xsd:restriction base="dms:Choice">
          <xsd:enumeration value="Affidavits"/>
          <xsd:enumeration value="Administrative"/>
          <xsd:enumeration value="Application"/>
          <xsd:enumeration value="Attachment"/>
          <xsd:enumeration value="Brief"/>
          <xsd:enumeration value="Contract"/>
          <xsd:enumeration value="Discovery"/>
          <xsd:enumeration value="Exhibit"/>
          <xsd:enumeration value="Link"/>
          <xsd:enumeration value="Motions"/>
          <xsd:enumeration value="Orders/Decisions"/>
          <xsd:enumeration value="Petition"/>
          <xsd:enumeration value="Proposal"/>
          <xsd:enumeration value="Report"/>
          <xsd:enumeration value="RRD"/>
          <xsd:enumeration value="Testimony"/>
          <xsd:enumeration value="Transcripts"/>
          <xsd:enumeration value="White Pape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12d0bd-5bb3-4d44-9c84-f993550bda7e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15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nternal_x0020_Due_x0020_Date xmlns="00c1cf47-8665-4c73-8994-ff3a5e26da0f" xsi:nil="true"/>
    <Final_x0020_Due_x0020_Date xmlns="00c1cf47-8665-4c73-8994-ff3a5e26da0f" xsi:nil="true"/>
    <Docket_x0020_Number xmlns="00c1cf47-8665-4c73-8994-ff3a5e26da0f">2018-00358-GRC</Docket_x0020_Number>
    <Preparer xmlns="00c1cf47-8665-4c73-8994-ff3a5e26da0f" xsi:nil="true"/>
    <Document_x0020_Type xmlns="00c1cf47-8665-4c73-8994-ff3a5e26da0f">Discovery</Document_x0020_Type>
    <_ip_UnifiedCompliancePolicyProperties xmlns="http://schemas.microsoft.com/sharepoint/v3" xsi:nil="true"/>
    <Series xmlns="3527BF6F-27A6-47D3-AAFB-DBF13EBA6BBE" xsi:nil="true"/>
    <Party xmlns="00c1cf47-8665-4c73-8994-ff3a5e26da0f" xsi:nil="true"/>
    <Responsible_x0020_Witness xmlns="00c1cf47-8665-4c73-8994-ff3a5e26da0f" xsi:nil="true"/>
  </documentManagement>
</p:properties>
</file>

<file path=customXml/itemProps1.xml><?xml version="1.0" encoding="utf-8"?>
<ds:datastoreItem xmlns:ds="http://schemas.openxmlformats.org/officeDocument/2006/customXml" ds:itemID="{51DE6E42-1009-44A8-9C1A-7AFB98F0C734}"/>
</file>

<file path=customXml/itemProps2.xml><?xml version="1.0" encoding="utf-8"?>
<ds:datastoreItem xmlns:ds="http://schemas.openxmlformats.org/officeDocument/2006/customXml" ds:itemID="{2BFD53C9-28DC-4657-BC11-ED64864C66FC}"/>
</file>

<file path=customXml/itemProps3.xml><?xml version="1.0" encoding="utf-8"?>
<ds:datastoreItem xmlns:ds="http://schemas.openxmlformats.org/officeDocument/2006/customXml" ds:itemID="{1E442BE6-C72A-40C3-B093-46353F5416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Unknown Organization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lastModifiedBy>Tim</cp:lastModifiedBy>
  <cp:lastPrinted>2016-01-31T14:44:48Z</cp:lastPrinted>
  <dcterms:created xsi:type="dcterms:W3CDTF">2002-07-26T11:51:45Z</dcterms:created>
  <dcterms:modified xsi:type="dcterms:W3CDTF">2018-03-31T10:08:34Z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0x01010004E0505336475743B548BB3731556CC4</vt:lpwstr>
  </property>
</Properties>
</file>