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Revenues\"/>
    </mc:Choice>
  </mc:AlternateContent>
  <bookViews>
    <workbookView xWindow="-48" yWindow="1068" windowWidth="7368" windowHeight="2712" tabRatio="587" activeTab="2"/>
  </bookViews>
  <sheets>
    <sheet name="Link out" sheetId="3" r:id="rId1"/>
    <sheet name="Link in" sheetId="4" r:id="rId2"/>
    <sheet name="Sch M" sheetId="1" r:id="rId3"/>
    <sheet name="Sch N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'Link in'!$A$110:$K$128</definedName>
    <definedName name="_xlnm.Print_Area" localSheetId="0">'Link out'!$A$1:$O$98</definedName>
    <definedName name="_xlnm.Print_Area" localSheetId="2">'Sch M'!$A$1:$Z$313</definedName>
    <definedName name="_xlnm.Print_Area" localSheetId="3">'Sch N'!$A$1:$I$88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94" i="4" l="1"/>
  <c r="A94" i="4"/>
  <c r="A178" i="4"/>
  <c r="A93" i="4"/>
  <c r="A92" i="4"/>
  <c r="A91" i="4"/>
  <c r="A90" i="4"/>
  <c r="A3" i="4"/>
  <c r="A2" i="4"/>
  <c r="A1" i="4"/>
  <c r="H72" i="3" l="1"/>
  <c r="I283" i="1" l="1"/>
  <c r="I240" i="1"/>
  <c r="I200" i="1"/>
  <c r="I161" i="1"/>
  <c r="I122" i="1"/>
  <c r="I83" i="1"/>
  <c r="I44" i="1"/>
  <c r="D61" i="4" l="1"/>
  <c r="D62" i="4"/>
  <c r="D63" i="4"/>
  <c r="D64" i="4"/>
  <c r="D60" i="4"/>
  <c r="C81" i="5"/>
  <c r="C72" i="5"/>
  <c r="C71" i="5"/>
  <c r="C70" i="5"/>
  <c r="C69" i="5"/>
  <c r="C68" i="5"/>
  <c r="C67" i="5"/>
  <c r="C66" i="5"/>
  <c r="C65" i="5"/>
  <c r="P78" i="5"/>
  <c r="C73" i="5"/>
  <c r="C74" i="5"/>
  <c r="C75" i="5"/>
  <c r="C76" i="5"/>
  <c r="C77" i="5"/>
  <c r="C78" i="5"/>
  <c r="C59" i="5"/>
  <c r="C60" i="5"/>
  <c r="C61" i="5"/>
  <c r="C62" i="5"/>
  <c r="C63" i="5"/>
  <c r="C64" i="5"/>
  <c r="C5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C39" i="5"/>
  <c r="C28" i="5"/>
  <c r="C29" i="5"/>
  <c r="C30" i="5"/>
  <c r="C31" i="5"/>
  <c r="C32" i="5"/>
  <c r="C33" i="5"/>
  <c r="C34" i="5"/>
  <c r="C35" i="5"/>
  <c r="C36" i="5"/>
  <c r="C22" i="5"/>
  <c r="C23" i="5"/>
  <c r="C24" i="5"/>
  <c r="C25" i="5"/>
  <c r="C26" i="5"/>
  <c r="C27" i="5"/>
  <c r="C18" i="5"/>
  <c r="C19" i="5"/>
  <c r="C20" i="5"/>
  <c r="C21" i="5"/>
  <c r="C1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K230" i="1" l="1"/>
  <c r="K228" i="1"/>
  <c r="K229" i="1"/>
  <c r="A53" i="5"/>
  <c r="I53" i="5"/>
  <c r="C57" i="5"/>
  <c r="F108" i="4"/>
  <c r="F107" i="4"/>
  <c r="F106" i="4"/>
  <c r="F105" i="4"/>
  <c r="F103" i="4"/>
  <c r="F102" i="4"/>
  <c r="F101" i="4"/>
  <c r="F100" i="4"/>
  <c r="D104" i="4"/>
  <c r="F104" i="4" s="1"/>
  <c r="D99" i="4"/>
  <c r="F99" i="4" s="1"/>
  <c r="C108" i="4"/>
  <c r="C107" i="4"/>
  <c r="C105" i="4"/>
  <c r="C103" i="4"/>
  <c r="C102" i="4"/>
  <c r="C101" i="4"/>
  <c r="C100" i="4"/>
  <c r="C98" i="4"/>
  <c r="B106" i="4"/>
  <c r="C106" i="4" s="1"/>
  <c r="B104" i="4"/>
  <c r="C104" i="4" s="1"/>
  <c r="B99" i="4"/>
  <c r="C99" i="4" s="1"/>
  <c r="Q210" i="1" l="1"/>
  <c r="Q211" i="1"/>
  <c r="Q212" i="1"/>
  <c r="Q213" i="1"/>
  <c r="Z213" i="1" s="1"/>
  <c r="Q214" i="1"/>
  <c r="Q215" i="1"/>
  <c r="Q216" i="1"/>
  <c r="Z216" i="1" s="1"/>
  <c r="X217" i="1"/>
  <c r="Q208" i="1"/>
  <c r="Z208" i="1" s="1"/>
  <c r="Q224" i="1"/>
  <c r="Q225" i="1"/>
  <c r="Q226" i="1"/>
  <c r="Z226" i="1" s="1"/>
  <c r="Q227" i="1"/>
  <c r="Q228" i="1"/>
  <c r="Q229" i="1"/>
  <c r="V229" i="1" s="1"/>
  <c r="X229" i="1" s="1"/>
  <c r="Q230" i="1"/>
  <c r="Q223" i="1"/>
  <c r="Q222" i="1"/>
  <c r="Z222" i="1" s="1"/>
  <c r="G223" i="1"/>
  <c r="G224" i="1"/>
  <c r="G225" i="1"/>
  <c r="G226" i="1"/>
  <c r="G227" i="1"/>
  <c r="G228" i="1"/>
  <c r="G229" i="1"/>
  <c r="L229" i="1" s="1"/>
  <c r="Q171" i="1"/>
  <c r="Q172" i="1"/>
  <c r="Q173" i="1"/>
  <c r="Q174" i="1"/>
  <c r="Q175" i="1"/>
  <c r="Q176" i="1"/>
  <c r="Q177" i="1"/>
  <c r="Q170" i="1"/>
  <c r="Q169" i="1"/>
  <c r="Q183" i="1"/>
  <c r="Q144" i="1"/>
  <c r="P106" i="1"/>
  <c r="P105" i="1"/>
  <c r="P92" i="1"/>
  <c r="P93" i="1"/>
  <c r="P94" i="1"/>
  <c r="P96" i="1"/>
  <c r="P97" i="1"/>
  <c r="P98" i="1"/>
  <c r="P99" i="1"/>
  <c r="P91" i="1"/>
  <c r="F95" i="1"/>
  <c r="P95" i="1" s="1"/>
  <c r="F106" i="1"/>
  <c r="F105" i="1"/>
  <c r="F91" i="1"/>
  <c r="Q71" i="1"/>
  <c r="P71" i="1"/>
  <c r="P70" i="1"/>
  <c r="P69" i="1"/>
  <c r="P68" i="1"/>
  <c r="P67" i="1"/>
  <c r="P66" i="1"/>
  <c r="P60" i="1"/>
  <c r="P59" i="1"/>
  <c r="P58" i="1"/>
  <c r="P57" i="1"/>
  <c r="P56" i="1"/>
  <c r="P55" i="1"/>
  <c r="P54" i="1"/>
  <c r="P53" i="1"/>
  <c r="P52" i="1"/>
  <c r="G71" i="1"/>
  <c r="F67" i="1"/>
  <c r="F68" i="1"/>
  <c r="F69" i="1"/>
  <c r="F70" i="1"/>
  <c r="F71" i="1"/>
  <c r="F66" i="1"/>
  <c r="F52" i="1"/>
  <c r="Z122" i="1"/>
  <c r="A123" i="1"/>
  <c r="E127" i="1"/>
  <c r="J127" i="1"/>
  <c r="D130" i="1"/>
  <c r="G130" i="1" s="1"/>
  <c r="F130" i="1"/>
  <c r="N130" i="1"/>
  <c r="P130" i="1"/>
  <c r="Q130" i="1" s="1"/>
  <c r="S130" i="1"/>
  <c r="D131" i="1"/>
  <c r="F131" i="1"/>
  <c r="P131" i="1" s="1"/>
  <c r="G131" i="1"/>
  <c r="I131" i="1"/>
  <c r="N131" i="1"/>
  <c r="Q131" i="1" s="1"/>
  <c r="S131" i="1"/>
  <c r="Z131" i="1"/>
  <c r="D132" i="1"/>
  <c r="G132" i="1" s="1"/>
  <c r="F132" i="1"/>
  <c r="N132" i="1"/>
  <c r="P132" i="1"/>
  <c r="Q132" i="1" s="1"/>
  <c r="Z132" i="1" s="1"/>
  <c r="S132" i="1"/>
  <c r="D133" i="1"/>
  <c r="I133" i="1" s="1"/>
  <c r="F133" i="1"/>
  <c r="P133" i="1" s="1"/>
  <c r="G133" i="1"/>
  <c r="N133" i="1"/>
  <c r="D134" i="1"/>
  <c r="G134" i="1" s="1"/>
  <c r="F134" i="1"/>
  <c r="I134" i="1"/>
  <c r="N134" i="1"/>
  <c r="S134" i="1" s="1"/>
  <c r="P134" i="1"/>
  <c r="Q134" i="1"/>
  <c r="Z134" i="1" s="1"/>
  <c r="D135" i="1"/>
  <c r="I135" i="1" s="1"/>
  <c r="F135" i="1"/>
  <c r="P135" i="1" s="1"/>
  <c r="G135" i="1"/>
  <c r="N135" i="1"/>
  <c r="D136" i="1"/>
  <c r="F136" i="1"/>
  <c r="N136" i="1"/>
  <c r="S136" i="1" s="1"/>
  <c r="P136" i="1"/>
  <c r="Q136" i="1"/>
  <c r="Z136" i="1" s="1"/>
  <c r="D137" i="1"/>
  <c r="I137" i="1" s="1"/>
  <c r="F137" i="1"/>
  <c r="P137" i="1" s="1"/>
  <c r="G137" i="1"/>
  <c r="N137" i="1"/>
  <c r="D138" i="1"/>
  <c r="G138" i="1" s="1"/>
  <c r="F138" i="1"/>
  <c r="I138" i="1"/>
  <c r="N138" i="1"/>
  <c r="S138" i="1" s="1"/>
  <c r="P138" i="1"/>
  <c r="Q138" i="1"/>
  <c r="Z138" i="1" s="1"/>
  <c r="X139" i="1"/>
  <c r="Z139" i="1"/>
  <c r="E144" i="1"/>
  <c r="O144" i="1"/>
  <c r="T144" i="1" s="1"/>
  <c r="E145" i="1"/>
  <c r="F145" i="1"/>
  <c r="G145" i="1"/>
  <c r="J145" i="1"/>
  <c r="O145" i="1"/>
  <c r="Q145" i="1" s="1"/>
  <c r="P145" i="1"/>
  <c r="T145" i="1"/>
  <c r="Z145" i="1"/>
  <c r="E146" i="1"/>
  <c r="G146" i="1" s="1"/>
  <c r="F146" i="1"/>
  <c r="J146" i="1"/>
  <c r="O146" i="1"/>
  <c r="T146" i="1" s="1"/>
  <c r="P146" i="1"/>
  <c r="Q146" i="1"/>
  <c r="Z146" i="1" s="1"/>
  <c r="E147" i="1"/>
  <c r="J147" i="1" s="1"/>
  <c r="F147" i="1"/>
  <c r="G147" i="1"/>
  <c r="O147" i="1"/>
  <c r="P147" i="1"/>
  <c r="T147" i="1"/>
  <c r="E148" i="1"/>
  <c r="G148" i="1" s="1"/>
  <c r="F148" i="1"/>
  <c r="O148" i="1"/>
  <c r="T148" i="1" s="1"/>
  <c r="P148" i="1"/>
  <c r="Q148" i="1" s="1"/>
  <c r="E149" i="1"/>
  <c r="J149" i="1" s="1"/>
  <c r="F149" i="1"/>
  <c r="G149" i="1" s="1"/>
  <c r="O149" i="1"/>
  <c r="Q149" i="1" s="1"/>
  <c r="P149" i="1"/>
  <c r="T149" i="1"/>
  <c r="Z149" i="1"/>
  <c r="E150" i="1"/>
  <c r="J150" i="1" s="1"/>
  <c r="G150" i="1"/>
  <c r="L150" i="1"/>
  <c r="T150" i="1"/>
  <c r="V150" i="1"/>
  <c r="X150" i="1"/>
  <c r="Z150" i="1"/>
  <c r="Z161" i="1"/>
  <c r="A162" i="1"/>
  <c r="A201" i="1" s="1"/>
  <c r="J166" i="1"/>
  <c r="D169" i="1"/>
  <c r="F169" i="1"/>
  <c r="G169" i="1"/>
  <c r="I169" i="1"/>
  <c r="N169" i="1"/>
  <c r="S169" i="1" s="1"/>
  <c r="D170" i="1"/>
  <c r="F170" i="1"/>
  <c r="N170" i="1"/>
  <c r="S170" i="1"/>
  <c r="Z170" i="1"/>
  <c r="D171" i="1"/>
  <c r="F171" i="1"/>
  <c r="G171" i="1"/>
  <c r="I171" i="1"/>
  <c r="N171" i="1"/>
  <c r="D172" i="1"/>
  <c r="F172" i="1"/>
  <c r="N172" i="1"/>
  <c r="S172" i="1"/>
  <c r="D173" i="1"/>
  <c r="F173" i="1"/>
  <c r="G173" i="1"/>
  <c r="I173" i="1"/>
  <c r="N173" i="1"/>
  <c r="S173" i="1" s="1"/>
  <c r="D174" i="1"/>
  <c r="F174" i="1"/>
  <c r="N174" i="1"/>
  <c r="S174" i="1"/>
  <c r="D175" i="1"/>
  <c r="F175" i="1"/>
  <c r="G175" i="1"/>
  <c r="I175" i="1"/>
  <c r="N175" i="1"/>
  <c r="D176" i="1"/>
  <c r="F176" i="1"/>
  <c r="N176" i="1"/>
  <c r="S176" i="1"/>
  <c r="D177" i="1"/>
  <c r="F177" i="1"/>
  <c r="G177" i="1"/>
  <c r="I177" i="1"/>
  <c r="N177" i="1"/>
  <c r="S177" i="1" s="1"/>
  <c r="X178" i="1"/>
  <c r="Z178" i="1"/>
  <c r="E183" i="1"/>
  <c r="J183" i="1"/>
  <c r="O183" i="1"/>
  <c r="E184" i="1"/>
  <c r="F184" i="1"/>
  <c r="O184" i="1"/>
  <c r="Q184" i="1"/>
  <c r="T184" i="1"/>
  <c r="E185" i="1"/>
  <c r="F185" i="1"/>
  <c r="G185" i="1"/>
  <c r="J185" i="1"/>
  <c r="O185" i="1"/>
  <c r="T185" i="1" s="1"/>
  <c r="Q185" i="1"/>
  <c r="Z185" i="1" s="1"/>
  <c r="E186" i="1"/>
  <c r="F186" i="1"/>
  <c r="O186" i="1"/>
  <c r="Q186" i="1"/>
  <c r="P186" i="1" s="1"/>
  <c r="T186" i="1"/>
  <c r="E187" i="1"/>
  <c r="F187" i="1"/>
  <c r="G187" i="1"/>
  <c r="J187" i="1"/>
  <c r="O187" i="1"/>
  <c r="T187" i="1" s="1"/>
  <c r="P187" i="1"/>
  <c r="Q187" i="1"/>
  <c r="Z187" i="1" s="1"/>
  <c r="E188" i="1"/>
  <c r="F188" i="1"/>
  <c r="O188" i="1"/>
  <c r="P188" i="1"/>
  <c r="Q188" i="1"/>
  <c r="Z188" i="1" s="1"/>
  <c r="T188" i="1"/>
  <c r="E189" i="1"/>
  <c r="G189" i="1"/>
  <c r="J189" i="1"/>
  <c r="L189" i="1"/>
  <c r="Q189" i="1"/>
  <c r="T189" i="1"/>
  <c r="V189" i="1"/>
  <c r="X189" i="1" s="1"/>
  <c r="Z189" i="1"/>
  <c r="Z200" i="1"/>
  <c r="Z240" i="1" s="1"/>
  <c r="J205" i="1"/>
  <c r="D208" i="1"/>
  <c r="I208" i="1" s="1"/>
  <c r="F208" i="1"/>
  <c r="N208" i="1"/>
  <c r="S208" i="1" s="1"/>
  <c r="D209" i="1"/>
  <c r="F209" i="1"/>
  <c r="I209" i="1"/>
  <c r="N209" i="1"/>
  <c r="S209" i="1"/>
  <c r="D210" i="1"/>
  <c r="F210" i="1"/>
  <c r="G210" i="1" s="1"/>
  <c r="I210" i="1"/>
  <c r="N210" i="1"/>
  <c r="S210" i="1"/>
  <c r="Z210" i="1"/>
  <c r="D211" i="1"/>
  <c r="G211" i="1" s="1"/>
  <c r="F211" i="1"/>
  <c r="I211" i="1"/>
  <c r="N211" i="1"/>
  <c r="S211" i="1"/>
  <c r="D212" i="1"/>
  <c r="F212" i="1"/>
  <c r="G212" i="1" s="1"/>
  <c r="I212" i="1"/>
  <c r="N212" i="1"/>
  <c r="S212" i="1"/>
  <c r="D213" i="1"/>
  <c r="F213" i="1"/>
  <c r="I213" i="1"/>
  <c r="N213" i="1"/>
  <c r="S213" i="1"/>
  <c r="D214" i="1"/>
  <c r="F214" i="1"/>
  <c r="G214" i="1" s="1"/>
  <c r="I214" i="1"/>
  <c r="N214" i="1"/>
  <c r="S214" i="1"/>
  <c r="D215" i="1"/>
  <c r="G215" i="1" s="1"/>
  <c r="F215" i="1"/>
  <c r="I215" i="1"/>
  <c r="N215" i="1"/>
  <c r="S215" i="1"/>
  <c r="D216" i="1"/>
  <c r="F216" i="1"/>
  <c r="G216" i="1" s="1"/>
  <c r="I216" i="1"/>
  <c r="N216" i="1"/>
  <c r="S216" i="1"/>
  <c r="G217" i="1"/>
  <c r="L217" i="1"/>
  <c r="E222" i="1"/>
  <c r="J222" i="1"/>
  <c r="O222" i="1"/>
  <c r="T222" i="1"/>
  <c r="E223" i="1"/>
  <c r="F223" i="1"/>
  <c r="J223" i="1"/>
  <c r="O223" i="1"/>
  <c r="P223" i="1"/>
  <c r="T223" i="1"/>
  <c r="F224" i="1"/>
  <c r="J224" i="1"/>
  <c r="P224" i="1"/>
  <c r="T224" i="1"/>
  <c r="Z224" i="1"/>
  <c r="F225" i="1"/>
  <c r="J225" i="1"/>
  <c r="P225" i="1"/>
  <c r="T225" i="1"/>
  <c r="Z225" i="1"/>
  <c r="F226" i="1"/>
  <c r="J226" i="1"/>
  <c r="P226" i="1"/>
  <c r="T226" i="1"/>
  <c r="F227" i="1"/>
  <c r="J227" i="1"/>
  <c r="Z227" i="1"/>
  <c r="T227" i="1"/>
  <c r="J228" i="1"/>
  <c r="T228" i="1"/>
  <c r="E229" i="1"/>
  <c r="J229" i="1"/>
  <c r="T229" i="1"/>
  <c r="Z229" i="1"/>
  <c r="E230" i="1"/>
  <c r="J230" i="1" s="1"/>
  <c r="L230" i="1" s="1"/>
  <c r="F230" i="1"/>
  <c r="P230" i="1" s="1"/>
  <c r="O230" i="1"/>
  <c r="T230" i="1"/>
  <c r="V230" i="1" s="1"/>
  <c r="U230" i="1"/>
  <c r="E231" i="1"/>
  <c r="O231" i="1"/>
  <c r="A241" i="1"/>
  <c r="A284" i="1" s="1"/>
  <c r="E247" i="1"/>
  <c r="J247" i="1" s="1"/>
  <c r="O247" i="1"/>
  <c r="T247" i="1" s="1"/>
  <c r="Q247" i="1"/>
  <c r="E248" i="1"/>
  <c r="J248" i="1" s="1"/>
  <c r="O248" i="1"/>
  <c r="T248" i="1" s="1"/>
  <c r="E249" i="1"/>
  <c r="G249" i="1" s="1"/>
  <c r="J249" i="1"/>
  <c r="O249" i="1"/>
  <c r="T249" i="1" s="1"/>
  <c r="E250" i="1"/>
  <c r="J250" i="1" s="1"/>
  <c r="O250" i="1"/>
  <c r="Q250" i="1" s="1"/>
  <c r="Z250" i="1" s="1"/>
  <c r="T250" i="1"/>
  <c r="E251" i="1"/>
  <c r="J251" i="1" s="1"/>
  <c r="G251" i="1"/>
  <c r="O251" i="1"/>
  <c r="T251" i="1" s="1"/>
  <c r="E252" i="1"/>
  <c r="J252" i="1" s="1"/>
  <c r="G252" i="1"/>
  <c r="O252" i="1"/>
  <c r="T252" i="1" s="1"/>
  <c r="T259" i="1" s="1"/>
  <c r="E253" i="1"/>
  <c r="G253" i="1"/>
  <c r="J253" i="1"/>
  <c r="O253" i="1"/>
  <c r="T253" i="1" s="1"/>
  <c r="Q253" i="1"/>
  <c r="Z253" i="1" s="1"/>
  <c r="E254" i="1"/>
  <c r="J254" i="1" s="1"/>
  <c r="G254" i="1"/>
  <c r="O254" i="1"/>
  <c r="Q254" i="1"/>
  <c r="Z254" i="1" s="1"/>
  <c r="T254" i="1"/>
  <c r="E255" i="1"/>
  <c r="J255" i="1" s="1"/>
  <c r="G255" i="1"/>
  <c r="O255" i="1"/>
  <c r="T255" i="1" s="1"/>
  <c r="Q255" i="1"/>
  <c r="Z255" i="1" s="1"/>
  <c r="L258" i="1"/>
  <c r="V258" i="1"/>
  <c r="E259" i="1"/>
  <c r="A262" i="1"/>
  <c r="A263" i="1" s="1"/>
  <c r="E262" i="1"/>
  <c r="G262" i="1"/>
  <c r="J262" i="1"/>
  <c r="L262" i="1" s="1"/>
  <c r="O262" i="1"/>
  <c r="T262" i="1"/>
  <c r="V262" i="1" s="1"/>
  <c r="U262" i="1"/>
  <c r="K262" i="1" s="1"/>
  <c r="A264" i="1"/>
  <c r="A265" i="1" s="1"/>
  <c r="A266" i="1" s="1"/>
  <c r="A267" i="1" s="1"/>
  <c r="A268" i="1" s="1"/>
  <c r="A269" i="1" s="1"/>
  <c r="A270" i="1" s="1"/>
  <c r="A271" i="1" s="1"/>
  <c r="A272" i="1" s="1"/>
  <c r="E266" i="1"/>
  <c r="J266" i="1"/>
  <c r="J268" i="1" s="1"/>
  <c r="O266" i="1"/>
  <c r="P266" i="1"/>
  <c r="Q266" i="1" s="1"/>
  <c r="Q268" i="1" s="1"/>
  <c r="T266" i="1"/>
  <c r="T268" i="1" s="1"/>
  <c r="E268" i="1"/>
  <c r="O268" i="1"/>
  <c r="E270" i="1"/>
  <c r="G270" i="1"/>
  <c r="L270" i="1" s="1"/>
  <c r="Q270" i="1"/>
  <c r="V270" i="1" s="1"/>
  <c r="Z283" i="1"/>
  <c r="E288" i="1"/>
  <c r="O288" i="1" s="1"/>
  <c r="J288" i="1"/>
  <c r="T288" i="1"/>
  <c r="D291" i="1"/>
  <c r="G291" i="1" s="1"/>
  <c r="I291" i="1"/>
  <c r="N291" i="1"/>
  <c r="P291" i="1"/>
  <c r="S291" i="1"/>
  <c r="D292" i="1"/>
  <c r="G292" i="1"/>
  <c r="I292" i="1"/>
  <c r="N292" i="1"/>
  <c r="P292" i="1"/>
  <c r="U292" i="1" s="1"/>
  <c r="K292" i="1" s="1"/>
  <c r="L292" i="1" s="1"/>
  <c r="S292" i="1"/>
  <c r="D293" i="1"/>
  <c r="I293" i="1"/>
  <c r="N293" i="1"/>
  <c r="P293" i="1"/>
  <c r="S293" i="1"/>
  <c r="D294" i="1"/>
  <c r="G294" i="1"/>
  <c r="I294" i="1"/>
  <c r="N294" i="1"/>
  <c r="S294" i="1"/>
  <c r="D295" i="1"/>
  <c r="G295" i="1" s="1"/>
  <c r="I295" i="1"/>
  <c r="N295" i="1"/>
  <c r="P295" i="1"/>
  <c r="S295" i="1"/>
  <c r="D296" i="1"/>
  <c r="G296" i="1"/>
  <c r="I296" i="1"/>
  <c r="N296" i="1"/>
  <c r="S296" i="1"/>
  <c r="D297" i="1"/>
  <c r="P297" i="1"/>
  <c r="I297" i="1"/>
  <c r="N297" i="1"/>
  <c r="S297" i="1"/>
  <c r="D298" i="1"/>
  <c r="G298" i="1"/>
  <c r="I298" i="1"/>
  <c r="N298" i="1"/>
  <c r="S298" i="1"/>
  <c r="D299" i="1"/>
  <c r="G299" i="1" s="1"/>
  <c r="I299" i="1"/>
  <c r="N299" i="1"/>
  <c r="P299" i="1"/>
  <c r="S299" i="1"/>
  <c r="X300" i="1"/>
  <c r="Z300" i="1"/>
  <c r="E305" i="1"/>
  <c r="J305" i="1"/>
  <c r="O305" i="1"/>
  <c r="T305" i="1"/>
  <c r="E306" i="1"/>
  <c r="G306" i="1"/>
  <c r="J306" i="1"/>
  <c r="O306" i="1"/>
  <c r="T306" i="1" s="1"/>
  <c r="V306" i="1" s="1"/>
  <c r="P306" i="1"/>
  <c r="U306" i="1"/>
  <c r="K306" i="1" s="1"/>
  <c r="E307" i="1"/>
  <c r="G307" i="1" s="1"/>
  <c r="J307" i="1"/>
  <c r="L307" i="1"/>
  <c r="O307" i="1"/>
  <c r="Q307" i="1" s="1"/>
  <c r="Z307" i="1" s="1"/>
  <c r="P307" i="1"/>
  <c r="U307" i="1" s="1"/>
  <c r="K307" i="1" s="1"/>
  <c r="T307" i="1"/>
  <c r="V307" i="1"/>
  <c r="E308" i="1"/>
  <c r="J308" i="1" s="1"/>
  <c r="G308" i="1"/>
  <c r="O308" i="1"/>
  <c r="T308" i="1" s="1"/>
  <c r="V308" i="1" s="1"/>
  <c r="P308" i="1"/>
  <c r="U308" i="1"/>
  <c r="K308" i="1" s="1"/>
  <c r="E309" i="1"/>
  <c r="G309" i="1" s="1"/>
  <c r="J309" i="1"/>
  <c r="K309" i="1"/>
  <c r="L309" i="1"/>
  <c r="O309" i="1"/>
  <c r="P309" i="1"/>
  <c r="U309" i="1" s="1"/>
  <c r="Q309" i="1"/>
  <c r="T309" i="1"/>
  <c r="V309" i="1" s="1"/>
  <c r="X309" i="1" s="1"/>
  <c r="Z309" i="1"/>
  <c r="E310" i="1"/>
  <c r="G310" i="1"/>
  <c r="J310" i="1"/>
  <c r="O310" i="1"/>
  <c r="T310" i="1" s="1"/>
  <c r="P310" i="1"/>
  <c r="U310" i="1"/>
  <c r="K310" i="1" s="1"/>
  <c r="V310" i="1"/>
  <c r="E311" i="1"/>
  <c r="G311" i="1"/>
  <c r="L311" i="1" s="1"/>
  <c r="J311" i="1"/>
  <c r="J313" i="1" s="1"/>
  <c r="O311" i="1"/>
  <c r="Q311" i="1"/>
  <c r="V311" i="1" s="1"/>
  <c r="T311" i="1"/>
  <c r="X311" i="1"/>
  <c r="E313" i="1"/>
  <c r="N25" i="4"/>
  <c r="N26" i="4"/>
  <c r="N27" i="4"/>
  <c r="N11" i="4"/>
  <c r="N12" i="4"/>
  <c r="N13" i="4"/>
  <c r="N14" i="4"/>
  <c r="N15" i="4"/>
  <c r="N16" i="4"/>
  <c r="N17" i="4"/>
  <c r="N18" i="4"/>
  <c r="M25" i="4"/>
  <c r="M26" i="4"/>
  <c r="M27" i="4"/>
  <c r="M11" i="4"/>
  <c r="M12" i="4"/>
  <c r="M13" i="4"/>
  <c r="M14" i="4"/>
  <c r="M15" i="4"/>
  <c r="M16" i="4"/>
  <c r="M17" i="4"/>
  <c r="M18" i="4"/>
  <c r="D34" i="4"/>
  <c r="D25" i="4"/>
  <c r="D26" i="4"/>
  <c r="D27" i="4"/>
  <c r="D11" i="4"/>
  <c r="D12" i="4"/>
  <c r="D13" i="4"/>
  <c r="D14" i="4"/>
  <c r="D15" i="4"/>
  <c r="D16" i="4"/>
  <c r="D17" i="4"/>
  <c r="D18" i="4"/>
  <c r="C34" i="4"/>
  <c r="C25" i="4"/>
  <c r="C26" i="4"/>
  <c r="C27" i="4"/>
  <c r="C11" i="4"/>
  <c r="C12" i="4"/>
  <c r="C13" i="4"/>
  <c r="C14" i="4"/>
  <c r="C15" i="4"/>
  <c r="C16" i="4"/>
  <c r="C17" i="4"/>
  <c r="C18" i="4"/>
  <c r="Z186" i="1" l="1"/>
  <c r="P185" i="1"/>
  <c r="V292" i="1"/>
  <c r="Z217" i="1"/>
  <c r="Z268" i="1"/>
  <c r="X308" i="1"/>
  <c r="Q297" i="1"/>
  <c r="Z297" i="1" s="1"/>
  <c r="U297" i="1"/>
  <c r="K297" i="1" s="1"/>
  <c r="L297" i="1" s="1"/>
  <c r="P298" i="1"/>
  <c r="U298" i="1" s="1"/>
  <c r="P294" i="1"/>
  <c r="U294" i="1" s="1"/>
  <c r="Z266" i="1"/>
  <c r="P262" i="1"/>
  <c r="L310" i="1"/>
  <c r="G297" i="1"/>
  <c r="P296" i="1"/>
  <c r="U296" i="1" s="1"/>
  <c r="O313" i="1"/>
  <c r="Z311" i="1"/>
  <c r="L308" i="1"/>
  <c r="Q299" i="1"/>
  <c r="Z299" i="1" s="1"/>
  <c r="U299" i="1"/>
  <c r="Q295" i="1"/>
  <c r="Z295" i="1" s="1"/>
  <c r="U295" i="1"/>
  <c r="Q292" i="1"/>
  <c r="Z292" i="1" s="1"/>
  <c r="Q291" i="1"/>
  <c r="U291" i="1"/>
  <c r="J259" i="1"/>
  <c r="Q249" i="1"/>
  <c r="Z249" i="1" s="1"/>
  <c r="Q248" i="1"/>
  <c r="Z248" i="1" s="1"/>
  <c r="Z247" i="1"/>
  <c r="Q137" i="1"/>
  <c r="Z137" i="1" s="1"/>
  <c r="S137" i="1"/>
  <c r="Q305" i="1"/>
  <c r="Z305" i="1" s="1"/>
  <c r="U305" i="1"/>
  <c r="X307" i="1"/>
  <c r="Q293" i="1"/>
  <c r="Z293" i="1" s="1"/>
  <c r="U293" i="1"/>
  <c r="K293" i="1" s="1"/>
  <c r="L293" i="1" s="1"/>
  <c r="P184" i="1"/>
  <c r="Z184" i="1"/>
  <c r="T313" i="1"/>
  <c r="Q310" i="1"/>
  <c r="Z310" i="1" s="1"/>
  <c r="Q308" i="1"/>
  <c r="Z308" i="1" s="1"/>
  <c r="Q306" i="1"/>
  <c r="Z306" i="1" s="1"/>
  <c r="L306" i="1"/>
  <c r="G293" i="1"/>
  <c r="G266" i="1"/>
  <c r="G268" i="1" s="1"/>
  <c r="Q262" i="1"/>
  <c r="Z262" i="1" s="1"/>
  <c r="O259" i="1"/>
  <c r="Q252" i="1"/>
  <c r="Z252" i="1" s="1"/>
  <c r="G250" i="1"/>
  <c r="G247" i="1"/>
  <c r="G186" i="1"/>
  <c r="J186" i="1"/>
  <c r="G170" i="1"/>
  <c r="I170" i="1"/>
  <c r="Z148" i="1"/>
  <c r="G136" i="1"/>
  <c r="I136" i="1"/>
  <c r="Q133" i="1"/>
  <c r="Z133" i="1" s="1"/>
  <c r="S133" i="1"/>
  <c r="Z130" i="1"/>
  <c r="S175" i="1"/>
  <c r="G174" i="1"/>
  <c r="I174" i="1"/>
  <c r="Q191" i="1"/>
  <c r="Z144" i="1"/>
  <c r="Q135" i="1"/>
  <c r="Z135" i="1" s="1"/>
  <c r="S135" i="1"/>
  <c r="Q251" i="1"/>
  <c r="G248" i="1"/>
  <c r="T231" i="1"/>
  <c r="G222" i="1"/>
  <c r="G209" i="1"/>
  <c r="T183" i="1"/>
  <c r="O191" i="1"/>
  <c r="Z172" i="1"/>
  <c r="S171" i="1"/>
  <c r="T152" i="1"/>
  <c r="G144" i="1"/>
  <c r="E152" i="1"/>
  <c r="E166" i="1"/>
  <c r="O127" i="1"/>
  <c r="T127" i="1" s="1"/>
  <c r="G230" i="1"/>
  <c r="J231" i="1"/>
  <c r="G213" i="1"/>
  <c r="Z175" i="1"/>
  <c r="Q147" i="1"/>
  <c r="Z147" i="1" s="1"/>
  <c r="O152" i="1"/>
  <c r="J144" i="1"/>
  <c r="G208" i="1"/>
  <c r="G188" i="1"/>
  <c r="J188" i="1"/>
  <c r="G176" i="1"/>
  <c r="I176" i="1"/>
  <c r="J148" i="1"/>
  <c r="G152" i="1"/>
  <c r="G184" i="1"/>
  <c r="J184" i="1"/>
  <c r="E191" i="1"/>
  <c r="G172" i="1"/>
  <c r="I172" i="1"/>
  <c r="I132" i="1"/>
  <c r="I130" i="1"/>
  <c r="Q298" i="1" l="1"/>
  <c r="Z298" i="1" s="1"/>
  <c r="V297" i="1"/>
  <c r="X292" i="1"/>
  <c r="G259" i="1"/>
  <c r="G272" i="1"/>
  <c r="K296" i="1"/>
  <c r="L296" i="1" s="1"/>
  <c r="V296" i="1"/>
  <c r="X296" i="1" s="1"/>
  <c r="J191" i="1"/>
  <c r="Q259" i="1"/>
  <c r="T191" i="1"/>
  <c r="K299" i="1"/>
  <c r="L299" i="1" s="1"/>
  <c r="V299" i="1"/>
  <c r="X299" i="1" s="1"/>
  <c r="X306" i="1"/>
  <c r="O166" i="1"/>
  <c r="T166" i="1" s="1"/>
  <c r="E205" i="1"/>
  <c r="O205" i="1" s="1"/>
  <c r="T205" i="1" s="1"/>
  <c r="Z251" i="1"/>
  <c r="K305" i="1"/>
  <c r="L305" i="1" s="1"/>
  <c r="V305" i="1"/>
  <c r="X305" i="1" s="1"/>
  <c r="K295" i="1"/>
  <c r="L295" i="1" s="1"/>
  <c r="V295" i="1"/>
  <c r="X295" i="1" s="1"/>
  <c r="K294" i="1"/>
  <c r="L294" i="1" s="1"/>
  <c r="V294" i="1"/>
  <c r="K291" i="1"/>
  <c r="L291" i="1" s="1"/>
  <c r="V291" i="1"/>
  <c r="Q294" i="1"/>
  <c r="Z294" i="1" s="1"/>
  <c r="K298" i="1"/>
  <c r="L298" i="1" s="1"/>
  <c r="V298" i="1"/>
  <c r="X298" i="1" s="1"/>
  <c r="G231" i="1"/>
  <c r="J152" i="1"/>
  <c r="Z223" i="1"/>
  <c r="Q152" i="1"/>
  <c r="Z291" i="1"/>
  <c r="Q296" i="1"/>
  <c r="Z296" i="1" s="1"/>
  <c r="X297" i="1"/>
  <c r="V293" i="1"/>
  <c r="X293" i="1" s="1"/>
  <c r="X262" i="1"/>
  <c r="X310" i="1"/>
  <c r="Q72" i="1"/>
  <c r="Q313" i="1" l="1"/>
  <c r="Z313" i="1" s="1"/>
  <c r="X294" i="1"/>
  <c r="Z169" i="1"/>
  <c r="X291" i="1"/>
  <c r="X313" i="1" s="1"/>
  <c r="V313" i="1"/>
  <c r="Z259" i="1"/>
  <c r="Q272" i="1"/>
  <c r="Z272" i="1" s="1"/>
  <c r="Z152" i="1"/>
  <c r="L313" i="1"/>
  <c r="J19" i="1"/>
  <c r="D141" i="4" l="1"/>
  <c r="C141" i="4"/>
  <c r="L21" i="1" l="1"/>
  <c r="E122" i="4"/>
  <c r="E121" i="4"/>
  <c r="D122" i="4"/>
  <c r="D121" i="4"/>
  <c r="C122" i="4"/>
  <c r="C121" i="4"/>
  <c r="B122" i="4"/>
  <c r="B121" i="4"/>
  <c r="N32" i="4" l="1"/>
  <c r="M32" i="4"/>
  <c r="N34" i="4"/>
  <c r="M34" i="4"/>
  <c r="B65" i="3" l="1"/>
  <c r="J25" i="4"/>
  <c r="J26" i="4"/>
  <c r="J27" i="4"/>
  <c r="I29" i="4"/>
  <c r="J18" i="1" l="1"/>
  <c r="L86" i="4" l="1"/>
  <c r="U266" i="1" l="1"/>
  <c r="V266" i="1" s="1"/>
  <c r="A3" i="1"/>
  <c r="K266" i="1" l="1"/>
  <c r="L266" i="1" s="1"/>
  <c r="L268" i="1" s="1"/>
  <c r="V268" i="1"/>
  <c r="X268" i="1" s="1"/>
  <c r="X266" i="1"/>
  <c r="I12" i="5"/>
  <c r="Z6" i="1"/>
  <c r="J41" i="4" l="1"/>
  <c r="J42" i="4"/>
  <c r="J43" i="4"/>
  <c r="J44" i="4"/>
  <c r="J45" i="4"/>
  <c r="J46" i="4"/>
  <c r="J47" i="4"/>
  <c r="J48" i="4"/>
  <c r="J49" i="4"/>
  <c r="U53" i="1" l="1"/>
  <c r="U52" i="1"/>
  <c r="K52" i="1" s="1"/>
  <c r="Q111" i="1"/>
  <c r="E16" i="5" l="1"/>
  <c r="J72" i="3" s="1"/>
  <c r="T32" i="4"/>
  <c r="J59" i="4" l="1"/>
  <c r="J60" i="4" s="1"/>
  <c r="J61" i="4" s="1"/>
  <c r="J62" i="4" s="1"/>
  <c r="J63" i="4" s="1"/>
  <c r="J64" i="4" s="1"/>
  <c r="A98" i="3" l="1"/>
  <c r="A96" i="3"/>
  <c r="A94" i="3"/>
  <c r="A92" i="3"/>
  <c r="A90" i="3"/>
  <c r="A88" i="3"/>
  <c r="A86" i="3"/>
  <c r="G94" i="3"/>
  <c r="E94" i="3"/>
  <c r="A5" i="1" l="1"/>
  <c r="A44" i="1" s="1"/>
  <c r="A83" i="1" s="1"/>
  <c r="A122" i="1" s="1"/>
  <c r="A161" i="1" s="1"/>
  <c r="A200" i="1" s="1"/>
  <c r="A240" i="1" s="1"/>
  <c r="A283" i="1" s="1"/>
  <c r="A6" i="1"/>
  <c r="L77" i="4"/>
  <c r="L78" i="4"/>
  <c r="L79" i="4"/>
  <c r="L80" i="4"/>
  <c r="L81" i="4"/>
  <c r="L82" i="4"/>
  <c r="L83" i="4"/>
  <c r="L76" i="4"/>
  <c r="Z83" i="1"/>
  <c r="A78" i="3"/>
  <c r="U253" i="1" l="1"/>
  <c r="V253" i="1" s="1"/>
  <c r="X253" i="1" s="1"/>
  <c r="U249" i="1"/>
  <c r="V249" i="1" s="1"/>
  <c r="X249" i="1" s="1"/>
  <c r="U255" i="1"/>
  <c r="K255" i="1" s="1"/>
  <c r="L255" i="1" s="1"/>
  <c r="U251" i="1"/>
  <c r="K251" i="1" s="1"/>
  <c r="L251" i="1" s="1"/>
  <c r="U254" i="1"/>
  <c r="K254" i="1" s="1"/>
  <c r="L254" i="1" s="1"/>
  <c r="U250" i="1"/>
  <c r="K250" i="1" s="1"/>
  <c r="L250" i="1" s="1"/>
  <c r="U248" i="1"/>
  <c r="K248" i="1" s="1"/>
  <c r="L248" i="1" s="1"/>
  <c r="U252" i="1"/>
  <c r="K252" i="1" s="1"/>
  <c r="L252" i="1" s="1"/>
  <c r="K253" i="1"/>
  <c r="L253" i="1" s="1"/>
  <c r="A11" i="5"/>
  <c r="A52" i="5" s="1"/>
  <c r="V255" i="1" l="1"/>
  <c r="X255" i="1" s="1"/>
  <c r="V248" i="1"/>
  <c r="X248" i="1" s="1"/>
  <c r="V254" i="1"/>
  <c r="X254" i="1" s="1"/>
  <c r="V251" i="1"/>
  <c r="X251" i="1" s="1"/>
  <c r="K249" i="1"/>
  <c r="L249" i="1" s="1"/>
  <c r="V252" i="1"/>
  <c r="X252" i="1" s="1"/>
  <c r="V250" i="1"/>
  <c r="X250" i="1" s="1"/>
  <c r="X25" i="1"/>
  <c r="Z25" i="1" s="1"/>
  <c r="A45" i="1"/>
  <c r="A84" i="1" s="1"/>
  <c r="A12" i="5"/>
  <c r="J49" i="1" l="1"/>
  <c r="J88" i="1" s="1"/>
  <c r="A7" i="5" l="1"/>
  <c r="A48" i="5" s="1"/>
  <c r="A4" i="1" l="1"/>
  <c r="F41" i="3" l="1"/>
  <c r="H38" i="3" l="1"/>
  <c r="E38" i="3"/>
  <c r="E49" i="1" l="1"/>
  <c r="E88" i="1" s="1"/>
  <c r="O10" i="1"/>
  <c r="T10" i="1" s="1"/>
  <c r="O88" i="1" l="1"/>
  <c r="T88" i="1" s="1"/>
  <c r="O49" i="1"/>
  <c r="T49" i="1" s="1"/>
  <c r="V72" i="1" l="1"/>
  <c r="T72" i="1"/>
  <c r="T111" i="1"/>
  <c r="Z45" i="1"/>
  <c r="Z84" i="1" s="1"/>
  <c r="Z123" i="1" s="1"/>
  <c r="Z162" i="1" s="1"/>
  <c r="Z201" i="1" s="1"/>
  <c r="Z241" i="1" s="1"/>
  <c r="Z284" i="1" s="1"/>
  <c r="I137" i="4" l="1"/>
  <c r="A5" i="5" l="1"/>
  <c r="A46" i="5" s="1"/>
  <c r="A6" i="5" l="1"/>
  <c r="A47" i="5" s="1"/>
  <c r="I64" i="4" l="1"/>
  <c r="I63" i="4"/>
  <c r="I62" i="4"/>
  <c r="I61" i="4"/>
  <c r="I60" i="4"/>
  <c r="I59" i="4"/>
  <c r="A1" i="3" l="1"/>
  <c r="A1" i="1"/>
  <c r="A40" i="1" s="1"/>
  <c r="A79" i="1" s="1"/>
  <c r="A118" i="1" s="1"/>
  <c r="A157" i="1" s="1"/>
  <c r="A196" i="1" s="1"/>
  <c r="A236" i="1" s="1"/>
  <c r="A279" i="1" s="1"/>
  <c r="A43" i="1"/>
  <c r="A82" i="1" s="1"/>
  <c r="A121" i="1" s="1"/>
  <c r="A160" i="1" s="1"/>
  <c r="A199" i="1" s="1"/>
  <c r="A239" i="1" s="1"/>
  <c r="A282" i="1" s="1"/>
  <c r="A42" i="1"/>
  <c r="A81" i="1" s="1"/>
  <c r="A120" i="1" s="1"/>
  <c r="A159" i="1" s="1"/>
  <c r="A198" i="1" s="1"/>
  <c r="A238" i="1" s="1"/>
  <c r="A281" i="1" s="1"/>
  <c r="F110" i="1" l="1"/>
  <c r="F108" i="1"/>
  <c r="F109" i="1"/>
  <c r="F107" i="1"/>
  <c r="P109" i="1" l="1"/>
  <c r="P108" i="1"/>
  <c r="P107" i="1"/>
  <c r="P110" i="1"/>
  <c r="Q110" i="1" s="1"/>
  <c r="G110" i="1"/>
  <c r="I57" i="4"/>
  <c r="A5" i="4" l="1"/>
  <c r="A29" i="3" l="1"/>
  <c r="V111" i="1" l="1"/>
  <c r="X100" i="1" l="1"/>
  <c r="Z100" i="1"/>
  <c r="Z61" i="1" l="1"/>
  <c r="X61" i="1"/>
  <c r="X72" i="1" l="1"/>
  <c r="Z72" i="1" l="1"/>
  <c r="G134" i="4" l="1"/>
  <c r="K41" i="4" l="1"/>
  <c r="L41" i="4"/>
  <c r="M41" i="4"/>
  <c r="N41" i="4"/>
  <c r="U130" i="1" l="1"/>
  <c r="V130" i="1" s="1"/>
  <c r="U208" i="1"/>
  <c r="K208" i="1" s="1"/>
  <c r="L208" i="1" s="1"/>
  <c r="U169" i="1"/>
  <c r="V169" i="1" s="1"/>
  <c r="U91" i="1"/>
  <c r="E57" i="5" s="1"/>
  <c r="G57" i="5" s="1"/>
  <c r="I57" i="5" s="1"/>
  <c r="K169" i="1" l="1"/>
  <c r="L169" i="1" s="1"/>
  <c r="K130" i="1"/>
  <c r="L130" i="1" s="1"/>
  <c r="K91" i="1"/>
  <c r="V208" i="1"/>
  <c r="X208" i="1" s="1"/>
  <c r="X130" i="1"/>
  <c r="X169" i="1"/>
  <c r="U66" i="1"/>
  <c r="U54" i="1"/>
  <c r="U56" i="1"/>
  <c r="U57" i="1"/>
  <c r="K57" i="1" s="1"/>
  <c r="U59" i="1"/>
  <c r="K59" i="1" s="1"/>
  <c r="U55" i="1"/>
  <c r="U58" i="1"/>
  <c r="K58" i="1" s="1"/>
  <c r="U60" i="1"/>
  <c r="K60" i="1" s="1"/>
  <c r="K53" i="1"/>
  <c r="U69" i="1" l="1"/>
  <c r="K69" i="1" s="1"/>
  <c r="U67" i="1"/>
  <c r="K67" i="1" s="1"/>
  <c r="U68" i="1"/>
  <c r="K68" i="1" s="1"/>
  <c r="E26" i="5"/>
  <c r="E24" i="5"/>
  <c r="E36" i="5"/>
  <c r="E33" i="5"/>
  <c r="E35" i="5"/>
  <c r="E32" i="5"/>
  <c r="E39" i="5"/>
  <c r="E22" i="5"/>
  <c r="E17" i="5"/>
  <c r="E30" i="5"/>
  <c r="E28" i="5"/>
  <c r="E21" i="5"/>
  <c r="E23" i="5"/>
  <c r="E19" i="5"/>
  <c r="E18" i="5"/>
  <c r="E34" i="5"/>
  <c r="E25" i="5"/>
  <c r="E27" i="5"/>
  <c r="E20" i="5"/>
  <c r="E29" i="5"/>
  <c r="E31" i="5"/>
  <c r="U70" i="1"/>
  <c r="K70" i="1" s="1"/>
  <c r="U71" i="1"/>
  <c r="K71" i="1" s="1"/>
  <c r="K56" i="1"/>
  <c r="K55" i="1"/>
  <c r="K54" i="1"/>
  <c r="K66" i="1"/>
  <c r="M59" i="4"/>
  <c r="M60" i="4" s="1"/>
  <c r="M61" i="4" s="1"/>
  <c r="M62" i="4" s="1"/>
  <c r="M63" i="4" s="1"/>
  <c r="M64" i="4" s="1"/>
  <c r="U185" i="1" l="1"/>
  <c r="V185" i="1" s="1"/>
  <c r="X185" i="1" s="1"/>
  <c r="U183" i="1"/>
  <c r="K183" i="1" s="1"/>
  <c r="L183" i="1" s="1"/>
  <c r="K43" i="4"/>
  <c r="N59" i="4"/>
  <c r="N60" i="4" s="1"/>
  <c r="N61" i="4" s="1"/>
  <c r="K45" i="4"/>
  <c r="K47" i="4"/>
  <c r="K59" i="4"/>
  <c r="K60" i="4" s="1"/>
  <c r="K61" i="4" s="1"/>
  <c r="K62" i="4" s="1"/>
  <c r="K63" i="4" s="1"/>
  <c r="K64" i="4" s="1"/>
  <c r="L59" i="4"/>
  <c r="L60" i="4" s="1"/>
  <c r="L61" i="4" s="1"/>
  <c r="L62" i="4" s="1"/>
  <c r="L63" i="4" s="1"/>
  <c r="L64" i="4" s="1"/>
  <c r="K42" i="4"/>
  <c r="K48" i="4"/>
  <c r="K49" i="4"/>
  <c r="K46" i="4"/>
  <c r="K44" i="4"/>
  <c r="N62" i="4" l="1"/>
  <c r="N63" i="4" s="1"/>
  <c r="U224" i="1"/>
  <c r="U145" i="1"/>
  <c r="V145" i="1" s="1"/>
  <c r="X145" i="1" s="1"/>
  <c r="K185" i="1"/>
  <c r="L185" i="1" s="1"/>
  <c r="V183" i="1"/>
  <c r="X183" i="1" s="1"/>
  <c r="Z183" i="1" s="1"/>
  <c r="U98" i="1"/>
  <c r="K98" i="1" s="1"/>
  <c r="U95" i="1"/>
  <c r="K95" i="1" s="1"/>
  <c r="U188" i="1"/>
  <c r="K188" i="1" s="1"/>
  <c r="L188" i="1" s="1"/>
  <c r="U184" i="1"/>
  <c r="K184" i="1" s="1"/>
  <c r="L184" i="1" s="1"/>
  <c r="U96" i="1"/>
  <c r="K96" i="1" s="1"/>
  <c r="U99" i="1"/>
  <c r="K99" i="1" s="1"/>
  <c r="U144" i="1"/>
  <c r="V144" i="1" s="1"/>
  <c r="X144" i="1" s="1"/>
  <c r="U97" i="1"/>
  <c r="K97" i="1" s="1"/>
  <c r="U222" i="1"/>
  <c r="K222" i="1" s="1"/>
  <c r="L222" i="1" s="1"/>
  <c r="U107" i="1"/>
  <c r="K107" i="1" s="1"/>
  <c r="U110" i="1"/>
  <c r="K110" i="1" s="1"/>
  <c r="U106" i="1"/>
  <c r="K106" i="1" s="1"/>
  <c r="U94" i="1"/>
  <c r="K94" i="1" s="1"/>
  <c r="U92" i="1"/>
  <c r="K92" i="1" s="1"/>
  <c r="U149" i="1"/>
  <c r="V149" i="1" s="1"/>
  <c r="X149" i="1" s="1"/>
  <c r="U148" i="1"/>
  <c r="V148" i="1" s="1"/>
  <c r="X148" i="1" s="1"/>
  <c r="U105" i="1"/>
  <c r="K105" i="1" s="1"/>
  <c r="U187" i="1"/>
  <c r="K187" i="1" s="1"/>
  <c r="L187" i="1" s="1"/>
  <c r="U225" i="1"/>
  <c r="K225" i="1" s="1"/>
  <c r="L225" i="1" s="1"/>
  <c r="U93" i="1"/>
  <c r="K93" i="1" s="1"/>
  <c r="U108" i="1"/>
  <c r="K108" i="1" s="1"/>
  <c r="U223" i="1"/>
  <c r="V223" i="1" s="1"/>
  <c r="X223" i="1" s="1"/>
  <c r="U147" i="1"/>
  <c r="K147" i="1" s="1"/>
  <c r="L147" i="1" s="1"/>
  <c r="U186" i="1"/>
  <c r="V186" i="1" s="1"/>
  <c r="X186" i="1" s="1"/>
  <c r="U109" i="1"/>
  <c r="K109" i="1" s="1"/>
  <c r="U146" i="1"/>
  <c r="K146" i="1" s="1"/>
  <c r="L146" i="1" s="1"/>
  <c r="L44" i="4"/>
  <c r="L48" i="4"/>
  <c r="L42" i="4"/>
  <c r="L46" i="4"/>
  <c r="L49" i="4"/>
  <c r="L47" i="4"/>
  <c r="L45" i="4"/>
  <c r="L43" i="4"/>
  <c r="K145" i="1" l="1"/>
  <c r="L145" i="1" s="1"/>
  <c r="V184" i="1"/>
  <c r="X184" i="1" s="1"/>
  <c r="V188" i="1"/>
  <c r="X188" i="1" s="1"/>
  <c r="K224" i="1"/>
  <c r="L224" i="1" s="1"/>
  <c r="V224" i="1"/>
  <c r="X224" i="1" s="1"/>
  <c r="V146" i="1"/>
  <c r="X146" i="1" s="1"/>
  <c r="N64" i="4"/>
  <c r="U227" i="1" s="1"/>
  <c r="U226" i="1"/>
  <c r="V147" i="1"/>
  <c r="X147" i="1" s="1"/>
  <c r="V187" i="1"/>
  <c r="X187" i="1" s="1"/>
  <c r="K148" i="1"/>
  <c r="L148" i="1" s="1"/>
  <c r="V225" i="1"/>
  <c r="X225" i="1" s="1"/>
  <c r="K149" i="1"/>
  <c r="L149" i="1" s="1"/>
  <c r="K144" i="1"/>
  <c r="L144" i="1" s="1"/>
  <c r="U132" i="1"/>
  <c r="V132" i="1" s="1"/>
  <c r="X132" i="1" s="1"/>
  <c r="U135" i="1"/>
  <c r="V135" i="1" s="1"/>
  <c r="X135" i="1" s="1"/>
  <c r="K186" i="1"/>
  <c r="L186" i="1" s="1"/>
  <c r="K223" i="1"/>
  <c r="L223" i="1" s="1"/>
  <c r="U131" i="1"/>
  <c r="V131" i="1" s="1"/>
  <c r="E81" i="5"/>
  <c r="G81" i="5" s="1"/>
  <c r="I81" i="5" s="1"/>
  <c r="E60" i="5"/>
  <c r="G60" i="5" s="1"/>
  <c r="I60" i="5" s="1"/>
  <c r="E68" i="5"/>
  <c r="G68" i="5" s="1"/>
  <c r="I68" i="5" s="1"/>
  <c r="E75" i="5"/>
  <c r="G75" i="5" s="1"/>
  <c r="I75" i="5" s="1"/>
  <c r="E63" i="5"/>
  <c r="G63" i="5" s="1"/>
  <c r="I63" i="5" s="1"/>
  <c r="E78" i="5"/>
  <c r="G78" i="5" s="1"/>
  <c r="I78" i="5" s="1"/>
  <c r="E70" i="5"/>
  <c r="G70" i="5" s="1"/>
  <c r="I70" i="5" s="1"/>
  <c r="E62" i="5"/>
  <c r="G62" i="5" s="1"/>
  <c r="I62" i="5" s="1"/>
  <c r="E61" i="5"/>
  <c r="G61" i="5" s="1"/>
  <c r="I61" i="5" s="1"/>
  <c r="E74" i="5"/>
  <c r="G74" i="5" s="1"/>
  <c r="I74" i="5" s="1"/>
  <c r="E77" i="5"/>
  <c r="G77" i="5" s="1"/>
  <c r="I77" i="5" s="1"/>
  <c r="E64" i="5"/>
  <c r="G64" i="5" s="1"/>
  <c r="I64" i="5" s="1"/>
  <c r="E71" i="5"/>
  <c r="G71" i="5" s="1"/>
  <c r="I71" i="5" s="1"/>
  <c r="E69" i="5"/>
  <c r="G69" i="5" s="1"/>
  <c r="I69" i="5" s="1"/>
  <c r="E73" i="5"/>
  <c r="G73" i="5" s="1"/>
  <c r="I73" i="5" s="1"/>
  <c r="E67" i="5"/>
  <c r="G67" i="5" s="1"/>
  <c r="I67" i="5" s="1"/>
  <c r="E66" i="5"/>
  <c r="G66" i="5" s="1"/>
  <c r="I66" i="5" s="1"/>
  <c r="E72" i="5"/>
  <c r="G72" i="5" s="1"/>
  <c r="I72" i="5" s="1"/>
  <c r="E58" i="5"/>
  <c r="G58" i="5" s="1"/>
  <c r="I58" i="5" s="1"/>
  <c r="E59" i="5"/>
  <c r="G59" i="5" s="1"/>
  <c r="I59" i="5" s="1"/>
  <c r="E65" i="5"/>
  <c r="G65" i="5" s="1"/>
  <c r="I65" i="5" s="1"/>
  <c r="E76" i="5"/>
  <c r="G76" i="5" s="1"/>
  <c r="I76" i="5" s="1"/>
  <c r="U136" i="1"/>
  <c r="K136" i="1" s="1"/>
  <c r="L136" i="1" s="1"/>
  <c r="V222" i="1"/>
  <c r="X222" i="1" s="1"/>
  <c r="U134" i="1"/>
  <c r="V134" i="1" s="1"/>
  <c r="X134" i="1" s="1"/>
  <c r="U137" i="1"/>
  <c r="V137" i="1" s="1"/>
  <c r="X137" i="1" s="1"/>
  <c r="U138" i="1"/>
  <c r="V138" i="1" s="1"/>
  <c r="X138" i="1" s="1"/>
  <c r="U133" i="1"/>
  <c r="K133" i="1" s="1"/>
  <c r="L133" i="1" s="1"/>
  <c r="K135" i="1"/>
  <c r="L135" i="1" s="1"/>
  <c r="X111" i="1"/>
  <c r="Z111" i="1" s="1"/>
  <c r="M43" i="4"/>
  <c r="M47" i="4"/>
  <c r="M45" i="4"/>
  <c r="M49" i="4"/>
  <c r="M48" i="4"/>
  <c r="M44" i="4"/>
  <c r="M42" i="4"/>
  <c r="M46" i="4"/>
  <c r="V227" i="1" l="1"/>
  <c r="X227" i="1" s="1"/>
  <c r="K227" i="1"/>
  <c r="L227" i="1" s="1"/>
  <c r="K226" i="1"/>
  <c r="L226" i="1" s="1"/>
  <c r="V226" i="1"/>
  <c r="X226" i="1" s="1"/>
  <c r="K132" i="1"/>
  <c r="L132" i="1" s="1"/>
  <c r="K131" i="1"/>
  <c r="L131" i="1" s="1"/>
  <c r="V133" i="1"/>
  <c r="X133" i="1" s="1"/>
  <c r="K137" i="1"/>
  <c r="L137" i="1" s="1"/>
  <c r="V136" i="1"/>
  <c r="X136" i="1" s="1"/>
  <c r="K138" i="1"/>
  <c r="L138" i="1" s="1"/>
  <c r="K134" i="1"/>
  <c r="L134" i="1" s="1"/>
  <c r="U176" i="1"/>
  <c r="V176" i="1" s="1"/>
  <c r="X176" i="1" s="1"/>
  <c r="Z176" i="1" s="1"/>
  <c r="U171" i="1"/>
  <c r="V171" i="1" s="1"/>
  <c r="X171" i="1" s="1"/>
  <c r="Z171" i="1" s="1"/>
  <c r="U177" i="1"/>
  <c r="K177" i="1" s="1"/>
  <c r="L177" i="1" s="1"/>
  <c r="U174" i="1"/>
  <c r="V174" i="1" s="1"/>
  <c r="X174" i="1" s="1"/>
  <c r="Z174" i="1" s="1"/>
  <c r="U170" i="1"/>
  <c r="V170" i="1" s="1"/>
  <c r="U173" i="1"/>
  <c r="K173" i="1" s="1"/>
  <c r="L173" i="1" s="1"/>
  <c r="U172" i="1"/>
  <c r="K172" i="1" s="1"/>
  <c r="L172" i="1" s="1"/>
  <c r="U175" i="1"/>
  <c r="V175" i="1" s="1"/>
  <c r="X175" i="1" s="1"/>
  <c r="X131" i="1"/>
  <c r="N46" i="4"/>
  <c r="N44" i="4"/>
  <c r="N45" i="4"/>
  <c r="N49" i="4"/>
  <c r="N43" i="4"/>
  <c r="N42" i="4"/>
  <c r="N47" i="4"/>
  <c r="N48" i="4"/>
  <c r="V172" i="1" l="1"/>
  <c r="X172" i="1" s="1"/>
  <c r="K171" i="1"/>
  <c r="L171" i="1" s="1"/>
  <c r="V173" i="1"/>
  <c r="X173" i="1" s="1"/>
  <c r="Z173" i="1" s="1"/>
  <c r="L152" i="1"/>
  <c r="V152" i="1"/>
  <c r="X152" i="1"/>
  <c r="V177" i="1"/>
  <c r="X177" i="1" s="1"/>
  <c r="Z177" i="1" s="1"/>
  <c r="U214" i="1"/>
  <c r="K214" i="1" s="1"/>
  <c r="L214" i="1" s="1"/>
  <c r="U212" i="1"/>
  <c r="K212" i="1" s="1"/>
  <c r="L212" i="1" s="1"/>
  <c r="K175" i="1"/>
  <c r="L175" i="1" s="1"/>
  <c r="K176" i="1"/>
  <c r="L176" i="1" s="1"/>
  <c r="K170" i="1"/>
  <c r="L170" i="1" s="1"/>
  <c r="K174" i="1"/>
  <c r="L174" i="1" s="1"/>
  <c r="U209" i="1"/>
  <c r="K209" i="1" s="1"/>
  <c r="L209" i="1" s="1"/>
  <c r="U210" i="1"/>
  <c r="K210" i="1" s="1"/>
  <c r="L210" i="1" s="1"/>
  <c r="U211" i="1"/>
  <c r="V211" i="1" s="1"/>
  <c r="X211" i="1" s="1"/>
  <c r="Z211" i="1" s="1"/>
  <c r="U213" i="1"/>
  <c r="K213" i="1" s="1"/>
  <c r="L213" i="1" s="1"/>
  <c r="U215" i="1"/>
  <c r="V215" i="1" s="1"/>
  <c r="X215" i="1" s="1"/>
  <c r="Z215" i="1" s="1"/>
  <c r="U216" i="1"/>
  <c r="K216" i="1" s="1"/>
  <c r="L216" i="1" s="1"/>
  <c r="X170" i="1"/>
  <c r="E68" i="1"/>
  <c r="G68" i="1" s="1"/>
  <c r="E69" i="1"/>
  <c r="G69" i="1" s="1"/>
  <c r="E70" i="1"/>
  <c r="G70" i="1" s="1"/>
  <c r="E71" i="1"/>
  <c r="O108" i="1"/>
  <c r="Q108" i="1" s="1"/>
  <c r="O109" i="1"/>
  <c r="Q109" i="1" s="1"/>
  <c r="O110" i="1"/>
  <c r="E107" i="1"/>
  <c r="G107" i="1" s="1"/>
  <c r="E108" i="1"/>
  <c r="G108" i="1" s="1"/>
  <c r="E109" i="1"/>
  <c r="G109" i="1" s="1"/>
  <c r="E110" i="1"/>
  <c r="F60" i="1"/>
  <c r="F59" i="1"/>
  <c r="F58" i="1"/>
  <c r="F57" i="1"/>
  <c r="F56" i="1"/>
  <c r="F55" i="1"/>
  <c r="F54" i="1"/>
  <c r="F53" i="1"/>
  <c r="V191" i="1" l="1"/>
  <c r="V213" i="1"/>
  <c r="X213" i="1" s="1"/>
  <c r="V212" i="1"/>
  <c r="X212" i="1" s="1"/>
  <c r="Z212" i="1" s="1"/>
  <c r="X191" i="1"/>
  <c r="Z191" i="1" s="1"/>
  <c r="L191" i="1"/>
  <c r="V209" i="1"/>
  <c r="V214" i="1"/>
  <c r="X214" i="1" s="1"/>
  <c r="Z214" i="1" s="1"/>
  <c r="V216" i="1"/>
  <c r="X216" i="1" s="1"/>
  <c r="V210" i="1"/>
  <c r="X210" i="1" s="1"/>
  <c r="K211" i="1"/>
  <c r="L211" i="1" s="1"/>
  <c r="K215" i="1"/>
  <c r="L215" i="1" s="1"/>
  <c r="J109" i="1"/>
  <c r="L109" i="1" s="1"/>
  <c r="J107" i="1"/>
  <c r="L107" i="1" s="1"/>
  <c r="J71" i="1"/>
  <c r="L71" i="1" s="1"/>
  <c r="J69" i="1"/>
  <c r="L69" i="1" s="1"/>
  <c r="O71" i="1"/>
  <c r="O69" i="1"/>
  <c r="Q69" i="1" s="1"/>
  <c r="J110" i="1"/>
  <c r="L110" i="1" s="1"/>
  <c r="J108" i="1"/>
  <c r="L108" i="1" s="1"/>
  <c r="J70" i="1"/>
  <c r="L70" i="1" s="1"/>
  <c r="J68" i="1"/>
  <c r="L68" i="1" s="1"/>
  <c r="O70" i="1"/>
  <c r="Q70" i="1" s="1"/>
  <c r="O68" i="1"/>
  <c r="Q68" i="1" s="1"/>
  <c r="T110" i="1"/>
  <c r="V110" i="1" s="1"/>
  <c r="T108" i="1"/>
  <c r="V108" i="1" s="1"/>
  <c r="T109" i="1"/>
  <c r="V109" i="1" s="1"/>
  <c r="L231" i="1" l="1"/>
  <c r="V231" i="1"/>
  <c r="T69" i="1"/>
  <c r="T71" i="1"/>
  <c r="V71" i="1" s="1"/>
  <c r="T70" i="1"/>
  <c r="Z71" i="1"/>
  <c r="T68" i="1"/>
  <c r="X109" i="1"/>
  <c r="Z109" i="1" s="1"/>
  <c r="X108" i="1"/>
  <c r="Z108" i="1" s="1"/>
  <c r="X110" i="1"/>
  <c r="Z110" i="1" s="1"/>
  <c r="V68" i="1" l="1"/>
  <c r="X68" i="1" s="1"/>
  <c r="Z68" i="1" s="1"/>
  <c r="V70" i="1"/>
  <c r="X70" i="1" s="1"/>
  <c r="Z70" i="1" s="1"/>
  <c r="V69" i="1"/>
  <c r="X69" i="1" s="1"/>
  <c r="Z69" i="1" s="1"/>
  <c r="X71" i="1"/>
  <c r="F94" i="1" l="1"/>
  <c r="F98" i="1"/>
  <c r="F93" i="1"/>
  <c r="F97" i="1"/>
  <c r="F99" i="1"/>
  <c r="F92" i="1"/>
  <c r="F96" i="1"/>
  <c r="G72" i="1" l="1"/>
  <c r="L72" i="1" s="1"/>
  <c r="C41" i="3" l="1"/>
  <c r="Q34" i="1" l="1"/>
  <c r="Q32" i="1" l="1"/>
  <c r="V32" i="1" l="1"/>
  <c r="X32" i="1" s="1"/>
  <c r="Z32" i="1" s="1"/>
  <c r="G35" i="1" l="1"/>
  <c r="L35" i="1" l="1"/>
  <c r="G25" i="1" l="1"/>
  <c r="Q35" i="1" l="1"/>
  <c r="G27" i="1"/>
  <c r="G30" i="1"/>
  <c r="G33" i="1"/>
  <c r="V35" i="1"/>
  <c r="X35" i="1" s="1"/>
  <c r="G28" i="1"/>
  <c r="G31" i="1"/>
  <c r="G29" i="1"/>
  <c r="G34" i="1"/>
  <c r="G32" i="1"/>
  <c r="Q30" i="1" l="1"/>
  <c r="Q28" i="1"/>
  <c r="Q29" i="1"/>
  <c r="Q27" i="1"/>
  <c r="Z35" i="1"/>
  <c r="L32" i="1"/>
  <c r="L29" i="1"/>
  <c r="L28" i="1"/>
  <c r="L30" i="1"/>
  <c r="L34" i="1"/>
  <c r="L27" i="1"/>
  <c r="V29" i="1"/>
  <c r="V27" i="1"/>
  <c r="V34" i="1"/>
  <c r="X34" i="1" s="1"/>
  <c r="Z34" i="1" s="1"/>
  <c r="V30" i="1"/>
  <c r="X30" i="1" s="1"/>
  <c r="Z30" i="1" s="1"/>
  <c r="V28" i="1"/>
  <c r="L31" i="1"/>
  <c r="V21" i="1"/>
  <c r="X27" i="1" l="1"/>
  <c r="Z27" i="1" s="1"/>
  <c r="X28" i="1"/>
  <c r="Z28" i="1" s="1"/>
  <c r="X29" i="1"/>
  <c r="I41" i="3"/>
  <c r="X21" i="1"/>
  <c r="Z21" i="1" s="1"/>
  <c r="Q31" i="1"/>
  <c r="Z29" i="1"/>
  <c r="L33" i="1"/>
  <c r="V31" i="1"/>
  <c r="Q33" i="1" l="1"/>
  <c r="X31" i="1"/>
  <c r="Z31" i="1" s="1"/>
  <c r="V33" i="1"/>
  <c r="X33" i="1" l="1"/>
  <c r="Z33" i="1" s="1"/>
  <c r="Q26" i="1" l="1"/>
  <c r="G26" i="1"/>
  <c r="G36" i="1" s="1"/>
  <c r="V26" i="1"/>
  <c r="V36" i="1" l="1"/>
  <c r="X26" i="1"/>
  <c r="Z26" i="1" s="1"/>
  <c r="Q36" i="1"/>
  <c r="L26" i="1"/>
  <c r="L36" i="1" s="1"/>
  <c r="X36" i="1" l="1"/>
  <c r="B75" i="3" s="1"/>
  <c r="Z36" i="1" l="1"/>
  <c r="O107" i="1"/>
  <c r="T107" i="1" l="1"/>
  <c r="V107" i="1" s="1"/>
  <c r="Q107" i="1"/>
  <c r="X107" i="1" l="1"/>
  <c r="Z107" i="1" s="1"/>
  <c r="I21" i="4"/>
  <c r="G18" i="1" l="1"/>
  <c r="C38" i="3" s="1"/>
  <c r="J34" i="4" l="1"/>
  <c r="G19" i="1" l="1"/>
  <c r="C39" i="3" s="1"/>
  <c r="L19" i="1" l="1"/>
  <c r="S21" i="4" l="1"/>
  <c r="AC37" i="4" l="1"/>
  <c r="Q19" i="1" l="1"/>
  <c r="F39" i="3" s="1"/>
  <c r="Q18" i="1"/>
  <c r="F38" i="3" s="1"/>
  <c r="F54" i="3" s="1"/>
  <c r="C96" i="3"/>
  <c r="V19" i="1" l="1"/>
  <c r="I39" i="3" l="1"/>
  <c r="X19" i="1"/>
  <c r="Z19" i="1" s="1"/>
  <c r="E21" i="4" l="1"/>
  <c r="E37" i="4" l="1"/>
  <c r="E29" i="4" l="1"/>
  <c r="J28" i="4"/>
  <c r="G15" i="1"/>
  <c r="C35" i="3" s="1"/>
  <c r="Q29" i="4" l="1"/>
  <c r="G21" i="4"/>
  <c r="E15" i="1"/>
  <c r="B35" i="3" s="1"/>
  <c r="E38" i="4" l="1"/>
  <c r="J15" i="1"/>
  <c r="L15" i="1"/>
  <c r="G29" i="4"/>
  <c r="Q38" i="4"/>
  <c r="G37" i="4"/>
  <c r="G17" i="1" l="1"/>
  <c r="C37" i="3" s="1"/>
  <c r="T17" i="1"/>
  <c r="H37" i="3" s="1"/>
  <c r="E92" i="3"/>
  <c r="E17" i="1"/>
  <c r="B37" i="3" s="1"/>
  <c r="O17" i="1"/>
  <c r="E37" i="3" s="1"/>
  <c r="AA38" i="4"/>
  <c r="G38" i="4" l="1"/>
  <c r="J17" i="1"/>
  <c r="L17" i="1"/>
  <c r="G92" i="3"/>
  <c r="Q21" i="4" l="1"/>
  <c r="V17" i="1" l="1"/>
  <c r="C92" i="3"/>
  <c r="Q37" i="4"/>
  <c r="AA37" i="4"/>
  <c r="I37" i="3" l="1"/>
  <c r="H21" i="4" l="1"/>
  <c r="H29" i="4" l="1"/>
  <c r="F21" i="4" l="1"/>
  <c r="F37" i="4" l="1"/>
  <c r="L20" i="1"/>
  <c r="P29" i="4" l="1"/>
  <c r="O16" i="1" l="1"/>
  <c r="E36" i="3" s="1"/>
  <c r="P38" i="4"/>
  <c r="D53" i="1"/>
  <c r="G53" i="1" s="1"/>
  <c r="D60" i="1"/>
  <c r="G60" i="1" s="1"/>
  <c r="D99" i="1"/>
  <c r="G99" i="1" s="1"/>
  <c r="D54" i="1"/>
  <c r="D97" i="1"/>
  <c r="G97" i="1" s="1"/>
  <c r="D96" i="1"/>
  <c r="G96" i="1" s="1"/>
  <c r="D94" i="1"/>
  <c r="G94" i="1" s="1"/>
  <c r="D92" i="1"/>
  <c r="G92" i="1" s="1"/>
  <c r="D56" i="1"/>
  <c r="G56" i="1" s="1"/>
  <c r="D98" i="1"/>
  <c r="G98" i="1" s="1"/>
  <c r="D57" i="1"/>
  <c r="G57" i="1" s="1"/>
  <c r="D93" i="1"/>
  <c r="G93" i="1" s="1"/>
  <c r="D95" i="1"/>
  <c r="G95" i="1" s="1"/>
  <c r="D59" i="1"/>
  <c r="G59" i="1" s="1"/>
  <c r="I56" i="1" l="1"/>
  <c r="L56" i="1" s="1"/>
  <c r="I59" i="1"/>
  <c r="L59" i="1" s="1"/>
  <c r="I93" i="1"/>
  <c r="L93" i="1" s="1"/>
  <c r="I98" i="1"/>
  <c r="L98" i="1" s="1"/>
  <c r="I92" i="1"/>
  <c r="L92" i="1" s="1"/>
  <c r="I97" i="1"/>
  <c r="L97" i="1" s="1"/>
  <c r="I57" i="1"/>
  <c r="L57" i="1" s="1"/>
  <c r="I96" i="1"/>
  <c r="L96" i="1" s="1"/>
  <c r="E90" i="3"/>
  <c r="T16" i="1"/>
  <c r="H36" i="3" s="1"/>
  <c r="I95" i="1"/>
  <c r="L95" i="1" s="1"/>
  <c r="I94" i="1"/>
  <c r="L94" i="1" s="1"/>
  <c r="G54" i="1"/>
  <c r="I54" i="1"/>
  <c r="L54" i="1" s="1"/>
  <c r="I99" i="1"/>
  <c r="L99" i="1" s="1"/>
  <c r="I60" i="1"/>
  <c r="L60" i="1" s="1"/>
  <c r="I53" i="1"/>
  <c r="L53" i="1" s="1"/>
  <c r="D58" i="1"/>
  <c r="G58" i="1" s="1"/>
  <c r="D55" i="1"/>
  <c r="G55" i="1" s="1"/>
  <c r="G90" i="3" l="1"/>
  <c r="I55" i="1"/>
  <c r="L55" i="1" s="1"/>
  <c r="I58" i="1"/>
  <c r="L58" i="1" s="1"/>
  <c r="B64" i="3"/>
  <c r="R29" i="4" l="1"/>
  <c r="O20" i="1" l="1"/>
  <c r="E40" i="3" s="1"/>
  <c r="R21" i="4" l="1"/>
  <c r="E98" i="3"/>
  <c r="T20" i="1"/>
  <c r="H40" i="3" s="1"/>
  <c r="T34" i="4" l="1"/>
  <c r="Q20" i="1" l="1"/>
  <c r="F40" i="3" s="1"/>
  <c r="P21" i="4" l="1"/>
  <c r="Q16" i="1"/>
  <c r="F36" i="3" s="1"/>
  <c r="G98" i="3"/>
  <c r="Z37" i="4" l="1"/>
  <c r="P37" i="4"/>
  <c r="V20" i="1"/>
  <c r="C98" i="3"/>
  <c r="C90" i="3"/>
  <c r="V16" i="1"/>
  <c r="I36" i="3" l="1"/>
  <c r="X16" i="1"/>
  <c r="Z16" i="1" s="1"/>
  <c r="I40" i="3"/>
  <c r="X20" i="1"/>
  <c r="Z20" i="1" s="1"/>
  <c r="N99" i="1" l="1"/>
  <c r="N54" i="1"/>
  <c r="N94" i="1"/>
  <c r="N98" i="1"/>
  <c r="N56" i="1"/>
  <c r="N93" i="1"/>
  <c r="N57" i="1"/>
  <c r="N95" i="1"/>
  <c r="N58" i="1"/>
  <c r="N92" i="1"/>
  <c r="N97" i="1"/>
  <c r="N96" i="1"/>
  <c r="N60" i="1"/>
  <c r="N53" i="1"/>
  <c r="S95" i="1" l="1"/>
  <c r="V95" i="1" s="1"/>
  <c r="Q95" i="1"/>
  <c r="S57" i="1"/>
  <c r="V57" i="1" s="1"/>
  <c r="Q57" i="1"/>
  <c r="S53" i="1"/>
  <c r="V53" i="1" s="1"/>
  <c r="Q53" i="1"/>
  <c r="S93" i="1"/>
  <c r="V93" i="1" s="1"/>
  <c r="Q93" i="1"/>
  <c r="S60" i="1"/>
  <c r="V60" i="1" s="1"/>
  <c r="Q60" i="1"/>
  <c r="S56" i="1"/>
  <c r="V56" i="1" s="1"/>
  <c r="Q56" i="1"/>
  <c r="S96" i="1"/>
  <c r="V96" i="1" s="1"/>
  <c r="Q96" i="1"/>
  <c r="S98" i="1"/>
  <c r="V98" i="1" s="1"/>
  <c r="Q98" i="1"/>
  <c r="S97" i="1"/>
  <c r="V97" i="1" s="1"/>
  <c r="Q97" i="1"/>
  <c r="S94" i="1"/>
  <c r="V94" i="1" s="1"/>
  <c r="Q94" i="1"/>
  <c r="S92" i="1"/>
  <c r="V92" i="1" s="1"/>
  <c r="Q92" i="1"/>
  <c r="S54" i="1"/>
  <c r="V54" i="1" s="1"/>
  <c r="Q54" i="1"/>
  <c r="S58" i="1"/>
  <c r="V58" i="1" s="1"/>
  <c r="Q58" i="1"/>
  <c r="Z58" i="1" s="1"/>
  <c r="S99" i="1"/>
  <c r="V99" i="1" s="1"/>
  <c r="Q99" i="1"/>
  <c r="N59" i="1"/>
  <c r="N55" i="1"/>
  <c r="X96" i="1" l="1"/>
  <c r="Z96" i="1" s="1"/>
  <c r="X54" i="1"/>
  <c r="Z54" i="1" s="1"/>
  <c r="X94" i="1"/>
  <c r="Z94" i="1" s="1"/>
  <c r="X98" i="1"/>
  <c r="Z98" i="1" s="1"/>
  <c r="X56" i="1"/>
  <c r="Z56" i="1" s="1"/>
  <c r="X93" i="1"/>
  <c r="Z93" i="1" s="1"/>
  <c r="X57" i="1"/>
  <c r="Z57" i="1" s="1"/>
  <c r="X58" i="1"/>
  <c r="X92" i="1"/>
  <c r="Z92" i="1" s="1"/>
  <c r="X97" i="1"/>
  <c r="Z97" i="1" s="1"/>
  <c r="X60" i="1"/>
  <c r="Z60" i="1" s="1"/>
  <c r="X53" i="1"/>
  <c r="Z53" i="1" s="1"/>
  <c r="X95" i="1"/>
  <c r="Z95" i="1" s="1"/>
  <c r="S55" i="1"/>
  <c r="Q55" i="1"/>
  <c r="S59" i="1"/>
  <c r="V59" i="1" s="1"/>
  <c r="Q59" i="1"/>
  <c r="X99" i="1"/>
  <c r="Z99" i="1" s="1"/>
  <c r="C16" i="5"/>
  <c r="X59" i="1" l="1"/>
  <c r="Z59" i="1" s="1"/>
  <c r="V55" i="1"/>
  <c r="X55" i="1" s="1"/>
  <c r="Z55" i="1" s="1"/>
  <c r="G16" i="5"/>
  <c r="I16" i="5" s="1"/>
  <c r="O29" i="4"/>
  <c r="G39" i="5" l="1"/>
  <c r="I39" i="5" s="1"/>
  <c r="O15" i="1"/>
  <c r="E35" i="3" s="1"/>
  <c r="O38" i="4" l="1"/>
  <c r="Y38" i="4"/>
  <c r="E88" i="3"/>
  <c r="T15" i="1"/>
  <c r="H35" i="3" s="1"/>
  <c r="G88" i="3" l="1"/>
  <c r="O21" i="4" l="1"/>
  <c r="Y37" i="4" l="1"/>
  <c r="O37" i="4"/>
  <c r="V15" i="1" l="1"/>
  <c r="C88" i="3"/>
  <c r="I35" i="3" l="1"/>
  <c r="Q15" i="1"/>
  <c r="F35" i="3" s="1"/>
  <c r="F51" i="3" s="1"/>
  <c r="X15" i="1" l="1"/>
  <c r="Z15" i="1" s="1"/>
  <c r="G28" i="5" l="1"/>
  <c r="I28" i="5" s="1"/>
  <c r="G30" i="5"/>
  <c r="I30" i="5" s="1"/>
  <c r="G31" i="5"/>
  <c r="I31" i="5" s="1"/>
  <c r="G22" i="5"/>
  <c r="I22" i="5" s="1"/>
  <c r="G23" i="5"/>
  <c r="I23" i="5" s="1"/>
  <c r="G26" i="5"/>
  <c r="I26" i="5" s="1"/>
  <c r="G35" i="5"/>
  <c r="I35" i="5" s="1"/>
  <c r="G29" i="5"/>
  <c r="I29" i="5" s="1"/>
  <c r="G17" i="5"/>
  <c r="I17" i="5" s="1"/>
  <c r="G33" i="5"/>
  <c r="I33" i="5" s="1"/>
  <c r="G19" i="5"/>
  <c r="I19" i="5" s="1"/>
  <c r="G18" i="5"/>
  <c r="I18" i="5" s="1"/>
  <c r="G24" i="5"/>
  <c r="I24" i="5" s="1"/>
  <c r="G34" i="5"/>
  <c r="I34" i="5" s="1"/>
  <c r="G21" i="5"/>
  <c r="I21" i="5" s="1"/>
  <c r="G32" i="5"/>
  <c r="I32" i="5" s="1"/>
  <c r="G25" i="5"/>
  <c r="I25" i="5" s="1"/>
  <c r="G36" i="5"/>
  <c r="I36" i="5" s="1"/>
  <c r="G27" i="5"/>
  <c r="I27" i="5" s="1"/>
  <c r="F29" i="4" l="1"/>
  <c r="G20" i="5"/>
  <c r="I20" i="5" l="1"/>
  <c r="L16" i="1"/>
  <c r="E18" i="1" l="1"/>
  <c r="B38" i="3" s="1"/>
  <c r="D10" i="4" l="1"/>
  <c r="D115" i="4"/>
  <c r="C10" i="4"/>
  <c r="B115" i="4"/>
  <c r="D52" i="1" l="1"/>
  <c r="I52" i="1" s="1"/>
  <c r="L52" i="1" s="1"/>
  <c r="C21" i="4"/>
  <c r="D21" i="4"/>
  <c r="D91" i="1"/>
  <c r="G91" i="1" l="1"/>
  <c r="I91" i="1"/>
  <c r="L91" i="1" s="1"/>
  <c r="D35" i="4"/>
  <c r="D37" i="4"/>
  <c r="C35" i="4"/>
  <c r="C37" i="4"/>
  <c r="N10" i="4" l="1"/>
  <c r="E115" i="4"/>
  <c r="M10" i="4"/>
  <c r="C115" i="4"/>
  <c r="N52" i="1" l="1"/>
  <c r="M21" i="4"/>
  <c r="N91" i="1"/>
  <c r="N21" i="4"/>
  <c r="N35" i="4" l="1"/>
  <c r="N37" i="4"/>
  <c r="X37" i="4"/>
  <c r="S91" i="1"/>
  <c r="V91" i="1" s="1"/>
  <c r="Q91" i="1"/>
  <c r="M35" i="4"/>
  <c r="M37" i="4"/>
  <c r="W37" i="4"/>
  <c r="S52" i="1"/>
  <c r="V52" i="1" s="1"/>
  <c r="Q52" i="1"/>
  <c r="X91" i="1" l="1"/>
  <c r="C86" i="3"/>
  <c r="C84" i="3"/>
  <c r="X52" i="1"/>
  <c r="Z52" i="1" s="1"/>
  <c r="Z91" i="1"/>
  <c r="F305" i="1" l="1"/>
  <c r="G305" i="1" s="1"/>
  <c r="G313" i="1" s="1"/>
  <c r="G20" i="1" l="1"/>
  <c r="C40" i="3" s="1"/>
  <c r="F55" i="3" s="1"/>
  <c r="J20" i="1"/>
  <c r="E20" i="1"/>
  <c r="B40" i="3" s="1"/>
  <c r="D23" i="4" l="1"/>
  <c r="D118" i="4"/>
  <c r="C24" i="4" l="1"/>
  <c r="B119" i="4"/>
  <c r="E105" i="1"/>
  <c r="G105" i="1" l="1"/>
  <c r="J105" i="1"/>
  <c r="L105" i="1" s="1"/>
  <c r="E67" i="1"/>
  <c r="C23" i="4" l="1"/>
  <c r="B118" i="4"/>
  <c r="D24" i="4"/>
  <c r="D119" i="4"/>
  <c r="G67" i="1"/>
  <c r="J67" i="1"/>
  <c r="L67" i="1" s="1"/>
  <c r="E106" i="1" l="1"/>
  <c r="D29" i="4"/>
  <c r="J24" i="4"/>
  <c r="E66" i="1"/>
  <c r="C29" i="4"/>
  <c r="J23" i="4"/>
  <c r="G66" i="1" l="1"/>
  <c r="J66" i="1"/>
  <c r="L66" i="1" s="1"/>
  <c r="L74" i="1" s="1"/>
  <c r="L13" i="1" s="1"/>
  <c r="J29" i="4"/>
  <c r="G106" i="1"/>
  <c r="J106" i="1"/>
  <c r="L106" i="1" s="1"/>
  <c r="N23" i="4" l="1"/>
  <c r="E118" i="4"/>
  <c r="M24" i="4"/>
  <c r="O67" i="1" s="1"/>
  <c r="C119" i="4"/>
  <c r="T67" i="1" l="1"/>
  <c r="V67" i="1" s="1"/>
  <c r="Q67" i="1"/>
  <c r="O105" i="1"/>
  <c r="X67" i="1" l="1"/>
  <c r="M23" i="4"/>
  <c r="C118" i="4"/>
  <c r="Q105" i="1"/>
  <c r="T105" i="1"/>
  <c r="N24" i="4"/>
  <c r="E119" i="4"/>
  <c r="Z67" i="1"/>
  <c r="V105" i="1" l="1"/>
  <c r="Z105" i="1"/>
  <c r="O106" i="1"/>
  <c r="N29" i="4"/>
  <c r="A83" i="5" s="1"/>
  <c r="A82" i="5" s="1"/>
  <c r="O66" i="1"/>
  <c r="M29" i="4"/>
  <c r="C82" i="5" l="1"/>
  <c r="C83" i="5" s="1"/>
  <c r="E82" i="5"/>
  <c r="Q66" i="1"/>
  <c r="O74" i="1"/>
  <c r="O13" i="1" s="1"/>
  <c r="T66" i="1"/>
  <c r="V66" i="1" s="1"/>
  <c r="N36" i="4"/>
  <c r="Q106" i="1"/>
  <c r="T106" i="1"/>
  <c r="O113" i="1"/>
  <c r="O14" i="1" s="1"/>
  <c r="E34" i="3" s="1"/>
  <c r="A41" i="5"/>
  <c r="M36" i="4"/>
  <c r="S29" i="4"/>
  <c r="X105" i="1"/>
  <c r="A40" i="5" l="1"/>
  <c r="B72" i="3"/>
  <c r="N38" i="4"/>
  <c r="G82" i="5"/>
  <c r="I82" i="5" s="1"/>
  <c r="E83" i="5"/>
  <c r="G83" i="5" s="1"/>
  <c r="I83" i="5" s="1"/>
  <c r="C40" i="5"/>
  <c r="C41" i="5" s="1"/>
  <c r="E40" i="5"/>
  <c r="V106" i="1"/>
  <c r="T113" i="1"/>
  <c r="T14" i="1" s="1"/>
  <c r="H34" i="3" s="1"/>
  <c r="E86" i="3"/>
  <c r="Q113" i="1"/>
  <c r="Q14" i="1" s="1"/>
  <c r="F34" i="3" s="1"/>
  <c r="E84" i="3"/>
  <c r="T74" i="1"/>
  <c r="T13" i="1" s="1"/>
  <c r="O22" i="1"/>
  <c r="E33" i="3"/>
  <c r="E42" i="3" s="1"/>
  <c r="M38" i="4"/>
  <c r="C106" i="3"/>
  <c r="Z66" i="1"/>
  <c r="Q74" i="1"/>
  <c r="Q13" i="1" s="1"/>
  <c r="F33" i="3" s="1"/>
  <c r="G40" i="5" l="1"/>
  <c r="I40" i="5" s="1"/>
  <c r="E41" i="5"/>
  <c r="F72" i="3" s="1"/>
  <c r="X66" i="1"/>
  <c r="X74" i="1" s="1"/>
  <c r="Z74" i="1" s="1"/>
  <c r="G84" i="3"/>
  <c r="V74" i="1"/>
  <c r="V13" i="1" s="1"/>
  <c r="H33" i="3"/>
  <c r="H42" i="3" s="1"/>
  <c r="T22" i="1"/>
  <c r="E43" i="3" s="1"/>
  <c r="X106" i="1"/>
  <c r="G86" i="3"/>
  <c r="V113" i="1"/>
  <c r="V14" i="1" s="1"/>
  <c r="D72" i="3"/>
  <c r="H43" i="3" l="1"/>
  <c r="G41" i="5"/>
  <c r="I41" i="5" s="1"/>
  <c r="I34" i="3"/>
  <c r="X14" i="1"/>
  <c r="Z14" i="1" s="1"/>
  <c r="X13" i="1"/>
  <c r="Z13" i="1" s="1"/>
  <c r="I33" i="3"/>
  <c r="X113" i="1"/>
  <c r="Z113" i="1" s="1"/>
  <c r="Z106" i="1"/>
  <c r="F183" i="1" l="1"/>
  <c r="G183" i="1" s="1"/>
  <c r="G191" i="1" s="1"/>
  <c r="G16" i="1" s="1"/>
  <c r="C36" i="3" s="1"/>
  <c r="F52" i="3" s="1"/>
  <c r="Z38" i="4" l="1"/>
  <c r="J16" i="1" l="1"/>
  <c r="E16" i="1" l="1"/>
  <c r="F38" i="4"/>
  <c r="B36" i="3" l="1"/>
  <c r="G52" i="1" l="1"/>
  <c r="G74" i="1" s="1"/>
  <c r="G13" i="1" s="1"/>
  <c r="C33" i="3" l="1"/>
  <c r="F49" i="3" l="1"/>
  <c r="Z209" i="1" l="1"/>
  <c r="X209" i="1"/>
  <c r="X231" i="1" s="1"/>
  <c r="Q209" i="1"/>
  <c r="Q231" i="1" s="1"/>
  <c r="Z231" i="1" l="1"/>
  <c r="Q17" i="1"/>
  <c r="X17" i="1" l="1"/>
  <c r="F37" i="3"/>
  <c r="Z17" i="1"/>
  <c r="Q22" i="1"/>
  <c r="Q38" i="1" l="1"/>
  <c r="G11" i="3"/>
  <c r="G20" i="3" s="1"/>
  <c r="F42" i="3"/>
  <c r="F43" i="3" s="1"/>
  <c r="F53" i="3"/>
  <c r="C142" i="4" l="1"/>
  <c r="C144" i="4" s="1"/>
  <c r="C11" i="3"/>
  <c r="C20" i="3" s="1"/>
  <c r="C23" i="3" l="1"/>
  <c r="L75" i="4" l="1"/>
  <c r="U247" i="1" s="1"/>
  <c r="K247" i="1" s="1"/>
  <c r="L247" i="1" s="1"/>
  <c r="L259" i="1" s="1"/>
  <c r="V247" i="1" l="1"/>
  <c r="V259" i="1" s="1"/>
  <c r="L272" i="1"/>
  <c r="L18" i="1"/>
  <c r="C94" i="3" l="1"/>
  <c r="X247" i="1"/>
  <c r="X259" i="1" s="1"/>
  <c r="X272" i="1" s="1"/>
  <c r="V272" i="1"/>
  <c r="V18" i="1"/>
  <c r="X18" i="1" l="1"/>
  <c r="Z18" i="1" s="1"/>
  <c r="I38" i="3"/>
  <c r="I42" i="3" s="1"/>
  <c r="V22" i="1"/>
  <c r="I43" i="3" l="1"/>
  <c r="H11" i="3"/>
  <c r="H20" i="3" s="1"/>
  <c r="V38" i="1"/>
  <c r="X22" i="1"/>
  <c r="Z22" i="1" s="1"/>
  <c r="D11" i="3" l="1"/>
  <c r="D20" i="3" s="1"/>
  <c r="D23" i="3" s="1"/>
  <c r="D142" i="4"/>
  <c r="D144" i="4" s="1"/>
  <c r="X38" i="1"/>
  <c r="Z38" i="1" s="1"/>
  <c r="C32" i="4" l="1"/>
  <c r="D32" i="4"/>
  <c r="E111" i="1" l="1"/>
  <c r="C36" i="4"/>
  <c r="E72" i="1"/>
  <c r="J32" i="4"/>
  <c r="D36" i="4"/>
  <c r="J72" i="1" l="1"/>
  <c r="J74" i="1" s="1"/>
  <c r="J13" i="1" s="1"/>
  <c r="E74" i="1"/>
  <c r="G111" i="1"/>
  <c r="J111" i="1"/>
  <c r="J113" i="1" s="1"/>
  <c r="J14" i="1" s="1"/>
  <c r="E113" i="1"/>
  <c r="L111" i="1" l="1"/>
  <c r="L113" i="1" s="1"/>
  <c r="L14" i="1" s="1"/>
  <c r="L22" i="1" s="1"/>
  <c r="L38" i="1" s="1"/>
  <c r="G113" i="1"/>
  <c r="G14" i="1" s="1"/>
  <c r="E13" i="1"/>
  <c r="C38" i="4"/>
  <c r="E14" i="1"/>
  <c r="B34" i="3" s="1"/>
  <c r="D38" i="4"/>
  <c r="J22" i="1"/>
  <c r="B33" i="3" l="1"/>
  <c r="B42" i="3" s="1"/>
  <c r="E22" i="1"/>
  <c r="C34" i="3"/>
  <c r="G22" i="1"/>
  <c r="B43" i="3" l="1"/>
  <c r="G38" i="1"/>
  <c r="B11" i="3" s="1"/>
  <c r="B20" i="3" s="1"/>
  <c r="F11" i="3"/>
  <c r="F20" i="3" s="1"/>
  <c r="F50" i="3"/>
  <c r="F56" i="3" s="1"/>
  <c r="C42" i="3"/>
  <c r="C43" i="3" s="1"/>
  <c r="B23" i="3" l="1"/>
</calcChain>
</file>

<file path=xl/sharedStrings.xml><?xml version="1.0" encoding="utf-8"?>
<sst xmlns="http://schemas.openxmlformats.org/spreadsheetml/2006/main" count="911" uniqueCount="210">
  <si>
    <t>Line #</t>
  </si>
  <si>
    <t>Total</t>
  </si>
  <si>
    <t>Description</t>
  </si>
  <si>
    <t>Residential</t>
  </si>
  <si>
    <t>Commecial</t>
  </si>
  <si>
    <t>Industrial</t>
  </si>
  <si>
    <t>OPA</t>
  </si>
  <si>
    <t>OWU</t>
  </si>
  <si>
    <t>Private Fire</t>
  </si>
  <si>
    <t>Number of Meters</t>
  </si>
  <si>
    <t xml:space="preserve">Totals </t>
  </si>
  <si>
    <t>Size / #</t>
  </si>
  <si>
    <t>Monthly</t>
  </si>
  <si>
    <t>2"</t>
  </si>
  <si>
    <t>3"</t>
  </si>
  <si>
    <t>1-1/2"</t>
  </si>
  <si>
    <t>4"</t>
  </si>
  <si>
    <t>Total Meters</t>
  </si>
  <si>
    <t>Consumption</t>
  </si>
  <si>
    <t>1st Block</t>
  </si>
  <si>
    <t>2nd Block</t>
  </si>
  <si>
    <t>3rd Block</t>
  </si>
  <si>
    <t>4th Block</t>
  </si>
  <si>
    <t>Fire Service</t>
  </si>
  <si>
    <t>Class/</t>
  </si>
  <si>
    <t>Residential:</t>
  </si>
  <si>
    <t>Minimum Charge:</t>
  </si>
  <si>
    <t>Customer</t>
  </si>
  <si>
    <t>Meter</t>
  </si>
  <si>
    <t>Billings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</si>
  <si>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</si>
  <si>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</si>
  <si>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</si>
  <si>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</si>
  <si>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</si>
  <si>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</si>
  <si>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</si>
  <si>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</si>
  <si>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</si>
  <si>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Sales</t>
  </si>
  <si>
    <t>Volumetric Charges:</t>
  </si>
  <si>
    <t>First Block</t>
  </si>
  <si>
    <t>Second Block</t>
  </si>
  <si>
    <t>Third Block</t>
  </si>
  <si>
    <t>Fourth Block</t>
  </si>
  <si>
    <t>Current</t>
  </si>
  <si>
    <t>Rate</t>
  </si>
  <si>
    <t>Revenue</t>
  </si>
  <si>
    <t>Service Charge</t>
  </si>
  <si>
    <t>Consumption:</t>
  </si>
  <si>
    <t>Commercial</t>
  </si>
  <si>
    <t>Dollar</t>
  </si>
  <si>
    <t>Change</t>
  </si>
  <si>
    <t>Percentage</t>
  </si>
  <si>
    <t>Commercial:</t>
  </si>
  <si>
    <t>Industrial:</t>
  </si>
  <si>
    <t>Other Public Authority:</t>
  </si>
  <si>
    <t>Private Fire Service:</t>
  </si>
  <si>
    <t>Connection</t>
  </si>
  <si>
    <t>Size</t>
  </si>
  <si>
    <t>6"</t>
  </si>
  <si>
    <t>8"</t>
  </si>
  <si>
    <t>10"</t>
  </si>
  <si>
    <t>12"</t>
  </si>
  <si>
    <t>Number</t>
  </si>
  <si>
    <t>of</t>
  </si>
  <si>
    <t>Connections</t>
  </si>
  <si>
    <t>Monthly Billing:</t>
  </si>
  <si>
    <t>Other Public Authority</t>
  </si>
  <si>
    <t>Other Water Utilities</t>
  </si>
  <si>
    <t>Miscellaneous Revenues:</t>
  </si>
  <si>
    <t>Present Rates for General Water Service</t>
  </si>
  <si>
    <t>Proposed Rates for General Water Service</t>
  </si>
  <si>
    <t>Proposed</t>
  </si>
  <si>
    <t>5/8"</t>
  </si>
  <si>
    <t>3/4"</t>
  </si>
  <si>
    <t>1"</t>
  </si>
  <si>
    <t>Test Year Operating Revenues at Present Rates vs Proposed Rates</t>
  </si>
  <si>
    <t>Private Fire Service</t>
  </si>
  <si>
    <t>Present</t>
  </si>
  <si>
    <t>Operation</t>
  </si>
  <si>
    <t>Link Out Sheet</t>
  </si>
  <si>
    <t>Test Check</t>
  </si>
  <si>
    <t>Total Revenues</t>
  </si>
  <si>
    <t>Water Revenues</t>
  </si>
  <si>
    <t>Public Fire Protection</t>
  </si>
  <si>
    <t>Public Fire Protection:</t>
  </si>
  <si>
    <t>Public Fire Hydrants</t>
  </si>
  <si>
    <t>Res</t>
  </si>
  <si>
    <t>Com</t>
  </si>
  <si>
    <t>Ind</t>
  </si>
  <si>
    <t>Other Water Revenue</t>
  </si>
  <si>
    <t>Total Rev / RRM</t>
  </si>
  <si>
    <t>Per Bill Analysis</t>
  </si>
  <si>
    <t>SFR</t>
  </si>
  <si>
    <t>Check</t>
  </si>
  <si>
    <t>Fifth Block</t>
  </si>
  <si>
    <t>Normalized</t>
  </si>
  <si>
    <t>Attrition Year at Present Rates</t>
  </si>
  <si>
    <t>Attrition Year at Proposed Rates</t>
  </si>
  <si>
    <t>5th Block</t>
  </si>
  <si>
    <t>Sixth Block</t>
  </si>
  <si>
    <t xml:space="preserve">    First                   </t>
  </si>
  <si>
    <t xml:space="preserve">    Next                </t>
  </si>
  <si>
    <t xml:space="preserve">    Next              </t>
  </si>
  <si>
    <t xml:space="preserve">    Next            </t>
  </si>
  <si>
    <t xml:space="preserve">    Next         </t>
  </si>
  <si>
    <t xml:space="preserve">    All Over   </t>
  </si>
  <si>
    <t>Credits</t>
  </si>
  <si>
    <t>Credits (Cons)</t>
  </si>
  <si>
    <t>Credits ($'s)</t>
  </si>
  <si>
    <t>CHAT</t>
  </si>
  <si>
    <t>Checks</t>
  </si>
  <si>
    <t>Surcharge</t>
  </si>
  <si>
    <t>Present Rates</t>
  </si>
  <si>
    <t>Proposed Rates</t>
  </si>
  <si>
    <t>Water</t>
  </si>
  <si>
    <t>Total Company</t>
  </si>
  <si>
    <t>Other Revenue</t>
  </si>
  <si>
    <t>Base Period</t>
  </si>
  <si>
    <t>Test Year at Present Rates</t>
  </si>
  <si>
    <t>Test Year at Proposed Rates</t>
  </si>
  <si>
    <t>Test Year</t>
  </si>
  <si>
    <t>T-Gals</t>
  </si>
  <si>
    <t>All</t>
  </si>
  <si>
    <t>Residential - 5/8" Meter</t>
  </si>
  <si>
    <t>Difference</t>
  </si>
  <si>
    <t>Average User</t>
  </si>
  <si>
    <t>Thousand Gallons</t>
  </si>
  <si>
    <t>Commercial - 5/8" Meter</t>
  </si>
  <si>
    <t>Fire</t>
  </si>
  <si>
    <t>14"</t>
  </si>
  <si>
    <t>16"</t>
  </si>
  <si>
    <t>('000 Gal)</t>
  </si>
  <si>
    <t>Base</t>
  </si>
  <si>
    <t>Hydrant</t>
  </si>
  <si>
    <t>Public Hydrants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</si>
  <si>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</si>
  <si>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</si>
  <si>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</si>
  <si>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</si>
  <si>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</si>
  <si>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</si>
  <si>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</si>
  <si>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</si>
  <si>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</si>
  <si>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</si>
  <si>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>Public Fire</t>
  </si>
  <si>
    <t>MISC</t>
  </si>
  <si>
    <t>Miscellaneous:</t>
  </si>
  <si>
    <t>Total Other Revenue</t>
  </si>
  <si>
    <t>Total Revenue</t>
  </si>
  <si>
    <t>Rent</t>
  </si>
  <si>
    <t>Rent I/C</t>
  </si>
  <si>
    <t>Collect for Others</t>
  </si>
  <si>
    <t>Usage Data</t>
  </si>
  <si>
    <t>Miscellaneous</t>
  </si>
  <si>
    <t>Owenton</t>
  </si>
  <si>
    <t>Late Payment Fee</t>
  </si>
  <si>
    <t>NSF Check Charge</t>
  </si>
  <si>
    <t>Reconnect Fee</t>
  </si>
  <si>
    <t>Miscellaneous Service</t>
  </si>
  <si>
    <t>WW-Miscellaneous Service</t>
  </si>
  <si>
    <t>Total Fire</t>
  </si>
  <si>
    <t>Application/Initiation Fee</t>
  </si>
  <si>
    <t>Other</t>
  </si>
  <si>
    <t>Forecast Year Operating Revenues at Present Rates vs Proposed Rates</t>
  </si>
  <si>
    <t>Per Books</t>
  </si>
  <si>
    <t>Public Fire Service</t>
  </si>
  <si>
    <t>Base Period at Proposed Rates</t>
  </si>
  <si>
    <t>Base Period at Present Rates</t>
  </si>
  <si>
    <t xml:space="preserve">Proposed </t>
  </si>
  <si>
    <t>Sale for Resale</t>
  </si>
  <si>
    <t>Sale for Resale:</t>
  </si>
  <si>
    <t>Other Water Revenue - Fire</t>
  </si>
  <si>
    <t>Fire Revenue</t>
  </si>
  <si>
    <t>5/8" Meter</t>
  </si>
  <si>
    <t>Usage</t>
  </si>
  <si>
    <t>All Divisions</t>
  </si>
  <si>
    <t>Forecast Year</t>
  </si>
  <si>
    <t>Average User:</t>
  </si>
  <si>
    <t>Other Revenue Increase:</t>
  </si>
  <si>
    <t>Exhibit 37, Schedule N</t>
  </si>
  <si>
    <t>Present Rate</t>
  </si>
  <si>
    <t>Proposed Rate</t>
  </si>
  <si>
    <t>Exhibit 37, Schedule M-2</t>
  </si>
  <si>
    <t>Exhibit 37, Schedule M-3</t>
  </si>
  <si>
    <t>Revenue Classification</t>
  </si>
  <si>
    <t>Revenue  from</t>
  </si>
  <si>
    <t>Billed Consumption</t>
  </si>
  <si>
    <t>in Test Year</t>
  </si>
  <si>
    <t>Revenue From</t>
  </si>
  <si>
    <t/>
  </si>
  <si>
    <t>2018 Rate Case</t>
  </si>
  <si>
    <t>East Rockcastle</t>
  </si>
  <si>
    <t>Block 1</t>
  </si>
  <si>
    <t>Block 2</t>
  </si>
  <si>
    <t>&gt; 2000</t>
  </si>
  <si>
    <t>Special Contract</t>
  </si>
  <si>
    <t>Meter count</t>
  </si>
  <si>
    <t>Base Year</t>
  </si>
  <si>
    <t>Test</t>
  </si>
  <si>
    <t>Price</t>
  </si>
  <si>
    <t>SFR-Intercompany</t>
  </si>
  <si>
    <t xml:space="preserve"> </t>
  </si>
  <si>
    <t>Volumetric Revenue Test Year present</t>
  </si>
  <si>
    <t>Typical Bill Comparisons under Present and Proposed Rates
EASTERN ROCKCASTLE</t>
  </si>
  <si>
    <t>EASTERN ROCKCASTLE</t>
  </si>
  <si>
    <t>Proposed Meter Fee</t>
  </si>
  <si>
    <t>Present Meter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</si>
</sst>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&quot;$&quot;#,##0.0000_);[Red]\(&quot;$&quot;#,##0.0000\)"/>
    <numFmt numFmtId="167" formatCode="#,##0.0"/>
    <numFmt numFmtId="168" formatCode="#,##0.0000_);\(#,##0.0000\)"/>
    <numFmt numFmtId="169" formatCode="&quot;$&quot;#,##0.0000_);\(&quot;$&quot;#,##0.0000\)"/>
    <numFmt numFmtId="170" formatCode="_(&quot;$&quot;* #,##0_);_(&quot;$&quot;* \(#,##0\);_(&quot;$&quot;* &quot;-&quot;??_);_(@_)"/>
    <numFmt numFmtId="171" formatCode="0.000"/>
    <numFmt numFmtId="172" formatCode="#,##0.000"/>
    <numFmt numFmtId="173" formatCode="#,##0.0000"/>
    <numFmt numFmtId="174" formatCode="0.000%"/>
    <numFmt numFmtId="175" formatCode="#,##0.000_);\(#,##0.000\)"/>
    <numFmt numFmtId="176" formatCode="#,##0.0000000000_);\(#,##0.0000000000\)"/>
    <numFmt numFmtId="177" formatCode="_(* #,##0.0000_);_(* \(#,##0.00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00FF00"/>
      </left>
      <right/>
      <top/>
      <bottom/>
      <diagonal/>
    </border>
    <border>
      <left/>
      <right style="thick">
        <color rgb="FF00FF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  <xf numFmtId="0" fontId="1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5" borderId="17" applyNumberFormat="0" applyFont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</cellStyleXfs>
  <cellXfs count="328">
    <xf numFmtId="0" fontId="0" fillId="0" borderId="0" xfId="0"/>
    <xf numFmtId="0" fontId="0" fillId="0" borderId="0" xfId="0" applyAlignment="1">
      <alignment horizontal="center"/>
    </xf>
    <xf numFmtId="37" fontId="8" fillId="0" borderId="0" xfId="0" applyNumberFormat="1" applyFont="1" applyBorder="1"/>
    <xf numFmtId="37" fontId="8" fillId="0" borderId="0" xfId="0" applyNumberFormat="1" applyFont="1" applyBorder="1" applyAlignment="1">
      <alignment horizontal="center"/>
    </xf>
    <xf numFmtId="0" fontId="8" fillId="0" borderId="0" xfId="0" applyFont="1"/>
    <xf numFmtId="37" fontId="8" fillId="0" borderId="0" xfId="0" applyNumberFormat="1" applyFont="1" applyBorder="1" applyAlignment="1">
      <alignment horizontal="centerContinuous"/>
    </xf>
    <xf numFmtId="0" fontId="8" fillId="0" borderId="7" xfId="0" applyFont="1" applyBorder="1"/>
    <xf numFmtId="10" fontId="0" fillId="0" borderId="0" xfId="0" applyNumberFormat="1"/>
    <xf numFmtId="0" fontId="0" fillId="0" borderId="0" xfId="0" applyBorder="1"/>
    <xf numFmtId="37" fontId="0" fillId="0" borderId="0" xfId="0" applyNumberFormat="1" applyBorder="1"/>
    <xf numFmtId="37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8" fillId="0" borderId="0" xfId="0" applyFont="1" applyFill="1" applyBorder="1"/>
    <xf numFmtId="0" fontId="0" fillId="0" borderId="0" xfId="0" applyBorder="1" applyAlignment="1">
      <alignment horizontal="centerContinuous"/>
    </xf>
    <xf numFmtId="37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7" fontId="11" fillId="0" borderId="0" xfId="0" applyNumberFormat="1" applyFont="1"/>
    <xf numFmtId="37" fontId="11" fillId="0" borderId="0" xfId="0" applyNumberFormat="1" applyFont="1" applyBorder="1"/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Border="1"/>
    <xf numFmtId="39" fontId="11" fillId="0" borderId="0" xfId="0" applyNumberFormat="1" applyFont="1" applyBorder="1"/>
    <xf numFmtId="10" fontId="11" fillId="0" borderId="0" xfId="0" applyNumberFormat="1" applyFont="1"/>
    <xf numFmtId="37" fontId="11" fillId="0" borderId="0" xfId="0" applyNumberFormat="1" applyFont="1" applyFill="1" applyBorder="1"/>
    <xf numFmtId="37" fontId="11" fillId="0" borderId="0" xfId="0" applyNumberFormat="1" applyFont="1" applyFill="1" applyBorder="1" applyAlignment="1">
      <alignment horizontal="right" vertical="top"/>
    </xf>
    <xf numFmtId="39" fontId="12" fillId="0" borderId="9" xfId="0" applyNumberFormat="1" applyFont="1" applyFill="1" applyBorder="1"/>
    <xf numFmtId="0" fontId="12" fillId="0" borderId="9" xfId="0" applyFont="1" applyFill="1" applyBorder="1"/>
    <xf numFmtId="0" fontId="12" fillId="0" borderId="14" xfId="0" applyFont="1" applyFill="1" applyBorder="1"/>
    <xf numFmtId="39" fontId="12" fillId="0" borderId="0" xfId="0" applyNumberFormat="1" applyFont="1" applyFill="1" applyBorder="1"/>
    <xf numFmtId="39" fontId="7" fillId="0" borderId="0" xfId="0" applyNumberFormat="1" applyFont="1" applyFill="1" applyBorder="1"/>
    <xf numFmtId="0" fontId="12" fillId="0" borderId="12" xfId="0" applyFont="1" applyFill="1" applyBorder="1"/>
    <xf numFmtId="0" fontId="12" fillId="0" borderId="10" xfId="0" applyFont="1" applyFill="1" applyBorder="1"/>
    <xf numFmtId="0" fontId="8" fillId="0" borderId="16" xfId="0" applyFont="1" applyFill="1" applyBorder="1"/>
    <xf numFmtId="39" fontId="12" fillId="0" borderId="16" xfId="0" applyNumberFormat="1" applyFont="1" applyFill="1" applyBorder="1"/>
    <xf numFmtId="0" fontId="3" fillId="0" borderId="0" xfId="23" applyFont="1"/>
    <xf numFmtId="3" fontId="3" fillId="0" borderId="0" xfId="23" applyNumberFormat="1" applyFont="1" applyAlignment="1">
      <alignment horizontal="centerContinuous"/>
    </xf>
    <xf numFmtId="3" fontId="3" fillId="0" borderId="0" xfId="23" applyNumberFormat="1" applyFont="1"/>
    <xf numFmtId="4" fontId="3" fillId="0" borderId="0" xfId="23" applyNumberFormat="1" applyFont="1"/>
    <xf numFmtId="172" fontId="3" fillId="0" borderId="0" xfId="23" applyNumberFormat="1" applyFont="1"/>
    <xf numFmtId="173" fontId="3" fillId="0" borderId="0" xfId="23" applyNumberFormat="1" applyFont="1"/>
    <xf numFmtId="3" fontId="3" fillId="0" borderId="0" xfId="23" applyNumberFormat="1" applyFont="1" applyAlignment="1">
      <alignment horizontal="center"/>
    </xf>
    <xf numFmtId="3" fontId="14" fillId="0" borderId="0" xfId="23" applyNumberFormat="1" applyFont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1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left"/>
    </xf>
    <xf numFmtId="44" fontId="3" fillId="0" borderId="0" xfId="23" applyNumberFormat="1" applyFont="1" applyAlignment="1">
      <alignment horizontal="center"/>
    </xf>
    <xf numFmtId="10" fontId="0" fillId="0" borderId="0" xfId="24" applyNumberFormat="1" applyFont="1" applyBorder="1" applyAlignment="1">
      <alignment horizontal="right"/>
    </xf>
    <xf numFmtId="174" fontId="0" fillId="0" borderId="0" xfId="24" applyNumberFormat="1" applyFont="1"/>
    <xf numFmtId="3" fontId="3" fillId="0" borderId="0" xfId="23" applyNumberFormat="1" applyFont="1" applyAlignment="1">
      <alignment horizontal="left"/>
    </xf>
    <xf numFmtId="43" fontId="3" fillId="0" borderId="0" xfId="23" applyNumberFormat="1" applyFont="1"/>
    <xf numFmtId="43" fontId="3" fillId="0" borderId="0" xfId="23" applyNumberFormat="1" applyFont="1" applyBorder="1" applyAlignment="1">
      <alignment horizontal="right"/>
    </xf>
    <xf numFmtId="3" fontId="3" fillId="0" borderId="0" xfId="23" applyNumberFormat="1" applyFont="1" applyBorder="1"/>
    <xf numFmtId="43" fontId="3" fillId="0" borderId="0" xfId="23" applyNumberFormat="1" applyFont="1" applyBorder="1"/>
    <xf numFmtId="44" fontId="3" fillId="0" borderId="0" xfId="23" applyNumberFormat="1" applyFont="1" applyBorder="1"/>
    <xf numFmtId="4" fontId="3" fillId="0" borderId="0" xfId="23" applyNumberFormat="1" applyFont="1" applyBorder="1"/>
    <xf numFmtId="4" fontId="3" fillId="0" borderId="0" xfId="23" applyNumberFormat="1" applyFont="1" applyBorder="1" applyAlignment="1">
      <alignment horizontal="centerContinuous"/>
    </xf>
    <xf numFmtId="3" fontId="3" fillId="0" borderId="0" xfId="23" applyNumberFormat="1" applyFont="1" applyBorder="1" applyAlignment="1">
      <alignment horizontal="centerContinuous"/>
    </xf>
    <xf numFmtId="7" fontId="3" fillId="0" borderId="0" xfId="23" applyNumberFormat="1" applyFont="1"/>
    <xf numFmtId="3" fontId="3" fillId="0" borderId="0" xfId="23" applyNumberFormat="1" applyFont="1" applyFill="1" applyAlignment="1">
      <alignment horizontal="center"/>
    </xf>
    <xf numFmtId="3" fontId="3" fillId="0" borderId="0" xfId="23" applyNumberFormat="1" applyFont="1" applyFill="1"/>
    <xf numFmtId="44" fontId="3" fillId="0" borderId="0" xfId="23" applyNumberFormat="1" applyFont="1" applyFill="1" applyBorder="1" applyAlignment="1">
      <alignment horizontal="right"/>
    </xf>
    <xf numFmtId="10" fontId="0" fillId="0" borderId="0" xfId="24" applyNumberFormat="1" applyFont="1" applyFill="1" applyBorder="1" applyAlignment="1">
      <alignment horizontal="right"/>
    </xf>
    <xf numFmtId="43" fontId="3" fillId="0" borderId="0" xfId="23" applyNumberFormat="1" applyFont="1" applyFill="1"/>
    <xf numFmtId="43" fontId="3" fillId="0" borderId="0" xfId="23" applyNumberFormat="1" applyFont="1" applyFill="1" applyBorder="1" applyAlignment="1">
      <alignment horizontal="right"/>
    </xf>
    <xf numFmtId="3" fontId="3" fillId="0" borderId="0" xfId="23" applyNumberFormat="1" applyFont="1" applyFill="1" applyBorder="1" applyAlignment="1">
      <alignment horizontal="center"/>
    </xf>
    <xf numFmtId="3" fontId="3" fillId="0" borderId="0" xfId="23" applyNumberFormat="1" applyFont="1" applyFill="1" applyAlignment="1">
      <alignment horizontal="left"/>
    </xf>
    <xf numFmtId="44" fontId="3" fillId="0" borderId="0" xfId="23" applyNumberFormat="1" applyFont="1" applyFill="1" applyBorder="1"/>
    <xf numFmtId="37" fontId="16" fillId="0" borderId="0" xfId="0" applyNumberFormat="1" applyFont="1" applyBorder="1"/>
    <xf numFmtId="37" fontId="11" fillId="0" borderId="0" xfId="0" applyNumberFormat="1" applyFont="1" applyFill="1"/>
    <xf numFmtId="0" fontId="3" fillId="0" borderId="0" xfId="23" applyFont="1" applyFill="1"/>
    <xf numFmtId="0" fontId="14" fillId="0" borderId="0" xfId="23" applyFont="1" applyFill="1" applyAlignment="1">
      <alignment horizontal="right"/>
    </xf>
    <xf numFmtId="3" fontId="14" fillId="0" borderId="0" xfId="23" applyNumberFormat="1" applyFont="1" applyBorder="1" applyAlignment="1">
      <alignment horizontal="left"/>
    </xf>
    <xf numFmtId="3" fontId="14" fillId="0" borderId="0" xfId="23" applyNumberFormat="1" applyFont="1" applyBorder="1" applyAlignment="1">
      <alignment horizontal="right"/>
    </xf>
    <xf numFmtId="3" fontId="14" fillId="0" borderId="0" xfId="23" applyNumberFormat="1" applyFont="1" applyAlignment="1"/>
    <xf numFmtId="10" fontId="11" fillId="0" borderId="0" xfId="0" applyNumberFormat="1" applyFont="1" applyFill="1" applyBorder="1"/>
    <xf numFmtId="10" fontId="11" fillId="0" borderId="0" xfId="0" applyNumberFormat="1" applyFont="1" applyBorder="1"/>
    <xf numFmtId="3" fontId="14" fillId="0" borderId="0" xfId="23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 vertical="top"/>
    </xf>
    <xf numFmtId="37" fontId="16" fillId="0" borderId="0" xfId="0" applyNumberFormat="1" applyFont="1"/>
    <xf numFmtId="37" fontId="16" fillId="0" borderId="0" xfId="0" applyNumberFormat="1" applyFont="1" applyFill="1" applyBorder="1"/>
    <xf numFmtId="37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left" vertical="top"/>
    </xf>
    <xf numFmtId="5" fontId="16" fillId="0" borderId="0" xfId="0" applyNumberFormat="1" applyFont="1" applyBorder="1" applyAlignment="1">
      <alignment horizontal="right" vertical="top"/>
    </xf>
    <xf numFmtId="37" fontId="18" fillId="0" borderId="0" xfId="0" applyNumberFormat="1" applyFont="1" applyFill="1" applyBorder="1"/>
    <xf numFmtId="37" fontId="18" fillId="0" borderId="0" xfId="0" applyNumberFormat="1" applyFont="1" applyBorder="1" applyAlignment="1">
      <alignment horizontal="right"/>
    </xf>
    <xf numFmtId="37" fontId="18" fillId="0" borderId="1" xfId="0" applyNumberFormat="1" applyFont="1" applyFill="1" applyBorder="1"/>
    <xf numFmtId="37" fontId="16" fillId="0" borderId="1" xfId="0" applyNumberFormat="1" applyFont="1" applyFill="1" applyBorder="1"/>
    <xf numFmtId="37" fontId="19" fillId="0" borderId="1" xfId="0" applyNumberFormat="1" applyFont="1" applyFill="1" applyBorder="1" applyAlignment="1"/>
    <xf numFmtId="37" fontId="18" fillId="0" borderId="1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37" fontId="16" fillId="0" borderId="0" xfId="0" applyNumberFormat="1" applyFont="1" applyFill="1" applyBorder="1" applyAlignment="1">
      <alignment horizontal="centerContinuous"/>
    </xf>
    <xf numFmtId="37" fontId="16" fillId="0" borderId="0" xfId="0" applyNumberFormat="1" applyFont="1" applyFill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Border="1"/>
    <xf numFmtId="37" fontId="20" fillId="0" borderId="0" xfId="0" applyNumberFormat="1" applyFont="1" applyBorder="1"/>
    <xf numFmtId="5" fontId="16" fillId="0" borderId="0" xfId="0" applyNumberFormat="1" applyFont="1" applyFill="1" applyBorder="1" applyAlignment="1">
      <alignment horizontal="right" vertical="top"/>
    </xf>
    <xf numFmtId="10" fontId="16" fillId="0" borderId="0" xfId="0" applyNumberFormat="1" applyFont="1" applyFill="1" applyBorder="1"/>
    <xf numFmtId="39" fontId="16" fillId="0" borderId="0" xfId="0" applyNumberFormat="1" applyFont="1" applyBorder="1" applyAlignment="1">
      <alignment horizontal="right" vertical="top"/>
    </xf>
    <xf numFmtId="39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/>
    <xf numFmtId="37" fontId="16" fillId="0" borderId="4" xfId="0" applyNumberFormat="1" applyFont="1" applyBorder="1" applyAlignment="1">
      <alignment horizontal="right" vertical="top"/>
    </xf>
    <xf numFmtId="5" fontId="16" fillId="0" borderId="18" xfId="0" applyNumberFormat="1" applyFont="1" applyFill="1" applyBorder="1" applyAlignment="1">
      <alignment horizontal="right" vertical="top"/>
    </xf>
    <xf numFmtId="37" fontId="16" fillId="0" borderId="4" xfId="0" applyNumberFormat="1" applyFont="1" applyFill="1" applyBorder="1" applyAlignment="1">
      <alignment horizontal="right" vertical="top"/>
    </xf>
    <xf numFmtId="5" fontId="16" fillId="0" borderId="18" xfId="0" applyNumberFormat="1" applyFont="1" applyBorder="1" applyAlignment="1">
      <alignment horizontal="right" vertical="top"/>
    </xf>
    <xf numFmtId="10" fontId="16" fillId="0" borderId="18" xfId="0" applyNumberFormat="1" applyFont="1" applyFill="1" applyBorder="1"/>
    <xf numFmtId="42" fontId="2" fillId="0" borderId="0" xfId="11" applyNumberFormat="1" applyFont="1" applyFill="1" applyAlignment="1">
      <alignment horizontal="left" indent="1"/>
    </xf>
    <xf numFmtId="168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right"/>
    </xf>
    <xf numFmtId="37" fontId="20" fillId="0" borderId="0" xfId="0" applyNumberFormat="1" applyFont="1" applyFill="1" applyBorder="1" applyAlignment="1">
      <alignment horizontal="center"/>
    </xf>
    <xf numFmtId="43" fontId="16" fillId="0" borderId="0" xfId="0" applyNumberFormat="1" applyFont="1" applyFill="1" applyBorder="1"/>
    <xf numFmtId="6" fontId="16" fillId="0" borderId="0" xfId="0" applyNumberFormat="1" applyFont="1" applyFill="1" applyBorder="1"/>
    <xf numFmtId="42" fontId="16" fillId="0" borderId="0" xfId="0" applyNumberFormat="1" applyFont="1" applyFill="1" applyBorder="1"/>
    <xf numFmtId="168" fontId="16" fillId="0" borderId="0" xfId="0" applyNumberFormat="1" applyFont="1" applyFill="1" applyBorder="1"/>
    <xf numFmtId="5" fontId="16" fillId="0" borderId="0" xfId="0" applyNumberFormat="1" applyFont="1" applyFill="1" applyBorder="1"/>
    <xf numFmtId="5" fontId="16" fillId="0" borderId="0" xfId="0" applyNumberFormat="1" applyFont="1" applyBorder="1"/>
    <xf numFmtId="168" fontId="16" fillId="0" borderId="0" xfId="0" applyNumberFormat="1" applyFont="1" applyBorder="1"/>
    <xf numFmtId="42" fontId="16" fillId="0" borderId="0" xfId="0" applyNumberFormat="1" applyFont="1" applyBorder="1"/>
    <xf numFmtId="37" fontId="20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37" fontId="20" fillId="0" borderId="0" xfId="0" applyNumberFormat="1" applyFont="1" applyFill="1" applyBorder="1"/>
    <xf numFmtId="10" fontId="16" fillId="0" borderId="4" xfId="0" applyNumberFormat="1" applyFont="1" applyFill="1" applyBorder="1"/>
    <xf numFmtId="6" fontId="16" fillId="0" borderId="0" xfId="0" applyNumberFormat="1" applyFont="1" applyBorder="1"/>
    <xf numFmtId="40" fontId="16" fillId="0" borderId="0" xfId="0" applyNumberFormat="1" applyFont="1" applyBorder="1"/>
    <xf numFmtId="37" fontId="18" fillId="0" borderId="1" xfId="0" applyNumberFormat="1" applyFont="1" applyBorder="1"/>
    <xf numFmtId="37" fontId="16" fillId="0" borderId="1" xfId="0" applyNumberFormat="1" applyFont="1" applyBorder="1"/>
    <xf numFmtId="37" fontId="18" fillId="0" borderId="1" xfId="0" applyNumberFormat="1" applyFont="1" applyBorder="1" applyAlignment="1">
      <alignment horizontal="right"/>
    </xf>
    <xf numFmtId="7" fontId="16" fillId="0" borderId="0" xfId="0" applyNumberFormat="1" applyFont="1" applyFill="1" applyBorder="1" applyAlignment="1">
      <alignment horizontal="right" vertical="top"/>
    </xf>
    <xf numFmtId="7" fontId="16" fillId="0" borderId="0" xfId="0" applyNumberFormat="1" applyFont="1" applyBorder="1" applyAlignment="1">
      <alignment horizontal="right" vertical="top"/>
    </xf>
    <xf numFmtId="169" fontId="16" fillId="0" borderId="0" xfId="0" applyNumberFormat="1" applyFont="1" applyFill="1" applyBorder="1" applyAlignment="1">
      <alignment horizontal="right" vertical="top"/>
    </xf>
    <xf numFmtId="169" fontId="16" fillId="0" borderId="0" xfId="0" applyNumberFormat="1" applyFont="1" applyBorder="1" applyAlignment="1">
      <alignment horizontal="right" vertical="top"/>
    </xf>
    <xf numFmtId="168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/>
    </xf>
    <xf numFmtId="37" fontId="16" fillId="0" borderId="4" xfId="0" applyNumberFormat="1" applyFont="1" applyBorder="1"/>
    <xf numFmtId="6" fontId="16" fillId="0" borderId="4" xfId="0" applyNumberFormat="1" applyFont="1" applyBorder="1"/>
    <xf numFmtId="37" fontId="16" fillId="0" borderId="0" xfId="0" applyNumberFormat="1" applyFont="1" applyFill="1" applyBorder="1" applyAlignment="1">
      <alignment horizontal="left"/>
    </xf>
    <xf numFmtId="37" fontId="16" fillId="0" borderId="4" xfId="0" applyNumberFormat="1" applyFont="1" applyFill="1" applyBorder="1"/>
    <xf numFmtId="6" fontId="16" fillId="0" borderId="4" xfId="0" applyNumberFormat="1" applyFont="1" applyFill="1" applyBorder="1"/>
    <xf numFmtId="39" fontId="16" fillId="0" borderId="0" xfId="0" applyNumberFormat="1" applyFont="1" applyBorder="1"/>
    <xf numFmtId="5" fontId="16" fillId="0" borderId="0" xfId="0" applyNumberFormat="1" applyFont="1" applyBorder="1" applyAlignment="1">
      <alignment horizontal="right"/>
    </xf>
    <xf numFmtId="5" fontId="16" fillId="0" borderId="3" xfId="0" applyNumberFormat="1" applyFont="1" applyFill="1" applyBorder="1" applyAlignment="1">
      <alignment horizontal="right"/>
    </xf>
    <xf numFmtId="5" fontId="16" fillId="0" borderId="0" xfId="0" applyNumberFormat="1" applyFont="1" applyFill="1" applyBorder="1" applyAlignment="1">
      <alignment horizontal="right"/>
    </xf>
    <xf numFmtId="5" fontId="16" fillId="0" borderId="3" xfId="0" applyNumberFormat="1" applyFont="1" applyBorder="1" applyAlignment="1">
      <alignment horizontal="right"/>
    </xf>
    <xf numFmtId="0" fontId="16" fillId="0" borderId="0" xfId="25" applyFont="1" applyFill="1" applyBorder="1" applyAlignment="1"/>
    <xf numFmtId="164" fontId="16" fillId="0" borderId="0" xfId="1" applyNumberFormat="1" applyFont="1" applyBorder="1"/>
    <xf numFmtId="0" fontId="16" fillId="0" borderId="0" xfId="0" applyFont="1" applyFill="1"/>
    <xf numFmtId="0" fontId="16" fillId="0" borderId="0" xfId="0" applyFont="1"/>
    <xf numFmtId="1" fontId="16" fillId="0" borderId="0" xfId="0" applyNumberFormat="1" applyFont="1"/>
    <xf numFmtId="175" fontId="16" fillId="0" borderId="0" xfId="0" applyNumberFormat="1" applyFont="1"/>
    <xf numFmtId="0" fontId="21" fillId="0" borderId="7" xfId="0" applyFont="1" applyBorder="1"/>
    <xf numFmtId="0" fontId="16" fillId="0" borderId="7" xfId="0" applyFont="1" applyBorder="1"/>
    <xf numFmtId="167" fontId="16" fillId="0" borderId="7" xfId="1" applyNumberFormat="1" applyFont="1" applyBorder="1"/>
    <xf numFmtId="43" fontId="16" fillId="0" borderId="7" xfId="1" applyFont="1" applyBorder="1"/>
    <xf numFmtId="8" fontId="21" fillId="0" borderId="0" xfId="0" applyNumberFormat="1" applyFont="1"/>
    <xf numFmtId="8" fontId="16" fillId="0" borderId="0" xfId="0" applyNumberFormat="1" applyFont="1"/>
    <xf numFmtId="0" fontId="16" fillId="0" borderId="0" xfId="0" applyFont="1" applyAlignment="1">
      <alignment horizontal="center"/>
    </xf>
    <xf numFmtId="167" fontId="16" fillId="0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7" fontId="16" fillId="0" borderId="2" xfId="1" applyNumberFormat="1" applyFont="1" applyFill="1" applyBorder="1" applyAlignment="1">
      <alignment horizontal="center"/>
    </xf>
    <xf numFmtId="164" fontId="16" fillId="0" borderId="0" xfId="1" applyNumberFormat="1" applyFont="1" applyFill="1"/>
    <xf numFmtId="0" fontId="16" fillId="0" borderId="0" xfId="25" applyFont="1" applyFill="1" applyBorder="1" applyAlignment="1">
      <alignment horizontal="left" indent="2"/>
    </xf>
    <xf numFmtId="165" fontId="16" fillId="0" borderId="0" xfId="1" applyNumberFormat="1" applyFont="1" applyFill="1"/>
    <xf numFmtId="175" fontId="16" fillId="0" borderId="0" xfId="1" applyNumberFormat="1" applyFont="1" applyFill="1"/>
    <xf numFmtId="164" fontId="16" fillId="0" borderId="3" xfId="1" applyNumberFormat="1" applyFont="1" applyFill="1" applyBorder="1"/>
    <xf numFmtId="37" fontId="16" fillId="0" borderId="3" xfId="1" applyNumberFormat="1" applyFont="1" applyFill="1" applyBorder="1"/>
    <xf numFmtId="43" fontId="16" fillId="0" borderId="0" xfId="1" applyFont="1" applyFill="1"/>
    <xf numFmtId="0" fontId="16" fillId="0" borderId="0" xfId="0" quotePrefix="1" applyFont="1"/>
    <xf numFmtId="39" fontId="16" fillId="0" borderId="0" xfId="0" applyNumberFormat="1" applyFont="1"/>
    <xf numFmtId="39" fontId="16" fillId="0" borderId="0" xfId="1" applyNumberFormat="1" applyFont="1" applyAlignment="1">
      <alignment horizontal="center"/>
    </xf>
    <xf numFmtId="167" fontId="16" fillId="0" borderId="0" xfId="1" applyNumberFormat="1" applyFont="1" applyAlignment="1">
      <alignment horizontal="center"/>
    </xf>
    <xf numFmtId="39" fontId="16" fillId="0" borderId="0" xfId="0" applyNumberFormat="1" applyFont="1" applyAlignment="1">
      <alignment horizontal="center"/>
    </xf>
    <xf numFmtId="39" fontId="16" fillId="0" borderId="0" xfId="1" applyNumberFormat="1" applyFont="1" applyFill="1" applyAlignment="1">
      <alignment horizontal="center"/>
    </xf>
    <xf numFmtId="39" fontId="16" fillId="0" borderId="0" xfId="0" applyNumberFormat="1" applyFont="1" applyFill="1" applyAlignment="1">
      <alignment horizontal="center"/>
    </xf>
    <xf numFmtId="37" fontId="16" fillId="0" borderId="0" xfId="0" quotePrefix="1" applyNumberFormat="1" applyFont="1" applyFill="1"/>
    <xf numFmtId="39" fontId="16" fillId="0" borderId="0" xfId="0" applyNumberFormat="1" applyFont="1" applyFill="1"/>
    <xf numFmtId="0" fontId="18" fillId="0" borderId="11" xfId="0" applyFont="1" applyFill="1" applyBorder="1"/>
    <xf numFmtId="0" fontId="16" fillId="0" borderId="12" xfId="0" applyFont="1" applyFill="1" applyBorder="1"/>
    <xf numFmtId="39" fontId="19" fillId="0" borderId="12" xfId="0" applyNumberFormat="1" applyFont="1" applyFill="1" applyBorder="1"/>
    <xf numFmtId="0" fontId="19" fillId="0" borderId="12" xfId="0" applyFont="1" applyFill="1" applyBorder="1"/>
    <xf numFmtId="0" fontId="16" fillId="0" borderId="15" xfId="0" applyFont="1" applyFill="1" applyBorder="1"/>
    <xf numFmtId="0" fontId="16" fillId="0" borderId="0" xfId="0" applyFont="1" applyFill="1" applyBorder="1"/>
    <xf numFmtId="39" fontId="19" fillId="0" borderId="0" xfId="0" applyNumberFormat="1" applyFont="1" applyFill="1" applyBorder="1"/>
    <xf numFmtId="0" fontId="18" fillId="0" borderId="15" xfId="0" applyFont="1" applyFill="1" applyBorder="1"/>
    <xf numFmtId="39" fontId="18" fillId="0" borderId="0" xfId="0" applyNumberFormat="1" applyFont="1" applyFill="1" applyBorder="1"/>
    <xf numFmtId="39" fontId="16" fillId="0" borderId="0" xfId="0" applyNumberFormat="1" applyFont="1" applyFill="1" applyBorder="1"/>
    <xf numFmtId="0" fontId="16" fillId="0" borderId="13" xfId="0" applyFont="1" applyFill="1" applyBorder="1"/>
    <xf numFmtId="0" fontId="16" fillId="0" borderId="9" xfId="0" applyFont="1" applyFill="1" applyBorder="1"/>
    <xf numFmtId="39" fontId="19" fillId="0" borderId="9" xfId="0" applyNumberFormat="1" applyFont="1" applyFill="1" applyBorder="1"/>
    <xf numFmtId="0" fontId="19" fillId="0" borderId="9" xfId="0" applyFont="1" applyFill="1" applyBorder="1"/>
    <xf numFmtId="0" fontId="18" fillId="0" borderId="0" xfId="0" applyFont="1"/>
    <xf numFmtId="43" fontId="16" fillId="0" borderId="0" xfId="1" applyFont="1"/>
    <xf numFmtId="44" fontId="16" fillId="0" borderId="0" xfId="0" applyNumberFormat="1" applyFont="1" applyFill="1"/>
    <xf numFmtId="44" fontId="16" fillId="0" borderId="0" xfId="1" applyNumberFormat="1" applyFont="1" applyFill="1"/>
    <xf numFmtId="8" fontId="16" fillId="0" borderId="0" xfId="0" applyNumberFormat="1" applyFont="1" applyFill="1"/>
    <xf numFmtId="8" fontId="16" fillId="0" borderId="0" xfId="1" applyNumberFormat="1" applyFont="1" applyFill="1"/>
    <xf numFmtId="0" fontId="18" fillId="0" borderId="0" xfId="0" applyFont="1" applyFill="1" applyProtection="1"/>
    <xf numFmtId="164" fontId="16" fillId="0" borderId="0" xfId="1" applyNumberFormat="1" applyFont="1"/>
    <xf numFmtId="166" fontId="16" fillId="0" borderId="0" xfId="1" applyNumberFormat="1" applyFont="1" applyFill="1"/>
    <xf numFmtId="3" fontId="16" fillId="0" borderId="0" xfId="0" applyNumberFormat="1" applyFont="1"/>
    <xf numFmtId="3" fontId="16" fillId="0" borderId="0" xfId="1" applyNumberFormat="1" applyFont="1" applyFill="1" applyAlignment="1">
      <alignment horizontal="center"/>
    </xf>
    <xf numFmtId="3" fontId="16" fillId="0" borderId="0" xfId="1" applyNumberFormat="1" applyFont="1" applyAlignment="1">
      <alignment horizontal="center"/>
    </xf>
    <xf numFmtId="171" fontId="16" fillId="0" borderId="0" xfId="0" applyNumberFormat="1" applyFont="1" applyFill="1"/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40" fontId="16" fillId="0" borderId="0" xfId="1" applyNumberFormat="1" applyFont="1" applyFill="1"/>
    <xf numFmtId="7" fontId="16" fillId="0" borderId="0" xfId="1" applyNumberFormat="1" applyFont="1" applyFill="1"/>
    <xf numFmtId="44" fontId="16" fillId="0" borderId="0" xfId="0" applyNumberFormat="1" applyFont="1"/>
    <xf numFmtId="7" fontId="16" fillId="0" borderId="0" xfId="1" applyNumberFormat="1" applyFont="1"/>
    <xf numFmtId="0" fontId="18" fillId="0" borderId="1" xfId="0" applyFont="1" applyFill="1" applyBorder="1"/>
    <xf numFmtId="7" fontId="18" fillId="0" borderId="1" xfId="1" applyNumberFormat="1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37" fontId="18" fillId="0" borderId="0" xfId="0" applyNumberFormat="1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43" fontId="16" fillId="0" borderId="0" xfId="0" applyNumberFormat="1" applyFont="1" applyBorder="1"/>
    <xf numFmtId="164" fontId="16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Border="1"/>
    <xf numFmtId="164" fontId="18" fillId="0" borderId="0" xfId="0" applyNumberFormat="1" applyFont="1" applyBorder="1"/>
    <xf numFmtId="7" fontId="16" fillId="0" borderId="0" xfId="0" applyNumberFormat="1" applyFont="1" applyBorder="1"/>
    <xf numFmtId="0" fontId="18" fillId="0" borderId="0" xfId="0" applyFont="1" applyFill="1" applyBorder="1"/>
    <xf numFmtId="0" fontId="16" fillId="0" borderId="8" xfId="0" applyFont="1" applyBorder="1"/>
    <xf numFmtId="37" fontId="16" fillId="0" borderId="8" xfId="0" applyNumberFormat="1" applyFont="1" applyBorder="1"/>
    <xf numFmtId="0" fontId="17" fillId="0" borderId="0" xfId="0" applyFont="1" applyFill="1" applyAlignment="1">
      <alignment horizontal="center"/>
    </xf>
    <xf numFmtId="3" fontId="16" fillId="0" borderId="0" xfId="0" applyNumberFormat="1" applyFont="1" applyFill="1"/>
    <xf numFmtId="0" fontId="16" fillId="3" borderId="0" xfId="0" applyFont="1" applyFill="1"/>
    <xf numFmtId="3" fontId="16" fillId="3" borderId="0" xfId="0" applyNumberFormat="1" applyFont="1" applyFill="1" applyBorder="1"/>
    <xf numFmtId="3" fontId="16" fillId="0" borderId="0" xfId="0" applyNumberFormat="1" applyFont="1" applyFill="1" applyBorder="1"/>
    <xf numFmtId="0" fontId="18" fillId="0" borderId="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5" fontId="16" fillId="0" borderId="0" xfId="0" applyNumberFormat="1" applyFont="1" applyFill="1"/>
    <xf numFmtId="5" fontId="16" fillId="0" borderId="0" xfId="0" applyNumberFormat="1" applyFont="1"/>
    <xf numFmtId="7" fontId="16" fillId="0" borderId="0" xfId="0" applyNumberFormat="1" applyFont="1"/>
    <xf numFmtId="0" fontId="22" fillId="0" borderId="0" xfId="0" applyFont="1"/>
    <xf numFmtId="42" fontId="22" fillId="0" borderId="0" xfId="0" applyNumberFormat="1" applyFont="1"/>
    <xf numFmtId="0" fontId="22" fillId="0" borderId="0" xfId="0" applyFont="1" applyBorder="1"/>
    <xf numFmtId="37" fontId="18" fillId="0" borderId="0" xfId="0" applyNumberFormat="1" applyFont="1" applyAlignment="1">
      <alignment horizontal="center"/>
    </xf>
    <xf numFmtId="10" fontId="16" fillId="0" borderId="0" xfId="0" applyNumberFormat="1" applyFont="1" applyFill="1"/>
    <xf numFmtId="10" fontId="16" fillId="0" borderId="0" xfId="0" applyNumberFormat="1" applyFont="1"/>
    <xf numFmtId="10" fontId="16" fillId="0" borderId="0" xfId="0" applyNumberFormat="1" applyFont="1" applyBorder="1"/>
    <xf numFmtId="42" fontId="16" fillId="0" borderId="0" xfId="0" applyNumberFormat="1" applyFont="1"/>
    <xf numFmtId="37" fontId="16" fillId="0" borderId="0" xfId="0" applyNumberFormat="1" applyFont="1" applyBorder="1" applyAlignment="1">
      <alignment horizontal="right"/>
    </xf>
    <xf numFmtId="0" fontId="18" fillId="0" borderId="0" xfId="0" applyFont="1" applyFill="1"/>
    <xf numFmtId="164" fontId="16" fillId="0" borderId="0" xfId="1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170" fontId="16" fillId="0" borderId="0" xfId="0" applyNumberFormat="1" applyFont="1"/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/>
    <xf numFmtId="37" fontId="16" fillId="0" borderId="0" xfId="0" applyNumberFormat="1" applyFont="1" applyBorder="1" applyAlignment="1">
      <alignment horizontal="centerContinuous"/>
    </xf>
    <xf numFmtId="0" fontId="16" fillId="0" borderId="5" xfId="0" applyFont="1" applyBorder="1" applyAlignment="1">
      <alignment horizontal="center"/>
    </xf>
    <xf numFmtId="37" fontId="16" fillId="0" borderId="5" xfId="0" applyNumberFormat="1" applyFont="1" applyBorder="1" applyAlignment="1">
      <alignment horizontal="center"/>
    </xf>
    <xf numFmtId="0" fontId="16" fillId="0" borderId="4" xfId="0" applyFont="1" applyBorder="1"/>
    <xf numFmtId="170" fontId="16" fillId="0" borderId="4" xfId="6" applyNumberFormat="1" applyFont="1" applyBorder="1"/>
    <xf numFmtId="37" fontId="16" fillId="0" borderId="1" xfId="0" applyNumberFormat="1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0" xfId="0" applyNumberFormat="1" applyFont="1" applyFill="1" applyAlignment="1">
      <alignment horizontal="right"/>
    </xf>
    <xf numFmtId="5" fontId="16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right"/>
    </xf>
    <xf numFmtId="37" fontId="16" fillId="0" borderId="6" xfId="0" applyNumberFormat="1" applyFont="1" applyFill="1" applyBorder="1"/>
    <xf numFmtId="0" fontId="16" fillId="0" borderId="6" xfId="0" applyFont="1" applyBorder="1" applyAlignment="1">
      <alignment horizontal="center"/>
    </xf>
    <xf numFmtId="37" fontId="16" fillId="0" borderId="0" xfId="0" applyNumberFormat="1" applyFont="1" applyBorder="1" applyAlignment="1"/>
    <xf numFmtId="5" fontId="18" fillId="0" borderId="0" xfId="0" applyNumberFormat="1" applyFont="1" applyBorder="1" applyAlignment="1">
      <alignment horizontal="right"/>
    </xf>
    <xf numFmtId="39" fontId="16" fillId="0" borderId="0" xfId="0" applyNumberFormat="1" applyFont="1" applyBorder="1" applyAlignment="1">
      <alignment horizontal="right"/>
    </xf>
    <xf numFmtId="44" fontId="16" fillId="0" borderId="0" xfId="0" applyNumberFormat="1" applyFont="1" applyBorder="1" applyAlignment="1">
      <alignment horizontal="right"/>
    </xf>
    <xf numFmtId="37" fontId="16" fillId="3" borderId="0" xfId="0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16" fillId="0" borderId="1" xfId="0" applyFont="1" applyBorder="1" applyAlignment="1"/>
    <xf numFmtId="5" fontId="16" fillId="0" borderId="0" xfId="0" applyNumberFormat="1" applyFont="1" applyFill="1" applyBorder="1" applyAlignment="1"/>
    <xf numFmtId="37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6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Continuous"/>
    </xf>
    <xf numFmtId="10" fontId="16" fillId="0" borderId="0" xfId="18" applyNumberFormat="1" applyFont="1"/>
    <xf numFmtId="37" fontId="18" fillId="0" borderId="0" xfId="0" applyNumberFormat="1" applyFont="1"/>
    <xf numFmtId="43" fontId="16" fillId="0" borderId="0" xfId="0" applyNumberFormat="1" applyFont="1"/>
    <xf numFmtId="164" fontId="18" fillId="0" borderId="0" xfId="0" applyNumberFormat="1" applyFont="1"/>
    <xf numFmtId="5" fontId="16" fillId="0" borderId="4" xfId="0" applyNumberFormat="1" applyFont="1" applyFill="1" applyBorder="1" applyAlignment="1">
      <alignment horizontal="right" vertical="top"/>
    </xf>
    <xf numFmtId="37" fontId="16" fillId="0" borderId="18" xfId="0" applyNumberFormat="1" applyFont="1" applyBorder="1" applyAlignment="1">
      <alignment horizontal="right" vertical="top"/>
    </xf>
    <xf numFmtId="42" fontId="16" fillId="0" borderId="0" xfId="0" applyNumberFormat="1" applyFont="1" applyFill="1"/>
    <xf numFmtId="39" fontId="16" fillId="0" borderId="0" xfId="0" applyNumberFormat="1" applyFont="1" applyFill="1" applyBorder="1" applyAlignment="1"/>
    <xf numFmtId="37" fontId="16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16" fillId="0" borderId="0" xfId="0" applyNumberFormat="1" applyFont="1"/>
    <xf numFmtId="168" fontId="16" fillId="3" borderId="0" xfId="0" applyNumberFormat="1" applyFont="1" applyFill="1" applyBorder="1" applyAlignment="1">
      <alignment horizontal="right"/>
    </xf>
    <xf numFmtId="7" fontId="16" fillId="3" borderId="0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176" fontId="16" fillId="0" borderId="0" xfId="0" applyNumberFormat="1" applyFont="1"/>
    <xf numFmtId="0" fontId="18" fillId="0" borderId="0" xfId="0" applyFont="1" applyFill="1" applyBorder="1" applyAlignment="1">
      <alignment horizontal="left"/>
    </xf>
    <xf numFmtId="164" fontId="16" fillId="0" borderId="0" xfId="1" applyNumberFormat="1" applyFont="1" applyFill="1" applyBorder="1"/>
    <xf numFmtId="43" fontId="16" fillId="0" borderId="0" xfId="1" applyNumberFormat="1" applyFont="1" applyFill="1" applyBorder="1"/>
    <xf numFmtId="177" fontId="16" fillId="0" borderId="0" xfId="0" applyNumberFormat="1" applyFont="1" applyFill="1" applyBorder="1"/>
    <xf numFmtId="43" fontId="16" fillId="0" borderId="0" xfId="1" applyFont="1" applyBorder="1"/>
    <xf numFmtId="42" fontId="16" fillId="0" borderId="0" xfId="0" quotePrefix="1" applyNumberFormat="1" applyFont="1" applyFill="1" applyBorder="1" applyAlignment="1">
      <alignment horizontal="right" vertical="top"/>
    </xf>
    <xf numFmtId="42" fontId="16" fillId="0" borderId="18" xfId="0" applyNumberFormat="1" applyFont="1" applyFill="1" applyBorder="1" applyAlignment="1">
      <alignment horizontal="right" vertical="top"/>
    </xf>
    <xf numFmtId="42" fontId="16" fillId="0" borderId="4" xfId="0" applyNumberFormat="1" applyFont="1" applyFill="1" applyBorder="1" applyAlignment="1">
      <alignment horizontal="right" vertical="top"/>
    </xf>
    <xf numFmtId="5" fontId="22" fillId="0" borderId="0" xfId="0" applyNumberFormat="1" applyFont="1"/>
    <xf numFmtId="6" fontId="16" fillId="0" borderId="0" xfId="0" applyNumberFormat="1" applyFont="1" applyBorder="1" applyAlignment="1"/>
    <xf numFmtId="4" fontId="3" fillId="0" borderId="0" xfId="23" applyNumberFormat="1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164" fontId="16" fillId="0" borderId="0" xfId="1" quotePrefix="1" applyNumberFormat="1" applyFont="1" applyFill="1"/>
    <xf numFmtId="173" fontId="1" fillId="0" borderId="0" xfId="23" applyNumberFormat="1" applyFont="1"/>
    <xf numFmtId="44" fontId="16" fillId="0" borderId="0" xfId="6" applyFont="1" applyBorder="1" applyAlignment="1">
      <alignment horizontal="right"/>
    </xf>
    <xf numFmtId="44" fontId="16" fillId="0" borderId="0" xfId="6" applyFont="1" applyBorder="1"/>
    <xf numFmtId="37" fontId="16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8" fillId="0" borderId="5" xfId="0" applyNumberFormat="1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7" fontId="18" fillId="0" borderId="1" xfId="0" applyNumberFormat="1" applyFont="1" applyFill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0" xfId="23" applyNumberFormat="1" applyFont="1" applyAlignment="1">
      <alignment horizontal="center" wrapText="1"/>
    </xf>
  </cellXfs>
  <cellStyles count="26">
    <cellStyle name="Comma" xfId="1" builtinId="3"/>
    <cellStyle name="Comma 2" xfId="2"/>
    <cellStyle name="Comma 2 2" xfId="3"/>
    <cellStyle name="Comma 3" xfId="4"/>
    <cellStyle name="Comma 4" xfId="5"/>
    <cellStyle name="Currency" xfId="6" builtinId="4"/>
    <cellStyle name="Currency 2" xfId="7"/>
    <cellStyle name="Normal" xfId="0" builtinId="0"/>
    <cellStyle name="Normal 10" xfId="23"/>
    <cellStyle name="Normal 2" xfId="8"/>
    <cellStyle name="Normal 2 2" xfId="9"/>
    <cellStyle name="Normal 2_Aqua Revenue" xfId="10"/>
    <cellStyle name="Normal 3" xfId="11"/>
    <cellStyle name="Normal 4" xfId="12"/>
    <cellStyle name="Normal 5" xfId="13"/>
    <cellStyle name="Normal 6" xfId="14"/>
    <cellStyle name="Normal 7" xfId="15"/>
    <cellStyle name="Normal 8" xfId="19"/>
    <cellStyle name="Normal 9" xfId="22"/>
    <cellStyle name="Normal_revenue detail model v2.0" xfId="25"/>
    <cellStyle name="Note 2" xfId="21"/>
    <cellStyle name="Percent" xfId="18" builtinId="5"/>
    <cellStyle name="Percent 2" xfId="16"/>
    <cellStyle name="Percent 3" xfId="17"/>
    <cellStyle name="Percent 4" xfId="20"/>
    <cellStyle name="Percent 5" xfId="24"/>
  </cellStyles>
  <dxfs count="0"/>
  <tableStyles count="0" defaultTableStyle="TableStyleMedium9" defaultPivotStyle="PivotStyleLight16"/>
  <colors>
    <mruColors>
      <color rgb="FF00FF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Bill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a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Other%20Operating%20Revenu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%20Exhib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1">
          <cell r="C11" t="str">
            <v>Case No. 2018-00358</v>
          </cell>
        </row>
        <row r="15">
          <cell r="C15" t="str">
            <v>Base Year for the 12 Months Ended February 28, 2019</v>
          </cell>
        </row>
        <row r="17">
          <cell r="C17" t="str">
            <v>Forecast Year for the 12 Months Ended June 30, 2020</v>
          </cell>
        </row>
        <row r="39">
          <cell r="C39" t="str">
            <v>Witness Responsible:   Melissa Schwarzell</v>
          </cell>
        </row>
      </sheetData>
      <sheetData sheetId="1">
        <row r="21">
          <cell r="F21" t="str">
            <v>W/P - 1-10</v>
          </cell>
        </row>
      </sheetData>
      <sheetData sheetId="2">
        <row r="1">
          <cell r="A1" t="str">
            <v>Kentucky American Water Company</v>
          </cell>
        </row>
        <row r="116">
          <cell r="M116" t="str">
            <v>Schedule M-3</v>
          </cell>
        </row>
        <row r="119">
          <cell r="M119" t="str">
            <v>Schedule N-3</v>
          </cell>
        </row>
      </sheetData>
      <sheetData sheetId="3">
        <row r="6">
          <cell r="A6" t="str">
            <v>Line</v>
          </cell>
        </row>
      </sheetData>
      <sheetData sheetId="4">
        <row r="1">
          <cell r="D1" t="str">
            <v>Water Only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>
        <row r="212">
          <cell r="L212">
            <v>4870.1544084980269</v>
          </cell>
        </row>
      </sheetData>
      <sheetData sheetId="1">
        <row r="28">
          <cell r="C28">
            <v>1404177.0268470095</v>
          </cell>
        </row>
        <row r="48">
          <cell r="I48">
            <v>0</v>
          </cell>
          <cell r="M48">
            <v>0</v>
          </cell>
        </row>
        <row r="83">
          <cell r="I83">
            <v>0</v>
          </cell>
          <cell r="M83">
            <v>0</v>
          </cell>
        </row>
        <row r="147">
          <cell r="E147">
            <v>4.3466219734038738</v>
          </cell>
        </row>
        <row r="233">
          <cell r="K233">
            <v>39.9</v>
          </cell>
        </row>
        <row r="264">
          <cell r="E264">
            <v>4.2975187974351181</v>
          </cell>
        </row>
        <row r="285">
          <cell r="C285">
            <v>7206.3193069306926</v>
          </cell>
          <cell r="I285">
            <v>7356</v>
          </cell>
        </row>
        <row r="286">
          <cell r="C286">
            <v>0</v>
          </cell>
          <cell r="I286">
            <v>0</v>
          </cell>
        </row>
        <row r="287">
          <cell r="C287">
            <v>0</v>
          </cell>
          <cell r="I287">
            <v>0</v>
          </cell>
        </row>
        <row r="288">
          <cell r="C288">
            <v>0</v>
          </cell>
          <cell r="I288">
            <v>0</v>
          </cell>
        </row>
        <row r="289">
          <cell r="C289">
            <v>0</v>
          </cell>
          <cell r="I289">
            <v>0</v>
          </cell>
        </row>
        <row r="290">
          <cell r="C290">
            <v>0</v>
          </cell>
          <cell r="I290">
            <v>0</v>
          </cell>
        </row>
        <row r="291">
          <cell r="C291">
            <v>0</v>
          </cell>
          <cell r="I291">
            <v>0</v>
          </cell>
        </row>
        <row r="292">
          <cell r="C292">
            <v>0</v>
          </cell>
          <cell r="I292">
            <v>0</v>
          </cell>
        </row>
        <row r="293">
          <cell r="C293">
            <v>0</v>
          </cell>
          <cell r="I293">
            <v>0</v>
          </cell>
        </row>
        <row r="295">
          <cell r="C295">
            <v>7206.3193069306926</v>
          </cell>
          <cell r="I295">
            <v>7356</v>
          </cell>
        </row>
        <row r="299">
          <cell r="C299">
            <v>10751.6</v>
          </cell>
          <cell r="E299">
            <v>0</v>
          </cell>
          <cell r="I299">
            <v>10751.599999999999</v>
          </cell>
          <cell r="K299">
            <v>0</v>
          </cell>
        </row>
        <row r="300">
          <cell r="C300">
            <v>8772.7198612315715</v>
          </cell>
          <cell r="E300">
            <v>11.53</v>
          </cell>
          <cell r="I300">
            <v>8772.7198612315715</v>
          </cell>
          <cell r="K300">
            <v>11.53</v>
          </cell>
        </row>
        <row r="301">
          <cell r="C301">
            <v>0</v>
          </cell>
          <cell r="I301">
            <v>0</v>
          </cell>
        </row>
        <row r="302">
          <cell r="C302">
            <v>0</v>
          </cell>
          <cell r="I302">
            <v>0</v>
          </cell>
        </row>
        <row r="303">
          <cell r="C303">
            <v>0</v>
          </cell>
          <cell r="I303">
            <v>0</v>
          </cell>
        </row>
        <row r="305">
          <cell r="C305">
            <v>99.940069384207163</v>
          </cell>
          <cell r="G305">
            <v>-1048.9599999999987</v>
          </cell>
          <cell r="I305">
            <v>0</v>
          </cell>
        </row>
        <row r="306">
          <cell r="C306">
            <v>19624.259930615779</v>
          </cell>
          <cell r="I306">
            <v>19524.319861231568</v>
          </cell>
        </row>
        <row r="320">
          <cell r="C320">
            <v>230.82036775106081</v>
          </cell>
          <cell r="I320">
            <v>264</v>
          </cell>
        </row>
        <row r="321">
          <cell r="C321">
            <v>0</v>
          </cell>
          <cell r="I321">
            <v>0</v>
          </cell>
        </row>
        <row r="322">
          <cell r="C322">
            <v>0</v>
          </cell>
          <cell r="I322">
            <v>0</v>
          </cell>
        </row>
        <row r="323">
          <cell r="C323">
            <v>0</v>
          </cell>
          <cell r="I323">
            <v>0</v>
          </cell>
        </row>
        <row r="324">
          <cell r="C324">
            <v>4.4333501711848236</v>
          </cell>
          <cell r="E324">
            <v>178.17</v>
          </cell>
          <cell r="I324">
            <v>0</v>
          </cell>
        </row>
        <row r="325">
          <cell r="C325">
            <v>0</v>
          </cell>
          <cell r="I325">
            <v>0</v>
          </cell>
        </row>
        <row r="326">
          <cell r="C326">
            <v>0</v>
          </cell>
          <cell r="I326">
            <v>0</v>
          </cell>
        </row>
        <row r="327">
          <cell r="C327">
            <v>0</v>
          </cell>
          <cell r="I327">
            <v>0</v>
          </cell>
        </row>
        <row r="328">
          <cell r="C328">
            <v>0</v>
          </cell>
          <cell r="I328">
            <v>0</v>
          </cell>
        </row>
        <row r="330">
          <cell r="C330">
            <v>235.25371792224564</v>
          </cell>
          <cell r="I330">
            <v>264</v>
          </cell>
        </row>
        <row r="334">
          <cell r="C334">
            <v>444.40000000000015</v>
          </cell>
          <cell r="E334">
            <v>0</v>
          </cell>
          <cell r="I334">
            <v>444.4000000000002</v>
          </cell>
          <cell r="K334">
            <v>0</v>
          </cell>
        </row>
        <row r="335">
          <cell r="C335">
            <v>243.98612315698173</v>
          </cell>
          <cell r="E335">
            <v>11.53</v>
          </cell>
          <cell r="I335">
            <v>243.98612315698173</v>
          </cell>
          <cell r="K335">
            <v>11.53</v>
          </cell>
        </row>
        <row r="336">
          <cell r="C336">
            <v>0</v>
          </cell>
          <cell r="I336">
            <v>0</v>
          </cell>
        </row>
        <row r="337">
          <cell r="C337">
            <v>0</v>
          </cell>
          <cell r="I337">
            <v>0</v>
          </cell>
        </row>
        <row r="338">
          <cell r="C338">
            <v>0</v>
          </cell>
          <cell r="I338">
            <v>0</v>
          </cell>
        </row>
        <row r="340">
          <cell r="C340">
            <v>-15.393061578490915</v>
          </cell>
          <cell r="G340">
            <v>0</v>
          </cell>
          <cell r="I340">
            <v>0</v>
          </cell>
        </row>
        <row r="341">
          <cell r="C341">
            <v>672.99306157849094</v>
          </cell>
          <cell r="I341">
            <v>688.38612315698197</v>
          </cell>
        </row>
      </sheetData>
      <sheetData sheetId="2">
        <row r="29">
          <cell r="M29">
            <v>17730367</v>
          </cell>
        </row>
        <row r="300">
          <cell r="K300">
            <v>0</v>
          </cell>
        </row>
        <row r="301">
          <cell r="K301">
            <v>11.53</v>
          </cell>
        </row>
        <row r="512">
          <cell r="M512">
            <v>0</v>
          </cell>
        </row>
        <row r="577">
          <cell r="M577">
            <v>0</v>
          </cell>
        </row>
        <row r="578">
          <cell r="M578">
            <v>0</v>
          </cell>
        </row>
        <row r="579">
          <cell r="M57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Exhibit 3"/>
    </sheetNames>
    <sheetDataSet>
      <sheetData sheetId="0">
        <row r="14">
          <cell r="K14">
            <v>15</v>
          </cell>
          <cell r="L14">
            <v>15</v>
          </cell>
          <cell r="M14">
            <v>15</v>
          </cell>
          <cell r="N14">
            <v>15</v>
          </cell>
          <cell r="O14">
            <v>15</v>
          </cell>
        </row>
        <row r="15">
          <cell r="K15">
            <v>22.4</v>
          </cell>
          <cell r="L15">
            <v>22.4</v>
          </cell>
          <cell r="M15">
            <v>22.4</v>
          </cell>
          <cell r="N15">
            <v>22.4</v>
          </cell>
          <cell r="O15">
            <v>22.4</v>
          </cell>
        </row>
        <row r="16">
          <cell r="K16">
            <v>37.299999999999997</v>
          </cell>
          <cell r="L16">
            <v>37.299999999999997</v>
          </cell>
          <cell r="M16">
            <v>37.299999999999997</v>
          </cell>
          <cell r="N16">
            <v>37.299999999999997</v>
          </cell>
          <cell r="O16">
            <v>37.299999999999997</v>
          </cell>
        </row>
        <row r="17">
          <cell r="K17">
            <v>74.7</v>
          </cell>
          <cell r="L17">
            <v>74.7</v>
          </cell>
          <cell r="M17">
            <v>74.7</v>
          </cell>
          <cell r="N17">
            <v>74.7</v>
          </cell>
          <cell r="O17">
            <v>74.7</v>
          </cell>
        </row>
        <row r="18">
          <cell r="K18">
            <v>119.5</v>
          </cell>
          <cell r="L18">
            <v>119.5</v>
          </cell>
          <cell r="M18">
            <v>119.5</v>
          </cell>
          <cell r="N18">
            <v>119.5</v>
          </cell>
          <cell r="O18">
            <v>119.5</v>
          </cell>
        </row>
        <row r="19">
          <cell r="K19">
            <v>224</v>
          </cell>
          <cell r="L19">
            <v>224</v>
          </cell>
          <cell r="M19">
            <v>224</v>
          </cell>
          <cell r="N19">
            <v>224</v>
          </cell>
          <cell r="O19">
            <v>224</v>
          </cell>
        </row>
        <row r="20">
          <cell r="K20">
            <v>373.4</v>
          </cell>
          <cell r="L20">
            <v>373.4</v>
          </cell>
          <cell r="M20">
            <v>373.4</v>
          </cell>
          <cell r="N20">
            <v>373.4</v>
          </cell>
          <cell r="O20">
            <v>373.4</v>
          </cell>
        </row>
        <row r="21">
          <cell r="K21">
            <v>746.7</v>
          </cell>
          <cell r="L21">
            <v>746.7</v>
          </cell>
          <cell r="M21">
            <v>746.7</v>
          </cell>
          <cell r="N21">
            <v>746.7</v>
          </cell>
          <cell r="O21">
            <v>746.7</v>
          </cell>
        </row>
        <row r="22">
          <cell r="K22">
            <v>1194.7</v>
          </cell>
          <cell r="L22">
            <v>1194.7</v>
          </cell>
          <cell r="M22">
            <v>1194.7</v>
          </cell>
          <cell r="N22">
            <v>1194.7</v>
          </cell>
          <cell r="O22">
            <v>1194.7</v>
          </cell>
        </row>
        <row r="28">
          <cell r="K28">
            <v>6.3639999999999999</v>
          </cell>
          <cell r="L28">
            <v>5.7119999999999997</v>
          </cell>
          <cell r="M28">
            <v>4.75</v>
          </cell>
          <cell r="N28">
            <v>5.1909999999999998</v>
          </cell>
          <cell r="O28">
            <v>4.76</v>
          </cell>
        </row>
        <row r="38">
          <cell r="L38">
            <v>9.16</v>
          </cell>
        </row>
        <row r="39">
          <cell r="L39">
            <v>36.92</v>
          </cell>
        </row>
        <row r="40">
          <cell r="L40">
            <v>83.04</v>
          </cell>
        </row>
        <row r="41">
          <cell r="L41">
            <v>147.62</v>
          </cell>
        </row>
        <row r="42">
          <cell r="L42">
            <v>230.72</v>
          </cell>
        </row>
        <row r="43">
          <cell r="L43">
            <v>332.71</v>
          </cell>
        </row>
        <row r="44">
          <cell r="L44">
            <v>479.07</v>
          </cell>
        </row>
        <row r="45">
          <cell r="L45">
            <v>590.78</v>
          </cell>
        </row>
        <row r="46">
          <cell r="L46">
            <v>80.12</v>
          </cell>
        </row>
        <row r="48">
          <cell r="L48">
            <v>49.16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workpaper"/>
      <sheetName val="Proposed Rates"/>
      <sheetName val="Other Operating Revenues"/>
      <sheetName val="Pivot Table"/>
      <sheetName val="Map"/>
      <sheetName val="Data"/>
    </sheetNames>
    <sheetDataSet>
      <sheetData sheetId="0" refreshError="1"/>
      <sheetData sheetId="1">
        <row r="11">
          <cell r="C11">
            <v>0</v>
          </cell>
        </row>
      </sheetData>
      <sheetData sheetId="2" refreshError="1"/>
      <sheetData sheetId="3" refreshError="1"/>
      <sheetData sheetId="4">
        <row r="33">
          <cell r="E33">
            <v>0</v>
          </cell>
          <cell r="F33">
            <v>0</v>
          </cell>
          <cell r="G33">
            <v>2.96</v>
          </cell>
          <cell r="H33">
            <v>387.63</v>
          </cell>
          <cell r="I33">
            <v>384.42999999999995</v>
          </cell>
          <cell r="J33">
            <v>224.14000000000004</v>
          </cell>
          <cell r="K33">
            <v>244.91643533333328</v>
          </cell>
          <cell r="L33">
            <v>244.91643533333328</v>
          </cell>
          <cell r="M33">
            <v>244.91643533333328</v>
          </cell>
          <cell r="N33">
            <v>244.91643533333328</v>
          </cell>
          <cell r="O33">
            <v>244.91643533333328</v>
          </cell>
          <cell r="P33">
            <v>244.91643533333328</v>
          </cell>
          <cell r="U33">
            <v>244.91643533333328</v>
          </cell>
          <cell r="V33">
            <v>244.91643533333328</v>
          </cell>
          <cell r="W33">
            <v>244.91643533333328</v>
          </cell>
          <cell r="X33">
            <v>244.91643533333328</v>
          </cell>
          <cell r="Y33">
            <v>244.91643533333328</v>
          </cell>
          <cell r="Z33">
            <v>244.91643533333328</v>
          </cell>
          <cell r="AA33">
            <v>244.91643533333328</v>
          </cell>
          <cell r="AB33">
            <v>244.91643533333328</v>
          </cell>
          <cell r="AC33">
            <v>244.91643533333328</v>
          </cell>
          <cell r="AD33">
            <v>244.91643533333328</v>
          </cell>
          <cell r="AE33">
            <v>244.91643533333328</v>
          </cell>
          <cell r="AF33">
            <v>244.91643533333328</v>
          </cell>
        </row>
        <row r="38">
          <cell r="E38">
            <v>28</v>
          </cell>
          <cell r="F38">
            <v>140</v>
          </cell>
          <cell r="G38">
            <v>196</v>
          </cell>
          <cell r="H38">
            <v>196</v>
          </cell>
          <cell r="I38">
            <v>140</v>
          </cell>
          <cell r="J38">
            <v>168</v>
          </cell>
          <cell r="K38">
            <v>144.66666666666666</v>
          </cell>
          <cell r="L38">
            <v>144.66666666666666</v>
          </cell>
          <cell r="M38">
            <v>144.66666666666666</v>
          </cell>
          <cell r="N38">
            <v>144.66666666666666</v>
          </cell>
          <cell r="O38">
            <v>144.66666666666666</v>
          </cell>
          <cell r="P38">
            <v>144.66666666666666</v>
          </cell>
          <cell r="U38">
            <v>144.66666666666666</v>
          </cell>
          <cell r="V38">
            <v>144.66666666666666</v>
          </cell>
          <cell r="W38">
            <v>144.66666666666666</v>
          </cell>
          <cell r="X38">
            <v>144.66666666666666</v>
          </cell>
          <cell r="Y38">
            <v>144.66666666666666</v>
          </cell>
          <cell r="Z38">
            <v>144.66666666666666</v>
          </cell>
          <cell r="AA38">
            <v>144.66666666666666</v>
          </cell>
          <cell r="AB38">
            <v>144.66666666666666</v>
          </cell>
          <cell r="AC38">
            <v>144.66666666666666</v>
          </cell>
          <cell r="AD38">
            <v>144.66666666666666</v>
          </cell>
          <cell r="AE38">
            <v>144.66666666666666</v>
          </cell>
          <cell r="AF38">
            <v>144.66666666666666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224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Operating Revenues"/>
      <sheetName val="Other Revenues"/>
      <sheetName val="Proposed Rates"/>
      <sheetName val="Prop Rates Other Revenues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8"/>
  <sheetViews>
    <sheetView zoomScale="80" zoomScaleNormal="80" workbookViewId="0"/>
  </sheetViews>
  <sheetFormatPr defaultRowHeight="13.2" x14ac:dyDescent="0.25"/>
  <cols>
    <col min="1" max="1" width="23.88671875" customWidth="1"/>
    <col min="2" max="2" width="14.109375" customWidth="1"/>
    <col min="3" max="4" width="15.44140625" customWidth="1"/>
    <col min="5" max="6" width="14.88671875" customWidth="1"/>
    <col min="7" max="7" width="20.109375" style="1" customWidth="1"/>
    <col min="8" max="8" width="15" style="1" customWidth="1"/>
    <col min="9" max="9" width="14.109375" style="1" customWidth="1"/>
    <col min="10" max="10" width="19.88671875" style="1" customWidth="1"/>
    <col min="11" max="12" width="12.5546875" style="1" customWidth="1"/>
    <col min="13" max="13" width="13" style="1" customWidth="1"/>
    <col min="14" max="16" width="12.5546875" style="1" customWidth="1"/>
    <col min="17" max="17" width="19.44140625" style="1" customWidth="1"/>
    <col min="18" max="18" width="12.5546875" style="1" customWidth="1"/>
    <col min="19" max="61" width="12.5546875" customWidth="1"/>
  </cols>
  <sheetData>
    <row r="1" spans="1:25" ht="14.4" x14ac:dyDescent="0.3">
      <c r="A1" s="248" t="str">
        <f>'Link in'!A90</f>
        <v>Kentucky American Water Company</v>
      </c>
      <c r="B1" s="104"/>
      <c r="C1" s="82"/>
      <c r="D1" s="82"/>
      <c r="E1" s="150"/>
      <c r="F1" s="150"/>
      <c r="G1" s="159"/>
      <c r="H1" s="159"/>
      <c r="I1" s="159"/>
      <c r="J1" s="159"/>
      <c r="K1" s="159"/>
      <c r="L1" s="159"/>
      <c r="M1" s="159"/>
      <c r="N1" s="159"/>
      <c r="O1" s="159"/>
    </row>
    <row r="2" spans="1:25" ht="14.4" x14ac:dyDescent="0.3">
      <c r="A2" s="248" t="s">
        <v>81</v>
      </c>
      <c r="B2" s="104"/>
      <c r="C2" s="82"/>
      <c r="D2" s="82"/>
      <c r="E2" s="150"/>
      <c r="F2" s="150"/>
      <c r="G2" s="159"/>
      <c r="H2" s="159"/>
      <c r="I2" s="159"/>
      <c r="J2" s="159"/>
      <c r="K2" s="159"/>
      <c r="L2" s="159"/>
      <c r="M2" s="159"/>
      <c r="N2" s="159"/>
      <c r="O2" s="159"/>
    </row>
    <row r="3" spans="1:25" ht="14.4" x14ac:dyDescent="0.3">
      <c r="A3" s="248" t="s">
        <v>193</v>
      </c>
      <c r="B3" s="104"/>
      <c r="C3" s="82"/>
      <c r="D3" s="82"/>
      <c r="E3" s="150"/>
      <c r="F3" s="150"/>
      <c r="G3" s="159"/>
      <c r="H3" s="159"/>
      <c r="I3" s="159"/>
      <c r="J3" s="159"/>
      <c r="K3" s="159"/>
      <c r="L3" s="159"/>
      <c r="M3" s="159"/>
      <c r="N3" s="159"/>
      <c r="O3" s="159"/>
    </row>
    <row r="4" spans="1:25" ht="14.4" x14ac:dyDescent="0.3">
      <c r="A4" s="150"/>
      <c r="B4" s="82"/>
      <c r="C4" s="82"/>
      <c r="D4" s="82"/>
      <c r="E4" s="150"/>
      <c r="F4" s="150"/>
      <c r="G4" s="159"/>
      <c r="H4" s="159"/>
      <c r="I4" s="159"/>
      <c r="J4" s="159"/>
      <c r="K4" s="159"/>
      <c r="L4" s="159"/>
      <c r="M4" s="159"/>
      <c r="N4" s="159"/>
      <c r="O4" s="159"/>
      <c r="P4" s="12"/>
    </row>
    <row r="5" spans="1:25" ht="14.4" x14ac:dyDescent="0.3">
      <c r="A5" s="150"/>
      <c r="B5" s="82"/>
      <c r="C5" s="82"/>
      <c r="D5" s="82"/>
      <c r="E5" s="82"/>
      <c r="F5" s="82"/>
      <c r="G5" s="159"/>
      <c r="H5" s="249"/>
      <c r="I5" s="250"/>
      <c r="J5" s="159"/>
      <c r="K5" s="159"/>
      <c r="L5" s="159"/>
      <c r="M5" s="159"/>
      <c r="N5" s="159"/>
      <c r="O5" s="159"/>
    </row>
    <row r="6" spans="1:25" ht="14.4" x14ac:dyDescent="0.3">
      <c r="A6" s="150"/>
      <c r="B6" s="82"/>
      <c r="C6" s="82"/>
      <c r="D6" s="82"/>
      <c r="E6" s="251"/>
      <c r="F6" s="150"/>
      <c r="G6" s="159"/>
      <c r="H6" s="159"/>
      <c r="I6" s="159"/>
      <c r="J6" s="316"/>
      <c r="K6" s="316"/>
      <c r="L6" s="316"/>
      <c r="M6" s="316"/>
      <c r="N6" s="316"/>
      <c r="O6" s="316"/>
      <c r="P6" s="11"/>
      <c r="Q6" s="11"/>
      <c r="R6" s="11"/>
      <c r="S6" s="8"/>
      <c r="T6" s="8"/>
    </row>
    <row r="7" spans="1:25" ht="14.4" x14ac:dyDescent="0.3">
      <c r="A7" s="150"/>
      <c r="B7" s="82"/>
      <c r="C7" s="82"/>
      <c r="D7" s="82"/>
      <c r="E7" s="150"/>
      <c r="F7" s="150"/>
      <c r="G7" s="159"/>
      <c r="H7" s="159"/>
      <c r="I7" s="159"/>
      <c r="J7" s="252"/>
      <c r="K7" s="252"/>
      <c r="L7" s="252"/>
      <c r="M7" s="252"/>
      <c r="N7" s="252"/>
      <c r="O7" s="252"/>
      <c r="P7" s="11"/>
      <c r="Q7" s="11"/>
      <c r="R7" s="11"/>
      <c r="S7" s="8"/>
      <c r="T7" s="8"/>
    </row>
    <row r="8" spans="1:25" ht="15" thickBot="1" x14ac:dyDescent="0.35">
      <c r="A8" s="150"/>
      <c r="B8" s="318" t="s">
        <v>83</v>
      </c>
      <c r="C8" s="318"/>
      <c r="D8" s="318"/>
      <c r="E8" s="253"/>
      <c r="F8" s="318" t="s">
        <v>84</v>
      </c>
      <c r="G8" s="318"/>
      <c r="H8" s="318"/>
      <c r="I8" s="253"/>
      <c r="J8" s="70"/>
      <c r="K8" s="252"/>
      <c r="L8" s="314"/>
      <c r="M8" s="314"/>
      <c r="N8" s="252"/>
      <c r="O8" s="254"/>
      <c r="P8" s="14"/>
      <c r="Q8" s="11"/>
      <c r="R8" s="315"/>
      <c r="S8" s="315"/>
      <c r="T8" s="5"/>
      <c r="U8" s="14"/>
      <c r="V8" s="11"/>
      <c r="W8" s="5"/>
      <c r="X8" s="14"/>
      <c r="Y8" s="8"/>
    </row>
    <row r="9" spans="1:25" ht="14.4" x14ac:dyDescent="0.3">
      <c r="A9" s="150"/>
      <c r="B9" s="250" t="s">
        <v>134</v>
      </c>
      <c r="C9" s="250" t="s">
        <v>122</v>
      </c>
      <c r="D9" s="250" t="s">
        <v>122</v>
      </c>
      <c r="E9" s="93"/>
      <c r="F9" s="250" t="s">
        <v>97</v>
      </c>
      <c r="G9" s="250" t="s">
        <v>122</v>
      </c>
      <c r="H9" s="250" t="s">
        <v>122</v>
      </c>
      <c r="I9" s="93"/>
      <c r="J9" s="93"/>
      <c r="K9" s="216"/>
      <c r="L9" s="216"/>
      <c r="M9" s="216"/>
      <c r="N9" s="216"/>
      <c r="O9" s="216"/>
      <c r="P9" s="8"/>
      <c r="Q9" s="11"/>
      <c r="R9" s="11"/>
      <c r="S9" s="11"/>
      <c r="T9" s="8"/>
      <c r="U9" s="11"/>
      <c r="V9" s="1"/>
      <c r="W9" s="8"/>
      <c r="X9" s="8"/>
      <c r="Y9" s="8"/>
    </row>
    <row r="10" spans="1:25" ht="15" thickBot="1" x14ac:dyDescent="0.35">
      <c r="A10" s="255" t="s">
        <v>80</v>
      </c>
      <c r="B10" s="256" t="s">
        <v>114</v>
      </c>
      <c r="C10" s="256" t="s">
        <v>114</v>
      </c>
      <c r="D10" s="256" t="s">
        <v>115</v>
      </c>
      <c r="E10" s="95"/>
      <c r="F10" s="256" t="s">
        <v>114</v>
      </c>
      <c r="G10" s="256" t="s">
        <v>114</v>
      </c>
      <c r="H10" s="256" t="s">
        <v>115</v>
      </c>
      <c r="I10" s="93"/>
      <c r="J10" s="93"/>
      <c r="K10" s="93"/>
      <c r="L10" s="93"/>
      <c r="M10" s="93"/>
      <c r="N10" s="252"/>
      <c r="O10" s="93"/>
      <c r="P10" s="3"/>
      <c r="Q10" s="8"/>
      <c r="R10" s="3"/>
      <c r="S10" s="3"/>
      <c r="T10" s="8"/>
      <c r="U10" s="8"/>
      <c r="W10" s="8"/>
      <c r="X10" s="8"/>
      <c r="Y10" s="8"/>
    </row>
    <row r="11" spans="1:25" ht="14.4" x14ac:dyDescent="0.3">
      <c r="A11" s="150" t="s">
        <v>178</v>
      </c>
      <c r="B11" s="236">
        <f>'Sch M'!$G$38</f>
        <v>318619.658612</v>
      </c>
      <c r="C11" s="236">
        <f>'Sch M'!$Q$38</f>
        <v>324130.99722399999</v>
      </c>
      <c r="D11" s="236">
        <f>'Sch M'!$V$38</f>
        <v>247159.99722399999</v>
      </c>
      <c r="E11" s="184"/>
      <c r="F11" s="236">
        <f>'Sch M'!$G$22</f>
        <v>314191</v>
      </c>
      <c r="G11" s="236">
        <f>'Sch M'!$Q$22</f>
        <v>319456</v>
      </c>
      <c r="H11" s="236">
        <f>'Sch M'!$V$22</f>
        <v>242485</v>
      </c>
      <c r="I11" s="70"/>
      <c r="J11" s="70"/>
      <c r="K11" s="93"/>
      <c r="L11" s="93"/>
      <c r="M11" s="93"/>
      <c r="N11" s="252"/>
      <c r="O11" s="93"/>
      <c r="P11" s="3"/>
      <c r="Q11" s="8"/>
      <c r="R11" s="3"/>
      <c r="S11" s="3"/>
      <c r="T11" s="8"/>
      <c r="U11" s="8"/>
    </row>
    <row r="12" spans="1:25" ht="14.4" x14ac:dyDescent="0.3">
      <c r="A12" s="150"/>
      <c r="B12" s="237"/>
      <c r="C12" s="237"/>
      <c r="D12" s="237"/>
      <c r="E12" s="150"/>
      <c r="F12" s="237"/>
      <c r="G12" s="237"/>
      <c r="H12" s="237"/>
      <c r="I12" s="70"/>
      <c r="J12" s="70"/>
      <c r="K12" s="143"/>
      <c r="L12" s="247"/>
      <c r="M12" s="247"/>
      <c r="N12" s="247"/>
      <c r="O12" s="247"/>
      <c r="P12" s="15"/>
      <c r="Q12" s="15"/>
      <c r="R12" s="15"/>
      <c r="S12" s="15"/>
      <c r="T12" s="8"/>
    </row>
    <row r="13" spans="1:25" ht="14.4" x14ac:dyDescent="0.3">
      <c r="A13" s="150"/>
      <c r="B13" s="237"/>
      <c r="C13" s="237"/>
      <c r="D13" s="237"/>
      <c r="E13" s="150"/>
      <c r="F13" s="237"/>
      <c r="G13" s="237"/>
      <c r="H13" s="237"/>
      <c r="I13" s="70"/>
      <c r="J13" s="70"/>
      <c r="K13" s="143"/>
      <c r="L13" s="247"/>
      <c r="M13" s="247"/>
      <c r="N13" s="247"/>
      <c r="O13" s="247"/>
      <c r="P13" s="15"/>
      <c r="Q13" s="15"/>
      <c r="R13" s="15"/>
      <c r="S13" s="15"/>
      <c r="T13" s="8"/>
    </row>
    <row r="14" spans="1:25" ht="14.4" x14ac:dyDescent="0.3">
      <c r="A14" s="150"/>
      <c r="B14" s="237"/>
      <c r="C14" s="237"/>
      <c r="D14" s="237"/>
      <c r="E14" s="150"/>
      <c r="F14" s="237"/>
      <c r="G14" s="237"/>
      <c r="H14" s="237"/>
      <c r="I14" s="70"/>
      <c r="J14" s="70"/>
      <c r="K14" s="143"/>
      <c r="L14" s="247"/>
      <c r="M14" s="247"/>
      <c r="N14" s="247"/>
      <c r="O14" s="247"/>
      <c r="P14" s="15"/>
      <c r="Q14" s="15"/>
      <c r="R14" s="15"/>
      <c r="S14" s="15"/>
      <c r="T14" s="8"/>
    </row>
    <row r="15" spans="1:25" ht="14.4" x14ac:dyDescent="0.3">
      <c r="A15" s="150"/>
      <c r="B15" s="237"/>
      <c r="C15" s="237"/>
      <c r="D15" s="237"/>
      <c r="E15" s="150"/>
      <c r="F15" s="237"/>
      <c r="G15" s="237"/>
      <c r="H15" s="237"/>
      <c r="I15" s="70"/>
      <c r="J15" s="70"/>
      <c r="K15" s="143"/>
      <c r="L15" s="247"/>
      <c r="M15" s="247"/>
      <c r="N15" s="247"/>
      <c r="O15" s="247"/>
      <c r="P15" s="15"/>
      <c r="Q15" s="15"/>
      <c r="R15" s="15"/>
      <c r="S15" s="15"/>
      <c r="T15" s="8"/>
    </row>
    <row r="16" spans="1:25" ht="14.4" x14ac:dyDescent="0.3">
      <c r="A16" s="150"/>
      <c r="B16" s="82"/>
      <c r="C16" s="82"/>
      <c r="D16" s="150"/>
      <c r="E16" s="150"/>
      <c r="F16" s="150"/>
      <c r="G16" s="150"/>
      <c r="H16" s="150"/>
      <c r="I16" s="70"/>
      <c r="J16" s="70"/>
      <c r="K16" s="143"/>
      <c r="L16" s="247"/>
      <c r="M16" s="247"/>
      <c r="N16" s="247"/>
      <c r="O16" s="247"/>
      <c r="P16" s="15"/>
      <c r="Q16" s="15"/>
      <c r="R16" s="15"/>
      <c r="S16" s="15"/>
      <c r="T16" s="8"/>
    </row>
    <row r="17" spans="1:22" ht="14.4" x14ac:dyDescent="0.3">
      <c r="A17" s="150"/>
      <c r="B17" s="82"/>
      <c r="C17" s="82"/>
      <c r="D17" s="150"/>
      <c r="E17" s="150"/>
      <c r="F17" s="150"/>
      <c r="G17" s="150"/>
      <c r="H17" s="150"/>
      <c r="I17" s="70"/>
      <c r="J17" s="70"/>
      <c r="K17" s="143"/>
      <c r="L17" s="247"/>
      <c r="M17" s="247"/>
      <c r="N17" s="247"/>
      <c r="O17" s="247"/>
      <c r="P17" s="15"/>
      <c r="Q17" s="15"/>
      <c r="R17" s="15"/>
      <c r="S17" s="15"/>
      <c r="T17" s="8"/>
    </row>
    <row r="18" spans="1:22" ht="14.4" x14ac:dyDescent="0.3">
      <c r="A18" s="150"/>
      <c r="B18" s="82"/>
      <c r="C18" s="82"/>
      <c r="D18" s="150"/>
      <c r="E18" s="150"/>
      <c r="F18" s="82"/>
      <c r="G18" s="159"/>
      <c r="H18" s="216"/>
      <c r="I18" s="70"/>
      <c r="J18" s="70"/>
      <c r="K18" s="216"/>
      <c r="L18" s="216"/>
      <c r="M18" s="216"/>
      <c r="N18" s="252"/>
      <c r="O18" s="252"/>
      <c r="P18" s="11"/>
      <c r="Q18" s="11"/>
      <c r="R18" s="11"/>
      <c r="S18" s="11"/>
      <c r="T18" s="8"/>
    </row>
    <row r="19" spans="1:22" ht="14.4" x14ac:dyDescent="0.3">
      <c r="A19" s="150"/>
      <c r="B19" s="82"/>
      <c r="C19" s="82"/>
      <c r="D19" s="150"/>
      <c r="E19" s="150"/>
      <c r="F19" s="82"/>
      <c r="G19" s="159"/>
      <c r="H19" s="216"/>
      <c r="I19" s="70"/>
      <c r="J19" s="70"/>
      <c r="K19" s="143"/>
      <c r="L19" s="247"/>
      <c r="M19" s="143"/>
      <c r="N19" s="252"/>
      <c r="O19" s="247"/>
      <c r="P19" s="16"/>
      <c r="Q19" s="2"/>
      <c r="R19" s="15"/>
      <c r="S19" s="16"/>
      <c r="T19" s="8"/>
    </row>
    <row r="20" spans="1:22" ht="15" thickBot="1" x14ac:dyDescent="0.35">
      <c r="A20" s="257" t="s">
        <v>1</v>
      </c>
      <c r="B20" s="258">
        <f>SUM(B11:B19)</f>
        <v>318619.658612</v>
      </c>
      <c r="C20" s="258">
        <f t="shared" ref="C20:D20" si="0">SUM(C11:C19)</f>
        <v>324130.99722399999</v>
      </c>
      <c r="D20" s="258">
        <f t="shared" si="0"/>
        <v>247159.99722399999</v>
      </c>
      <c r="E20" s="150"/>
      <c r="F20" s="258">
        <f t="shared" ref="F20:H20" si="1">SUM(F11:F19)</f>
        <v>314191</v>
      </c>
      <c r="G20" s="258">
        <f t="shared" si="1"/>
        <v>319456</v>
      </c>
      <c r="H20" s="258">
        <f t="shared" si="1"/>
        <v>242485</v>
      </c>
      <c r="I20" s="70"/>
      <c r="J20" s="70"/>
      <c r="K20" s="70"/>
      <c r="L20" s="70"/>
      <c r="M20" s="70"/>
      <c r="N20" s="252"/>
      <c r="O20" s="70"/>
      <c r="P20" s="9"/>
      <c r="Q20" s="2"/>
      <c r="R20" s="9"/>
      <c r="S20" s="9"/>
      <c r="T20" s="8"/>
    </row>
    <row r="21" spans="1:22" ht="15" thickTop="1" x14ac:dyDescent="0.3">
      <c r="A21" s="150"/>
      <c r="B21" s="150"/>
      <c r="C21" s="150"/>
      <c r="D21" s="150"/>
      <c r="E21" s="150"/>
      <c r="F21" s="150"/>
      <c r="G21" s="159"/>
      <c r="H21" s="252"/>
      <c r="I21" s="252"/>
      <c r="J21" s="252"/>
      <c r="K21" s="252"/>
      <c r="L21" s="252"/>
      <c r="M21" s="252"/>
      <c r="N21" s="252"/>
      <c r="O21" s="252"/>
      <c r="P21" s="11"/>
      <c r="Q21" s="10"/>
      <c r="R21" s="11"/>
      <c r="S21" s="11"/>
      <c r="T21" s="8"/>
    </row>
    <row r="22" spans="1:22" ht="14.4" x14ac:dyDescent="0.3">
      <c r="A22" s="150"/>
      <c r="B22" s="200"/>
      <c r="C22" s="200"/>
      <c r="D22" s="200"/>
      <c r="E22" s="150"/>
      <c r="F22" s="82"/>
      <c r="G22" s="159"/>
      <c r="H22" s="252"/>
      <c r="I22" s="70"/>
      <c r="J22" s="70"/>
      <c r="K22" s="252"/>
      <c r="L22" s="93"/>
      <c r="M22" s="93"/>
      <c r="N22" s="252"/>
      <c r="O22" s="252"/>
      <c r="P22" s="11"/>
      <c r="Q22" s="8"/>
      <c r="R22" s="8"/>
      <c r="S22" s="8"/>
      <c r="T22" s="8"/>
    </row>
    <row r="23" spans="1:22" ht="14.4" x14ac:dyDescent="0.3">
      <c r="A23" s="150" t="s">
        <v>118</v>
      </c>
      <c r="B23" s="104">
        <f>B20-F20</f>
        <v>4428.6586119999993</v>
      </c>
      <c r="C23" s="104">
        <f>C20-G20</f>
        <v>4674.9972239999915</v>
      </c>
      <c r="D23" s="104">
        <f>D20-H20</f>
        <v>4674.9972239999915</v>
      </c>
      <c r="E23" s="150"/>
      <c r="F23" s="82"/>
      <c r="G23" s="159"/>
      <c r="H23" s="252"/>
      <c r="I23" s="70"/>
      <c r="J23" s="70"/>
      <c r="K23" s="252"/>
      <c r="L23" s="93"/>
      <c r="M23" s="93"/>
      <c r="N23" s="252"/>
      <c r="O23" s="252"/>
      <c r="P23" s="11"/>
      <c r="Q23" s="8"/>
      <c r="R23" s="8"/>
      <c r="S23" s="8"/>
      <c r="T23" s="8"/>
    </row>
    <row r="24" spans="1:22" ht="14.4" x14ac:dyDescent="0.3">
      <c r="A24" s="150"/>
      <c r="B24" s="82"/>
      <c r="C24" s="82"/>
      <c r="D24" s="82"/>
      <c r="E24" s="82"/>
      <c r="F24" s="150"/>
      <c r="G24" s="82"/>
      <c r="H24" s="82"/>
      <c r="I24" s="159"/>
      <c r="J24" s="252"/>
      <c r="K24" s="70"/>
      <c r="L24" s="70"/>
      <c r="M24" s="252"/>
      <c r="N24" s="93"/>
      <c r="O24" s="93"/>
      <c r="P24" s="11"/>
      <c r="Q24" s="11"/>
      <c r="R24" s="11"/>
      <c r="S24" s="8"/>
      <c r="T24" s="8"/>
      <c r="U24" s="8"/>
      <c r="V24" s="8"/>
    </row>
    <row r="25" spans="1:22" ht="14.4" x14ac:dyDescent="0.3">
      <c r="A25" s="150"/>
      <c r="B25" s="82"/>
      <c r="C25" s="82"/>
      <c r="D25" s="82"/>
      <c r="E25" s="150"/>
      <c r="F25" s="150"/>
      <c r="G25" s="82"/>
      <c r="H25" s="82"/>
      <c r="I25" s="159"/>
      <c r="J25" s="252"/>
      <c r="K25" s="252"/>
      <c r="L25" s="252"/>
      <c r="M25" s="252"/>
      <c r="N25" s="252"/>
      <c r="O25" s="252"/>
      <c r="P25" s="11"/>
      <c r="Q25" s="11"/>
      <c r="R25" s="11"/>
      <c r="S25" s="8"/>
      <c r="T25" s="8"/>
      <c r="U25" s="8"/>
      <c r="V25" s="8"/>
    </row>
    <row r="26" spans="1:22" ht="14.4" x14ac:dyDescent="0.3">
      <c r="A26" s="150"/>
      <c r="B26" s="82"/>
      <c r="C26" s="82"/>
      <c r="D26" s="82"/>
      <c r="E26" s="150"/>
      <c r="F26" s="150"/>
      <c r="G26" s="82"/>
      <c r="H26" s="82"/>
      <c r="I26" s="159"/>
      <c r="J26" s="252"/>
      <c r="K26" s="252"/>
      <c r="L26" s="252"/>
      <c r="M26" s="252"/>
      <c r="N26" s="252"/>
      <c r="O26" s="252"/>
      <c r="P26" s="11"/>
      <c r="Q26" s="11"/>
      <c r="R26" s="11"/>
      <c r="S26" s="8"/>
      <c r="T26" s="8"/>
      <c r="U26" s="8"/>
      <c r="V26" s="8"/>
    </row>
    <row r="27" spans="1:22" ht="14.4" x14ac:dyDescent="0.3">
      <c r="A27" s="150"/>
      <c r="B27" s="82"/>
      <c r="C27" s="82"/>
      <c r="D27" s="82"/>
      <c r="E27" s="150"/>
      <c r="F27" s="150"/>
      <c r="G27" s="82"/>
      <c r="H27" s="82"/>
      <c r="I27" s="159"/>
      <c r="J27" s="70"/>
      <c r="K27" s="252"/>
      <c r="L27" s="252"/>
      <c r="M27" s="252"/>
      <c r="N27" s="252"/>
      <c r="O27" s="252"/>
      <c r="P27" s="11"/>
      <c r="Q27" s="9"/>
      <c r="R27" s="11"/>
      <c r="S27" s="11"/>
      <c r="T27" s="11"/>
      <c r="U27" s="11"/>
      <c r="V27" s="11"/>
    </row>
    <row r="28" spans="1:22" ht="14.4" x14ac:dyDescent="0.3">
      <c r="A28" s="150"/>
      <c r="B28" s="82"/>
      <c r="C28" s="82"/>
      <c r="D28" s="82"/>
      <c r="E28" s="150"/>
      <c r="F28" s="150"/>
      <c r="G28" s="82"/>
      <c r="H28" s="82"/>
      <c r="I28" s="159"/>
      <c r="J28" s="252"/>
      <c r="K28" s="252"/>
      <c r="L28" s="252"/>
      <c r="M28" s="252"/>
      <c r="N28" s="252"/>
      <c r="O28" s="252"/>
      <c r="P28" s="11"/>
      <c r="Q28" s="11"/>
      <c r="R28" s="11"/>
      <c r="S28" s="11"/>
      <c r="T28" s="11"/>
      <c r="U28" s="11"/>
      <c r="V28" s="11"/>
    </row>
    <row r="29" spans="1:22" ht="14.4" x14ac:dyDescent="0.3">
      <c r="A29" s="82" t="str">
        <f>+'Sch M'!A6</f>
        <v/>
      </c>
      <c r="B29" s="317" t="s">
        <v>119</v>
      </c>
      <c r="C29" s="317"/>
      <c r="D29" s="159"/>
      <c r="E29" s="259" t="s">
        <v>122</v>
      </c>
      <c r="F29" s="260"/>
      <c r="G29" s="252"/>
      <c r="H29" s="259" t="s">
        <v>122</v>
      </c>
      <c r="I29" s="260"/>
      <c r="J29" s="216"/>
      <c r="K29" s="254"/>
      <c r="L29" s="261"/>
      <c r="M29" s="252"/>
      <c r="N29" s="252"/>
      <c r="O29" s="254"/>
      <c r="P29" s="14"/>
      <c r="Q29" s="8"/>
      <c r="R29" s="5"/>
      <c r="S29" s="14"/>
    </row>
    <row r="30" spans="1:22" ht="14.4" x14ac:dyDescent="0.3">
      <c r="A30" s="150"/>
      <c r="B30" s="150"/>
      <c r="C30" s="150"/>
      <c r="D30" s="159"/>
      <c r="E30" s="159"/>
      <c r="F30" s="159"/>
      <c r="G30" s="216"/>
      <c r="H30" s="159"/>
      <c r="I30" s="159"/>
      <c r="J30" s="216"/>
      <c r="K30" s="252"/>
      <c r="L30" s="252"/>
      <c r="M30" s="252"/>
      <c r="N30" s="216"/>
      <c r="O30" s="216"/>
      <c r="P30" s="8"/>
      <c r="Q30" s="8"/>
      <c r="R30" s="11"/>
      <c r="S30" s="11"/>
    </row>
    <row r="31" spans="1:22" ht="14.4" x14ac:dyDescent="0.3">
      <c r="A31" s="150"/>
      <c r="B31" s="93" t="s">
        <v>39</v>
      </c>
      <c r="C31" s="93" t="s">
        <v>116</v>
      </c>
      <c r="D31" s="159"/>
      <c r="E31" s="93" t="s">
        <v>39</v>
      </c>
      <c r="F31" s="93" t="s">
        <v>116</v>
      </c>
      <c r="G31" s="216"/>
      <c r="H31" s="93" t="s">
        <v>39</v>
      </c>
      <c r="I31" s="93" t="s">
        <v>116</v>
      </c>
      <c r="J31" s="216"/>
      <c r="K31" s="93"/>
      <c r="L31" s="93"/>
      <c r="M31" s="252"/>
      <c r="N31" s="216"/>
      <c r="O31" s="93"/>
      <c r="P31" s="3"/>
      <c r="Q31" s="8"/>
      <c r="R31" s="3"/>
      <c r="S31" s="3"/>
    </row>
    <row r="32" spans="1:22" ht="14.4" x14ac:dyDescent="0.3">
      <c r="A32" s="150"/>
      <c r="B32" s="96" t="s">
        <v>133</v>
      </c>
      <c r="C32" s="96" t="s">
        <v>47</v>
      </c>
      <c r="D32" s="159"/>
      <c r="E32" s="96" t="s">
        <v>133</v>
      </c>
      <c r="F32" s="96" t="s">
        <v>47</v>
      </c>
      <c r="G32" s="216"/>
      <c r="H32" s="96" t="s">
        <v>133</v>
      </c>
      <c r="I32" s="96" t="s">
        <v>47</v>
      </c>
      <c r="J32" s="216"/>
      <c r="K32" s="93"/>
      <c r="L32" s="93"/>
      <c r="M32" s="252"/>
      <c r="N32" s="216"/>
      <c r="O32" s="93"/>
      <c r="P32" s="3"/>
      <c r="Q32" s="8"/>
      <c r="R32" s="3"/>
      <c r="S32" s="3"/>
    </row>
    <row r="33" spans="1:22" ht="14.4" x14ac:dyDescent="0.3">
      <c r="A33" s="70" t="s">
        <v>3</v>
      </c>
      <c r="B33" s="262">
        <f>+'Sch M'!E13</f>
        <v>19624.259930615779</v>
      </c>
      <c r="C33" s="263">
        <f>+'Sch M'!G13</f>
        <v>303895</v>
      </c>
      <c r="D33" s="161"/>
      <c r="E33" s="262">
        <f>+'Sch M'!O13</f>
        <v>19524.319861231568</v>
      </c>
      <c r="F33" s="263">
        <f>+'Sch M'!Q13</f>
        <v>309177</v>
      </c>
      <c r="G33" s="83"/>
      <c r="H33" s="262">
        <f>+'Sch M'!T13</f>
        <v>19524.319861231568</v>
      </c>
      <c r="I33" s="263">
        <f>+'Sch M'!V13</f>
        <v>234593</v>
      </c>
      <c r="J33" s="264"/>
      <c r="K33" s="247"/>
      <c r="L33" s="143"/>
      <c r="M33" s="252"/>
      <c r="N33" s="70"/>
      <c r="O33" s="247"/>
      <c r="P33" s="16"/>
      <c r="Q33" s="17"/>
      <c r="R33" s="15"/>
      <c r="S33" s="16"/>
    </row>
    <row r="34" spans="1:22" ht="14.4" x14ac:dyDescent="0.3">
      <c r="A34" s="70" t="s">
        <v>50</v>
      </c>
      <c r="B34" s="262">
        <f>+'Sch M'!E14</f>
        <v>672.99306157849094</v>
      </c>
      <c r="C34" s="263">
        <f>+'Sch M'!G14</f>
        <v>10131</v>
      </c>
      <c r="D34" s="161"/>
      <c r="E34" s="262">
        <f>+'Sch M'!O14</f>
        <v>688.38612315698197</v>
      </c>
      <c r="F34" s="263">
        <f>+'Sch M'!Q14</f>
        <v>10279</v>
      </c>
      <c r="G34" s="83"/>
      <c r="H34" s="262">
        <f>+'Sch M'!T14</f>
        <v>688.38612315698197</v>
      </c>
      <c r="I34" s="263">
        <f>+'Sch M'!V14</f>
        <v>7892</v>
      </c>
      <c r="J34" s="264"/>
      <c r="K34" s="247"/>
      <c r="L34" s="143"/>
      <c r="M34" s="252"/>
      <c r="N34" s="70"/>
      <c r="O34" s="247"/>
      <c r="P34" s="16"/>
      <c r="Q34" s="17"/>
      <c r="R34" s="15"/>
      <c r="S34" s="16"/>
    </row>
    <row r="35" spans="1:22" ht="14.4" x14ac:dyDescent="0.3">
      <c r="A35" s="70" t="s">
        <v>5</v>
      </c>
      <c r="B35" s="262">
        <f>+'Sch M'!E15</f>
        <v>0</v>
      </c>
      <c r="C35" s="263">
        <f>+'Sch M'!G15</f>
        <v>0</v>
      </c>
      <c r="D35" s="161"/>
      <c r="E35" s="262">
        <f>+'Sch M'!O15</f>
        <v>0</v>
      </c>
      <c r="F35" s="263">
        <f>+'Sch M'!Q15</f>
        <v>0</v>
      </c>
      <c r="G35" s="83"/>
      <c r="H35" s="262">
        <f>+'Sch M'!T15</f>
        <v>0</v>
      </c>
      <c r="I35" s="263">
        <f>+'Sch M'!V15</f>
        <v>0</v>
      </c>
      <c r="J35" s="264"/>
      <c r="K35" s="247"/>
      <c r="L35" s="143"/>
      <c r="M35" s="252"/>
      <c r="N35" s="70"/>
      <c r="O35" s="247"/>
      <c r="P35" s="16"/>
      <c r="Q35" s="17"/>
      <c r="R35" s="15"/>
      <c r="S35" s="16"/>
    </row>
    <row r="36" spans="1:22" ht="14.4" x14ac:dyDescent="0.3">
      <c r="A36" s="70" t="s">
        <v>68</v>
      </c>
      <c r="B36" s="262">
        <f>+'Sch M'!E16</f>
        <v>0</v>
      </c>
      <c r="C36" s="263">
        <f>+'Sch M'!G16</f>
        <v>0</v>
      </c>
      <c r="D36" s="161"/>
      <c r="E36" s="262">
        <f>+'Sch M'!O16</f>
        <v>0</v>
      </c>
      <c r="F36" s="263">
        <f>+'Sch M'!Q16</f>
        <v>0</v>
      </c>
      <c r="G36" s="83"/>
      <c r="H36" s="262">
        <f>+'Sch M'!T16</f>
        <v>0</v>
      </c>
      <c r="I36" s="263">
        <f>+'Sch M'!V16</f>
        <v>0</v>
      </c>
      <c r="J36" s="264"/>
      <c r="K36" s="247"/>
      <c r="L36" s="143"/>
      <c r="M36" s="252"/>
      <c r="N36" s="70"/>
      <c r="O36" s="247"/>
      <c r="P36" s="16"/>
      <c r="Q36" s="17"/>
      <c r="R36" s="15"/>
      <c r="S36" s="16"/>
    </row>
    <row r="37" spans="1:22" ht="14.4" x14ac:dyDescent="0.3">
      <c r="A37" s="70" t="s">
        <v>69</v>
      </c>
      <c r="B37" s="262">
        <f>+'Sch M'!E17</f>
        <v>0</v>
      </c>
      <c r="C37" s="263">
        <f>+'Sch M'!G17</f>
        <v>0</v>
      </c>
      <c r="D37" s="161"/>
      <c r="E37" s="262">
        <f>+'Sch M'!O17</f>
        <v>0</v>
      </c>
      <c r="F37" s="263">
        <f>+'Sch M'!Q17</f>
        <v>0</v>
      </c>
      <c r="G37" s="83"/>
      <c r="H37" s="262">
        <f>+'Sch M'!T17</f>
        <v>0</v>
      </c>
      <c r="I37" s="263">
        <f>+'Sch M'!V17</f>
        <v>0</v>
      </c>
      <c r="J37" s="264"/>
      <c r="K37" s="247"/>
      <c r="L37" s="143"/>
      <c r="M37" s="252"/>
      <c r="N37" s="70"/>
      <c r="O37" s="247"/>
      <c r="P37" s="16"/>
      <c r="Q37" s="17"/>
      <c r="R37" s="15"/>
      <c r="S37" s="16"/>
    </row>
    <row r="38" spans="1:22" ht="14.4" x14ac:dyDescent="0.3">
      <c r="A38" s="70" t="s">
        <v>8</v>
      </c>
      <c r="B38" s="262">
        <f>+'Sch M'!E18</f>
        <v>0</v>
      </c>
      <c r="C38" s="263">
        <f>+'Sch M'!G18</f>
        <v>0</v>
      </c>
      <c r="D38" s="161"/>
      <c r="E38" s="262">
        <f>+'Sch M'!O18</f>
        <v>0</v>
      </c>
      <c r="F38" s="263">
        <f>+'Sch M'!Q18</f>
        <v>0</v>
      </c>
      <c r="G38" s="83"/>
      <c r="H38" s="262">
        <f>+'Sch M'!T18</f>
        <v>0</v>
      </c>
      <c r="I38" s="263">
        <f>+'Sch M'!V18</f>
        <v>0</v>
      </c>
      <c r="J38" s="264"/>
      <c r="K38" s="247"/>
      <c r="L38" s="143"/>
      <c r="M38" s="252"/>
      <c r="N38" s="70"/>
      <c r="O38" s="247"/>
      <c r="P38" s="16"/>
      <c r="Q38" s="17"/>
      <c r="R38" s="15"/>
      <c r="S38" s="16"/>
    </row>
    <row r="39" spans="1:22" ht="14.4" x14ac:dyDescent="0.3">
      <c r="A39" s="70" t="s">
        <v>147</v>
      </c>
      <c r="B39" s="262"/>
      <c r="C39" s="263">
        <f>+'Sch M'!G19</f>
        <v>0</v>
      </c>
      <c r="D39" s="161"/>
      <c r="E39" s="262"/>
      <c r="F39" s="263">
        <f>+'Sch M'!Q19</f>
        <v>0</v>
      </c>
      <c r="G39" s="83"/>
      <c r="H39" s="262"/>
      <c r="I39" s="263">
        <f>+'Sch M'!V19</f>
        <v>0</v>
      </c>
      <c r="J39" s="264"/>
      <c r="K39" s="247"/>
      <c r="L39" s="143"/>
      <c r="M39" s="252"/>
      <c r="N39" s="70"/>
      <c r="O39" s="247"/>
      <c r="P39" s="16"/>
      <c r="Q39" s="17"/>
      <c r="R39" s="15"/>
      <c r="S39" s="16"/>
    </row>
    <row r="40" spans="1:22" ht="14.4" x14ac:dyDescent="0.3">
      <c r="A40" s="70" t="s">
        <v>156</v>
      </c>
      <c r="B40" s="262">
        <f>+'Sch M'!E20</f>
        <v>0</v>
      </c>
      <c r="C40" s="263">
        <f>+'Sch M'!G20</f>
        <v>165</v>
      </c>
      <c r="D40" s="161"/>
      <c r="E40" s="262">
        <f>+'Sch M'!O20</f>
        <v>0</v>
      </c>
      <c r="F40" s="263">
        <f>+'Sch M'!Q20</f>
        <v>0</v>
      </c>
      <c r="G40" s="83"/>
      <c r="H40" s="262">
        <f>+'Sch M'!T20</f>
        <v>0</v>
      </c>
      <c r="I40" s="263">
        <f>+'Sch M'!V20</f>
        <v>0</v>
      </c>
      <c r="J40" s="264"/>
      <c r="K40" s="247"/>
      <c r="L40" s="143"/>
      <c r="M40" s="252"/>
      <c r="N40" s="70"/>
      <c r="O40" s="247"/>
      <c r="P40" s="16"/>
      <c r="Q40" s="17"/>
      <c r="R40" s="15"/>
      <c r="S40" s="16"/>
    </row>
    <row r="41" spans="1:22" ht="14.4" x14ac:dyDescent="0.3">
      <c r="A41" s="83" t="s">
        <v>165</v>
      </c>
      <c r="B41" s="149"/>
      <c r="C41" s="263">
        <f>+'Sch M'!G21</f>
        <v>0</v>
      </c>
      <c r="D41" s="149"/>
      <c r="E41" s="149"/>
      <c r="F41" s="263">
        <f>+'Sch M'!Q21</f>
        <v>0</v>
      </c>
      <c r="G41" s="161"/>
      <c r="H41" s="161"/>
      <c r="I41" s="263">
        <f>+'Sch M'!V21</f>
        <v>0</v>
      </c>
      <c r="J41" s="264"/>
      <c r="K41" s="247"/>
      <c r="L41" s="143"/>
      <c r="M41" s="252"/>
      <c r="N41" s="70"/>
      <c r="O41" s="247"/>
      <c r="P41" s="16"/>
      <c r="Q41" s="17"/>
      <c r="R41" s="15"/>
      <c r="S41" s="16"/>
    </row>
    <row r="42" spans="1:22" ht="15" thickBot="1" x14ac:dyDescent="0.35">
      <c r="A42" s="137" t="s">
        <v>1</v>
      </c>
      <c r="B42" s="137">
        <f>SUM(B33:B41)</f>
        <v>20297.25299219427</v>
      </c>
      <c r="C42" s="137">
        <f>SUM(C33:C41)</f>
        <v>314191</v>
      </c>
      <c r="D42" s="159"/>
      <c r="E42" s="137">
        <f>SUM(E33:E41)</f>
        <v>20212.705984388551</v>
      </c>
      <c r="F42" s="137">
        <f>SUM(F33:F41)</f>
        <v>319456</v>
      </c>
      <c r="G42" s="70"/>
      <c r="H42" s="137">
        <f>SUM(H33:H41)</f>
        <v>20212.705984388551</v>
      </c>
      <c r="I42" s="137">
        <f>SUM(I33:I41)</f>
        <v>242485</v>
      </c>
      <c r="J42" s="216"/>
      <c r="K42" s="70"/>
      <c r="L42" s="70"/>
      <c r="M42" s="252"/>
      <c r="N42" s="70"/>
      <c r="O42" s="247"/>
      <c r="P42" s="16"/>
      <c r="Q42" s="8"/>
      <c r="R42" s="15"/>
      <c r="S42" s="16"/>
    </row>
    <row r="43" spans="1:22" ht="15.6" thickTop="1" thickBot="1" x14ac:dyDescent="0.35">
      <c r="A43" s="265" t="s">
        <v>82</v>
      </c>
      <c r="B43" s="266" t="str">
        <f>IF(B42='Sch M'!$E$22,"OK","FIX IT")</f>
        <v>OK</v>
      </c>
      <c r="C43" s="266" t="str">
        <f>IF(C42='Sch M'!$G$22,"OK","FIX IT")</f>
        <v>OK</v>
      </c>
      <c r="D43" s="159"/>
      <c r="E43" s="266" t="str">
        <f>IF(E42='Sch M'!$T$22,"OK","FIX IT")</f>
        <v>OK</v>
      </c>
      <c r="F43" s="266" t="str">
        <f>IF(F42='Sch M'!$Q$22,"OK","FIX IT")</f>
        <v>OK</v>
      </c>
      <c r="G43" s="83"/>
      <c r="H43" s="266" t="str">
        <f>IF(H42='Sch M'!$T$22,"OK","FIX IT")</f>
        <v>OK</v>
      </c>
      <c r="I43" s="266" t="str">
        <f>IF(I42='Sch M'!$V$22,"OK","FIX IT")</f>
        <v>OK</v>
      </c>
      <c r="J43" s="216"/>
      <c r="K43" s="252"/>
      <c r="L43" s="252"/>
      <c r="M43" s="252"/>
      <c r="N43" s="70"/>
      <c r="O43" s="247"/>
      <c r="P43" s="16"/>
      <c r="Q43" s="8"/>
      <c r="R43" s="15"/>
      <c r="S43" s="16"/>
    </row>
    <row r="44" spans="1:22" ht="15" thickTop="1" x14ac:dyDescent="0.3">
      <c r="A44" s="150"/>
      <c r="B44" s="150"/>
      <c r="C44" s="150"/>
      <c r="D44" s="150"/>
      <c r="E44" s="150"/>
      <c r="F44" s="150"/>
      <c r="G44" s="159"/>
      <c r="H44" s="159"/>
      <c r="I44" s="159"/>
      <c r="J44" s="252"/>
      <c r="K44" s="252"/>
      <c r="L44" s="252"/>
      <c r="M44" s="252"/>
      <c r="N44" s="252"/>
      <c r="O44" s="252"/>
      <c r="P44" s="11"/>
      <c r="Q44" s="2"/>
      <c r="R44" s="9"/>
      <c r="S44" s="9"/>
      <c r="T44" s="8"/>
      <c r="U44" s="9"/>
      <c r="V44" s="9"/>
    </row>
    <row r="45" spans="1:22" ht="14.4" x14ac:dyDescent="0.3">
      <c r="A45" s="150"/>
      <c r="B45" s="150"/>
      <c r="C45" s="150"/>
      <c r="D45" s="150"/>
      <c r="E45" s="150"/>
      <c r="F45" s="150"/>
      <c r="G45" s="159"/>
      <c r="H45" s="159"/>
      <c r="I45" s="159"/>
      <c r="J45" s="252"/>
      <c r="K45" s="252"/>
      <c r="L45" s="252"/>
      <c r="M45" s="252"/>
      <c r="N45" s="252"/>
      <c r="O45" s="252"/>
      <c r="P45" s="11"/>
      <c r="Q45" s="10"/>
      <c r="R45" s="11"/>
      <c r="S45" s="11"/>
      <c r="T45" s="8"/>
      <c r="U45" s="11"/>
      <c r="V45" s="11"/>
    </row>
    <row r="46" spans="1:22" ht="14.4" x14ac:dyDescent="0.3">
      <c r="A46" s="150"/>
      <c r="B46" s="150"/>
      <c r="C46" s="150"/>
      <c r="D46" s="150"/>
      <c r="E46" s="150"/>
      <c r="F46" s="150"/>
      <c r="G46" s="159"/>
      <c r="H46" s="159"/>
      <c r="I46" s="159"/>
      <c r="J46" s="252"/>
      <c r="K46" s="252"/>
      <c r="L46" s="252"/>
      <c r="M46" s="252"/>
      <c r="N46" s="252"/>
      <c r="O46" s="252"/>
      <c r="P46" s="11"/>
      <c r="Q46" s="11"/>
      <c r="R46" s="11"/>
      <c r="S46" s="8"/>
      <c r="T46" s="8"/>
      <c r="U46" s="8"/>
      <c r="V46" s="8"/>
    </row>
    <row r="47" spans="1:22" ht="14.4" x14ac:dyDescent="0.3">
      <c r="A47" s="70"/>
      <c r="B47" s="314"/>
      <c r="C47" s="314"/>
      <c r="D47" s="261"/>
      <c r="E47" s="314"/>
      <c r="F47" s="314"/>
      <c r="G47" s="252"/>
      <c r="H47" s="254"/>
      <c r="I47" s="261"/>
      <c r="J47" s="252"/>
      <c r="K47" s="254"/>
      <c r="L47" s="261"/>
      <c r="M47" s="252"/>
      <c r="N47" s="252"/>
      <c r="O47" s="252"/>
      <c r="P47" s="11"/>
      <c r="Q47" s="9"/>
      <c r="R47" s="11"/>
      <c r="S47" s="11"/>
      <c r="T47" s="11"/>
      <c r="U47" s="11"/>
      <c r="V47" s="11"/>
    </row>
    <row r="48" spans="1:22" ht="14.4" x14ac:dyDescent="0.3">
      <c r="A48" s="216"/>
      <c r="B48" s="216" t="s">
        <v>167</v>
      </c>
      <c r="C48" s="216"/>
      <c r="D48" s="216"/>
      <c r="E48" s="216"/>
      <c r="F48" s="216"/>
      <c r="G48" s="252"/>
      <c r="H48" s="252"/>
      <c r="I48" s="252"/>
      <c r="J48" s="216"/>
      <c r="K48" s="252"/>
      <c r="L48" s="252"/>
      <c r="M48" s="252"/>
      <c r="N48" s="252"/>
      <c r="O48" s="252"/>
      <c r="P48" s="11"/>
      <c r="Q48" s="11"/>
      <c r="R48" s="11"/>
      <c r="S48" s="11"/>
      <c r="T48" s="11"/>
      <c r="U48" s="11"/>
      <c r="V48" s="11"/>
    </row>
    <row r="49" spans="1:22" ht="14.4" x14ac:dyDescent="0.3">
      <c r="A49" s="70" t="s">
        <v>3</v>
      </c>
      <c r="B49" s="93"/>
      <c r="C49" s="93"/>
      <c r="D49" s="93"/>
      <c r="E49" s="93"/>
      <c r="F49" s="95">
        <f>F33-C33</f>
        <v>5282</v>
      </c>
      <c r="G49" s="252"/>
      <c r="H49" s="93"/>
      <c r="I49" s="93"/>
      <c r="J49" s="216"/>
      <c r="K49" s="93"/>
      <c r="L49" s="93"/>
      <c r="M49" s="216"/>
      <c r="N49" s="254"/>
      <c r="O49" s="261"/>
      <c r="P49" s="11"/>
      <c r="Q49" s="11"/>
      <c r="R49" s="5"/>
      <c r="S49" s="14"/>
      <c r="T49" s="8"/>
      <c r="U49" s="5"/>
      <c r="V49" s="14"/>
    </row>
    <row r="50" spans="1:22" ht="14.4" x14ac:dyDescent="0.3">
      <c r="A50" s="70" t="s">
        <v>50</v>
      </c>
      <c r="B50" s="93"/>
      <c r="C50" s="93"/>
      <c r="D50" s="93"/>
      <c r="E50" s="93"/>
      <c r="F50" s="95">
        <f>F34-C34</f>
        <v>148</v>
      </c>
      <c r="G50" s="252"/>
      <c r="H50" s="93"/>
      <c r="I50" s="93"/>
      <c r="J50" s="216"/>
      <c r="K50" s="93"/>
      <c r="L50" s="93"/>
      <c r="M50" s="216"/>
      <c r="N50" s="252"/>
      <c r="O50" s="252"/>
      <c r="P50" s="11"/>
      <c r="Q50" s="8"/>
      <c r="R50" s="8"/>
      <c r="S50" s="8"/>
      <c r="T50" s="8"/>
      <c r="U50" s="11"/>
      <c r="V50" s="11"/>
    </row>
    <row r="51" spans="1:22" ht="14.4" x14ac:dyDescent="0.3">
      <c r="A51" s="70" t="s">
        <v>5</v>
      </c>
      <c r="B51" s="247"/>
      <c r="C51" s="143"/>
      <c r="D51" s="143"/>
      <c r="E51" s="247"/>
      <c r="F51" s="95">
        <f t="shared" ref="F51:F54" si="2">F35-C35</f>
        <v>0</v>
      </c>
      <c r="G51" s="252"/>
      <c r="H51" s="247"/>
      <c r="I51" s="143"/>
      <c r="J51" s="70"/>
      <c r="K51" s="247"/>
      <c r="L51" s="143"/>
      <c r="M51" s="216"/>
      <c r="N51" s="93"/>
      <c r="O51" s="93"/>
      <c r="P51" s="11"/>
      <c r="Q51" s="8"/>
      <c r="R51" s="3"/>
      <c r="S51" s="3"/>
      <c r="T51" s="8"/>
      <c r="U51" s="3"/>
      <c r="V51" s="3"/>
    </row>
    <row r="52" spans="1:22" ht="14.4" x14ac:dyDescent="0.3">
      <c r="A52" s="70" t="s">
        <v>68</v>
      </c>
      <c r="B52" s="247"/>
      <c r="C52" s="143"/>
      <c r="D52" s="143"/>
      <c r="E52" s="247"/>
      <c r="F52" s="95">
        <f t="shared" si="2"/>
        <v>0</v>
      </c>
      <c r="G52" s="252"/>
      <c r="H52" s="247"/>
      <c r="I52" s="143"/>
      <c r="J52" s="70"/>
      <c r="K52" s="247"/>
      <c r="L52" s="143"/>
      <c r="M52" s="216"/>
      <c r="N52" s="93"/>
      <c r="O52" s="93"/>
      <c r="P52" s="11"/>
      <c r="Q52" s="8"/>
      <c r="R52" s="3"/>
      <c r="S52" s="3"/>
      <c r="T52" s="8"/>
      <c r="U52" s="3"/>
      <c r="V52" s="3"/>
    </row>
    <row r="53" spans="1:22" ht="14.4" x14ac:dyDescent="0.3">
      <c r="A53" s="70" t="s">
        <v>69</v>
      </c>
      <c r="B53" s="247"/>
      <c r="C53" s="143"/>
      <c r="D53" s="143"/>
      <c r="E53" s="247"/>
      <c r="F53" s="95">
        <f t="shared" si="2"/>
        <v>0</v>
      </c>
      <c r="G53" s="252"/>
      <c r="H53" s="247"/>
      <c r="I53" s="143"/>
      <c r="J53" s="70"/>
      <c r="K53" s="247"/>
      <c r="L53" s="143"/>
      <c r="M53" s="264"/>
      <c r="N53" s="247"/>
      <c r="O53" s="143"/>
      <c r="P53" s="11"/>
      <c r="Q53" s="2"/>
      <c r="R53" s="15"/>
      <c r="S53" s="16"/>
      <c r="T53" s="17"/>
      <c r="U53" s="15"/>
      <c r="V53" s="16"/>
    </row>
    <row r="54" spans="1:22" ht="14.4" x14ac:dyDescent="0.3">
      <c r="A54" s="70" t="s">
        <v>130</v>
      </c>
      <c r="B54" s="247"/>
      <c r="C54" s="143"/>
      <c r="D54" s="143"/>
      <c r="E54" s="247"/>
      <c r="F54" s="95">
        <f t="shared" si="2"/>
        <v>0</v>
      </c>
      <c r="G54" s="252"/>
      <c r="H54" s="247"/>
      <c r="I54" s="143"/>
      <c r="J54" s="70"/>
      <c r="K54" s="247"/>
      <c r="L54" s="143"/>
      <c r="M54" s="264"/>
      <c r="N54" s="247"/>
      <c r="O54" s="143"/>
      <c r="P54" s="11"/>
      <c r="Q54" s="2"/>
      <c r="R54" s="15"/>
      <c r="S54" s="16"/>
      <c r="T54" s="17"/>
      <c r="U54" s="15"/>
      <c r="V54" s="16"/>
    </row>
    <row r="55" spans="1:22" ht="14.4" x14ac:dyDescent="0.3">
      <c r="A55" s="70" t="s">
        <v>156</v>
      </c>
      <c r="B55" s="247"/>
      <c r="C55" s="143"/>
      <c r="D55" s="143"/>
      <c r="E55" s="247"/>
      <c r="F55" s="95">
        <f>F40-C40</f>
        <v>-165</v>
      </c>
      <c r="G55" s="252"/>
      <c r="H55" s="247"/>
      <c r="I55" s="143"/>
      <c r="J55" s="70"/>
      <c r="K55" s="247"/>
      <c r="L55" s="143"/>
      <c r="M55" s="264"/>
      <c r="N55" s="247"/>
      <c r="O55" s="143"/>
      <c r="P55" s="11"/>
      <c r="Q55" s="2"/>
      <c r="R55" s="15"/>
      <c r="S55" s="16"/>
      <c r="T55" s="17"/>
      <c r="U55" s="15"/>
      <c r="V55" s="16"/>
    </row>
    <row r="56" spans="1:22" ht="14.4" x14ac:dyDescent="0.3">
      <c r="A56" s="70" t="s">
        <v>1</v>
      </c>
      <c r="B56" s="247"/>
      <c r="C56" s="143"/>
      <c r="D56" s="143"/>
      <c r="E56" s="247"/>
      <c r="F56" s="145">
        <f>SUM(F49:F55)</f>
        <v>5265</v>
      </c>
      <c r="G56" s="252"/>
      <c r="H56" s="247"/>
      <c r="I56" s="143"/>
      <c r="J56" s="70"/>
      <c r="K56" s="247"/>
      <c r="L56" s="143"/>
      <c r="M56" s="264"/>
      <c r="N56" s="247"/>
      <c r="O56" s="143"/>
      <c r="P56" s="11"/>
      <c r="Q56" s="2"/>
      <c r="R56" s="15"/>
      <c r="S56" s="16"/>
      <c r="T56" s="17"/>
      <c r="U56" s="15"/>
      <c r="V56" s="16"/>
    </row>
    <row r="57" spans="1:22" ht="14.4" x14ac:dyDescent="0.3">
      <c r="A57" s="216"/>
      <c r="B57" s="216"/>
      <c r="C57" s="216"/>
      <c r="D57" s="216"/>
      <c r="E57" s="216"/>
      <c r="F57" s="216"/>
      <c r="G57" s="252"/>
      <c r="H57" s="252"/>
      <c r="I57" s="252"/>
      <c r="J57" s="252"/>
      <c r="K57" s="252"/>
      <c r="L57" s="252"/>
      <c r="M57" s="264"/>
      <c r="N57" s="247"/>
      <c r="O57" s="143"/>
      <c r="P57" s="11"/>
      <c r="Q57" s="2"/>
      <c r="R57" s="15"/>
      <c r="S57" s="16"/>
      <c r="T57" s="17"/>
      <c r="U57" s="15"/>
      <c r="V57" s="16"/>
    </row>
    <row r="58" spans="1:22" ht="14.4" x14ac:dyDescent="0.3">
      <c r="A58" s="70"/>
      <c r="B58" s="247"/>
      <c r="C58" s="143"/>
      <c r="D58" s="143"/>
      <c r="E58" s="247"/>
      <c r="F58" s="143"/>
      <c r="G58" s="252"/>
      <c r="H58" s="247"/>
      <c r="I58" s="143"/>
      <c r="J58" s="70"/>
      <c r="K58" s="247"/>
      <c r="L58" s="143"/>
      <c r="M58" s="264"/>
      <c r="N58" s="247"/>
      <c r="O58" s="143"/>
      <c r="P58" s="11"/>
      <c r="Q58" s="2"/>
      <c r="R58" s="15"/>
      <c r="S58" s="16"/>
      <c r="T58" s="17"/>
      <c r="U58" s="15"/>
      <c r="V58" s="16"/>
    </row>
    <row r="59" spans="1:22" ht="14.4" x14ac:dyDescent="0.3">
      <c r="A59" s="70"/>
      <c r="B59" s="70"/>
      <c r="C59" s="70"/>
      <c r="D59" s="70"/>
      <c r="E59" s="70"/>
      <c r="F59" s="70"/>
      <c r="G59" s="252"/>
      <c r="H59" s="70"/>
      <c r="I59" s="70"/>
      <c r="J59" s="70"/>
      <c r="K59" s="70"/>
      <c r="L59" s="70"/>
      <c r="M59" s="264"/>
      <c r="N59" s="247"/>
      <c r="O59" s="143"/>
      <c r="P59" s="11"/>
      <c r="Q59" s="2"/>
      <c r="R59" s="15"/>
      <c r="S59" s="16"/>
      <c r="T59" s="17"/>
      <c r="U59" s="15"/>
      <c r="V59" s="16"/>
    </row>
    <row r="60" spans="1:22" ht="14.4" x14ac:dyDescent="0.3">
      <c r="A60" s="83"/>
      <c r="B60" s="252"/>
      <c r="C60" s="252"/>
      <c r="D60" s="252"/>
      <c r="E60" s="252"/>
      <c r="F60" s="252"/>
      <c r="G60" s="252"/>
      <c r="H60" s="252"/>
      <c r="I60" s="252"/>
      <c r="J60" s="83"/>
      <c r="K60" s="252"/>
      <c r="L60" s="252"/>
      <c r="M60" s="264"/>
      <c r="N60" s="247"/>
      <c r="O60" s="143"/>
      <c r="P60" s="11"/>
      <c r="Q60" s="2"/>
      <c r="R60" s="15"/>
      <c r="S60" s="16"/>
      <c r="T60" s="17"/>
      <c r="U60" s="15"/>
      <c r="V60" s="16"/>
    </row>
    <row r="61" spans="1:22" ht="14.4" x14ac:dyDescent="0.3">
      <c r="A61" s="216"/>
      <c r="B61" s="216"/>
      <c r="C61" s="216"/>
      <c r="D61" s="216"/>
      <c r="E61" s="216"/>
      <c r="F61" s="216"/>
      <c r="G61" s="252"/>
      <c r="H61" s="252"/>
      <c r="I61" s="252"/>
      <c r="J61" s="252"/>
      <c r="K61" s="252"/>
      <c r="L61" s="252"/>
      <c r="M61" s="252"/>
      <c r="N61" s="252"/>
      <c r="O61" s="252"/>
      <c r="P61" s="11"/>
      <c r="Q61" s="11"/>
      <c r="R61" s="11"/>
      <c r="S61" s="8"/>
      <c r="T61" s="8"/>
      <c r="U61" s="8"/>
      <c r="V61" s="8"/>
    </row>
    <row r="62" spans="1:22" ht="14.4" x14ac:dyDescent="0.3">
      <c r="A62" s="216"/>
      <c r="B62" s="216"/>
      <c r="C62" s="216"/>
      <c r="D62" s="216"/>
      <c r="E62" s="216"/>
      <c r="F62" s="216"/>
      <c r="G62" s="252"/>
      <c r="H62" s="252"/>
      <c r="I62" s="252"/>
      <c r="J62" s="252"/>
      <c r="K62" s="252"/>
      <c r="L62" s="252"/>
      <c r="M62" s="252"/>
      <c r="N62" s="252"/>
      <c r="O62" s="252"/>
      <c r="P62" s="11"/>
      <c r="Q62" s="11"/>
      <c r="R62" s="11"/>
      <c r="S62" s="8"/>
      <c r="T62" s="8"/>
      <c r="U62" s="8"/>
      <c r="V62" s="8"/>
    </row>
    <row r="63" spans="1:22" ht="14.4" x14ac:dyDescent="0.3">
      <c r="A63" s="216" t="s">
        <v>175</v>
      </c>
      <c r="B63" s="216"/>
      <c r="C63" s="216"/>
      <c r="D63" s="216"/>
      <c r="E63" s="216"/>
      <c r="F63" s="216"/>
      <c r="G63" s="252"/>
      <c r="H63" s="252"/>
      <c r="I63" s="252"/>
      <c r="J63" s="252"/>
      <c r="K63" s="252"/>
      <c r="L63" s="252"/>
      <c r="M63" s="252"/>
      <c r="N63" s="252"/>
      <c r="O63" s="252"/>
      <c r="P63" s="11"/>
      <c r="Q63" s="11"/>
      <c r="R63" s="11"/>
      <c r="S63" s="8"/>
      <c r="T63" s="8"/>
      <c r="U63" s="8"/>
      <c r="V63" s="8"/>
    </row>
    <row r="64" spans="1:22" ht="14.4" x14ac:dyDescent="0.3">
      <c r="A64" s="70" t="s">
        <v>176</v>
      </c>
      <c r="B64" s="287">
        <f>+'Sch M'!F91</f>
        <v>28.28</v>
      </c>
      <c r="C64" s="267"/>
      <c r="D64" s="261"/>
      <c r="E64" s="314"/>
      <c r="F64" s="314"/>
      <c r="G64" s="252"/>
      <c r="H64" s="254"/>
      <c r="I64" s="261"/>
      <c r="J64" s="252"/>
      <c r="K64" s="254"/>
      <c r="L64" s="261"/>
      <c r="M64" s="252"/>
      <c r="N64" s="252"/>
      <c r="O64" s="252"/>
      <c r="P64" s="11"/>
      <c r="Q64" s="9"/>
      <c r="R64" s="11"/>
      <c r="S64" s="11"/>
      <c r="T64" s="11"/>
      <c r="U64" s="11"/>
      <c r="V64" s="11"/>
    </row>
    <row r="65" spans="1:22" ht="14.4" x14ac:dyDescent="0.3">
      <c r="A65" s="216" t="s">
        <v>177</v>
      </c>
      <c r="B65" s="83">
        <f>+'Sch M'!E262</f>
        <v>0</v>
      </c>
      <c r="C65" s="216"/>
      <c r="D65" s="216"/>
      <c r="E65" s="216"/>
      <c r="F65" s="216"/>
      <c r="G65" s="252"/>
      <c r="H65" s="252"/>
      <c r="I65" s="252"/>
      <c r="J65" s="216"/>
      <c r="K65" s="252"/>
      <c r="L65" s="252"/>
      <c r="M65" s="252"/>
      <c r="N65" s="252"/>
      <c r="O65" s="252"/>
      <c r="P65" s="11"/>
      <c r="Q65" s="11"/>
      <c r="R65" s="11"/>
      <c r="S65" s="11"/>
      <c r="T65" s="11"/>
      <c r="U65" s="11"/>
      <c r="V65" s="11"/>
    </row>
    <row r="66" spans="1:22" ht="14.4" x14ac:dyDescent="0.3">
      <c r="A66" s="216"/>
      <c r="B66" s="93"/>
      <c r="C66" s="93"/>
      <c r="D66" s="93"/>
      <c r="E66" s="93"/>
      <c r="F66" s="93"/>
      <c r="G66" s="252"/>
      <c r="H66" s="93"/>
      <c r="I66" s="93"/>
      <c r="J66" s="216"/>
      <c r="K66" s="93"/>
      <c r="L66" s="93"/>
      <c r="M66" s="216"/>
      <c r="N66" s="254"/>
      <c r="O66" s="261"/>
      <c r="P66" s="11"/>
      <c r="Q66" s="11"/>
      <c r="R66" s="5"/>
      <c r="S66" s="14"/>
      <c r="T66" s="8"/>
      <c r="U66" s="5"/>
      <c r="V66" s="14"/>
    </row>
    <row r="67" spans="1:22" ht="14.4" x14ac:dyDescent="0.3">
      <c r="A67" s="184"/>
      <c r="B67" s="95" t="s">
        <v>18</v>
      </c>
      <c r="C67" s="95"/>
      <c r="D67" s="93"/>
      <c r="E67" s="93"/>
      <c r="F67" s="93"/>
      <c r="G67" s="252"/>
      <c r="H67" s="93"/>
      <c r="I67" s="93"/>
      <c r="J67" s="216"/>
      <c r="K67" s="93"/>
      <c r="L67" s="93"/>
      <c r="M67" s="216"/>
      <c r="N67" s="252"/>
      <c r="O67" s="252"/>
      <c r="P67" s="11"/>
      <c r="Q67" s="8"/>
      <c r="R67" s="8"/>
      <c r="S67" s="8"/>
      <c r="T67" s="8"/>
      <c r="U67" s="11"/>
      <c r="V67" s="11"/>
    </row>
    <row r="68" spans="1:22" ht="14.4" x14ac:dyDescent="0.3">
      <c r="A68" s="83"/>
      <c r="B68" s="112" t="s">
        <v>128</v>
      </c>
      <c r="C68" s="145"/>
      <c r="D68" s="143"/>
      <c r="E68" s="247"/>
      <c r="F68" s="143"/>
      <c r="G68" s="252"/>
      <c r="H68" s="247"/>
      <c r="I68" s="143"/>
      <c r="J68" s="70"/>
      <c r="K68" s="247"/>
      <c r="L68" s="143"/>
      <c r="M68" s="216"/>
      <c r="N68" s="93"/>
      <c r="O68" s="93"/>
      <c r="P68" s="11"/>
      <c r="Q68" s="8"/>
      <c r="R68" s="3"/>
      <c r="S68" s="3"/>
      <c r="T68" s="8"/>
      <c r="U68" s="3"/>
      <c r="V68" s="3"/>
    </row>
    <row r="69" spans="1:22" ht="14.4" x14ac:dyDescent="0.3">
      <c r="A69" s="83" t="s">
        <v>180</v>
      </c>
      <c r="B69" s="291">
        <v>4.5091999999999999</v>
      </c>
      <c r="C69" s="292">
        <v>32.799999999999997</v>
      </c>
      <c r="D69" s="143"/>
      <c r="E69" s="247"/>
      <c r="F69" s="143"/>
      <c r="G69" s="252"/>
      <c r="H69" s="247"/>
      <c r="I69" s="143"/>
      <c r="J69" s="70"/>
      <c r="K69" s="247"/>
      <c r="L69" s="143"/>
      <c r="M69" s="216"/>
      <c r="N69" s="93"/>
      <c r="O69" s="93"/>
      <c r="P69" s="11"/>
      <c r="Q69" s="8"/>
      <c r="R69" s="3"/>
      <c r="S69" s="3"/>
      <c r="T69" s="8"/>
      <c r="U69" s="3"/>
      <c r="V69" s="3"/>
    </row>
    <row r="70" spans="1:22" ht="14.4" x14ac:dyDescent="0.3">
      <c r="A70" s="70"/>
      <c r="B70" s="247"/>
      <c r="C70" s="143"/>
      <c r="D70" s="143"/>
      <c r="E70" s="247"/>
      <c r="F70" s="143"/>
      <c r="G70" s="252"/>
      <c r="H70" s="247"/>
      <c r="I70" s="143"/>
      <c r="J70" s="70"/>
      <c r="K70" s="247"/>
      <c r="L70" s="143"/>
      <c r="M70" s="264"/>
      <c r="N70" s="247"/>
      <c r="O70" s="143"/>
      <c r="P70" s="11"/>
      <c r="Q70" s="2"/>
      <c r="R70" s="15"/>
      <c r="S70" s="16"/>
      <c r="T70" s="17"/>
      <c r="U70" s="15"/>
      <c r="V70" s="16"/>
    </row>
    <row r="71" spans="1:22" ht="14.4" x14ac:dyDescent="0.3">
      <c r="A71" s="70"/>
      <c r="B71" s="88" t="s">
        <v>177</v>
      </c>
      <c r="C71" s="143"/>
      <c r="D71" s="268" t="s">
        <v>183</v>
      </c>
      <c r="E71" s="247"/>
      <c r="F71" s="268" t="s">
        <v>184</v>
      </c>
      <c r="G71" s="252"/>
      <c r="H71" s="247" t="s">
        <v>209</v>
      </c>
      <c r="I71" s="143"/>
      <c r="J71" s="70" t="s">
        <v>208</v>
      </c>
      <c r="K71" s="247"/>
      <c r="L71" s="143"/>
      <c r="M71" s="264"/>
      <c r="N71" s="247"/>
      <c r="O71" s="143"/>
      <c r="P71" s="11"/>
      <c r="Q71" s="2"/>
      <c r="R71" s="15"/>
      <c r="S71" s="16"/>
      <c r="T71" s="17"/>
      <c r="U71" s="15"/>
      <c r="V71" s="16"/>
    </row>
    <row r="72" spans="1:22" ht="14.4" x14ac:dyDescent="0.3">
      <c r="A72" s="98" t="s">
        <v>127</v>
      </c>
      <c r="B72" s="269">
        <f>'Sch N'!A41</f>
        <v>2.6542033525328397</v>
      </c>
      <c r="C72" s="143"/>
      <c r="D72" s="270">
        <f>'Sch N'!C41</f>
        <v>35.82</v>
      </c>
      <c r="E72" s="270"/>
      <c r="F72" s="270">
        <f>'Sch N'!E41</f>
        <v>31.89</v>
      </c>
      <c r="G72" s="252"/>
      <c r="H72" s="312">
        <f>'Sch N'!C16</f>
        <v>28.28</v>
      </c>
      <c r="I72" s="312"/>
      <c r="J72" s="313">
        <f>'Sch N'!E16</f>
        <v>15</v>
      </c>
      <c r="K72" s="247"/>
      <c r="L72" s="143"/>
      <c r="M72" s="264"/>
      <c r="N72" s="247"/>
      <c r="O72" s="143"/>
      <c r="P72" s="11"/>
      <c r="Q72" s="2"/>
      <c r="R72" s="15"/>
      <c r="S72" s="16"/>
      <c r="T72" s="17"/>
      <c r="U72" s="15"/>
      <c r="V72" s="16"/>
    </row>
    <row r="73" spans="1:22" ht="14.4" x14ac:dyDescent="0.3">
      <c r="A73" s="70"/>
      <c r="B73" s="247"/>
      <c r="C73" s="143"/>
      <c r="D73" s="143"/>
      <c r="E73" s="247"/>
      <c r="F73" s="143"/>
      <c r="G73" s="252"/>
      <c r="H73" s="247"/>
      <c r="I73" s="143"/>
      <c r="J73" s="70"/>
      <c r="K73" s="247"/>
      <c r="L73" s="143"/>
      <c r="M73" s="264"/>
      <c r="N73" s="247"/>
      <c r="O73" s="143"/>
      <c r="P73" s="11"/>
      <c r="Q73" s="2"/>
      <c r="R73" s="15"/>
      <c r="S73" s="16"/>
      <c r="T73" s="17"/>
      <c r="U73" s="15"/>
      <c r="V73" s="16"/>
    </row>
    <row r="74" spans="1:22" ht="14.4" x14ac:dyDescent="0.3">
      <c r="A74" s="216"/>
      <c r="B74" s="216"/>
      <c r="C74" s="216"/>
      <c r="D74" s="216"/>
      <c r="E74" s="216"/>
      <c r="F74" s="216"/>
      <c r="G74" s="252"/>
      <c r="H74" s="252"/>
      <c r="I74" s="252"/>
      <c r="J74" s="252"/>
      <c r="K74" s="252"/>
      <c r="L74" s="252"/>
      <c r="M74" s="264"/>
      <c r="N74" s="247"/>
      <c r="O74" s="143"/>
      <c r="P74" s="11"/>
      <c r="Q74" s="2"/>
      <c r="R74" s="15"/>
      <c r="S74" s="16"/>
      <c r="T74" s="17"/>
      <c r="U74" s="15"/>
      <c r="V74" s="16"/>
    </row>
    <row r="75" spans="1:22" ht="14.4" x14ac:dyDescent="0.3">
      <c r="A75" s="70" t="s">
        <v>181</v>
      </c>
      <c r="B75" s="271">
        <f>'Sch M'!X36</f>
        <v>0</v>
      </c>
      <c r="C75" s="143"/>
      <c r="D75" s="143"/>
      <c r="E75" s="247"/>
      <c r="F75" s="143"/>
      <c r="G75" s="252"/>
      <c r="H75" s="247"/>
      <c r="I75" s="143"/>
      <c r="J75" s="70"/>
      <c r="K75" s="247"/>
      <c r="L75" s="143"/>
      <c r="M75" s="264"/>
      <c r="N75" s="247"/>
      <c r="O75" s="143"/>
      <c r="P75" s="11"/>
      <c r="Q75" s="2"/>
      <c r="R75" s="15"/>
      <c r="S75" s="16"/>
      <c r="T75" s="17"/>
      <c r="U75" s="15"/>
      <c r="V75" s="16"/>
    </row>
    <row r="76" spans="1:22" ht="14.4" x14ac:dyDescent="0.3">
      <c r="A76" s="70"/>
      <c r="B76" s="70"/>
      <c r="C76" s="70"/>
      <c r="D76" s="70"/>
      <c r="E76" s="70"/>
      <c r="F76" s="70"/>
      <c r="G76" s="252"/>
      <c r="H76" s="70"/>
      <c r="I76" s="70"/>
      <c r="J76" s="70"/>
      <c r="K76" s="70"/>
      <c r="L76" s="70"/>
      <c r="M76" s="264"/>
      <c r="N76" s="247"/>
      <c r="O76" s="143"/>
      <c r="P76" s="11"/>
      <c r="Q76" s="2"/>
      <c r="R76" s="15"/>
      <c r="S76" s="16"/>
      <c r="T76" s="17"/>
      <c r="U76" s="15"/>
      <c r="V76" s="16"/>
    </row>
    <row r="77" spans="1:22" ht="14.4" x14ac:dyDescent="0.3">
      <c r="A77" s="83"/>
      <c r="B77" s="252"/>
      <c r="C77" s="252"/>
      <c r="D77" s="252"/>
      <c r="E77" s="252"/>
      <c r="F77" s="252"/>
      <c r="G77" s="252"/>
      <c r="H77" s="252"/>
      <c r="I77" s="252"/>
      <c r="J77" s="83"/>
      <c r="K77" s="252"/>
      <c r="L77" s="252"/>
      <c r="M77" s="264"/>
      <c r="N77" s="247"/>
      <c r="O77" s="143"/>
      <c r="P77" s="11"/>
      <c r="Q77" s="2"/>
      <c r="R77" s="15"/>
      <c r="S77" s="16"/>
      <c r="T77" s="17"/>
      <c r="U77" s="15"/>
      <c r="V77" s="16"/>
    </row>
    <row r="78" spans="1:22" ht="14.4" x14ac:dyDescent="0.3">
      <c r="A78" s="83" t="str">
        <f ca="1">'Sch M'!Z6</f>
        <v>Revenues\[KAWC 2018 Rate Case - Revenue - E. Rockcastle.xlsx]Sch M</v>
      </c>
      <c r="B78" s="216"/>
      <c r="C78" s="216"/>
      <c r="D78" s="216"/>
      <c r="E78" s="216"/>
      <c r="F78" s="216"/>
      <c r="G78" s="252"/>
      <c r="H78" s="252"/>
      <c r="I78" s="252"/>
      <c r="J78" s="252"/>
      <c r="K78" s="252"/>
      <c r="L78" s="252"/>
      <c r="M78" s="252"/>
      <c r="N78" s="252"/>
      <c r="O78" s="252"/>
      <c r="P78" s="11"/>
      <c r="Q78" s="11"/>
      <c r="R78" s="11"/>
      <c r="S78" s="8"/>
      <c r="T78" s="8"/>
      <c r="U78" s="8"/>
      <c r="V78" s="8"/>
    </row>
    <row r="79" spans="1:22" ht="14.4" x14ac:dyDescent="0.3">
      <c r="A79" s="216"/>
      <c r="B79" s="216"/>
      <c r="C79" s="216"/>
      <c r="D79" s="216"/>
      <c r="E79" s="216"/>
      <c r="F79" s="216"/>
      <c r="G79" s="252"/>
      <c r="H79" s="252"/>
      <c r="I79" s="252"/>
      <c r="J79" s="252"/>
      <c r="K79" s="252"/>
      <c r="L79" s="252"/>
      <c r="M79" s="252"/>
      <c r="N79" s="252"/>
      <c r="O79" s="252"/>
      <c r="P79" s="11"/>
      <c r="Q79" s="11"/>
      <c r="R79" s="11"/>
      <c r="S79" s="8"/>
      <c r="T79" s="8"/>
      <c r="U79" s="8"/>
      <c r="V79" s="8"/>
    </row>
    <row r="80" spans="1:22" ht="14.4" x14ac:dyDescent="0.3">
      <c r="A80" s="272"/>
      <c r="B80" s="272"/>
      <c r="C80" s="272"/>
      <c r="D80" s="216" t="s">
        <v>121</v>
      </c>
      <c r="E80" s="216"/>
      <c r="F80" s="216"/>
      <c r="G80" s="252"/>
      <c r="H80" s="252"/>
      <c r="I80" s="252"/>
      <c r="J80" s="252"/>
      <c r="K80" s="252"/>
      <c r="L80" s="252"/>
      <c r="M80" s="252"/>
      <c r="N80" s="252"/>
      <c r="O80" s="252"/>
      <c r="P80" s="11"/>
      <c r="Q80" s="11"/>
      <c r="R80" s="11"/>
      <c r="S80" s="8"/>
      <c r="T80" s="8"/>
      <c r="U80" s="8"/>
      <c r="V80" s="8"/>
    </row>
    <row r="81" spans="1:23" ht="14.4" x14ac:dyDescent="0.3">
      <c r="A81" s="93" t="s">
        <v>187</v>
      </c>
      <c r="B81" s="93"/>
      <c r="C81" s="272" t="s">
        <v>188</v>
      </c>
      <c r="D81" s="93"/>
      <c r="E81" s="267" t="s">
        <v>189</v>
      </c>
      <c r="F81" s="267"/>
      <c r="G81" s="267" t="s">
        <v>191</v>
      </c>
      <c r="H81" s="267"/>
      <c r="I81" s="267"/>
      <c r="J81" s="267"/>
      <c r="K81" s="254"/>
      <c r="L81" s="261"/>
      <c r="M81" s="252"/>
      <c r="N81" s="252"/>
      <c r="O81" s="252"/>
      <c r="P81" s="11"/>
      <c r="Q81" s="9"/>
      <c r="R81" s="11"/>
      <c r="S81" s="11"/>
      <c r="T81" s="11"/>
      <c r="U81" s="11"/>
      <c r="V81" s="11"/>
      <c r="W81" s="8"/>
    </row>
    <row r="82" spans="1:23" ht="14.4" x14ac:dyDescent="0.3">
      <c r="A82" s="96" t="s">
        <v>2</v>
      </c>
      <c r="B82" s="93"/>
      <c r="C82" s="273" t="s">
        <v>48</v>
      </c>
      <c r="D82" s="96"/>
      <c r="E82" s="267" t="s">
        <v>190</v>
      </c>
      <c r="F82" s="267"/>
      <c r="G82" s="267" t="s">
        <v>189</v>
      </c>
      <c r="H82" s="267"/>
      <c r="I82" s="267"/>
      <c r="J82" s="267"/>
      <c r="K82" s="252"/>
      <c r="L82" s="252"/>
      <c r="M82" s="252"/>
      <c r="N82" s="252"/>
      <c r="O82" s="252"/>
      <c r="P82" s="11"/>
      <c r="Q82" s="11"/>
      <c r="R82" s="11"/>
      <c r="S82" s="11"/>
      <c r="T82" s="11"/>
      <c r="U82" s="11"/>
      <c r="V82" s="11"/>
      <c r="W82" s="8"/>
    </row>
    <row r="83" spans="1:23" ht="14.4" x14ac:dyDescent="0.3">
      <c r="A83" s="150"/>
      <c r="B83" s="98"/>
      <c r="C83" s="272"/>
      <c r="D83" s="98"/>
      <c r="E83" s="267"/>
      <c r="F83" s="267"/>
      <c r="G83" s="267"/>
      <c r="H83" s="267"/>
      <c r="I83" s="267"/>
      <c r="J83" s="267"/>
      <c r="K83" s="93"/>
      <c r="L83" s="93"/>
      <c r="M83" s="216"/>
      <c r="N83" s="254"/>
      <c r="O83" s="261"/>
      <c r="Q83" s="11"/>
      <c r="R83" s="5"/>
      <c r="S83" s="14"/>
      <c r="T83" s="8"/>
      <c r="U83" s="5"/>
      <c r="V83" s="14"/>
      <c r="W83" s="8"/>
    </row>
    <row r="84" spans="1:23" ht="14.4" x14ac:dyDescent="0.3">
      <c r="A84" s="70" t="s">
        <v>25</v>
      </c>
      <c r="B84" s="99"/>
      <c r="C84" s="274">
        <f>SUM('Sch M'!V52:V61)</f>
        <v>110340</v>
      </c>
      <c r="D84" s="95"/>
      <c r="E84" s="275">
        <f>SUM('Sch M'!T66:T72)</f>
        <v>19524.319861231568</v>
      </c>
      <c r="F84" s="275"/>
      <c r="G84" s="275">
        <f>SUM('Sch M'!V66:V72)</f>
        <v>124253</v>
      </c>
      <c r="H84" s="267"/>
      <c r="I84" s="267"/>
      <c r="J84" s="267"/>
      <c r="K84" s="93"/>
      <c r="L84" s="93"/>
      <c r="M84" s="216"/>
      <c r="N84" s="252"/>
      <c r="O84" s="252"/>
      <c r="Q84" s="8"/>
      <c r="R84" s="8"/>
      <c r="S84" s="8"/>
      <c r="T84" s="8"/>
      <c r="U84" s="11"/>
      <c r="V84" s="11"/>
      <c r="W84" s="8"/>
    </row>
    <row r="85" spans="1:23" ht="14.4" x14ac:dyDescent="0.3">
      <c r="A85" s="70"/>
      <c r="B85" s="70"/>
      <c r="C85" s="276"/>
      <c r="D85" s="145"/>
      <c r="E85" s="275"/>
      <c r="F85" s="275"/>
      <c r="G85" s="275"/>
      <c r="H85" s="267"/>
      <c r="I85" s="267"/>
      <c r="J85" s="267"/>
      <c r="K85" s="247"/>
      <c r="L85" s="143"/>
      <c r="M85" s="216"/>
      <c r="N85" s="93"/>
      <c r="O85" s="93"/>
      <c r="Q85" s="8"/>
      <c r="R85" s="3"/>
      <c r="S85" s="3"/>
      <c r="T85" s="8"/>
      <c r="U85" s="3"/>
      <c r="V85" s="3"/>
      <c r="W85" s="8"/>
    </row>
    <row r="86" spans="1:23" ht="14.4" x14ac:dyDescent="0.3">
      <c r="A86" s="70" t="str">
        <f>'Sch M'!B89</f>
        <v>Commercial:</v>
      </c>
      <c r="B86" s="70"/>
      <c r="C86" s="274">
        <f>SUM('Sch M'!V91:V100)</f>
        <v>3960</v>
      </c>
      <c r="D86" s="95"/>
      <c r="E86" s="275">
        <f>SUM('Sch M'!T105:T111)</f>
        <v>688.38612315698197</v>
      </c>
      <c r="F86" s="275"/>
      <c r="G86" s="275">
        <f>SUM('Sch M'!V105:V111)</f>
        <v>3932</v>
      </c>
      <c r="H86" s="267"/>
      <c r="I86" s="267"/>
      <c r="J86" s="267"/>
      <c r="K86" s="247"/>
      <c r="L86" s="143"/>
      <c r="M86" s="216"/>
      <c r="N86" s="93"/>
      <c r="O86" s="93"/>
      <c r="Q86" s="8"/>
      <c r="R86" s="3"/>
      <c r="S86" s="3"/>
      <c r="T86" s="8"/>
      <c r="U86" s="3"/>
      <c r="V86" s="3"/>
      <c r="W86" s="8"/>
    </row>
    <row r="87" spans="1:23" ht="14.4" x14ac:dyDescent="0.3">
      <c r="A87" s="70"/>
      <c r="B87" s="70"/>
      <c r="C87" s="276"/>
      <c r="D87" s="145"/>
      <c r="E87" s="275"/>
      <c r="F87" s="275"/>
      <c r="G87" s="275"/>
      <c r="H87" s="267"/>
      <c r="I87" s="267"/>
      <c r="J87" s="267"/>
      <c r="K87" s="247"/>
      <c r="L87" s="143"/>
      <c r="M87" s="264"/>
      <c r="N87" s="247"/>
      <c r="O87" s="143"/>
      <c r="Q87" s="2"/>
      <c r="R87" s="15"/>
      <c r="S87" s="16"/>
      <c r="T87" s="17"/>
      <c r="U87" s="15"/>
      <c r="V87" s="16"/>
      <c r="W87" s="8"/>
    </row>
    <row r="88" spans="1:23" ht="14.4" x14ac:dyDescent="0.3">
      <c r="A88" s="70" t="str">
        <f>'Sch M'!B128</f>
        <v>Industrial:</v>
      </c>
      <c r="B88" s="70"/>
      <c r="C88" s="274">
        <f>SUM('Sch M'!V130:V138)</f>
        <v>0</v>
      </c>
      <c r="D88" s="95"/>
      <c r="E88" s="275">
        <f>SUM('Sch M'!T144:T150)</f>
        <v>0</v>
      </c>
      <c r="F88" s="275"/>
      <c r="G88" s="275">
        <f>SUM('Sch M'!V144:V150)</f>
        <v>0</v>
      </c>
      <c r="H88" s="267"/>
      <c r="I88" s="267"/>
      <c r="J88" s="267"/>
      <c r="K88" s="247"/>
      <c r="L88" s="143"/>
      <c r="M88" s="264"/>
      <c r="N88" s="247"/>
      <c r="O88" s="143"/>
      <c r="Q88" s="2"/>
      <c r="R88" s="15"/>
      <c r="S88" s="16"/>
      <c r="T88" s="17"/>
      <c r="U88" s="15"/>
      <c r="V88" s="16"/>
      <c r="W88" s="8"/>
    </row>
    <row r="89" spans="1:23" ht="14.4" x14ac:dyDescent="0.3">
      <c r="A89" s="70"/>
      <c r="B89" s="70"/>
      <c r="C89" s="276"/>
      <c r="D89" s="145"/>
      <c r="E89" s="275"/>
      <c r="F89" s="275"/>
      <c r="G89" s="275"/>
      <c r="H89" s="267"/>
      <c r="I89" s="267"/>
      <c r="J89" s="267"/>
      <c r="K89" s="247"/>
      <c r="L89" s="143"/>
      <c r="M89" s="264"/>
      <c r="N89" s="247"/>
      <c r="O89" s="143"/>
      <c r="Q89" s="2"/>
      <c r="R89" s="15"/>
      <c r="S89" s="16"/>
      <c r="T89" s="17"/>
      <c r="U89" s="15"/>
      <c r="V89" s="16"/>
      <c r="W89" s="8"/>
    </row>
    <row r="90" spans="1:23" ht="14.4" x14ac:dyDescent="0.3">
      <c r="A90" s="70" t="str">
        <f>'Sch M'!B167</f>
        <v>Other Public Authority:</v>
      </c>
      <c r="B90" s="70"/>
      <c r="C90" s="274">
        <f>SUM('Sch M'!V169:V178)</f>
        <v>0</v>
      </c>
      <c r="D90" s="95"/>
      <c r="E90" s="275">
        <f>SUM('Sch M'!T183:T189)</f>
        <v>0</v>
      </c>
      <c r="F90" s="275"/>
      <c r="G90" s="275">
        <f>SUM('Sch M'!V183:V189)</f>
        <v>0</v>
      </c>
      <c r="H90" s="267"/>
      <c r="I90" s="267"/>
      <c r="J90" s="267"/>
      <c r="K90" s="247"/>
      <c r="L90" s="143"/>
      <c r="M90" s="264"/>
      <c r="N90" s="247"/>
      <c r="O90" s="143"/>
      <c r="Q90" s="2"/>
      <c r="R90" s="15"/>
      <c r="S90" s="16"/>
      <c r="T90" s="17"/>
      <c r="U90" s="15"/>
      <c r="V90" s="16"/>
      <c r="W90" s="8"/>
    </row>
    <row r="91" spans="1:23" ht="14.4" x14ac:dyDescent="0.3">
      <c r="A91" s="70"/>
      <c r="B91" s="70"/>
      <c r="C91" s="276"/>
      <c r="D91" s="145"/>
      <c r="E91" s="275"/>
      <c r="F91" s="275"/>
      <c r="G91" s="275"/>
      <c r="H91" s="267"/>
      <c r="I91" s="267"/>
      <c r="J91" s="267"/>
      <c r="K91" s="252"/>
      <c r="L91" s="252"/>
      <c r="M91" s="264"/>
      <c r="N91" s="247"/>
      <c r="O91" s="143"/>
      <c r="Q91" s="2"/>
      <c r="R91" s="15"/>
      <c r="S91" s="16"/>
      <c r="T91" s="17"/>
      <c r="U91" s="15"/>
      <c r="V91" s="16"/>
      <c r="W91" s="8"/>
    </row>
    <row r="92" spans="1:23" ht="14.4" x14ac:dyDescent="0.3">
      <c r="A92" s="70" t="str">
        <f>'Sch M'!B206</f>
        <v>Sale for Resale:</v>
      </c>
      <c r="B92" s="70"/>
      <c r="C92" s="274">
        <f>SUM('Sch M'!V208:V217)</f>
        <v>0</v>
      </c>
      <c r="D92" s="95"/>
      <c r="E92" s="275">
        <f>SUM('Sch M'!T222:T230)</f>
        <v>0</v>
      </c>
      <c r="F92" s="275"/>
      <c r="G92" s="275">
        <f>SUM('Sch M'!V222:V230)</f>
        <v>0</v>
      </c>
      <c r="H92" s="267"/>
      <c r="I92" s="267"/>
      <c r="J92" s="267"/>
      <c r="K92" s="247"/>
      <c r="L92" s="143"/>
      <c r="M92" s="264"/>
      <c r="N92" s="247"/>
      <c r="O92" s="143"/>
      <c r="Q92" s="2"/>
      <c r="R92" s="15"/>
      <c r="S92" s="16"/>
      <c r="T92" s="17"/>
      <c r="U92" s="15"/>
      <c r="V92" s="16"/>
      <c r="W92" s="8"/>
    </row>
    <row r="93" spans="1:23" ht="14.4" x14ac:dyDescent="0.3">
      <c r="A93" s="70"/>
      <c r="B93" s="70"/>
      <c r="C93" s="276"/>
      <c r="D93" s="145"/>
      <c r="E93" s="275"/>
      <c r="F93" s="275"/>
      <c r="G93" s="275"/>
      <c r="H93" s="267"/>
      <c r="I93" s="267"/>
      <c r="J93" s="267"/>
      <c r="K93" s="70"/>
      <c r="L93" s="70"/>
      <c r="M93" s="264"/>
      <c r="N93" s="247"/>
      <c r="O93" s="143"/>
      <c r="Q93" s="2"/>
      <c r="R93" s="15"/>
      <c r="S93" s="16"/>
      <c r="T93" s="17"/>
      <c r="U93" s="15"/>
      <c r="V93" s="16"/>
      <c r="W93" s="8"/>
    </row>
    <row r="94" spans="1:23" ht="14.4" x14ac:dyDescent="0.3">
      <c r="A94" s="70" t="str">
        <f>'Sch M'!B246</f>
        <v>Private Fire Service:</v>
      </c>
      <c r="B94" s="70"/>
      <c r="C94" s="274">
        <f>SUM('Sch M'!V247:V255)</f>
        <v>0</v>
      </c>
      <c r="D94" s="145"/>
      <c r="E94" s="275">
        <f>'Sch M'!V100</f>
        <v>0</v>
      </c>
      <c r="F94" s="275"/>
      <c r="G94" s="275">
        <f>'Sch M'!V178</f>
        <v>0</v>
      </c>
      <c r="H94" s="267"/>
      <c r="I94" s="267"/>
      <c r="J94" s="267"/>
      <c r="K94" s="252"/>
      <c r="L94" s="252"/>
      <c r="M94" s="264"/>
      <c r="N94" s="247"/>
      <c r="O94" s="143"/>
      <c r="Q94" s="2"/>
      <c r="R94" s="15"/>
      <c r="S94" s="16"/>
      <c r="T94" s="17"/>
      <c r="U94" s="15"/>
      <c r="V94" s="16"/>
      <c r="W94" s="8"/>
    </row>
    <row r="95" spans="1:23" ht="14.4" x14ac:dyDescent="0.3">
      <c r="A95" s="70"/>
      <c r="B95" s="70"/>
      <c r="C95" s="276"/>
      <c r="D95" s="277"/>
      <c r="E95" s="275"/>
      <c r="F95" s="275"/>
      <c r="G95" s="275"/>
      <c r="H95" s="267"/>
      <c r="I95" s="267"/>
      <c r="J95" s="267"/>
      <c r="K95" s="252"/>
      <c r="L95" s="252"/>
      <c r="M95" s="264"/>
      <c r="N95" s="247"/>
      <c r="O95" s="143"/>
      <c r="Q95" s="2"/>
      <c r="R95" s="15"/>
      <c r="S95" s="16"/>
      <c r="T95" s="17"/>
      <c r="U95" s="15"/>
      <c r="V95" s="16"/>
      <c r="W95" s="8"/>
    </row>
    <row r="96" spans="1:23" ht="14.4" x14ac:dyDescent="0.3">
      <c r="A96" s="70" t="str">
        <f>'Sch M'!B265</f>
        <v>Public Fire Protection:</v>
      </c>
      <c r="B96" s="70"/>
      <c r="C96" s="274">
        <f>'Sch M'!V266</f>
        <v>0</v>
      </c>
      <c r="D96" s="277"/>
      <c r="E96" s="275"/>
      <c r="F96" s="275"/>
      <c r="G96" s="275"/>
      <c r="H96" s="267"/>
      <c r="I96" s="267"/>
      <c r="J96" s="267"/>
      <c r="K96" s="252"/>
      <c r="L96" s="252"/>
      <c r="M96" s="264"/>
      <c r="N96" s="247"/>
      <c r="O96" s="143"/>
      <c r="Q96" s="2"/>
      <c r="R96" s="15"/>
      <c r="S96" s="16"/>
      <c r="T96" s="17"/>
      <c r="U96" s="15"/>
      <c r="V96" s="16"/>
      <c r="W96" s="8"/>
    </row>
    <row r="97" spans="1:23" ht="14.4" x14ac:dyDescent="0.3">
      <c r="A97" s="70"/>
      <c r="B97" s="70"/>
      <c r="C97" s="276"/>
      <c r="D97" s="184"/>
      <c r="E97" s="275"/>
      <c r="F97" s="275"/>
      <c r="G97" s="275"/>
      <c r="H97" s="267"/>
      <c r="I97" s="267"/>
      <c r="J97" s="267"/>
      <c r="K97" s="252"/>
      <c r="L97" s="252"/>
      <c r="M97" s="252"/>
      <c r="N97" s="252"/>
      <c r="O97" s="252"/>
      <c r="Q97" s="11"/>
      <c r="R97" s="11"/>
      <c r="S97" s="8"/>
      <c r="T97" s="8"/>
      <c r="U97" s="8"/>
      <c r="V97" s="8"/>
      <c r="W97" s="8"/>
    </row>
    <row r="98" spans="1:23" ht="14.4" x14ac:dyDescent="0.3">
      <c r="A98" s="70" t="str">
        <f>'Sch M'!B289</f>
        <v>Miscellaneous:</v>
      </c>
      <c r="B98" s="99"/>
      <c r="C98" s="278">
        <f>'Sch M'!V313</f>
        <v>0</v>
      </c>
      <c r="D98" s="279"/>
      <c r="E98" s="275">
        <f>SUM('Sch M'!T305:T311)</f>
        <v>0</v>
      </c>
      <c r="F98" s="275"/>
      <c r="G98" s="275">
        <f>SUM('Sch M'!V305:V311)</f>
        <v>0</v>
      </c>
      <c r="H98" s="267"/>
      <c r="I98" s="267"/>
      <c r="J98" s="267"/>
      <c r="K98" s="254"/>
      <c r="L98" s="261"/>
      <c r="M98" s="252"/>
      <c r="N98" s="252"/>
      <c r="O98" s="252"/>
      <c r="Q98" s="11"/>
      <c r="R98" s="11"/>
      <c r="S98" s="8"/>
      <c r="T98" s="8"/>
      <c r="U98" s="8"/>
      <c r="V98" s="8"/>
      <c r="W98" s="8"/>
    </row>
    <row r="99" spans="1:23" ht="14.4" x14ac:dyDescent="0.3">
      <c r="A99" s="70"/>
      <c r="B99" s="70"/>
      <c r="C99" s="272"/>
      <c r="D99" s="143"/>
      <c r="E99" s="267"/>
      <c r="F99" s="267"/>
      <c r="G99" s="267"/>
      <c r="H99" s="267"/>
      <c r="I99" s="267"/>
      <c r="J99" s="267"/>
      <c r="K99" s="252"/>
      <c r="L99" s="252"/>
      <c r="M99" s="159"/>
      <c r="N99" s="159"/>
      <c r="O99" s="159"/>
    </row>
    <row r="100" spans="1:23" ht="14.4" x14ac:dyDescent="0.3">
      <c r="A100" s="70"/>
      <c r="B100" s="70"/>
      <c r="C100" s="272"/>
      <c r="D100" s="143"/>
      <c r="E100" s="267"/>
      <c r="F100" s="267"/>
      <c r="G100" s="267"/>
      <c r="H100" s="267"/>
      <c r="I100" s="267"/>
      <c r="J100" s="267"/>
      <c r="K100" s="93"/>
      <c r="L100" s="93"/>
      <c r="M100" s="159"/>
      <c r="N100" s="159"/>
      <c r="O100" s="159"/>
    </row>
    <row r="101" spans="1:23" ht="14.4" x14ac:dyDescent="0.3">
      <c r="A101" s="70"/>
      <c r="B101" s="70"/>
      <c r="C101" s="272"/>
      <c r="D101" s="143"/>
      <c r="E101" s="267"/>
      <c r="F101" s="267"/>
      <c r="G101" s="267"/>
      <c r="H101" s="267"/>
      <c r="I101" s="267"/>
      <c r="J101" s="267"/>
      <c r="K101" s="93"/>
      <c r="L101" s="93"/>
      <c r="M101" s="159"/>
      <c r="N101" s="159"/>
      <c r="O101" s="159"/>
    </row>
    <row r="102" spans="1:23" ht="14.4" x14ac:dyDescent="0.3">
      <c r="A102" s="70"/>
      <c r="B102" s="70"/>
      <c r="C102" s="272"/>
      <c r="D102" s="143"/>
      <c r="E102" s="267"/>
      <c r="F102" s="267"/>
      <c r="G102" s="267"/>
      <c r="H102" s="267"/>
      <c r="I102" s="267"/>
      <c r="J102" s="267"/>
      <c r="K102" s="247"/>
      <c r="L102" s="143"/>
      <c r="M102" s="159"/>
      <c r="N102" s="159"/>
      <c r="O102" s="159"/>
    </row>
    <row r="103" spans="1:23" ht="14.4" x14ac:dyDescent="0.3">
      <c r="A103" s="70"/>
      <c r="B103" s="70"/>
      <c r="C103" s="272"/>
      <c r="D103" s="143"/>
      <c r="E103" s="267"/>
      <c r="F103" s="267"/>
      <c r="G103" s="267"/>
      <c r="H103" s="267"/>
      <c r="I103" s="267"/>
      <c r="J103" s="267"/>
      <c r="K103" s="247"/>
      <c r="L103" s="143"/>
      <c r="M103" s="159"/>
      <c r="N103" s="159"/>
      <c r="O103" s="159"/>
    </row>
    <row r="104" spans="1:23" ht="14.4" x14ac:dyDescent="0.3">
      <c r="A104" s="70"/>
      <c r="B104" s="70"/>
      <c r="C104" s="272"/>
      <c r="D104" s="143"/>
      <c r="E104" s="267"/>
      <c r="F104" s="267"/>
      <c r="G104" s="267"/>
      <c r="H104" s="267"/>
      <c r="I104" s="267"/>
      <c r="J104" s="267"/>
      <c r="K104" s="247"/>
      <c r="L104" s="143"/>
      <c r="M104" s="159"/>
      <c r="N104" s="159"/>
      <c r="O104" s="159"/>
    </row>
    <row r="105" spans="1:23" ht="14.4" x14ac:dyDescent="0.3">
      <c r="A105" s="83"/>
      <c r="B105" s="83"/>
      <c r="C105" s="272"/>
      <c r="D105" s="143"/>
      <c r="E105" s="267"/>
      <c r="F105" s="267"/>
      <c r="G105" s="267"/>
      <c r="H105" s="267"/>
      <c r="I105" s="267"/>
      <c r="J105" s="267"/>
      <c r="K105" s="247"/>
      <c r="L105" s="143"/>
      <c r="M105" s="159"/>
      <c r="N105" s="159"/>
      <c r="O105" s="159"/>
    </row>
    <row r="106" spans="1:23" ht="14.4" x14ac:dyDescent="0.3">
      <c r="A106" s="70" t="s">
        <v>205</v>
      </c>
      <c r="B106" s="70"/>
      <c r="C106" s="307">
        <f>SUM('Sch M'!Q66:Q73,'Sch M'!Q105:Q111,'Sch M'!Q144:Q149,'Sch M'!Q183:Q189,'Sch M'!Q222:Q230,'Sch M'!Q305:Q311)</f>
        <v>103962</v>
      </c>
      <c r="D106" s="143"/>
      <c r="E106" s="267"/>
      <c r="F106" s="267"/>
      <c r="G106" s="267"/>
      <c r="H106" s="267"/>
      <c r="I106" s="267"/>
      <c r="J106" s="267"/>
      <c r="K106" s="247"/>
      <c r="L106" s="143"/>
      <c r="M106" s="159"/>
      <c r="N106" s="159"/>
      <c r="O106" s="159"/>
    </row>
    <row r="107" spans="1:23" ht="14.4" x14ac:dyDescent="0.3">
      <c r="A107" s="70"/>
      <c r="B107" s="70"/>
      <c r="C107" s="272"/>
      <c r="D107" s="143"/>
      <c r="E107" s="267"/>
      <c r="F107" s="267"/>
      <c r="G107" s="267"/>
      <c r="H107" s="267"/>
      <c r="I107" s="267"/>
      <c r="J107" s="267"/>
      <c r="K107" s="247"/>
      <c r="L107" s="143"/>
      <c r="M107" s="159"/>
      <c r="N107" s="159"/>
      <c r="O107" s="159"/>
    </row>
    <row r="108" spans="1:23" ht="14.4" x14ac:dyDescent="0.3">
      <c r="A108" s="272"/>
      <c r="B108" s="272"/>
      <c r="C108" s="272"/>
      <c r="D108" s="216"/>
      <c r="E108" s="267"/>
      <c r="F108" s="267"/>
      <c r="G108" s="267"/>
      <c r="H108" s="267"/>
      <c r="I108" s="267"/>
      <c r="J108" s="267"/>
      <c r="K108" s="252"/>
      <c r="L108" s="252"/>
      <c r="M108" s="159"/>
      <c r="N108" s="159"/>
      <c r="O108" s="159"/>
    </row>
    <row r="109" spans="1:23" ht="14.4" x14ac:dyDescent="0.3">
      <c r="A109" s="70"/>
      <c r="B109" s="247"/>
      <c r="C109" s="143"/>
      <c r="D109" s="143"/>
      <c r="E109" s="247"/>
      <c r="F109" s="143"/>
      <c r="G109" s="252"/>
      <c r="H109" s="247"/>
      <c r="I109" s="143"/>
      <c r="J109" s="70"/>
      <c r="K109" s="247"/>
      <c r="L109" s="143"/>
      <c r="M109" s="159"/>
      <c r="N109" s="159"/>
      <c r="O109" s="159"/>
    </row>
    <row r="110" spans="1:23" ht="14.4" x14ac:dyDescent="0.3">
      <c r="A110" s="70"/>
      <c r="B110" s="70"/>
      <c r="C110" s="70"/>
      <c r="D110" s="70"/>
      <c r="E110" s="70"/>
      <c r="F110" s="70"/>
      <c r="G110" s="252"/>
      <c r="H110" s="70"/>
      <c r="I110" s="70"/>
      <c r="J110" s="70"/>
      <c r="K110" s="70"/>
      <c r="L110" s="70"/>
      <c r="M110" s="159"/>
      <c r="N110" s="159"/>
      <c r="O110" s="159"/>
    </row>
    <row r="111" spans="1:23" ht="14.4" x14ac:dyDescent="0.3">
      <c r="A111" s="83"/>
      <c r="B111" s="252"/>
      <c r="C111" s="252"/>
      <c r="D111" s="252"/>
      <c r="E111" s="252"/>
      <c r="F111" s="252"/>
      <c r="G111" s="252"/>
      <c r="H111" s="252"/>
      <c r="I111" s="252"/>
      <c r="J111" s="83"/>
      <c r="K111" s="252"/>
      <c r="L111" s="252"/>
      <c r="M111" s="159"/>
      <c r="N111" s="159"/>
      <c r="O111" s="159"/>
    </row>
    <row r="112" spans="1:23" ht="14.4" x14ac:dyDescent="0.3">
      <c r="A112" s="150"/>
      <c r="B112" s="150"/>
      <c r="C112" s="150"/>
      <c r="D112" s="150"/>
      <c r="E112" s="150"/>
      <c r="F112" s="150"/>
      <c r="G112" s="159"/>
      <c r="H112" s="159"/>
      <c r="I112" s="159"/>
      <c r="J112" s="159"/>
      <c r="K112" s="159"/>
      <c r="L112" s="159"/>
      <c r="M112" s="159"/>
      <c r="N112" s="159"/>
      <c r="O112" s="159"/>
    </row>
    <row r="113" spans="1:18" ht="14.4" x14ac:dyDescent="0.3">
      <c r="A113" s="150"/>
      <c r="B113" s="150"/>
      <c r="C113" s="150"/>
      <c r="D113" s="150"/>
      <c r="E113" s="150"/>
      <c r="F113" s="150"/>
      <c r="G113" s="159"/>
      <c r="H113" s="159"/>
      <c r="I113" s="159"/>
      <c r="J113" s="159"/>
      <c r="K113" s="159"/>
      <c r="L113" s="159"/>
      <c r="M113" s="159"/>
      <c r="N113" s="159"/>
      <c r="O113" s="159"/>
    </row>
    <row r="114" spans="1:18" ht="14.4" x14ac:dyDescent="0.3">
      <c r="A114" s="150"/>
      <c r="B114" s="150"/>
      <c r="C114" s="150"/>
      <c r="D114" s="150"/>
      <c r="E114" s="150"/>
      <c r="F114" s="150"/>
      <c r="G114" s="159"/>
      <c r="H114" s="159"/>
      <c r="I114" s="159"/>
      <c r="J114" s="159"/>
      <c r="K114" s="159"/>
      <c r="L114" s="159"/>
      <c r="M114" s="159"/>
      <c r="N114" s="159"/>
      <c r="O114" s="159"/>
    </row>
    <row r="115" spans="1:18" ht="14.4" x14ac:dyDescent="0.3">
      <c r="A115" s="193"/>
      <c r="B115" s="193"/>
      <c r="C115" s="193"/>
      <c r="D115" s="235"/>
      <c r="E115" s="235"/>
      <c r="F115" s="235"/>
      <c r="G115" s="235"/>
      <c r="H115" s="235"/>
      <c r="I115" s="159"/>
      <c r="J115" s="159"/>
      <c r="K115" s="159"/>
      <c r="L115" s="159"/>
      <c r="M115" s="159"/>
      <c r="N115" s="159"/>
      <c r="O115" s="159"/>
      <c r="P115"/>
      <c r="Q115"/>
      <c r="R115"/>
    </row>
    <row r="116" spans="1:18" ht="14.4" x14ac:dyDescent="0.3">
      <c r="A116" s="150"/>
      <c r="B116" s="82"/>
      <c r="C116" s="280"/>
      <c r="D116" s="159"/>
      <c r="E116" s="82"/>
      <c r="F116" s="280"/>
      <c r="G116" s="159"/>
      <c r="H116" s="82"/>
      <c r="I116" s="280"/>
      <c r="J116" s="159"/>
      <c r="K116" s="159"/>
      <c r="L116" s="159"/>
      <c r="M116" s="159"/>
      <c r="N116" s="159"/>
      <c r="O116" s="159"/>
      <c r="P116"/>
      <c r="Q116"/>
      <c r="R116"/>
    </row>
    <row r="117" spans="1:18" ht="14.4" x14ac:dyDescent="0.3">
      <c r="A117" s="150"/>
      <c r="B117" s="82"/>
      <c r="C117" s="280"/>
      <c r="D117" s="159"/>
      <c r="E117" s="82"/>
      <c r="F117" s="280"/>
      <c r="G117" s="159"/>
      <c r="H117" s="82"/>
      <c r="I117" s="280"/>
      <c r="J117" s="159"/>
      <c r="K117" s="159"/>
      <c r="L117" s="159"/>
      <c r="M117" s="159"/>
      <c r="N117" s="159"/>
      <c r="O117" s="159"/>
      <c r="P117"/>
      <c r="Q117"/>
      <c r="R117"/>
    </row>
    <row r="118" spans="1:18" ht="14.4" x14ac:dyDescent="0.3">
      <c r="A118" s="150"/>
      <c r="B118" s="82"/>
      <c r="C118" s="280"/>
      <c r="D118" s="159"/>
      <c r="E118" s="82"/>
      <c r="F118" s="280"/>
      <c r="G118" s="159"/>
      <c r="H118" s="82"/>
      <c r="I118" s="280"/>
      <c r="J118" s="159"/>
      <c r="K118" s="159"/>
      <c r="L118" s="159"/>
      <c r="M118" s="159"/>
      <c r="N118" s="159"/>
      <c r="O118" s="159"/>
      <c r="P118"/>
      <c r="Q118"/>
      <c r="R118"/>
    </row>
    <row r="119" spans="1:18" ht="14.4" x14ac:dyDescent="0.3">
      <c r="A119" s="150"/>
      <c r="B119" s="82"/>
      <c r="C119" s="280"/>
      <c r="D119" s="159"/>
      <c r="E119" s="82"/>
      <c r="F119" s="280"/>
      <c r="G119" s="159"/>
      <c r="H119" s="82"/>
      <c r="I119" s="280"/>
      <c r="J119" s="159"/>
      <c r="K119" s="159"/>
      <c r="L119" s="159"/>
      <c r="M119" s="159"/>
      <c r="N119" s="159"/>
      <c r="O119" s="159"/>
      <c r="P119"/>
      <c r="Q119"/>
      <c r="R119"/>
    </row>
    <row r="120" spans="1:18" ht="14.4" x14ac:dyDescent="0.3">
      <c r="A120" s="150"/>
      <c r="B120" s="82"/>
      <c r="C120" s="280"/>
      <c r="D120" s="159"/>
      <c r="E120" s="82"/>
      <c r="F120" s="280"/>
      <c r="G120" s="159"/>
      <c r="H120" s="82"/>
      <c r="I120" s="280"/>
      <c r="J120" s="159"/>
      <c r="K120" s="159"/>
      <c r="L120" s="159"/>
      <c r="M120" s="159"/>
      <c r="N120" s="159"/>
      <c r="O120" s="159"/>
      <c r="P120"/>
      <c r="Q120"/>
      <c r="R120"/>
    </row>
    <row r="121" spans="1:18" ht="14.4" x14ac:dyDescent="0.3">
      <c r="A121" s="193"/>
      <c r="B121" s="281"/>
      <c r="C121" s="193"/>
      <c r="D121" s="235"/>
      <c r="E121" s="281"/>
      <c r="F121" s="235"/>
      <c r="G121" s="235"/>
      <c r="H121" s="281"/>
      <c r="I121" s="159"/>
      <c r="J121" s="159"/>
      <c r="K121" s="159"/>
      <c r="L121" s="159"/>
      <c r="M121" s="159"/>
      <c r="N121" s="159"/>
      <c r="O121" s="159"/>
      <c r="P121"/>
      <c r="Q121"/>
      <c r="R121"/>
    </row>
    <row r="122" spans="1:18" ht="14.4" x14ac:dyDescent="0.3">
      <c r="A122" s="150"/>
      <c r="B122" s="150"/>
      <c r="C122" s="150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/>
      <c r="Q122"/>
      <c r="R122"/>
    </row>
    <row r="123" spans="1:18" ht="14.4" x14ac:dyDescent="0.3">
      <c r="A123" s="150"/>
      <c r="B123" s="82"/>
      <c r="C123" s="150"/>
      <c r="D123" s="159"/>
      <c r="E123" s="82"/>
      <c r="F123" s="159"/>
      <c r="G123" s="159"/>
      <c r="H123" s="82"/>
      <c r="I123" s="159"/>
      <c r="J123" s="159"/>
      <c r="K123" s="159"/>
      <c r="L123" s="159"/>
      <c r="M123" s="159"/>
      <c r="N123" s="159"/>
      <c r="O123" s="159"/>
      <c r="P123"/>
      <c r="Q123"/>
      <c r="R123"/>
    </row>
    <row r="124" spans="1:18" ht="14.4" x14ac:dyDescent="0.3">
      <c r="A124" s="150"/>
      <c r="B124" s="150"/>
      <c r="C124" s="150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/>
      <c r="Q124"/>
      <c r="R124"/>
    </row>
    <row r="125" spans="1:18" ht="14.4" x14ac:dyDescent="0.3">
      <c r="A125" s="193"/>
      <c r="B125" s="150"/>
      <c r="C125" s="150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/>
      <c r="Q125"/>
      <c r="R125"/>
    </row>
    <row r="126" spans="1:18" ht="14.4" x14ac:dyDescent="0.3">
      <c r="A126" s="150"/>
      <c r="B126" s="200"/>
      <c r="C126" s="282"/>
      <c r="D126" s="159"/>
      <c r="E126" s="200"/>
      <c r="F126" s="159"/>
      <c r="G126" s="159"/>
      <c r="H126" s="200"/>
      <c r="I126" s="159"/>
      <c r="J126" s="159"/>
      <c r="K126" s="159"/>
      <c r="L126" s="159"/>
      <c r="M126" s="159"/>
      <c r="N126" s="159"/>
      <c r="O126" s="159"/>
      <c r="P126"/>
      <c r="Q126"/>
      <c r="R126"/>
    </row>
    <row r="127" spans="1:18" ht="14.4" x14ac:dyDescent="0.3">
      <c r="A127" s="150"/>
      <c r="B127" s="200"/>
      <c r="C127" s="150"/>
      <c r="D127" s="159"/>
      <c r="E127" s="200"/>
      <c r="F127" s="159"/>
      <c r="G127" s="159"/>
      <c r="H127" s="200"/>
      <c r="I127" s="159"/>
      <c r="J127" s="159"/>
      <c r="K127" s="159"/>
      <c r="L127" s="159"/>
      <c r="M127" s="159"/>
      <c r="N127" s="159"/>
      <c r="O127" s="159"/>
      <c r="P127"/>
      <c r="Q127"/>
      <c r="R127"/>
    </row>
    <row r="128" spans="1:18" ht="14.4" x14ac:dyDescent="0.3">
      <c r="A128" s="150"/>
      <c r="B128" s="200"/>
      <c r="C128" s="150"/>
      <c r="D128" s="159"/>
      <c r="E128" s="200"/>
      <c r="F128" s="159"/>
      <c r="G128" s="159"/>
      <c r="H128" s="200"/>
      <c r="I128" s="159"/>
      <c r="J128" s="159"/>
      <c r="K128" s="159"/>
      <c r="L128" s="159"/>
      <c r="M128" s="159"/>
      <c r="N128" s="159"/>
      <c r="O128" s="159"/>
      <c r="P128"/>
      <c r="Q128"/>
      <c r="R128"/>
    </row>
    <row r="129" spans="1:18" ht="14.4" x14ac:dyDescent="0.3">
      <c r="A129" s="150"/>
      <c r="B129" s="200"/>
      <c r="C129" s="150"/>
      <c r="D129" s="159"/>
      <c r="E129" s="200"/>
      <c r="F129" s="159"/>
      <c r="G129" s="159"/>
      <c r="H129" s="200"/>
      <c r="I129" s="159"/>
      <c r="J129" s="159"/>
      <c r="K129" s="159"/>
      <c r="L129" s="159"/>
      <c r="M129" s="159"/>
      <c r="N129" s="159"/>
      <c r="O129" s="159"/>
      <c r="P129"/>
      <c r="Q129"/>
      <c r="R129"/>
    </row>
    <row r="130" spans="1:18" ht="14.4" x14ac:dyDescent="0.3">
      <c r="A130" s="150"/>
      <c r="B130" s="200"/>
      <c r="C130" s="150"/>
      <c r="D130" s="159"/>
      <c r="E130" s="200"/>
      <c r="F130" s="159"/>
      <c r="G130" s="159"/>
      <c r="H130" s="200"/>
      <c r="I130" s="159"/>
      <c r="J130" s="159"/>
      <c r="K130" s="159"/>
      <c r="L130" s="159"/>
      <c r="M130" s="159"/>
      <c r="N130" s="159"/>
      <c r="O130" s="159"/>
      <c r="P130"/>
      <c r="Q130"/>
      <c r="R130"/>
    </row>
    <row r="131" spans="1:18" ht="14.4" x14ac:dyDescent="0.3">
      <c r="A131" s="193"/>
      <c r="B131" s="283"/>
      <c r="C131" s="193"/>
      <c r="D131" s="235"/>
      <c r="E131" s="283"/>
      <c r="F131" s="235"/>
      <c r="G131" s="235"/>
      <c r="H131" s="283"/>
      <c r="I131" s="159"/>
      <c r="J131" s="159"/>
      <c r="K131" s="159"/>
      <c r="L131" s="159"/>
      <c r="M131" s="159"/>
      <c r="N131" s="159"/>
      <c r="O131" s="159"/>
      <c r="P131"/>
      <c r="Q131"/>
      <c r="R131"/>
    </row>
    <row r="132" spans="1:18" ht="14.4" x14ac:dyDescent="0.3">
      <c r="A132" s="150"/>
      <c r="B132" s="150"/>
      <c r="C132" s="150"/>
      <c r="D132" s="159"/>
      <c r="E132" s="150"/>
      <c r="F132" s="159"/>
      <c r="G132" s="159"/>
      <c r="H132" s="150"/>
      <c r="I132" s="159"/>
      <c r="J132" s="159"/>
      <c r="K132" s="159"/>
      <c r="L132" s="159"/>
      <c r="M132" s="159"/>
      <c r="N132" s="159"/>
      <c r="O132" s="159"/>
      <c r="P132"/>
      <c r="Q132"/>
      <c r="R132"/>
    </row>
    <row r="133" spans="1:18" ht="14.4" x14ac:dyDescent="0.3">
      <c r="A133" s="150"/>
      <c r="B133" s="150"/>
      <c r="C133" s="150"/>
      <c r="D133" s="159"/>
      <c r="E133" s="150"/>
      <c r="F133" s="159"/>
      <c r="G133" s="159"/>
      <c r="H133" s="150"/>
      <c r="I133" s="159"/>
      <c r="J133" s="159"/>
      <c r="K133" s="159"/>
      <c r="L133" s="159"/>
      <c r="M133" s="159"/>
      <c r="N133" s="159"/>
      <c r="O133" s="159"/>
      <c r="P133"/>
      <c r="Q133"/>
      <c r="R133"/>
    </row>
    <row r="134" spans="1:18" ht="14.4" x14ac:dyDescent="0.3">
      <c r="A134" s="193"/>
      <c r="B134" s="150"/>
      <c r="C134" s="150"/>
      <c r="D134" s="159"/>
      <c r="E134" s="150"/>
      <c r="F134" s="159"/>
      <c r="G134" s="159"/>
      <c r="H134" s="150"/>
      <c r="I134" s="159"/>
      <c r="J134" s="159"/>
      <c r="K134" s="159"/>
      <c r="L134" s="159"/>
      <c r="M134" s="159"/>
      <c r="N134" s="159"/>
      <c r="O134" s="159"/>
      <c r="P134"/>
      <c r="Q134"/>
      <c r="R134"/>
    </row>
    <row r="135" spans="1:18" ht="14.4" x14ac:dyDescent="0.3">
      <c r="A135" s="150"/>
      <c r="B135" s="82"/>
      <c r="C135" s="150"/>
      <c r="D135" s="159"/>
      <c r="E135" s="82"/>
      <c r="F135" s="159"/>
      <c r="G135" s="159"/>
      <c r="H135" s="82"/>
      <c r="I135" s="159"/>
      <c r="J135" s="159"/>
      <c r="K135" s="159"/>
      <c r="L135" s="159"/>
      <c r="M135" s="159"/>
      <c r="N135" s="159"/>
      <c r="O135" s="159"/>
      <c r="P135"/>
      <c r="Q135"/>
      <c r="R135"/>
    </row>
    <row r="136" spans="1:18" ht="14.4" x14ac:dyDescent="0.3">
      <c r="A136" s="150"/>
      <c r="B136" s="82"/>
      <c r="C136" s="150"/>
      <c r="D136" s="159"/>
      <c r="E136" s="82"/>
      <c r="F136" s="159"/>
      <c r="G136" s="159"/>
      <c r="H136" s="82"/>
      <c r="I136" s="159"/>
      <c r="J136" s="159"/>
      <c r="K136" s="159"/>
      <c r="L136" s="159"/>
      <c r="M136" s="159"/>
      <c r="N136" s="159"/>
      <c r="O136" s="159"/>
      <c r="P136"/>
      <c r="Q136"/>
      <c r="R136"/>
    </row>
    <row r="137" spans="1:18" ht="14.4" x14ac:dyDescent="0.3">
      <c r="A137" s="150"/>
      <c r="B137" s="82"/>
      <c r="C137" s="150"/>
      <c r="D137" s="159"/>
      <c r="E137" s="82"/>
      <c r="F137" s="159"/>
      <c r="G137" s="159"/>
      <c r="H137" s="82"/>
      <c r="I137" s="159"/>
      <c r="J137" s="159"/>
      <c r="K137" s="159"/>
      <c r="L137" s="159"/>
      <c r="M137" s="159"/>
      <c r="N137" s="159"/>
      <c r="O137" s="159"/>
      <c r="P137"/>
      <c r="Q137"/>
      <c r="R137"/>
    </row>
    <row r="138" spans="1:18" ht="14.4" x14ac:dyDescent="0.3">
      <c r="A138" s="150"/>
      <c r="B138" s="82"/>
      <c r="C138" s="150"/>
      <c r="D138" s="159"/>
      <c r="E138" s="82"/>
      <c r="F138" s="159"/>
      <c r="G138" s="159"/>
      <c r="H138" s="82"/>
      <c r="I138" s="159"/>
      <c r="J138" s="159"/>
      <c r="K138" s="159"/>
      <c r="L138" s="159"/>
      <c r="M138" s="159"/>
      <c r="N138" s="159"/>
      <c r="O138" s="159"/>
      <c r="P138"/>
      <c r="Q138"/>
      <c r="R138"/>
    </row>
    <row r="139" spans="1:18" ht="14.4" x14ac:dyDescent="0.3">
      <c r="A139" s="150"/>
      <c r="B139" s="82"/>
      <c r="C139" s="150"/>
      <c r="D139" s="159"/>
      <c r="E139" s="82"/>
      <c r="F139" s="159"/>
      <c r="G139" s="159"/>
      <c r="H139" s="82"/>
      <c r="I139" s="159"/>
      <c r="J139" s="159"/>
      <c r="K139" s="159"/>
      <c r="L139" s="159"/>
      <c r="M139" s="159"/>
      <c r="N139" s="159"/>
      <c r="O139" s="159"/>
      <c r="P139"/>
      <c r="Q139"/>
      <c r="R139"/>
    </row>
    <row r="140" spans="1:18" ht="14.4" x14ac:dyDescent="0.3">
      <c r="A140" s="193"/>
      <c r="B140" s="281"/>
      <c r="C140" s="193"/>
      <c r="D140" s="235"/>
      <c r="E140" s="281"/>
      <c r="F140" s="235"/>
      <c r="G140" s="235"/>
      <c r="H140" s="281"/>
      <c r="I140" s="159"/>
      <c r="J140" s="159"/>
      <c r="K140" s="159"/>
      <c r="L140" s="159"/>
      <c r="M140" s="159"/>
      <c r="N140" s="159"/>
      <c r="O140" s="159"/>
      <c r="P140"/>
      <c r="Q140"/>
      <c r="R140"/>
    </row>
    <row r="141" spans="1:18" ht="14.4" x14ac:dyDescent="0.3">
      <c r="A141" s="150"/>
      <c r="B141" s="150"/>
      <c r="C141" s="150"/>
      <c r="D141" s="150"/>
      <c r="E141" s="150"/>
      <c r="F141" s="150"/>
      <c r="G141" s="159"/>
      <c r="H141" s="159"/>
      <c r="I141" s="159"/>
      <c r="J141" s="159"/>
      <c r="K141" s="159"/>
      <c r="L141" s="159"/>
      <c r="M141" s="159"/>
      <c r="N141" s="159"/>
      <c r="O141" s="159"/>
    </row>
    <row r="142" spans="1:18" ht="14.4" x14ac:dyDescent="0.3">
      <c r="A142" s="150"/>
      <c r="B142" s="150"/>
      <c r="C142" s="150"/>
      <c r="D142" s="150"/>
      <c r="E142" s="150"/>
      <c r="F142" s="150"/>
      <c r="G142" s="159"/>
      <c r="H142" s="159"/>
      <c r="I142" s="159"/>
      <c r="J142" s="159"/>
      <c r="K142" s="159"/>
      <c r="L142" s="159"/>
      <c r="M142" s="159"/>
      <c r="N142" s="159"/>
      <c r="O142" s="159"/>
    </row>
    <row r="143" spans="1:18" ht="14.4" x14ac:dyDescent="0.3">
      <c r="A143" s="193"/>
      <c r="B143" s="150"/>
      <c r="C143" s="150"/>
      <c r="D143" s="150"/>
      <c r="E143" s="150"/>
      <c r="F143" s="150"/>
      <c r="G143" s="159"/>
      <c r="H143" s="159"/>
      <c r="I143" s="159"/>
      <c r="J143" s="159"/>
      <c r="K143" s="159"/>
      <c r="L143" s="159"/>
      <c r="M143" s="159"/>
      <c r="N143" s="159"/>
      <c r="O143" s="159"/>
    </row>
    <row r="144" spans="1:18" ht="14.4" x14ac:dyDescent="0.3">
      <c r="A144" s="150"/>
      <c r="B144" s="244"/>
      <c r="C144" s="150"/>
      <c r="D144" s="150"/>
      <c r="E144" s="150"/>
      <c r="F144" s="150"/>
      <c r="G144" s="159"/>
      <c r="H144" s="159"/>
      <c r="I144" s="159"/>
      <c r="J144" s="159"/>
      <c r="K144" s="159"/>
      <c r="L144" s="159"/>
      <c r="M144" s="159"/>
      <c r="N144" s="159"/>
      <c r="O144" s="159"/>
    </row>
    <row r="145" spans="1:15" ht="14.4" x14ac:dyDescent="0.3">
      <c r="A145" s="150"/>
      <c r="B145" s="244"/>
      <c r="C145" s="150"/>
      <c r="D145" s="150"/>
      <c r="E145" s="150"/>
      <c r="F145" s="150"/>
      <c r="G145" s="159"/>
      <c r="H145" s="159"/>
      <c r="I145" s="159"/>
      <c r="J145" s="159"/>
      <c r="K145" s="159"/>
      <c r="L145" s="159"/>
      <c r="M145" s="159"/>
      <c r="N145" s="159"/>
      <c r="O145" s="159"/>
    </row>
    <row r="146" spans="1:15" x14ac:dyDescent="0.25">
      <c r="B146" s="7"/>
    </row>
    <row r="147" spans="1:15" x14ac:dyDescent="0.25">
      <c r="B147" s="7"/>
    </row>
    <row r="148" spans="1:15" x14ac:dyDescent="0.25">
      <c r="B148" s="7"/>
    </row>
  </sheetData>
  <mergeCells count="9">
    <mergeCell ref="B47:C47"/>
    <mergeCell ref="E47:F47"/>
    <mergeCell ref="E64:F64"/>
    <mergeCell ref="R8:S8"/>
    <mergeCell ref="J6:O6"/>
    <mergeCell ref="B29:C29"/>
    <mergeCell ref="B8:D8"/>
    <mergeCell ref="F8:H8"/>
    <mergeCell ref="L8:M8"/>
  </mergeCells>
  <phoneticPr fontId="0" type="noConversion"/>
  <pageMargins left="0.25" right="0.25" top="1" bottom="1" header="0.5" footer="0.5"/>
  <pageSetup scale="73" orientation="landscape" r:id="rId1"/>
  <headerFooter alignWithMargins="0">
    <oddFooter>&amp;L&amp;D   &amp;T&amp;C&amp;F   &amp;A&amp;R&amp;P of &amp;N</oddFooter>
  </headerFooter>
  <rowBreaks count="2" manualBreakCount="2">
    <brk id="43" max="12" man="1"/>
    <brk id="80" max="12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179"/>
  <sheetViews>
    <sheetView topLeftCell="A145" zoomScale="80" zoomScaleNormal="80" workbookViewId="0">
      <selection activeCell="C176" sqref="C176"/>
    </sheetView>
  </sheetViews>
  <sheetFormatPr defaultColWidth="8.88671875" defaultRowHeight="13.2" x14ac:dyDescent="0.25"/>
  <cols>
    <col min="1" max="1" width="30.109375" style="4" customWidth="1"/>
    <col min="2" max="2" width="16" style="4" customWidth="1"/>
    <col min="3" max="3" width="14.44140625" style="4" bestFit="1" customWidth="1"/>
    <col min="4" max="4" width="15.44140625" style="4" bestFit="1" customWidth="1"/>
    <col min="5" max="5" width="11.5546875" style="4" bestFit="1" customWidth="1"/>
    <col min="6" max="6" width="12.5546875" style="4" customWidth="1"/>
    <col min="7" max="7" width="14" style="4" customWidth="1"/>
    <col min="8" max="8" width="14.109375" style="4" customWidth="1"/>
    <col min="9" max="9" width="15.5546875" style="4" customWidth="1"/>
    <col min="10" max="16" width="12.5546875" style="4" customWidth="1"/>
    <col min="17" max="17" width="11.5546875" style="4" customWidth="1"/>
    <col min="18" max="18" width="13.44140625" style="4" customWidth="1"/>
    <col min="19" max="19" width="12.88671875" style="4" customWidth="1"/>
    <col min="20" max="21" width="10.5546875" style="4" customWidth="1"/>
    <col min="22" max="22" width="11.88671875" style="4" customWidth="1"/>
    <col min="23" max="23" width="13.5546875" style="4" customWidth="1"/>
    <col min="24" max="24" width="13.44140625" style="4" customWidth="1"/>
    <col min="25" max="25" width="11.5546875" style="4" customWidth="1"/>
    <col min="26" max="26" width="12.5546875" style="4" customWidth="1"/>
    <col min="27" max="27" width="13.44140625" style="4" customWidth="1"/>
    <col min="28" max="28" width="12.88671875" style="4" customWidth="1"/>
    <col min="29" max="30" width="8.88671875" style="4"/>
    <col min="31" max="31" width="13" style="4" bestFit="1" customWidth="1"/>
    <col min="32" max="16384" width="8.88671875" style="4"/>
  </cols>
  <sheetData>
    <row r="1" spans="1:29" ht="14.4" x14ac:dyDescent="0.3">
      <c r="A1" s="149" t="str">
        <f>'[1]Rate Case Constants'!$C$9</f>
        <v>Kentucky American Water Company</v>
      </c>
      <c r="B1" s="149"/>
      <c r="C1" s="150"/>
      <c r="D1" s="150"/>
      <c r="E1" s="150"/>
      <c r="F1" s="150"/>
      <c r="G1" s="150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0"/>
      <c r="U1" s="150"/>
    </row>
    <row r="2" spans="1:29" ht="14.4" x14ac:dyDescent="0.3">
      <c r="A2" s="149" t="str">
        <f>'[1]Rate Case Constants'!$C$11</f>
        <v>Case No. 2018-00358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9" ht="14.4" x14ac:dyDescent="0.3">
      <c r="A3" s="149" t="str">
        <f>'[1]Rate Case Constants'!$C$15</f>
        <v>Base Year for the 12 Months Ended February 28, 2019</v>
      </c>
      <c r="B3" s="149"/>
      <c r="C3" s="150"/>
      <c r="D3" s="150"/>
      <c r="E3" s="150"/>
      <c r="F3" s="150"/>
      <c r="G3" s="150"/>
      <c r="H3" s="150"/>
      <c r="I3" s="152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9" ht="15" thickBot="1" x14ac:dyDescent="0.3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1:29" ht="15" thickTop="1" x14ac:dyDescent="0.3">
      <c r="A5" s="153" t="str">
        <f>A1</f>
        <v>Kentucky American Water Company</v>
      </c>
      <c r="B5" s="154"/>
      <c r="C5" s="155"/>
      <c r="D5" s="155"/>
      <c r="E5" s="155"/>
      <c r="F5" s="155"/>
      <c r="G5" s="155"/>
      <c r="H5" s="154"/>
      <c r="I5" s="156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6"/>
      <c r="W5" s="6"/>
      <c r="X5" s="6"/>
      <c r="Y5" s="6"/>
      <c r="Z5" s="6"/>
      <c r="AA5" s="6"/>
      <c r="AB5" s="6"/>
      <c r="AC5" s="6"/>
    </row>
    <row r="6" spans="1:29" ht="14.4" x14ac:dyDescent="0.3">
      <c r="A6" s="157"/>
      <c r="B6" s="319" t="s">
        <v>119</v>
      </c>
      <c r="C6" s="319"/>
      <c r="D6" s="319"/>
      <c r="E6" s="319"/>
      <c r="F6" s="319"/>
      <c r="G6" s="319"/>
      <c r="H6" s="319"/>
      <c r="I6" s="319"/>
      <c r="J6" s="319"/>
      <c r="K6" s="150"/>
      <c r="L6" s="320" t="s">
        <v>122</v>
      </c>
      <c r="M6" s="320"/>
      <c r="N6" s="320"/>
      <c r="O6" s="320"/>
      <c r="P6" s="320"/>
      <c r="Q6" s="320"/>
      <c r="R6" s="320"/>
      <c r="S6" s="320"/>
      <c r="T6" s="320"/>
      <c r="U6" s="150"/>
    </row>
    <row r="7" spans="1:29" ht="14.4" x14ac:dyDescent="0.3">
      <c r="A7" s="158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</row>
    <row r="8" spans="1:29" ht="14.4" x14ac:dyDescent="0.3">
      <c r="A8" s="159"/>
      <c r="B8" s="159"/>
      <c r="C8" s="160" t="s">
        <v>3</v>
      </c>
      <c r="D8" s="160" t="s">
        <v>4</v>
      </c>
      <c r="E8" s="160" t="s">
        <v>5</v>
      </c>
      <c r="F8" s="160" t="s">
        <v>6</v>
      </c>
      <c r="G8" s="160" t="s">
        <v>7</v>
      </c>
      <c r="H8" s="161" t="s">
        <v>148</v>
      </c>
      <c r="I8" s="161" t="s">
        <v>130</v>
      </c>
      <c r="J8" s="150"/>
      <c r="K8" s="159"/>
      <c r="L8" s="159"/>
      <c r="M8" s="160" t="s">
        <v>3</v>
      </c>
      <c r="N8" s="160" t="s">
        <v>4</v>
      </c>
      <c r="O8" s="160" t="s">
        <v>5</v>
      </c>
      <c r="P8" s="160" t="s">
        <v>6</v>
      </c>
      <c r="Q8" s="160" t="s">
        <v>7</v>
      </c>
      <c r="R8" s="161" t="s">
        <v>148</v>
      </c>
      <c r="S8" s="161" t="s">
        <v>130</v>
      </c>
      <c r="T8" s="161"/>
      <c r="U8" s="150"/>
    </row>
    <row r="9" spans="1:29" ht="14.4" x14ac:dyDescent="0.3">
      <c r="A9" s="150" t="s">
        <v>9</v>
      </c>
      <c r="B9" s="150"/>
      <c r="C9" s="162" t="s">
        <v>10</v>
      </c>
      <c r="D9" s="162" t="s">
        <v>10</v>
      </c>
      <c r="E9" s="162" t="s">
        <v>10</v>
      </c>
      <c r="F9" s="162" t="s">
        <v>10</v>
      </c>
      <c r="G9" s="162" t="s">
        <v>10</v>
      </c>
      <c r="H9" s="162" t="s">
        <v>10</v>
      </c>
      <c r="I9" s="162" t="s">
        <v>10</v>
      </c>
      <c r="J9" s="162" t="s">
        <v>11</v>
      </c>
      <c r="K9" s="150" t="s">
        <v>9</v>
      </c>
      <c r="L9" s="150"/>
      <c r="M9" s="162" t="s">
        <v>10</v>
      </c>
      <c r="N9" s="162" t="s">
        <v>10</v>
      </c>
      <c r="O9" s="162" t="s">
        <v>10</v>
      </c>
      <c r="P9" s="162" t="s">
        <v>10</v>
      </c>
      <c r="Q9" s="162" t="s">
        <v>10</v>
      </c>
      <c r="R9" s="162" t="s">
        <v>10</v>
      </c>
      <c r="S9" s="162" t="s">
        <v>10</v>
      </c>
      <c r="T9" s="162" t="s">
        <v>11</v>
      </c>
      <c r="U9" s="150"/>
    </row>
    <row r="10" spans="1:29" ht="14.4" x14ac:dyDescent="0.3">
      <c r="A10" s="150" t="s">
        <v>12</v>
      </c>
      <c r="B10" s="159" t="s">
        <v>74</v>
      </c>
      <c r="C10" s="163">
        <f>'[2]Link Out'!C285</f>
        <v>7206.3193069306926</v>
      </c>
      <c r="D10" s="163">
        <f>'[2]Link Out'!C320</f>
        <v>230.82036775106081</v>
      </c>
      <c r="E10" s="163"/>
      <c r="F10" s="163"/>
      <c r="G10" s="163"/>
      <c r="H10" s="163"/>
      <c r="I10" s="163"/>
      <c r="J10" s="164" t="s">
        <v>135</v>
      </c>
      <c r="K10" s="150" t="s">
        <v>12</v>
      </c>
      <c r="L10" s="159" t="s">
        <v>74</v>
      </c>
      <c r="M10" s="163">
        <f>'[2]Link Out'!I285</f>
        <v>7356</v>
      </c>
      <c r="N10" s="310">
        <f>+'[2]Link Out'!I320</f>
        <v>264</v>
      </c>
      <c r="O10" s="163"/>
      <c r="P10" s="163"/>
      <c r="Q10" s="163"/>
      <c r="R10" s="163"/>
      <c r="S10" s="163"/>
      <c r="T10" s="164" t="s">
        <v>135</v>
      </c>
      <c r="U10" s="150"/>
    </row>
    <row r="11" spans="1:29" ht="14.4" x14ac:dyDescent="0.3">
      <c r="A11" s="150"/>
      <c r="B11" s="159" t="s">
        <v>75</v>
      </c>
      <c r="C11" s="163">
        <f>'[2]Link Out'!C286</f>
        <v>0</v>
      </c>
      <c r="D11" s="163">
        <f>'[2]Link Out'!C321</f>
        <v>0</v>
      </c>
      <c r="E11" s="163"/>
      <c r="F11" s="163"/>
      <c r="G11" s="163"/>
      <c r="H11" s="163"/>
      <c r="I11" s="163"/>
      <c r="J11" s="164" t="s">
        <v>13</v>
      </c>
      <c r="K11" s="150"/>
      <c r="L11" s="159" t="s">
        <v>75</v>
      </c>
      <c r="M11" s="163">
        <f>'[2]Link Out'!I286</f>
        <v>0</v>
      </c>
      <c r="N11" s="310">
        <f>+'[2]Link Out'!I321</f>
        <v>0</v>
      </c>
      <c r="O11" s="163"/>
      <c r="P11" s="163"/>
      <c r="Q11" s="163"/>
      <c r="R11" s="163"/>
      <c r="S11" s="163"/>
      <c r="T11" s="164" t="s">
        <v>13</v>
      </c>
      <c r="U11" s="150"/>
    </row>
    <row r="12" spans="1:29" ht="14.4" x14ac:dyDescent="0.3">
      <c r="A12" s="150"/>
      <c r="B12" s="159" t="s">
        <v>76</v>
      </c>
      <c r="C12" s="163">
        <f>'[2]Link Out'!C287</f>
        <v>0</v>
      </c>
      <c r="D12" s="163">
        <f>'[2]Link Out'!C322</f>
        <v>0</v>
      </c>
      <c r="E12" s="163"/>
      <c r="F12" s="163"/>
      <c r="G12" s="163"/>
      <c r="H12" s="163"/>
      <c r="I12" s="163"/>
      <c r="J12" s="164" t="s">
        <v>16</v>
      </c>
      <c r="K12" s="150"/>
      <c r="L12" s="159" t="s">
        <v>76</v>
      </c>
      <c r="M12" s="163">
        <f>'[2]Link Out'!I287</f>
        <v>0</v>
      </c>
      <c r="N12" s="310">
        <f>+'[2]Link Out'!I322</f>
        <v>0</v>
      </c>
      <c r="O12" s="163"/>
      <c r="P12" s="163"/>
      <c r="Q12" s="163"/>
      <c r="R12" s="163"/>
      <c r="S12" s="163"/>
      <c r="T12" s="164" t="s">
        <v>16</v>
      </c>
      <c r="U12" s="150"/>
    </row>
    <row r="13" spans="1:29" ht="14.4" x14ac:dyDescent="0.3">
      <c r="A13" s="150"/>
      <c r="B13" s="159" t="s">
        <v>15</v>
      </c>
      <c r="C13" s="163">
        <f>'[2]Link Out'!C288</f>
        <v>0</v>
      </c>
      <c r="D13" s="163">
        <f>'[2]Link Out'!C323</f>
        <v>0</v>
      </c>
      <c r="E13" s="163"/>
      <c r="F13" s="163"/>
      <c r="G13" s="163"/>
      <c r="H13" s="163"/>
      <c r="I13" s="163"/>
      <c r="J13" s="164" t="s">
        <v>60</v>
      </c>
      <c r="K13" s="150"/>
      <c r="L13" s="159" t="s">
        <v>15</v>
      </c>
      <c r="M13" s="163">
        <f>'[2]Link Out'!I288</f>
        <v>0</v>
      </c>
      <c r="N13" s="310">
        <f>+'[2]Link Out'!I323</f>
        <v>0</v>
      </c>
      <c r="O13" s="163"/>
      <c r="P13" s="163"/>
      <c r="Q13" s="163"/>
      <c r="R13" s="163"/>
      <c r="S13" s="163"/>
      <c r="T13" s="164" t="s">
        <v>60</v>
      </c>
      <c r="U13" s="150"/>
    </row>
    <row r="14" spans="1:29" ht="14.4" x14ac:dyDescent="0.3">
      <c r="A14" s="150"/>
      <c r="B14" s="159" t="s">
        <v>13</v>
      </c>
      <c r="C14" s="163">
        <f>'[2]Link Out'!C289</f>
        <v>0</v>
      </c>
      <c r="D14" s="163">
        <f>'[2]Link Out'!C324</f>
        <v>4.4333501711848236</v>
      </c>
      <c r="E14" s="163"/>
      <c r="F14" s="163"/>
      <c r="G14" s="163"/>
      <c r="H14" s="163"/>
      <c r="I14" s="163"/>
      <c r="J14" s="164" t="s">
        <v>61</v>
      </c>
      <c r="K14" s="150"/>
      <c r="L14" s="159" t="s">
        <v>13</v>
      </c>
      <c r="M14" s="163">
        <f>'[2]Link Out'!I289</f>
        <v>0</v>
      </c>
      <c r="N14" s="310">
        <f>+'[2]Link Out'!I324</f>
        <v>0</v>
      </c>
      <c r="O14" s="163"/>
      <c r="P14" s="163"/>
      <c r="Q14" s="163"/>
      <c r="R14" s="163"/>
      <c r="S14" s="163"/>
      <c r="T14" s="164" t="s">
        <v>61</v>
      </c>
      <c r="U14" s="150"/>
    </row>
    <row r="15" spans="1:29" ht="14.4" x14ac:dyDescent="0.3">
      <c r="A15" s="150"/>
      <c r="B15" s="159" t="s">
        <v>14</v>
      </c>
      <c r="C15" s="163">
        <f>'[2]Link Out'!C290</f>
        <v>0</v>
      </c>
      <c r="D15" s="163">
        <f>'[2]Link Out'!C325</f>
        <v>0</v>
      </c>
      <c r="E15" s="163"/>
      <c r="F15" s="163"/>
      <c r="G15" s="163"/>
      <c r="H15" s="163"/>
      <c r="I15" s="163"/>
      <c r="J15" s="164" t="s">
        <v>62</v>
      </c>
      <c r="K15" s="150"/>
      <c r="L15" s="159" t="s">
        <v>14</v>
      </c>
      <c r="M15" s="163">
        <f>'[2]Link Out'!I290</f>
        <v>0</v>
      </c>
      <c r="N15" s="310">
        <f>+'[2]Link Out'!I325</f>
        <v>0</v>
      </c>
      <c r="O15" s="163"/>
      <c r="P15" s="163"/>
      <c r="Q15" s="163"/>
      <c r="R15" s="163"/>
      <c r="S15" s="163"/>
      <c r="T15" s="164" t="s">
        <v>62</v>
      </c>
      <c r="U15" s="150"/>
    </row>
    <row r="16" spans="1:29" ht="14.4" x14ac:dyDescent="0.3">
      <c r="A16" s="150"/>
      <c r="B16" s="159" t="s">
        <v>16</v>
      </c>
      <c r="C16" s="163">
        <f>'[2]Link Out'!C291</f>
        <v>0</v>
      </c>
      <c r="D16" s="163">
        <f>'[2]Link Out'!C326</f>
        <v>0</v>
      </c>
      <c r="E16" s="163"/>
      <c r="F16" s="163"/>
      <c r="G16" s="163"/>
      <c r="H16" s="163"/>
      <c r="I16" s="163"/>
      <c r="J16" s="164" t="s">
        <v>63</v>
      </c>
      <c r="K16" s="150"/>
      <c r="L16" s="159" t="s">
        <v>16</v>
      </c>
      <c r="M16" s="163">
        <f>'[2]Link Out'!I291</f>
        <v>0</v>
      </c>
      <c r="N16" s="310">
        <f>+'[2]Link Out'!I326</f>
        <v>0</v>
      </c>
      <c r="O16" s="163"/>
      <c r="P16" s="163"/>
      <c r="Q16" s="163"/>
      <c r="R16" s="163"/>
      <c r="S16" s="163"/>
      <c r="T16" s="164" t="s">
        <v>63</v>
      </c>
      <c r="U16" s="150"/>
    </row>
    <row r="17" spans="1:21" ht="14.4" x14ac:dyDescent="0.3">
      <c r="A17" s="150"/>
      <c r="B17" s="159" t="s">
        <v>60</v>
      </c>
      <c r="C17" s="163">
        <f>'[2]Link Out'!C292</f>
        <v>0</v>
      </c>
      <c r="D17" s="163">
        <f>'[2]Link Out'!C327</f>
        <v>0</v>
      </c>
      <c r="E17" s="163"/>
      <c r="F17" s="163"/>
      <c r="G17" s="163"/>
      <c r="H17" s="163"/>
      <c r="I17" s="163"/>
      <c r="J17" s="164" t="s">
        <v>131</v>
      </c>
      <c r="K17" s="150"/>
      <c r="L17" s="159" t="s">
        <v>60</v>
      </c>
      <c r="M17" s="163">
        <f>'[2]Link Out'!I292</f>
        <v>0</v>
      </c>
      <c r="N17" s="310">
        <f>+'[2]Link Out'!I327</f>
        <v>0</v>
      </c>
      <c r="O17" s="163"/>
      <c r="P17" s="163"/>
      <c r="Q17" s="163"/>
      <c r="R17" s="163"/>
      <c r="S17" s="163"/>
      <c r="T17" s="164" t="s">
        <v>131</v>
      </c>
      <c r="U17" s="150"/>
    </row>
    <row r="18" spans="1:21" ht="14.4" x14ac:dyDescent="0.3">
      <c r="A18" s="150"/>
      <c r="B18" s="159" t="s">
        <v>61</v>
      </c>
      <c r="C18" s="163">
        <f>'[2]Link Out'!C293</f>
        <v>0</v>
      </c>
      <c r="D18" s="163">
        <f>'[2]Link Out'!C328</f>
        <v>0</v>
      </c>
      <c r="E18" s="163"/>
      <c r="F18" s="163"/>
      <c r="G18" s="163"/>
      <c r="H18" s="163"/>
      <c r="I18" s="163"/>
      <c r="J18" s="164" t="s">
        <v>132</v>
      </c>
      <c r="K18" s="150"/>
      <c r="L18" s="159" t="s">
        <v>61</v>
      </c>
      <c r="M18" s="163">
        <f>'[2]Link Out'!I293</f>
        <v>0</v>
      </c>
      <c r="N18" s="310">
        <f>+'[2]Link Out'!I328</f>
        <v>0</v>
      </c>
      <c r="O18" s="163"/>
      <c r="P18" s="163"/>
      <c r="Q18" s="163"/>
      <c r="R18" s="163"/>
      <c r="S18" s="163"/>
      <c r="T18" s="164" t="s">
        <v>132</v>
      </c>
      <c r="U18" s="150"/>
    </row>
    <row r="19" spans="1:21" ht="14.4" x14ac:dyDescent="0.3">
      <c r="A19" s="150"/>
      <c r="B19" s="159"/>
      <c r="C19" s="163"/>
      <c r="D19" s="163"/>
      <c r="E19" s="163"/>
      <c r="F19" s="163"/>
      <c r="G19" s="163"/>
      <c r="H19" s="163"/>
      <c r="I19" s="163"/>
      <c r="J19" s="147" t="s">
        <v>136</v>
      </c>
      <c r="K19" s="150"/>
      <c r="L19" s="159"/>
      <c r="M19" s="163"/>
      <c r="N19" s="163"/>
      <c r="O19" s="163"/>
      <c r="P19" s="163"/>
      <c r="Q19" s="163"/>
      <c r="R19" s="163"/>
      <c r="S19" s="163"/>
      <c r="T19" s="147" t="s">
        <v>136</v>
      </c>
      <c r="U19" s="150"/>
    </row>
    <row r="20" spans="1:21" ht="14.4" x14ac:dyDescent="0.3">
      <c r="A20" s="150"/>
      <c r="B20" s="159"/>
      <c r="C20" s="165"/>
      <c r="D20" s="165"/>
      <c r="E20" s="165"/>
      <c r="F20" s="165"/>
      <c r="G20" s="165"/>
      <c r="H20" s="149"/>
      <c r="I20" s="166"/>
      <c r="J20" s="147"/>
      <c r="K20" s="150"/>
      <c r="L20" s="159"/>
      <c r="M20" s="165"/>
      <c r="N20" s="165"/>
      <c r="O20" s="165"/>
      <c r="P20" s="165"/>
      <c r="Q20" s="165"/>
      <c r="R20" s="149"/>
      <c r="S20" s="165"/>
      <c r="T20" s="147"/>
      <c r="U20" s="150"/>
    </row>
    <row r="21" spans="1:21" ht="14.4" x14ac:dyDescent="0.3">
      <c r="A21" s="150" t="s">
        <v>17</v>
      </c>
      <c r="B21" s="150"/>
      <c r="C21" s="167">
        <f t="shared" ref="C21:I21" si="0">SUM(C10:C20)</f>
        <v>7206.3193069306926</v>
      </c>
      <c r="D21" s="167">
        <f t="shared" si="0"/>
        <v>235.25371792224564</v>
      </c>
      <c r="E21" s="167">
        <f t="shared" si="0"/>
        <v>0</v>
      </c>
      <c r="F21" s="167">
        <f t="shared" si="0"/>
        <v>0</v>
      </c>
      <c r="G21" s="167">
        <f t="shared" si="0"/>
        <v>0</v>
      </c>
      <c r="H21" s="167">
        <f t="shared" si="0"/>
        <v>0</v>
      </c>
      <c r="I21" s="167">
        <f t="shared" si="0"/>
        <v>0</v>
      </c>
      <c r="J21" s="150"/>
      <c r="K21" s="150" t="s">
        <v>17</v>
      </c>
      <c r="L21" s="150"/>
      <c r="M21" s="168">
        <f t="shared" ref="M21:S21" si="1">SUM(M10:M20)</f>
        <v>7356</v>
      </c>
      <c r="N21" s="168">
        <f t="shared" si="1"/>
        <v>264</v>
      </c>
      <c r="O21" s="168">
        <f t="shared" si="1"/>
        <v>0</v>
      </c>
      <c r="P21" s="168">
        <f t="shared" si="1"/>
        <v>0</v>
      </c>
      <c r="Q21" s="168">
        <f t="shared" si="1"/>
        <v>0</v>
      </c>
      <c r="R21" s="168">
        <f t="shared" si="1"/>
        <v>0</v>
      </c>
      <c r="S21" s="168">
        <f t="shared" si="1"/>
        <v>0</v>
      </c>
      <c r="T21" s="150"/>
      <c r="U21" s="150"/>
    </row>
    <row r="22" spans="1:21" ht="14.4" x14ac:dyDescent="0.3">
      <c r="A22" s="150" t="s">
        <v>18</v>
      </c>
      <c r="B22" s="150"/>
      <c r="C22" s="165"/>
      <c r="D22" s="165"/>
      <c r="E22" s="165"/>
      <c r="F22" s="165"/>
      <c r="G22" s="165"/>
      <c r="H22" s="149"/>
      <c r="I22" s="169"/>
      <c r="J22" s="150"/>
      <c r="K22" s="150" t="s">
        <v>18</v>
      </c>
      <c r="L22" s="150"/>
      <c r="M22" s="165"/>
      <c r="N22" s="165"/>
      <c r="O22" s="165"/>
      <c r="P22" s="165"/>
      <c r="Q22" s="165"/>
      <c r="R22" s="149"/>
      <c r="S22" s="169"/>
      <c r="T22" s="150"/>
      <c r="U22" s="150"/>
    </row>
    <row r="23" spans="1:21" ht="14.4" x14ac:dyDescent="0.3">
      <c r="A23" s="150" t="s">
        <v>12</v>
      </c>
      <c r="B23" s="170" t="s">
        <v>19</v>
      </c>
      <c r="C23" s="163">
        <f>'[2]Link Out'!C299</f>
        <v>10751.6</v>
      </c>
      <c r="D23" s="163">
        <f>'[2]Link Out'!C334</f>
        <v>444.40000000000015</v>
      </c>
      <c r="E23" s="163"/>
      <c r="F23" s="163"/>
      <c r="G23" s="163"/>
      <c r="H23" s="163"/>
      <c r="I23" s="163"/>
      <c r="J23" s="290">
        <f>+SUM(C23:I23)</f>
        <v>11196</v>
      </c>
      <c r="K23" s="150" t="s">
        <v>12</v>
      </c>
      <c r="L23" s="170" t="s">
        <v>19</v>
      </c>
      <c r="M23" s="163">
        <f>'[2]Link Out'!I299</f>
        <v>10751.599999999999</v>
      </c>
      <c r="N23" s="163">
        <f>'[2]Link Out'!I334</f>
        <v>444.4000000000002</v>
      </c>
      <c r="O23" s="163"/>
      <c r="P23" s="163"/>
      <c r="Q23" s="163"/>
      <c r="R23" s="163"/>
      <c r="S23" s="169"/>
      <c r="T23" s="149"/>
      <c r="U23" s="150"/>
    </row>
    <row r="24" spans="1:21" ht="14.4" x14ac:dyDescent="0.3">
      <c r="A24" s="150"/>
      <c r="B24" s="170" t="s">
        <v>20</v>
      </c>
      <c r="C24" s="163">
        <f>'[2]Link Out'!C300</f>
        <v>8772.7198612315715</v>
      </c>
      <c r="D24" s="163">
        <f>'[2]Link Out'!C335</f>
        <v>243.98612315698173</v>
      </c>
      <c r="E24" s="163"/>
      <c r="F24" s="163"/>
      <c r="G24" s="163"/>
      <c r="H24" s="163"/>
      <c r="I24" s="163"/>
      <c r="J24" s="290">
        <f t="shared" ref="J24:J29" si="2">+SUM(C24:I24)</f>
        <v>9016.7059843885527</v>
      </c>
      <c r="K24" s="150"/>
      <c r="L24" s="170" t="s">
        <v>20</v>
      </c>
      <c r="M24" s="163">
        <f>'[2]Link Out'!I300</f>
        <v>8772.7198612315715</v>
      </c>
      <c r="N24" s="163">
        <f>'[2]Link Out'!I335</f>
        <v>243.98612315698173</v>
      </c>
      <c r="O24" s="163"/>
      <c r="P24" s="163"/>
      <c r="Q24" s="163"/>
      <c r="R24" s="163"/>
      <c r="S24" s="169"/>
      <c r="T24" s="149"/>
      <c r="U24" s="150"/>
    </row>
    <row r="25" spans="1:21" ht="14.4" x14ac:dyDescent="0.3">
      <c r="A25" s="150"/>
      <c r="B25" s="170" t="s">
        <v>21</v>
      </c>
      <c r="C25" s="163">
        <f>'[2]Link Out'!C301</f>
        <v>0</v>
      </c>
      <c r="D25" s="163">
        <f>'[2]Link Out'!C336</f>
        <v>0</v>
      </c>
      <c r="E25" s="163"/>
      <c r="F25" s="163"/>
      <c r="G25" s="163"/>
      <c r="H25" s="163"/>
      <c r="I25" s="163"/>
      <c r="J25" s="290">
        <f t="shared" si="2"/>
        <v>0</v>
      </c>
      <c r="K25" s="150"/>
      <c r="L25" s="170" t="s">
        <v>21</v>
      </c>
      <c r="M25" s="163">
        <f>'[2]Link Out'!I301</f>
        <v>0</v>
      </c>
      <c r="N25" s="163">
        <f>'[2]Link Out'!I336</f>
        <v>0</v>
      </c>
      <c r="O25" s="163"/>
      <c r="P25" s="163"/>
      <c r="Q25" s="163"/>
      <c r="R25" s="163"/>
      <c r="S25" s="169"/>
      <c r="T25" s="149"/>
      <c r="U25" s="150"/>
    </row>
    <row r="26" spans="1:21" ht="14.4" x14ac:dyDescent="0.3">
      <c r="A26" s="150"/>
      <c r="B26" s="150" t="s">
        <v>22</v>
      </c>
      <c r="C26" s="163">
        <f>'[2]Link Out'!C302</f>
        <v>0</v>
      </c>
      <c r="D26" s="163">
        <f>'[2]Link Out'!C337</f>
        <v>0</v>
      </c>
      <c r="E26" s="163"/>
      <c r="F26" s="163"/>
      <c r="G26" s="163"/>
      <c r="H26" s="163"/>
      <c r="I26" s="163"/>
      <c r="J26" s="290">
        <f t="shared" si="2"/>
        <v>0</v>
      </c>
      <c r="K26" s="150"/>
      <c r="L26" s="150" t="s">
        <v>22</v>
      </c>
      <c r="M26" s="163">
        <f>'[2]Link Out'!I302</f>
        <v>0</v>
      </c>
      <c r="N26" s="163">
        <f>'[2]Link Out'!I337</f>
        <v>0</v>
      </c>
      <c r="O26" s="163"/>
      <c r="P26" s="163"/>
      <c r="Q26" s="163"/>
      <c r="R26" s="163"/>
      <c r="S26" s="169"/>
      <c r="T26" s="149"/>
      <c r="U26" s="150"/>
    </row>
    <row r="27" spans="1:21" ht="14.4" x14ac:dyDescent="0.3">
      <c r="A27" s="150"/>
      <c r="B27" s="170" t="s">
        <v>100</v>
      </c>
      <c r="C27" s="163">
        <f>'[2]Link Out'!C303</f>
        <v>0</v>
      </c>
      <c r="D27" s="163">
        <f>'[2]Link Out'!C338</f>
        <v>0</v>
      </c>
      <c r="E27" s="163"/>
      <c r="F27" s="163"/>
      <c r="G27" s="163"/>
      <c r="H27" s="163"/>
      <c r="I27" s="163"/>
      <c r="J27" s="290">
        <f t="shared" si="2"/>
        <v>0</v>
      </c>
      <c r="K27" s="150"/>
      <c r="L27" s="170" t="s">
        <v>100</v>
      </c>
      <c r="M27" s="163">
        <f>'[2]Link Out'!I303</f>
        <v>0</v>
      </c>
      <c r="N27" s="163">
        <f>'[2]Link Out'!I338</f>
        <v>0</v>
      </c>
      <c r="O27" s="163"/>
      <c r="P27" s="163"/>
      <c r="Q27" s="163"/>
      <c r="R27" s="163"/>
      <c r="S27" s="169"/>
      <c r="T27" s="149"/>
      <c r="U27" s="150"/>
    </row>
    <row r="28" spans="1:21" ht="14.4" x14ac:dyDescent="0.3">
      <c r="A28" s="150"/>
      <c r="B28" s="150" t="s">
        <v>198</v>
      </c>
      <c r="C28" s="163"/>
      <c r="D28" s="163"/>
      <c r="E28" s="163"/>
      <c r="F28" s="163"/>
      <c r="G28" s="163"/>
      <c r="H28" s="163"/>
      <c r="I28" s="163"/>
      <c r="J28" s="290">
        <f t="shared" si="2"/>
        <v>0</v>
      </c>
      <c r="K28" s="150"/>
      <c r="L28" s="150" t="s">
        <v>198</v>
      </c>
      <c r="M28" s="163"/>
      <c r="N28" s="163"/>
      <c r="O28" s="163"/>
      <c r="P28" s="163"/>
      <c r="Q28" s="163"/>
      <c r="R28" s="163"/>
      <c r="S28" s="169"/>
      <c r="T28" s="149"/>
      <c r="U28" s="150"/>
    </row>
    <row r="29" spans="1:21" ht="14.4" x14ac:dyDescent="0.3">
      <c r="A29" s="150"/>
      <c r="B29" s="150" t="s">
        <v>1</v>
      </c>
      <c r="C29" s="168">
        <f>SUM(C23:C28)</f>
        <v>19524.319861231572</v>
      </c>
      <c r="D29" s="168">
        <f t="shared" ref="D29" si="3">SUM(D23:D28)</f>
        <v>688.38612315698185</v>
      </c>
      <c r="E29" s="168">
        <f t="shared" ref="E29" si="4">SUM(E23:E28)</f>
        <v>0</v>
      </c>
      <c r="F29" s="168">
        <f t="shared" ref="F29" si="5">SUM(F23:F28)</f>
        <v>0</v>
      </c>
      <c r="G29" s="168">
        <f>SUM(G23:G28)</f>
        <v>0</v>
      </c>
      <c r="H29" s="168">
        <f t="shared" ref="H29:I29" si="6">SUM(H23:H28)</f>
        <v>0</v>
      </c>
      <c r="I29" s="168">
        <f t="shared" si="6"/>
        <v>0</v>
      </c>
      <c r="J29" s="168">
        <f t="shared" si="2"/>
        <v>20212.705984388554</v>
      </c>
      <c r="K29" s="150"/>
      <c r="L29" s="150" t="s">
        <v>1</v>
      </c>
      <c r="M29" s="167">
        <f>SUM(M23:M28)</f>
        <v>19524.319861231568</v>
      </c>
      <c r="N29" s="167">
        <f t="shared" ref="N29" si="7">SUM(N23:N28)</f>
        <v>688.38612315698197</v>
      </c>
      <c r="O29" s="167">
        <f t="shared" ref="O29" si="8">SUM(O23:O28)</f>
        <v>0</v>
      </c>
      <c r="P29" s="167">
        <f t="shared" ref="P29" si="9">SUM(P23:P28)</f>
        <v>0</v>
      </c>
      <c r="Q29" s="167">
        <f t="shared" ref="Q29:R29" si="10">SUM(Q23:Q28)</f>
        <v>0</v>
      </c>
      <c r="R29" s="167">
        <f t="shared" si="10"/>
        <v>0</v>
      </c>
      <c r="S29" s="167">
        <f>SUM(M29:R29)</f>
        <v>20212.705984388551</v>
      </c>
      <c r="T29" s="149"/>
      <c r="U29" s="150"/>
    </row>
    <row r="30" spans="1:21" ht="14.4" x14ac:dyDescent="0.3">
      <c r="A30" s="150"/>
      <c r="B30" s="150"/>
      <c r="C30" s="171"/>
      <c r="D30" s="150"/>
      <c r="E30" s="150"/>
      <c r="F30" s="150"/>
      <c r="G30" s="194"/>
      <c r="H30" s="297"/>
      <c r="I30" s="150"/>
      <c r="J30" s="150"/>
      <c r="K30" s="150"/>
      <c r="L30" s="150"/>
      <c r="M30" s="149"/>
      <c r="N30" s="149"/>
      <c r="O30" s="149"/>
      <c r="P30" s="149"/>
      <c r="Q30" s="149"/>
      <c r="R30" s="149"/>
      <c r="S30" s="149"/>
      <c r="T30" s="149"/>
      <c r="U30" s="150"/>
    </row>
    <row r="31" spans="1:21" ht="14.4" x14ac:dyDescent="0.3">
      <c r="A31" s="171"/>
      <c r="B31" s="171"/>
      <c r="C31" s="172" t="s">
        <v>3</v>
      </c>
      <c r="D31" s="173" t="s">
        <v>4</v>
      </c>
      <c r="E31" s="173" t="s">
        <v>5</v>
      </c>
      <c r="F31" s="173" t="s">
        <v>6</v>
      </c>
      <c r="G31" s="173" t="s">
        <v>7</v>
      </c>
      <c r="H31" s="173" t="s">
        <v>148</v>
      </c>
      <c r="I31" s="174" t="s">
        <v>23</v>
      </c>
      <c r="J31" s="173" t="s">
        <v>1</v>
      </c>
      <c r="K31" s="150"/>
      <c r="L31" s="150"/>
      <c r="M31" s="175" t="s">
        <v>3</v>
      </c>
      <c r="N31" s="160" t="s">
        <v>4</v>
      </c>
      <c r="O31" s="160" t="s">
        <v>5</v>
      </c>
      <c r="P31" s="160" t="s">
        <v>6</v>
      </c>
      <c r="Q31" s="160" t="s">
        <v>7</v>
      </c>
      <c r="R31" s="160" t="s">
        <v>148</v>
      </c>
      <c r="S31" s="176" t="s">
        <v>23</v>
      </c>
      <c r="T31" s="160" t="s">
        <v>1</v>
      </c>
      <c r="U31" s="150"/>
    </row>
    <row r="32" spans="1:21" ht="14.4" x14ac:dyDescent="0.3">
      <c r="A32" s="150" t="s">
        <v>109</v>
      </c>
      <c r="B32" s="150"/>
      <c r="C32" s="104">
        <f>'[2]Link Out'!C305</f>
        <v>99.940069384207163</v>
      </c>
      <c r="D32" s="104">
        <f>'[2]Link Out'!C340</f>
        <v>-15.393061578490915</v>
      </c>
      <c r="E32" s="104"/>
      <c r="F32" s="104"/>
      <c r="G32" s="104"/>
      <c r="H32" s="104"/>
      <c r="I32" s="177"/>
      <c r="J32" s="104">
        <f>SUM(C32:I32)</f>
        <v>84.547007805716248</v>
      </c>
      <c r="K32" s="149"/>
      <c r="L32" s="149"/>
      <c r="M32" s="104">
        <f>'[2]Link Out'!I48+'[2]Link Out'!I305</f>
        <v>0</v>
      </c>
      <c r="N32" s="104">
        <f>'[2]Link Out'!I83+'[2]Link Out'!I340</f>
        <v>0</v>
      </c>
      <c r="O32" s="104"/>
      <c r="P32" s="83"/>
      <c r="Q32" s="104"/>
      <c r="R32" s="104"/>
      <c r="S32" s="104"/>
      <c r="T32" s="104">
        <f>SUM(M32:S32)</f>
        <v>0</v>
      </c>
      <c r="U32" s="150"/>
    </row>
    <row r="33" spans="1:29" ht="14.4" x14ac:dyDescent="0.3">
      <c r="A33" s="150"/>
      <c r="B33" s="150"/>
      <c r="C33" s="178"/>
      <c r="D33" s="178"/>
      <c r="E33" s="178"/>
      <c r="F33" s="178"/>
      <c r="G33" s="178"/>
      <c r="H33" s="149"/>
      <c r="I33" s="178"/>
      <c r="J33" s="104"/>
      <c r="K33" s="149"/>
      <c r="L33" s="149"/>
      <c r="M33" s="169"/>
      <c r="N33" s="169"/>
      <c r="O33" s="169"/>
      <c r="P33" s="169"/>
      <c r="Q33" s="169"/>
      <c r="R33" s="169"/>
      <c r="S33" s="149"/>
      <c r="T33" s="104"/>
      <c r="U33" s="150"/>
    </row>
    <row r="34" spans="1:29" ht="15" thickBot="1" x14ac:dyDescent="0.35">
      <c r="A34" s="150" t="s">
        <v>110</v>
      </c>
      <c r="B34" s="150"/>
      <c r="C34" s="104">
        <f>'[2]Link Out'!$G$305</f>
        <v>-1048.9599999999987</v>
      </c>
      <c r="D34" s="104">
        <f>'[2]Link Out'!$G$340</f>
        <v>0</v>
      </c>
      <c r="E34" s="104"/>
      <c r="F34" s="104"/>
      <c r="G34" s="104"/>
      <c r="H34" s="104"/>
      <c r="I34" s="163"/>
      <c r="J34" s="104">
        <f>SUM(C34:I34)</f>
        <v>-1048.9599999999987</v>
      </c>
      <c r="K34" s="149"/>
      <c r="L34" s="149"/>
      <c r="M34" s="163">
        <f>'[2]Link Out'!$M$48</f>
        <v>0</v>
      </c>
      <c r="N34" s="163">
        <f>'[2]Link Out'!$M$83</f>
        <v>0</v>
      </c>
      <c r="O34" s="163"/>
      <c r="P34" s="163"/>
      <c r="Q34" s="163"/>
      <c r="R34" s="163"/>
      <c r="S34" s="163"/>
      <c r="T34" s="163">
        <f>SUM(M34:S34)</f>
        <v>0</v>
      </c>
      <c r="U34" s="150"/>
    </row>
    <row r="35" spans="1:29" ht="15" thickTop="1" x14ac:dyDescent="0.3">
      <c r="A35" s="179" t="s">
        <v>112</v>
      </c>
      <c r="B35" s="180"/>
      <c r="C35" s="181" t="str">
        <f>IF(C21='[2]Link Out'!$C$295," ", "Check")</f>
        <v xml:space="preserve"> </v>
      </c>
      <c r="D35" s="181" t="str">
        <f>IF(D21='[2]Link Out'!$C$330," ", "Check")</f>
        <v xml:space="preserve"> </v>
      </c>
      <c r="E35" s="181"/>
      <c r="F35" s="181"/>
      <c r="G35" s="181"/>
      <c r="H35" s="181"/>
      <c r="I35" s="181"/>
      <c r="J35" s="181"/>
      <c r="K35" s="182"/>
      <c r="L35" s="182"/>
      <c r="M35" s="181" t="str">
        <f>IF(M21='[2]Link Out'!I295," ", "Check")</f>
        <v xml:space="preserve"> </v>
      </c>
      <c r="N35" s="181" t="str">
        <f>IF(N21='[2]Link Out'!I330," ", "Check")</f>
        <v xml:space="preserve"> </v>
      </c>
      <c r="O35" s="181"/>
      <c r="P35" s="181"/>
      <c r="Q35" s="181"/>
      <c r="R35" s="181"/>
      <c r="S35" s="181"/>
      <c r="T35" s="182"/>
      <c r="U35" s="182"/>
      <c r="V35" s="32"/>
      <c r="W35" s="32"/>
      <c r="X35" s="32"/>
      <c r="Y35" s="32"/>
      <c r="Z35" s="32"/>
      <c r="AA35" s="32"/>
      <c r="AB35" s="32"/>
      <c r="AC35" s="33"/>
    </row>
    <row r="36" spans="1:29" ht="14.4" x14ac:dyDescent="0.3">
      <c r="A36" s="183"/>
      <c r="B36" s="184"/>
      <c r="C36" s="185" t="str">
        <f>IF(C29+C32='[2]Link Out'!$C$306," ", "Check")</f>
        <v xml:space="preserve"> </v>
      </c>
      <c r="D36" s="185" t="str">
        <f>IF(D29+D32='[2]Link Out'!$C$341," ", "Check")</f>
        <v xml:space="preserve"> </v>
      </c>
      <c r="E36" s="185"/>
      <c r="F36" s="185"/>
      <c r="G36" s="185"/>
      <c r="H36" s="184"/>
      <c r="I36" s="184"/>
      <c r="J36" s="184"/>
      <c r="K36" s="184"/>
      <c r="L36" s="184"/>
      <c r="M36" s="185" t="str">
        <f>IF(M29+M32='[2]Link Out'!I306," ", "Check")</f>
        <v xml:space="preserve"> </v>
      </c>
      <c r="N36" s="185" t="str">
        <f>IF(N29+N32='[2]Link Out'!I341," ", "Check")</f>
        <v xml:space="preserve"> </v>
      </c>
      <c r="O36" s="185"/>
      <c r="P36" s="185"/>
      <c r="Q36" s="185"/>
      <c r="R36" s="184"/>
      <c r="S36" s="184"/>
      <c r="T36" s="184"/>
      <c r="U36" s="184"/>
      <c r="V36" s="13"/>
      <c r="W36" s="13"/>
      <c r="X36" s="13"/>
      <c r="Y36" s="13"/>
      <c r="Z36" s="13"/>
      <c r="AA36" s="13"/>
      <c r="AB36" s="13"/>
      <c r="AC36" s="34"/>
    </row>
    <row r="37" spans="1:29" ht="14.4" x14ac:dyDescent="0.3">
      <c r="A37" s="186"/>
      <c r="B37" s="184"/>
      <c r="C37" s="185" t="str">
        <f>IF(C21=SUM('Sch M'!D52:D61)," ","Check")</f>
        <v xml:space="preserve"> </v>
      </c>
      <c r="D37" s="185" t="str">
        <f>IF(D21=SUM('Sch M'!D91:D100)," ","Check")</f>
        <v xml:space="preserve"> </v>
      </c>
      <c r="E37" s="185" t="str">
        <f>IF(E21=SUM('Sch M'!D130:D139)," ","Check")</f>
        <v xml:space="preserve"> </v>
      </c>
      <c r="F37" s="185" t="str">
        <f>IF(F21=SUM('Sch M'!D169:D178)," ","Check")</f>
        <v xml:space="preserve"> </v>
      </c>
      <c r="G37" s="185" t="str">
        <f>IF(G21=SUM('Sch M'!D208:D217)," ","Check")</f>
        <v xml:space="preserve"> </v>
      </c>
      <c r="H37" s="187"/>
      <c r="I37" s="185"/>
      <c r="J37" s="188"/>
      <c r="K37" s="184"/>
      <c r="L37" s="184"/>
      <c r="M37" s="185" t="str">
        <f>IF(M21=SUM('Sch M'!N52:N61)," ","Check")</f>
        <v xml:space="preserve"> </v>
      </c>
      <c r="N37" s="185" t="str">
        <f>IF(N21=SUM('Sch M'!N91:N100)," ","Check")</f>
        <v xml:space="preserve"> </v>
      </c>
      <c r="O37" s="185" t="str">
        <f>IF(O21=SUM('Sch M'!N130:N139)," ","Check")</f>
        <v xml:space="preserve"> </v>
      </c>
      <c r="P37" s="185" t="str">
        <f>IF(P21=SUM('Sch M'!N169:N178)," ","Check")</f>
        <v xml:space="preserve"> </v>
      </c>
      <c r="Q37" s="185" t="str">
        <f>IF(Q21=SUM('Sch M'!N208:N217)," ","Check")</f>
        <v xml:space="preserve"> </v>
      </c>
      <c r="R37" s="187"/>
      <c r="S37" s="185"/>
      <c r="T37" s="184"/>
      <c r="U37" s="184"/>
      <c r="V37" s="13"/>
      <c r="W37" s="30" t="str">
        <f>IF(M21=SUM('Sch M'!$N$52:$N$60)," ","Check")</f>
        <v xml:space="preserve"> </v>
      </c>
      <c r="X37" s="30" t="str">
        <f>IF(N21=SUM('Sch M'!$N$91:$N$99)," ","Check")</f>
        <v xml:space="preserve"> </v>
      </c>
      <c r="Y37" s="30" t="str">
        <f>IF(O21=SUM('Sch M'!$N$130:$N$138)," ","Check")</f>
        <v xml:space="preserve"> </v>
      </c>
      <c r="Z37" s="30" t="str">
        <f>IF(P21=SUM('Sch M'!$N$169:$N$177)," ","Check")</f>
        <v xml:space="preserve"> </v>
      </c>
      <c r="AA37" s="30" t="str">
        <f>IF(Q21=SUM('Sch M'!$N$208:$N$216)," ","Check")</f>
        <v xml:space="preserve"> </v>
      </c>
      <c r="AB37" s="31"/>
      <c r="AC37" s="35" t="str">
        <f>IF(S21=SUM('Sch M'!$O$247:$O$256)," ","Check")</f>
        <v xml:space="preserve"> </v>
      </c>
    </row>
    <row r="38" spans="1:29" ht="15" thickBot="1" x14ac:dyDescent="0.35">
      <c r="A38" s="189"/>
      <c r="B38" s="190"/>
      <c r="C38" s="191" t="str">
        <f>IF(C29+C32='Sch M'!E74," ","Check")</f>
        <v xml:space="preserve"> </v>
      </c>
      <c r="D38" s="191" t="str">
        <f>IF(D29+D32='Sch M'!E113," ","Check")</f>
        <v xml:space="preserve"> </v>
      </c>
      <c r="E38" s="191" t="str">
        <f>IF(E29+E32='Sch M'!E152," ","Check")</f>
        <v xml:space="preserve"> </v>
      </c>
      <c r="F38" s="191" t="str">
        <f>IF(F29+F32='Sch M'!E191," ","Check")</f>
        <v xml:space="preserve"> </v>
      </c>
      <c r="G38" s="191" t="str">
        <f>IF(G29+G32='Sch M'!E231," ","Check")</f>
        <v xml:space="preserve"> </v>
      </c>
      <c r="H38" s="191"/>
      <c r="I38" s="191"/>
      <c r="J38" s="191"/>
      <c r="K38" s="192"/>
      <c r="L38" s="192"/>
      <c r="M38" s="191" t="str">
        <f>IF(M29+M32='Sch M'!O74," ","Check")</f>
        <v xml:space="preserve"> </v>
      </c>
      <c r="N38" s="191" t="str">
        <f>IF(N29+N32='Sch M'!O113," ","Check")</f>
        <v xml:space="preserve"> </v>
      </c>
      <c r="O38" s="191" t="str">
        <f>IF(O29+O32=SUM('Sch M'!O152)," ","Check")</f>
        <v xml:space="preserve"> </v>
      </c>
      <c r="P38" s="191" t="str">
        <f>IF(P29+P32='Sch M'!O191," ","Check")</f>
        <v xml:space="preserve"> </v>
      </c>
      <c r="Q38" s="191" t="str">
        <f>IF(Q29+Q32='Sch M'!O231," ","Check")</f>
        <v xml:space="preserve"> </v>
      </c>
      <c r="R38" s="191"/>
      <c r="S38" s="191"/>
      <c r="T38" s="192"/>
      <c r="U38" s="192"/>
      <c r="V38" s="28"/>
      <c r="W38" s="27"/>
      <c r="X38" s="27"/>
      <c r="Y38" s="27" t="str">
        <f>IF(O29+E32='Sch M'!$O$152," ","Check")</f>
        <v xml:space="preserve"> </v>
      </c>
      <c r="Z38" s="27" t="str">
        <f>IF(P29+F32='Sch M'!$O$191," ","Check")</f>
        <v xml:space="preserve"> </v>
      </c>
      <c r="AA38" s="27" t="str">
        <f>IF(Q23+G32+Q24='Sch M'!$O$231," ","Check")</f>
        <v xml:space="preserve"> </v>
      </c>
      <c r="AB38" s="28"/>
      <c r="AC38" s="29"/>
    </row>
    <row r="39" spans="1:29" ht="15" thickTop="1" x14ac:dyDescent="0.3">
      <c r="A39" s="193" t="s">
        <v>71</v>
      </c>
      <c r="B39" s="150"/>
      <c r="C39" s="150"/>
      <c r="D39" s="150"/>
      <c r="E39" s="150"/>
      <c r="F39" s="194"/>
      <c r="G39" s="150"/>
      <c r="H39" s="193" t="s">
        <v>72</v>
      </c>
      <c r="I39" s="150"/>
      <c r="J39" s="150"/>
      <c r="K39" s="150"/>
      <c r="L39" s="150"/>
      <c r="M39" s="194"/>
      <c r="N39" s="150"/>
      <c r="O39" s="150"/>
      <c r="P39" s="150"/>
      <c r="Q39" s="150"/>
      <c r="R39" s="150"/>
      <c r="S39" s="150"/>
      <c r="T39" s="150"/>
      <c r="U39" s="150"/>
    </row>
    <row r="40" spans="1:29" ht="14.4" x14ac:dyDescent="0.3">
      <c r="A40" s="150" t="s">
        <v>48</v>
      </c>
      <c r="B40" s="150"/>
      <c r="C40" s="150" t="s">
        <v>88</v>
      </c>
      <c r="D40" s="150" t="s">
        <v>89</v>
      </c>
      <c r="E40" s="150" t="s">
        <v>90</v>
      </c>
      <c r="F40" s="194" t="s">
        <v>6</v>
      </c>
      <c r="G40" s="150" t="s">
        <v>94</v>
      </c>
      <c r="H40" s="150" t="s">
        <v>48</v>
      </c>
      <c r="I40" s="150"/>
      <c r="J40" s="150" t="s">
        <v>88</v>
      </c>
      <c r="K40" s="150" t="s">
        <v>89</v>
      </c>
      <c r="L40" s="150" t="s">
        <v>90</v>
      </c>
      <c r="M40" s="194" t="s">
        <v>6</v>
      </c>
      <c r="N40" s="150" t="s">
        <v>94</v>
      </c>
      <c r="O40" s="150"/>
      <c r="P40" s="150"/>
      <c r="Q40" s="150"/>
      <c r="R40" s="150"/>
      <c r="S40" s="150"/>
      <c r="T40" s="150"/>
      <c r="U40" s="150"/>
    </row>
    <row r="41" spans="1:29" ht="14.4" x14ac:dyDescent="0.3">
      <c r="A41" s="150" t="s">
        <v>12</v>
      </c>
      <c r="B41" s="159" t="s">
        <v>74</v>
      </c>
      <c r="C41" s="197">
        <v>28.28</v>
      </c>
      <c r="D41" s="197">
        <v>28.28</v>
      </c>
      <c r="E41" s="195"/>
      <c r="F41" s="196"/>
      <c r="G41" s="195"/>
      <c r="H41" s="150" t="s">
        <v>12</v>
      </c>
      <c r="I41" s="159" t="s">
        <v>74</v>
      </c>
      <c r="J41" s="197">
        <f>'[3]Link In'!K14</f>
        <v>15</v>
      </c>
      <c r="K41" s="197">
        <f>'[3]Link In'!L14</f>
        <v>15</v>
      </c>
      <c r="L41" s="197">
        <f>'[3]Link In'!M14</f>
        <v>15</v>
      </c>
      <c r="M41" s="197">
        <f>'[3]Link In'!N14</f>
        <v>15</v>
      </c>
      <c r="N41" s="197">
        <f>'[3]Link In'!O14</f>
        <v>15</v>
      </c>
      <c r="O41" s="149"/>
      <c r="P41" s="149"/>
      <c r="Q41" s="149"/>
      <c r="R41" s="149"/>
      <c r="S41" s="149"/>
      <c r="T41" s="149"/>
      <c r="U41" s="149"/>
    </row>
    <row r="42" spans="1:29" ht="14.4" x14ac:dyDescent="0.3">
      <c r="A42" s="150"/>
      <c r="B42" s="159" t="s">
        <v>75</v>
      </c>
      <c r="C42" s="195"/>
      <c r="D42" s="195"/>
      <c r="E42" s="195"/>
      <c r="F42" s="196"/>
      <c r="G42" s="195"/>
      <c r="H42" s="150"/>
      <c r="I42" s="159" t="s">
        <v>75</v>
      </c>
      <c r="J42" s="197">
        <f>'[3]Link In'!K15</f>
        <v>22.4</v>
      </c>
      <c r="K42" s="197">
        <f>'[3]Link In'!L15</f>
        <v>22.4</v>
      </c>
      <c r="L42" s="197">
        <f>'[3]Link In'!M15</f>
        <v>22.4</v>
      </c>
      <c r="M42" s="197">
        <f>'[3]Link In'!N15</f>
        <v>22.4</v>
      </c>
      <c r="N42" s="197">
        <f>'[3]Link In'!O15</f>
        <v>22.4</v>
      </c>
      <c r="O42" s="149"/>
      <c r="P42" s="149"/>
      <c r="Q42" s="149"/>
      <c r="R42" s="149"/>
      <c r="S42" s="149"/>
      <c r="T42" s="149"/>
      <c r="U42" s="149"/>
    </row>
    <row r="43" spans="1:29" ht="14.4" x14ac:dyDescent="0.3">
      <c r="A43" s="150"/>
      <c r="B43" s="159" t="s">
        <v>76</v>
      </c>
      <c r="C43" s="195"/>
      <c r="D43" s="195"/>
      <c r="E43" s="195"/>
      <c r="F43" s="196"/>
      <c r="G43" s="195"/>
      <c r="H43" s="150"/>
      <c r="I43" s="159" t="s">
        <v>76</v>
      </c>
      <c r="J43" s="197">
        <f>'[3]Link In'!K16</f>
        <v>37.299999999999997</v>
      </c>
      <c r="K43" s="197">
        <f>'[3]Link In'!L16</f>
        <v>37.299999999999997</v>
      </c>
      <c r="L43" s="197">
        <f>'[3]Link In'!M16</f>
        <v>37.299999999999997</v>
      </c>
      <c r="M43" s="197">
        <f>'[3]Link In'!N16</f>
        <v>37.299999999999997</v>
      </c>
      <c r="N43" s="197">
        <f>'[3]Link In'!O16</f>
        <v>37.299999999999997</v>
      </c>
      <c r="O43" s="149"/>
      <c r="P43" s="149"/>
      <c r="Q43" s="149"/>
      <c r="R43" s="149"/>
      <c r="S43" s="149"/>
      <c r="T43" s="149"/>
      <c r="U43" s="149"/>
    </row>
    <row r="44" spans="1:29" ht="14.4" x14ac:dyDescent="0.3">
      <c r="A44" s="150"/>
      <c r="B44" s="159" t="s">
        <v>15</v>
      </c>
      <c r="C44" s="195"/>
      <c r="D44" s="195"/>
      <c r="E44" s="195"/>
      <c r="F44" s="196"/>
      <c r="G44" s="195"/>
      <c r="H44" s="150"/>
      <c r="I44" s="159" t="s">
        <v>15</v>
      </c>
      <c r="J44" s="197">
        <f>'[3]Link In'!K17</f>
        <v>74.7</v>
      </c>
      <c r="K44" s="197">
        <f>'[3]Link In'!L17</f>
        <v>74.7</v>
      </c>
      <c r="L44" s="197">
        <f>'[3]Link In'!M17</f>
        <v>74.7</v>
      </c>
      <c r="M44" s="197">
        <f>'[3]Link In'!N17</f>
        <v>74.7</v>
      </c>
      <c r="N44" s="197">
        <f>'[3]Link In'!O17</f>
        <v>74.7</v>
      </c>
      <c r="O44" s="149"/>
      <c r="P44" s="149"/>
      <c r="Q44" s="149"/>
      <c r="R44" s="149"/>
      <c r="S44" s="149"/>
      <c r="T44" s="149"/>
      <c r="U44" s="149"/>
    </row>
    <row r="45" spans="1:29" ht="14.4" x14ac:dyDescent="0.3">
      <c r="A45" s="150"/>
      <c r="B45" s="159" t="s">
        <v>13</v>
      </c>
      <c r="C45" s="195"/>
      <c r="D45" s="195"/>
      <c r="E45" s="195"/>
      <c r="F45" s="196"/>
      <c r="G45" s="195"/>
      <c r="H45" s="150"/>
      <c r="I45" s="159" t="s">
        <v>13</v>
      </c>
      <c r="J45" s="197">
        <f>'[3]Link In'!K18</f>
        <v>119.5</v>
      </c>
      <c r="K45" s="197">
        <f>'[3]Link In'!L18</f>
        <v>119.5</v>
      </c>
      <c r="L45" s="197">
        <f>'[3]Link In'!M18</f>
        <v>119.5</v>
      </c>
      <c r="M45" s="197">
        <f>'[3]Link In'!N18</f>
        <v>119.5</v>
      </c>
      <c r="N45" s="197">
        <f>'[3]Link In'!O18</f>
        <v>119.5</v>
      </c>
      <c r="O45" s="149"/>
      <c r="P45" s="149"/>
      <c r="Q45" s="149"/>
      <c r="R45" s="149"/>
      <c r="S45" s="149"/>
      <c r="T45" s="149"/>
      <c r="U45" s="149"/>
    </row>
    <row r="46" spans="1:29" ht="14.4" x14ac:dyDescent="0.3">
      <c r="A46" s="150"/>
      <c r="B46" s="159" t="s">
        <v>14</v>
      </c>
      <c r="C46" s="195"/>
      <c r="D46" s="195"/>
      <c r="E46" s="195"/>
      <c r="F46" s="196"/>
      <c r="G46" s="195"/>
      <c r="H46" s="150"/>
      <c r="I46" s="159" t="s">
        <v>14</v>
      </c>
      <c r="J46" s="197">
        <f>'[3]Link In'!K19</f>
        <v>224</v>
      </c>
      <c r="K46" s="197">
        <f>'[3]Link In'!L19</f>
        <v>224</v>
      </c>
      <c r="L46" s="197">
        <f>'[3]Link In'!M19</f>
        <v>224</v>
      </c>
      <c r="M46" s="197">
        <f>'[3]Link In'!N19</f>
        <v>224</v>
      </c>
      <c r="N46" s="197">
        <f>'[3]Link In'!O19</f>
        <v>224</v>
      </c>
      <c r="O46" s="149"/>
      <c r="P46" s="149"/>
      <c r="Q46" s="149"/>
      <c r="R46" s="149"/>
      <c r="S46" s="149"/>
      <c r="T46" s="149"/>
      <c r="U46" s="149"/>
    </row>
    <row r="47" spans="1:29" ht="14.4" x14ac:dyDescent="0.3">
      <c r="A47" s="150"/>
      <c r="B47" s="159" t="s">
        <v>16</v>
      </c>
      <c r="C47" s="195"/>
      <c r="D47" s="195"/>
      <c r="E47" s="195"/>
      <c r="F47" s="196"/>
      <c r="G47" s="195"/>
      <c r="H47" s="150"/>
      <c r="I47" s="159" t="s">
        <v>16</v>
      </c>
      <c r="J47" s="197">
        <f>'[3]Link In'!K20</f>
        <v>373.4</v>
      </c>
      <c r="K47" s="197">
        <f>'[3]Link In'!L20</f>
        <v>373.4</v>
      </c>
      <c r="L47" s="197">
        <f>'[3]Link In'!M20</f>
        <v>373.4</v>
      </c>
      <c r="M47" s="197">
        <f>'[3]Link In'!N20</f>
        <v>373.4</v>
      </c>
      <c r="N47" s="197">
        <f>'[3]Link In'!O20</f>
        <v>373.4</v>
      </c>
      <c r="O47" s="149"/>
      <c r="P47" s="149"/>
      <c r="Q47" s="149"/>
      <c r="R47" s="149"/>
      <c r="S47" s="149"/>
      <c r="T47" s="149"/>
      <c r="U47" s="149"/>
    </row>
    <row r="48" spans="1:29" ht="14.4" x14ac:dyDescent="0.3">
      <c r="A48" s="150"/>
      <c r="B48" s="159" t="s">
        <v>60</v>
      </c>
      <c r="C48" s="195"/>
      <c r="D48" s="195"/>
      <c r="E48" s="195"/>
      <c r="F48" s="196"/>
      <c r="G48" s="195"/>
      <c r="H48" s="150"/>
      <c r="I48" s="159" t="s">
        <v>60</v>
      </c>
      <c r="J48" s="197">
        <f>'[3]Link In'!K21</f>
        <v>746.7</v>
      </c>
      <c r="K48" s="197">
        <f>'[3]Link In'!L21</f>
        <v>746.7</v>
      </c>
      <c r="L48" s="197">
        <f>'[3]Link In'!M21</f>
        <v>746.7</v>
      </c>
      <c r="M48" s="197">
        <f>'[3]Link In'!N21</f>
        <v>746.7</v>
      </c>
      <c r="N48" s="197">
        <f>'[3]Link In'!O21</f>
        <v>746.7</v>
      </c>
      <c r="O48" s="149"/>
      <c r="P48" s="149"/>
      <c r="Q48" s="149"/>
      <c r="R48" s="149"/>
      <c r="S48" s="149"/>
      <c r="T48" s="149"/>
      <c r="U48" s="149"/>
    </row>
    <row r="49" spans="1:21" ht="14.4" x14ac:dyDescent="0.3">
      <c r="A49" s="150"/>
      <c r="B49" s="159" t="s">
        <v>61</v>
      </c>
      <c r="C49" s="195"/>
      <c r="D49" s="195"/>
      <c r="E49" s="195"/>
      <c r="F49" s="196"/>
      <c r="G49" s="195"/>
      <c r="H49" s="150"/>
      <c r="I49" s="159" t="s">
        <v>61</v>
      </c>
      <c r="J49" s="197">
        <f>'[3]Link In'!K22</f>
        <v>1194.7</v>
      </c>
      <c r="K49" s="197">
        <f>'[3]Link In'!L22</f>
        <v>1194.7</v>
      </c>
      <c r="L49" s="197">
        <f>'[3]Link In'!M22</f>
        <v>1194.7</v>
      </c>
      <c r="M49" s="197">
        <f>'[3]Link In'!N22</f>
        <v>1194.7</v>
      </c>
      <c r="N49" s="197">
        <f>'[3]Link In'!O22</f>
        <v>1194.7</v>
      </c>
      <c r="O49" s="149"/>
      <c r="P49" s="149"/>
      <c r="Q49" s="149"/>
      <c r="R49" s="149"/>
      <c r="S49" s="149"/>
      <c r="T49" s="149"/>
      <c r="U49" s="149"/>
    </row>
    <row r="50" spans="1:21" ht="14.4" x14ac:dyDescent="0.3">
      <c r="A50" s="150"/>
      <c r="B50" s="159" t="s">
        <v>62</v>
      </c>
      <c r="C50" s="197"/>
      <c r="D50" s="197"/>
      <c r="E50" s="197"/>
      <c r="F50" s="198"/>
      <c r="G50" s="197"/>
      <c r="H50" s="150"/>
      <c r="I50" s="159" t="s">
        <v>62</v>
      </c>
      <c r="J50" s="197"/>
      <c r="K50" s="197"/>
      <c r="L50" s="197"/>
      <c r="M50" s="197"/>
      <c r="N50" s="197"/>
      <c r="O50" s="149"/>
      <c r="P50" s="149"/>
      <c r="Q50" s="149"/>
      <c r="R50" s="149"/>
      <c r="S50" s="149"/>
      <c r="T50" s="149"/>
      <c r="U50" s="149"/>
    </row>
    <row r="51" spans="1:21" ht="14.4" x14ac:dyDescent="0.3">
      <c r="A51" s="150"/>
      <c r="B51" s="159" t="s">
        <v>63</v>
      </c>
      <c r="C51" s="197"/>
      <c r="D51" s="197"/>
      <c r="E51" s="197"/>
      <c r="F51" s="198"/>
      <c r="G51" s="197"/>
      <c r="H51" s="150"/>
      <c r="I51" s="159" t="s">
        <v>63</v>
      </c>
      <c r="J51" s="197"/>
      <c r="K51" s="197"/>
      <c r="L51" s="197"/>
      <c r="M51" s="197"/>
      <c r="N51" s="197"/>
      <c r="O51" s="149"/>
      <c r="P51" s="149"/>
      <c r="Q51" s="149"/>
      <c r="R51" s="149"/>
      <c r="S51" s="149"/>
      <c r="T51" s="149"/>
      <c r="U51" s="149"/>
    </row>
    <row r="52" spans="1:21" ht="14.4" x14ac:dyDescent="0.3">
      <c r="A52" s="150"/>
      <c r="B52" s="159"/>
      <c r="C52" s="197"/>
      <c r="D52" s="197"/>
      <c r="E52" s="197"/>
      <c r="F52" s="198"/>
      <c r="G52" s="197"/>
      <c r="H52" s="150"/>
      <c r="I52" s="159"/>
      <c r="J52" s="197"/>
      <c r="K52" s="197"/>
      <c r="L52" s="197"/>
      <c r="M52" s="197"/>
      <c r="N52" s="197"/>
      <c r="O52" s="149"/>
      <c r="P52" s="149"/>
      <c r="Q52" s="149"/>
      <c r="R52" s="149"/>
      <c r="S52" s="149"/>
      <c r="T52" s="149"/>
      <c r="U52" s="149"/>
    </row>
    <row r="53" spans="1:21" ht="14.4" x14ac:dyDescent="0.3">
      <c r="A53" s="150"/>
      <c r="B53" s="159"/>
      <c r="C53" s="197"/>
      <c r="D53" s="197"/>
      <c r="E53" s="197"/>
      <c r="F53" s="198"/>
      <c r="G53" s="197"/>
      <c r="H53" s="150"/>
      <c r="I53" s="159"/>
      <c r="J53" s="197"/>
      <c r="K53" s="197"/>
      <c r="L53" s="197"/>
      <c r="M53" s="197"/>
      <c r="N53" s="197"/>
      <c r="O53" s="149"/>
      <c r="P53" s="149"/>
      <c r="Q53" s="149"/>
      <c r="R53" s="149"/>
      <c r="S53" s="149"/>
      <c r="T53" s="149"/>
      <c r="U53" s="149"/>
    </row>
    <row r="54" spans="1:21" ht="14.4" x14ac:dyDescent="0.3">
      <c r="A54" s="150"/>
      <c r="B54" s="159"/>
      <c r="C54" s="197"/>
      <c r="D54" s="197"/>
      <c r="E54" s="197"/>
      <c r="F54" s="198"/>
      <c r="G54" s="197"/>
      <c r="H54" s="150"/>
      <c r="I54" s="159"/>
      <c r="J54" s="197"/>
      <c r="K54" s="197"/>
      <c r="L54" s="197"/>
      <c r="M54" s="197"/>
      <c r="N54" s="197"/>
      <c r="O54" s="149"/>
      <c r="P54" s="149"/>
      <c r="Q54" s="149"/>
      <c r="R54" s="149"/>
      <c r="S54" s="149"/>
      <c r="T54" s="149"/>
      <c r="U54" s="149"/>
    </row>
    <row r="55" spans="1:21" ht="14.4" x14ac:dyDescent="0.3">
      <c r="A55" s="150"/>
      <c r="B55" s="159"/>
      <c r="C55" s="197"/>
      <c r="D55" s="197"/>
      <c r="E55" s="197"/>
      <c r="F55" s="198"/>
      <c r="G55" s="197"/>
      <c r="H55" s="150"/>
      <c r="I55" s="159"/>
      <c r="J55" s="197"/>
      <c r="K55" s="197"/>
      <c r="L55" s="197"/>
      <c r="M55" s="197"/>
      <c r="N55" s="197"/>
      <c r="O55" s="149"/>
      <c r="P55" s="149"/>
      <c r="Q55" s="149"/>
      <c r="R55" s="149"/>
      <c r="S55" s="149"/>
      <c r="T55" s="149"/>
      <c r="U55" s="149"/>
    </row>
    <row r="56" spans="1:21" ht="14.4" x14ac:dyDescent="0.3">
      <c r="A56" s="150"/>
      <c r="B56" s="150"/>
      <c r="C56" s="149"/>
      <c r="D56" s="169"/>
      <c r="E56" s="169"/>
      <c r="F56" s="149"/>
      <c r="G56" s="149"/>
      <c r="H56" s="150"/>
      <c r="I56" s="150"/>
      <c r="J56" s="149"/>
      <c r="K56" s="169"/>
      <c r="L56" s="169"/>
      <c r="M56" s="149"/>
      <c r="N56" s="149"/>
      <c r="O56" s="149"/>
      <c r="P56" s="149"/>
      <c r="Q56" s="149"/>
      <c r="R56" s="149"/>
      <c r="S56" s="149"/>
      <c r="T56" s="149"/>
      <c r="U56" s="149"/>
    </row>
    <row r="57" spans="1:21" ht="14.4" x14ac:dyDescent="0.3">
      <c r="A57" s="150" t="s">
        <v>49</v>
      </c>
      <c r="B57" s="193" t="s">
        <v>123</v>
      </c>
      <c r="C57" s="149"/>
      <c r="D57" s="149"/>
      <c r="E57" s="149"/>
      <c r="F57" s="149"/>
      <c r="G57" s="149"/>
      <c r="H57" s="150" t="s">
        <v>49</v>
      </c>
      <c r="I57" s="193" t="str">
        <f>B57</f>
        <v>T-Gals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</row>
    <row r="58" spans="1:21" ht="14.4" x14ac:dyDescent="0.3">
      <c r="A58" s="170"/>
      <c r="B58" s="150" t="s">
        <v>12</v>
      </c>
      <c r="C58" s="149" t="s">
        <v>88</v>
      </c>
      <c r="D58" s="149" t="s">
        <v>89</v>
      </c>
      <c r="E58" s="149" t="s">
        <v>90</v>
      </c>
      <c r="F58" s="169" t="s">
        <v>6</v>
      </c>
      <c r="G58" s="149" t="s">
        <v>94</v>
      </c>
      <c r="H58" s="170"/>
      <c r="I58" s="150" t="s">
        <v>12</v>
      </c>
      <c r="J58" s="150" t="s">
        <v>88</v>
      </c>
      <c r="K58" s="150" t="s">
        <v>89</v>
      </c>
      <c r="L58" s="150" t="s">
        <v>90</v>
      </c>
      <c r="M58" s="194" t="s">
        <v>6</v>
      </c>
      <c r="N58" s="150" t="s">
        <v>94</v>
      </c>
      <c r="O58" s="161"/>
      <c r="P58" s="149"/>
      <c r="Q58" s="149"/>
      <c r="R58" s="149"/>
      <c r="S58" s="149"/>
      <c r="T58" s="149"/>
      <c r="U58" s="149"/>
    </row>
    <row r="59" spans="1:21" ht="14.4" x14ac:dyDescent="0.3">
      <c r="A59" s="199" t="s">
        <v>124</v>
      </c>
      <c r="B59" s="200" t="s">
        <v>124</v>
      </c>
      <c r="C59" s="201"/>
      <c r="D59" s="201"/>
      <c r="E59" s="201"/>
      <c r="F59" s="201"/>
      <c r="G59" s="201"/>
      <c r="H59" s="199" t="s">
        <v>102</v>
      </c>
      <c r="I59" s="200" t="str">
        <f>B59</f>
        <v>All</v>
      </c>
      <c r="J59" s="201">
        <f>'[3]Link In'!K28</f>
        <v>6.3639999999999999</v>
      </c>
      <c r="K59" s="201">
        <f>'[3]Link In'!L28</f>
        <v>5.7119999999999997</v>
      </c>
      <c r="L59" s="201">
        <f>'[3]Link In'!M28</f>
        <v>4.75</v>
      </c>
      <c r="M59" s="201">
        <f>'[3]Link In'!N28</f>
        <v>5.1909999999999998</v>
      </c>
      <c r="N59" s="201">
        <f>'[3]Link In'!O28</f>
        <v>4.76</v>
      </c>
      <c r="O59" s="201"/>
      <c r="P59" s="149"/>
      <c r="Q59" s="149"/>
      <c r="R59" s="149"/>
      <c r="S59" s="149"/>
      <c r="T59" s="149"/>
      <c r="U59" s="149"/>
    </row>
    <row r="60" spans="1:21" ht="14.4" x14ac:dyDescent="0.3">
      <c r="A60" s="199" t="s">
        <v>103</v>
      </c>
      <c r="B60" s="159">
        <v>2000</v>
      </c>
      <c r="C60" s="201">
        <v>0</v>
      </c>
      <c r="D60" s="201">
        <f>+[2]Summary!K300</f>
        <v>0</v>
      </c>
      <c r="E60" s="201"/>
      <c r="F60" s="201"/>
      <c r="G60" s="201"/>
      <c r="H60" s="199" t="s">
        <v>103</v>
      </c>
      <c r="I60" s="159">
        <f t="shared" ref="I60:I64" si="11">B60</f>
        <v>2000</v>
      </c>
      <c r="J60" s="201">
        <f>+J59</f>
        <v>6.3639999999999999</v>
      </c>
      <c r="K60" s="201">
        <f t="shared" ref="K60:N60" si="12">+K59</f>
        <v>5.7119999999999997</v>
      </c>
      <c r="L60" s="201">
        <f t="shared" si="12"/>
        <v>4.75</v>
      </c>
      <c r="M60" s="201">
        <f t="shared" si="12"/>
        <v>5.1909999999999998</v>
      </c>
      <c r="N60" s="201">
        <f t="shared" si="12"/>
        <v>4.76</v>
      </c>
      <c r="O60" s="201"/>
      <c r="P60" s="149"/>
      <c r="Q60" s="149"/>
      <c r="R60" s="149"/>
      <c r="S60" s="149"/>
      <c r="T60" s="149"/>
      <c r="U60" s="149"/>
    </row>
    <row r="61" spans="1:21" ht="14.4" x14ac:dyDescent="0.3">
      <c r="A61" s="199" t="s">
        <v>104</v>
      </c>
      <c r="B61" s="159" t="s">
        <v>197</v>
      </c>
      <c r="C61" s="201">
        <v>11.53</v>
      </c>
      <c r="D61" s="201">
        <f>+[2]Summary!K301</f>
        <v>11.53</v>
      </c>
      <c r="E61" s="201"/>
      <c r="F61" s="201"/>
      <c r="G61" s="201"/>
      <c r="H61" s="199" t="s">
        <v>104</v>
      </c>
      <c r="I61" s="159" t="str">
        <f t="shared" si="11"/>
        <v>&gt; 2000</v>
      </c>
      <c r="J61" s="201">
        <f t="shared" ref="J61:J64" si="13">+J60</f>
        <v>6.3639999999999999</v>
      </c>
      <c r="K61" s="201">
        <f t="shared" ref="K61:K64" si="14">+K60</f>
        <v>5.7119999999999997</v>
      </c>
      <c r="L61" s="201">
        <f t="shared" ref="L61:L64" si="15">+L60</f>
        <v>4.75</v>
      </c>
      <c r="M61" s="201">
        <f t="shared" ref="M61:M64" si="16">+M60</f>
        <v>5.1909999999999998</v>
      </c>
      <c r="N61" s="201">
        <f t="shared" ref="N61:N64" si="17">+N60</f>
        <v>4.76</v>
      </c>
      <c r="O61" s="201"/>
      <c r="P61" s="149"/>
      <c r="Q61" s="149"/>
      <c r="R61" s="149"/>
      <c r="S61" s="149"/>
      <c r="T61" s="149"/>
      <c r="U61" s="149"/>
    </row>
    <row r="62" spans="1:21" ht="14.4" x14ac:dyDescent="0.3">
      <c r="A62" s="199" t="s">
        <v>105</v>
      </c>
      <c r="B62" s="202"/>
      <c r="C62" s="201">
        <v>0</v>
      </c>
      <c r="D62" s="201">
        <f>+[2]Summary!K302</f>
        <v>0</v>
      </c>
      <c r="E62" s="201"/>
      <c r="F62" s="201"/>
      <c r="G62" s="201"/>
      <c r="H62" s="199" t="s">
        <v>105</v>
      </c>
      <c r="I62" s="200">
        <f t="shared" si="11"/>
        <v>0</v>
      </c>
      <c r="J62" s="201">
        <f t="shared" si="13"/>
        <v>6.3639999999999999</v>
      </c>
      <c r="K62" s="201">
        <f t="shared" si="14"/>
        <v>5.7119999999999997</v>
      </c>
      <c r="L62" s="201">
        <f t="shared" si="15"/>
        <v>4.75</v>
      </c>
      <c r="M62" s="201">
        <f t="shared" si="16"/>
        <v>5.1909999999999998</v>
      </c>
      <c r="N62" s="201">
        <f t="shared" si="17"/>
        <v>4.76</v>
      </c>
      <c r="O62" s="201"/>
      <c r="P62" s="149"/>
      <c r="Q62" s="149"/>
      <c r="R62" s="149"/>
      <c r="S62" s="149"/>
      <c r="T62" s="149"/>
      <c r="U62" s="149"/>
    </row>
    <row r="63" spans="1:21" ht="14.4" x14ac:dyDescent="0.3">
      <c r="A63" s="199" t="s">
        <v>106</v>
      </c>
      <c r="B63" s="202"/>
      <c r="C63" s="201">
        <v>0</v>
      </c>
      <c r="D63" s="201">
        <f>+[2]Summary!K303</f>
        <v>0</v>
      </c>
      <c r="E63" s="201"/>
      <c r="F63" s="201"/>
      <c r="G63" s="201"/>
      <c r="H63" s="199" t="s">
        <v>106</v>
      </c>
      <c r="I63" s="200">
        <f t="shared" si="11"/>
        <v>0</v>
      </c>
      <c r="J63" s="201">
        <f t="shared" si="13"/>
        <v>6.3639999999999999</v>
      </c>
      <c r="K63" s="201">
        <f t="shared" si="14"/>
        <v>5.7119999999999997</v>
      </c>
      <c r="L63" s="201">
        <f t="shared" si="15"/>
        <v>4.75</v>
      </c>
      <c r="M63" s="201">
        <f t="shared" si="16"/>
        <v>5.1909999999999998</v>
      </c>
      <c r="N63" s="201">
        <f t="shared" si="17"/>
        <v>4.76</v>
      </c>
      <c r="O63" s="201"/>
      <c r="P63" s="149"/>
      <c r="Q63" s="149"/>
      <c r="R63" s="149"/>
      <c r="S63" s="149"/>
      <c r="T63" s="149"/>
      <c r="U63" s="149"/>
    </row>
    <row r="64" spans="1:21" ht="14.4" x14ac:dyDescent="0.3">
      <c r="A64" s="199" t="s">
        <v>107</v>
      </c>
      <c r="B64" s="202"/>
      <c r="C64" s="201">
        <v>0</v>
      </c>
      <c r="D64" s="201">
        <f>+[2]Summary!K304</f>
        <v>0</v>
      </c>
      <c r="E64" s="201"/>
      <c r="F64" s="201"/>
      <c r="G64" s="201"/>
      <c r="H64" s="199" t="s">
        <v>107</v>
      </c>
      <c r="I64" s="200">
        <f t="shared" si="11"/>
        <v>0</v>
      </c>
      <c r="J64" s="201">
        <f t="shared" si="13"/>
        <v>6.3639999999999999</v>
      </c>
      <c r="K64" s="201">
        <f t="shared" si="14"/>
        <v>5.7119999999999997</v>
      </c>
      <c r="L64" s="201">
        <f t="shared" si="15"/>
        <v>4.75</v>
      </c>
      <c r="M64" s="201">
        <f t="shared" si="16"/>
        <v>5.1909999999999998</v>
      </c>
      <c r="N64" s="201">
        <f t="shared" si="17"/>
        <v>4.76</v>
      </c>
      <c r="O64" s="201"/>
      <c r="P64" s="149"/>
      <c r="Q64" s="149"/>
      <c r="R64" s="149"/>
      <c r="S64" s="149"/>
      <c r="T64" s="149"/>
      <c r="U64" s="149"/>
    </row>
    <row r="65" spans="1:21" ht="14.4" x14ac:dyDescent="0.3">
      <c r="A65" s="150"/>
      <c r="B65" s="150"/>
      <c r="C65" s="149"/>
      <c r="D65" s="321"/>
      <c r="E65" s="321"/>
      <c r="F65" s="149"/>
      <c r="G65" s="149"/>
      <c r="H65" s="150"/>
      <c r="I65" s="150"/>
      <c r="J65" s="149"/>
      <c r="K65" s="321"/>
      <c r="L65" s="321"/>
      <c r="M65" s="149"/>
      <c r="N65" s="149"/>
      <c r="O65" s="149"/>
      <c r="P65" s="149"/>
      <c r="Q65" s="149"/>
      <c r="R65" s="149"/>
      <c r="S65" s="149"/>
      <c r="T65" s="149"/>
      <c r="U65" s="149"/>
    </row>
    <row r="66" spans="1:21" ht="14.4" x14ac:dyDescent="0.3">
      <c r="A66" s="150"/>
      <c r="B66" s="150"/>
      <c r="C66" s="149"/>
      <c r="D66" s="289"/>
      <c r="E66" s="289"/>
      <c r="G66" s="201"/>
      <c r="H66" s="150"/>
      <c r="I66" s="150"/>
      <c r="J66" s="309"/>
      <c r="K66" s="309"/>
      <c r="L66" s="309"/>
      <c r="M66" s="309"/>
      <c r="N66" s="309"/>
      <c r="O66" s="149"/>
      <c r="P66" s="149"/>
      <c r="Q66" s="149"/>
      <c r="R66" s="149"/>
      <c r="S66" s="149"/>
      <c r="T66" s="149"/>
      <c r="U66" s="149"/>
    </row>
    <row r="67" spans="1:21" ht="14.4" x14ac:dyDescent="0.3">
      <c r="A67" s="150"/>
      <c r="B67" s="150"/>
      <c r="C67" s="149"/>
      <c r="D67" s="289"/>
      <c r="E67" s="289"/>
      <c r="F67" s="149"/>
      <c r="G67" s="149"/>
      <c r="H67" s="150"/>
      <c r="I67" s="150"/>
      <c r="J67" s="309"/>
      <c r="K67" s="309"/>
      <c r="L67" s="309"/>
      <c r="M67" s="309"/>
      <c r="N67" s="309"/>
      <c r="O67" s="149"/>
      <c r="P67" s="149"/>
      <c r="Q67" s="149"/>
      <c r="R67" s="149"/>
      <c r="S67" s="149"/>
      <c r="T67" s="149"/>
      <c r="U67" s="149"/>
    </row>
    <row r="68" spans="1:21" ht="14.4" x14ac:dyDescent="0.3">
      <c r="A68" s="193"/>
      <c r="B68" s="150"/>
      <c r="C68" s="149"/>
      <c r="D68" s="289"/>
      <c r="E68" s="289"/>
      <c r="F68" s="149"/>
      <c r="G68" s="149"/>
      <c r="H68" s="193"/>
      <c r="I68" s="150"/>
      <c r="J68" s="309"/>
      <c r="K68" s="309"/>
      <c r="L68" s="309"/>
      <c r="M68" s="309"/>
      <c r="N68" s="309"/>
      <c r="O68" s="149"/>
      <c r="P68" s="149"/>
      <c r="Q68" s="149"/>
      <c r="R68" s="149"/>
      <c r="S68" s="149"/>
      <c r="T68" s="149"/>
      <c r="U68" s="149"/>
    </row>
    <row r="69" spans="1:21" ht="14.4" x14ac:dyDescent="0.3">
      <c r="A69" s="150"/>
      <c r="B69" s="159"/>
      <c r="C69" s="201"/>
      <c r="D69" s="201"/>
      <c r="E69" s="201"/>
      <c r="F69" s="201"/>
      <c r="G69" s="201"/>
      <c r="H69" s="150"/>
      <c r="I69" s="159"/>
      <c r="J69" s="309"/>
      <c r="K69" s="309"/>
      <c r="L69" s="309"/>
      <c r="M69" s="309"/>
      <c r="N69" s="309"/>
      <c r="O69" s="149"/>
      <c r="P69" s="149"/>
      <c r="Q69" s="149"/>
      <c r="R69" s="149"/>
      <c r="S69" s="149"/>
      <c r="T69" s="149"/>
      <c r="U69" s="149"/>
    </row>
    <row r="70" spans="1:21" ht="14.4" x14ac:dyDescent="0.3">
      <c r="A70" s="150"/>
      <c r="B70" s="159"/>
      <c r="C70" s="201"/>
      <c r="D70" s="201"/>
      <c r="E70" s="201"/>
      <c r="F70" s="201"/>
      <c r="G70" s="201"/>
      <c r="H70" s="150"/>
      <c r="I70" s="159"/>
      <c r="J70" s="309"/>
      <c r="K70" s="309"/>
      <c r="L70" s="309"/>
      <c r="M70" s="309"/>
      <c r="N70" s="309"/>
      <c r="O70" s="149"/>
      <c r="P70" s="149"/>
      <c r="Q70" s="149"/>
      <c r="R70" s="149"/>
      <c r="S70" s="149"/>
      <c r="T70" s="149"/>
      <c r="U70" s="149"/>
    </row>
    <row r="71" spans="1:21" ht="14.4" x14ac:dyDescent="0.3">
      <c r="A71" s="150"/>
      <c r="B71" s="150"/>
      <c r="C71" s="149"/>
      <c r="D71" s="289"/>
      <c r="E71" s="289"/>
      <c r="F71" s="149"/>
      <c r="G71" s="149"/>
      <c r="H71" s="150"/>
      <c r="I71" s="150"/>
      <c r="J71" s="149"/>
      <c r="K71" s="289"/>
      <c r="L71" s="289"/>
      <c r="M71" s="149"/>
      <c r="N71" s="149"/>
      <c r="O71" s="149"/>
      <c r="P71" s="149"/>
      <c r="Q71" s="149"/>
      <c r="R71" s="149"/>
      <c r="S71" s="149"/>
      <c r="T71" s="149"/>
      <c r="U71" s="149"/>
    </row>
    <row r="72" spans="1:21" ht="14.4" x14ac:dyDescent="0.3">
      <c r="A72" s="150"/>
      <c r="B72" s="150"/>
      <c r="C72" s="149"/>
      <c r="D72" s="161"/>
      <c r="E72" s="149"/>
      <c r="F72" s="149"/>
      <c r="G72" s="149"/>
      <c r="H72" s="150"/>
      <c r="I72" s="150"/>
      <c r="J72" s="149"/>
      <c r="K72" s="161"/>
      <c r="L72" s="203"/>
      <c r="M72" s="149"/>
      <c r="N72" s="149"/>
      <c r="O72" s="149"/>
      <c r="P72" s="149"/>
      <c r="Q72" s="149"/>
      <c r="R72" s="149"/>
      <c r="S72" s="149"/>
      <c r="T72" s="149"/>
      <c r="U72" s="149"/>
    </row>
    <row r="73" spans="1:21" ht="14.4" x14ac:dyDescent="0.3">
      <c r="A73" s="150"/>
      <c r="B73" s="150" t="s">
        <v>78</v>
      </c>
      <c r="C73" s="149"/>
      <c r="D73" s="203" t="s">
        <v>12</v>
      </c>
      <c r="E73" s="149"/>
      <c r="F73" s="87"/>
      <c r="G73" s="149"/>
      <c r="H73" s="150"/>
      <c r="I73" s="150"/>
      <c r="J73" s="149" t="s">
        <v>78</v>
      </c>
      <c r="K73" s="149"/>
      <c r="L73" s="204" t="s">
        <v>12</v>
      </c>
      <c r="M73" s="149"/>
      <c r="N73" s="149"/>
      <c r="O73" s="149"/>
      <c r="P73" s="87"/>
      <c r="Q73" s="205"/>
      <c r="R73" s="205"/>
      <c r="S73" s="149"/>
      <c r="T73" s="149"/>
      <c r="U73" s="149"/>
    </row>
    <row r="74" spans="1:21" ht="14.4" x14ac:dyDescent="0.3">
      <c r="A74" s="150"/>
      <c r="B74" s="206"/>
      <c r="C74" s="149"/>
      <c r="D74" s="203" t="s">
        <v>46</v>
      </c>
      <c r="E74" s="149"/>
      <c r="F74" s="87"/>
      <c r="G74" s="149"/>
      <c r="H74" s="206"/>
      <c r="I74" s="150"/>
      <c r="J74" s="207"/>
      <c r="K74" s="149"/>
      <c r="L74" s="203" t="s">
        <v>46</v>
      </c>
      <c r="M74" s="208"/>
      <c r="N74" s="149"/>
      <c r="O74" s="149"/>
      <c r="P74" s="87"/>
      <c r="Q74" s="205"/>
      <c r="R74" s="205"/>
      <c r="S74" s="149"/>
      <c r="T74" s="149"/>
      <c r="U74" s="149"/>
    </row>
    <row r="75" spans="1:21" ht="14.4" x14ac:dyDescent="0.3">
      <c r="A75" s="150"/>
      <c r="B75" s="150" t="s">
        <v>23</v>
      </c>
      <c r="C75" s="164" t="s">
        <v>135</v>
      </c>
      <c r="D75" s="196">
        <v>0</v>
      </c>
      <c r="E75" s="149"/>
      <c r="F75" s="87"/>
      <c r="G75" s="149"/>
      <c r="H75" s="150"/>
      <c r="I75" s="150"/>
      <c r="J75" s="149" t="s">
        <v>23</v>
      </c>
      <c r="K75" s="164" t="s">
        <v>135</v>
      </c>
      <c r="L75" s="209">
        <f>'[3]Link In'!$L$46</f>
        <v>80.12</v>
      </c>
      <c r="M75" s="208"/>
      <c r="N75" s="149"/>
      <c r="O75" s="149"/>
      <c r="P75" s="87"/>
      <c r="Q75" s="205"/>
      <c r="R75" s="205"/>
      <c r="S75" s="149"/>
      <c r="T75" s="149"/>
      <c r="U75" s="149"/>
    </row>
    <row r="76" spans="1:21" ht="14.4" x14ac:dyDescent="0.3">
      <c r="A76" s="150"/>
      <c r="B76" s="150"/>
      <c r="C76" s="164" t="s">
        <v>13</v>
      </c>
      <c r="D76" s="196">
        <v>0</v>
      </c>
      <c r="E76" s="149"/>
      <c r="F76" s="87"/>
      <c r="G76" s="149"/>
      <c r="H76" s="150"/>
      <c r="I76" s="150"/>
      <c r="J76" s="149"/>
      <c r="K76" s="164" t="s">
        <v>13</v>
      </c>
      <c r="L76" s="209">
        <f>'[3]Link In'!L38</f>
        <v>9.16</v>
      </c>
      <c r="M76" s="208"/>
      <c r="N76" s="149"/>
      <c r="O76" s="149"/>
      <c r="P76" s="87"/>
      <c r="Q76" s="205"/>
      <c r="R76" s="205"/>
      <c r="S76" s="149"/>
      <c r="T76" s="149"/>
      <c r="U76" s="149"/>
    </row>
    <row r="77" spans="1:21" ht="14.4" x14ac:dyDescent="0.3">
      <c r="A77" s="150"/>
      <c r="B77" s="150"/>
      <c r="C77" s="164" t="s">
        <v>16</v>
      </c>
      <c r="D77" s="196">
        <v>0</v>
      </c>
      <c r="E77" s="149"/>
      <c r="F77" s="208"/>
      <c r="G77" s="149"/>
      <c r="H77" s="150"/>
      <c r="I77" s="150"/>
      <c r="J77" s="149"/>
      <c r="K77" s="164" t="s">
        <v>16</v>
      </c>
      <c r="L77" s="209">
        <f>'[3]Link In'!L39</f>
        <v>36.92</v>
      </c>
      <c r="M77" s="208"/>
      <c r="N77" s="149"/>
      <c r="O77" s="149"/>
      <c r="P77" s="149"/>
      <c r="Q77" s="149"/>
      <c r="R77" s="149"/>
      <c r="S77" s="149"/>
      <c r="T77" s="149"/>
      <c r="U77" s="149"/>
    </row>
    <row r="78" spans="1:21" ht="14.4" x14ac:dyDescent="0.3">
      <c r="A78" s="150"/>
      <c r="B78" s="150"/>
      <c r="C78" s="164" t="s">
        <v>60</v>
      </c>
      <c r="D78" s="196">
        <v>0</v>
      </c>
      <c r="E78" s="149"/>
      <c r="F78" s="208"/>
      <c r="G78" s="149"/>
      <c r="H78" s="150"/>
      <c r="I78" s="150"/>
      <c r="J78" s="149"/>
      <c r="K78" s="164" t="s">
        <v>60</v>
      </c>
      <c r="L78" s="209">
        <f>'[3]Link In'!L40</f>
        <v>83.04</v>
      </c>
      <c r="M78" s="208"/>
      <c r="N78" s="149"/>
      <c r="O78" s="149"/>
      <c r="P78" s="149"/>
      <c r="Q78" s="149"/>
      <c r="R78" s="149"/>
      <c r="S78" s="149"/>
      <c r="T78" s="149"/>
      <c r="U78" s="149"/>
    </row>
    <row r="79" spans="1:21" ht="14.4" x14ac:dyDescent="0.3">
      <c r="A79" s="150"/>
      <c r="B79" s="150"/>
      <c r="C79" s="164" t="s">
        <v>61</v>
      </c>
      <c r="D79" s="196">
        <v>0</v>
      </c>
      <c r="E79" s="149"/>
      <c r="F79" s="208"/>
      <c r="G79" s="149"/>
      <c r="H79" s="150"/>
      <c r="I79" s="150"/>
      <c r="J79" s="149"/>
      <c r="K79" s="164" t="s">
        <v>61</v>
      </c>
      <c r="L79" s="209">
        <f>'[3]Link In'!L41</f>
        <v>147.62</v>
      </c>
      <c r="M79" s="208"/>
      <c r="N79" s="149"/>
      <c r="O79" s="149"/>
      <c r="P79" s="149"/>
      <c r="Q79" s="149"/>
      <c r="R79" s="149"/>
      <c r="S79" s="149"/>
      <c r="T79" s="149"/>
      <c r="U79" s="149"/>
    </row>
    <row r="80" spans="1:21" ht="14.4" x14ac:dyDescent="0.3">
      <c r="A80" s="150"/>
      <c r="B80" s="150"/>
      <c r="C80" s="164" t="s">
        <v>62</v>
      </c>
      <c r="D80" s="196">
        <v>0</v>
      </c>
      <c r="E80" s="149"/>
      <c r="F80" s="208"/>
      <c r="G80" s="149"/>
      <c r="H80" s="150"/>
      <c r="I80" s="150"/>
      <c r="J80" s="149"/>
      <c r="K80" s="164" t="s">
        <v>62</v>
      </c>
      <c r="L80" s="209">
        <f>'[3]Link In'!L42</f>
        <v>230.72</v>
      </c>
      <c r="M80" s="208"/>
      <c r="N80" s="149"/>
      <c r="O80" s="149"/>
      <c r="P80" s="149"/>
      <c r="Q80" s="149"/>
      <c r="R80" s="149"/>
      <c r="S80" s="149"/>
      <c r="T80" s="149"/>
      <c r="U80" s="149"/>
    </row>
    <row r="81" spans="1:29" ht="14.4" x14ac:dyDescent="0.3">
      <c r="A81" s="150"/>
      <c r="B81" s="150"/>
      <c r="C81" s="164" t="s">
        <v>63</v>
      </c>
      <c r="D81" s="196">
        <v>0</v>
      </c>
      <c r="E81" s="149"/>
      <c r="F81" s="208"/>
      <c r="G81" s="149"/>
      <c r="H81" s="150"/>
      <c r="I81" s="150"/>
      <c r="J81" s="149"/>
      <c r="K81" s="164" t="s">
        <v>63</v>
      </c>
      <c r="L81" s="209">
        <f>'[3]Link In'!L43</f>
        <v>332.71</v>
      </c>
      <c r="M81" s="208"/>
      <c r="N81" s="149"/>
      <c r="O81" s="149"/>
      <c r="P81" s="149"/>
      <c r="Q81" s="149"/>
      <c r="R81" s="149"/>
      <c r="S81" s="149"/>
      <c r="T81" s="149"/>
      <c r="U81" s="149"/>
    </row>
    <row r="82" spans="1:29" ht="14.4" x14ac:dyDescent="0.3">
      <c r="A82" s="150"/>
      <c r="B82" s="150"/>
      <c r="C82" s="164" t="s">
        <v>131</v>
      </c>
      <c r="D82" s="196">
        <v>0</v>
      </c>
      <c r="E82" s="149"/>
      <c r="F82" s="149"/>
      <c r="G82" s="149"/>
      <c r="H82" s="150"/>
      <c r="I82" s="150"/>
      <c r="J82" s="149"/>
      <c r="K82" s="164" t="s">
        <v>131</v>
      </c>
      <c r="L82" s="209">
        <f>'[3]Link In'!L44</f>
        <v>479.07</v>
      </c>
      <c r="M82" s="149"/>
      <c r="N82" s="149"/>
      <c r="O82" s="149"/>
      <c r="P82" s="149"/>
      <c r="Q82" s="149"/>
      <c r="R82" s="149"/>
      <c r="S82" s="149"/>
      <c r="T82" s="149"/>
      <c r="U82" s="149"/>
    </row>
    <row r="83" spans="1:29" ht="14.4" x14ac:dyDescent="0.3">
      <c r="A83" s="150"/>
      <c r="B83" s="150"/>
      <c r="C83" s="164" t="s">
        <v>132</v>
      </c>
      <c r="D83" s="196">
        <v>0</v>
      </c>
      <c r="E83" s="149"/>
      <c r="F83" s="149"/>
      <c r="G83" s="149"/>
      <c r="H83" s="150"/>
      <c r="I83" s="150"/>
      <c r="J83" s="149"/>
      <c r="K83" s="164" t="s">
        <v>132</v>
      </c>
      <c r="L83" s="209">
        <f>'[3]Link In'!L45</f>
        <v>590.78</v>
      </c>
      <c r="M83" s="149"/>
      <c r="N83" s="149"/>
      <c r="O83" s="149"/>
      <c r="P83" s="149"/>
      <c r="Q83" s="149"/>
      <c r="R83" s="149"/>
      <c r="S83" s="149"/>
      <c r="T83" s="149"/>
      <c r="U83" s="149"/>
    </row>
    <row r="84" spans="1:29" ht="14.4" x14ac:dyDescent="0.3">
      <c r="A84" s="150"/>
      <c r="B84" s="150"/>
      <c r="C84" s="95"/>
      <c r="D84" s="209"/>
      <c r="E84" s="149"/>
      <c r="F84" s="149"/>
      <c r="G84" s="149"/>
      <c r="H84" s="150"/>
      <c r="I84" s="150"/>
      <c r="J84" s="149"/>
      <c r="K84" s="149"/>
      <c r="L84" s="209"/>
      <c r="M84" s="149"/>
      <c r="N84" s="149"/>
      <c r="O84" s="149"/>
      <c r="P84" s="149"/>
      <c r="Q84" s="149"/>
      <c r="R84" s="149"/>
      <c r="S84" s="149"/>
      <c r="T84" s="149"/>
      <c r="U84" s="149"/>
    </row>
    <row r="85" spans="1:29" ht="14.4" x14ac:dyDescent="0.3">
      <c r="A85" s="150"/>
      <c r="B85" s="150" t="s">
        <v>85</v>
      </c>
      <c r="C85" s="149"/>
      <c r="D85" s="209"/>
      <c r="E85" s="149"/>
      <c r="F85" s="149"/>
      <c r="G85" s="149"/>
      <c r="H85" s="150"/>
      <c r="I85" s="150"/>
      <c r="J85" s="149" t="s">
        <v>85</v>
      </c>
      <c r="K85" s="149"/>
      <c r="L85" s="209"/>
      <c r="M85" s="149"/>
      <c r="N85" s="149"/>
      <c r="O85" s="149"/>
      <c r="P85" s="149"/>
      <c r="Q85" s="149"/>
      <c r="R85" s="149"/>
      <c r="S85" s="149"/>
      <c r="T85" s="149"/>
      <c r="U85" s="149"/>
    </row>
    <row r="86" spans="1:29" ht="14.4" x14ac:dyDescent="0.3">
      <c r="A86" s="150"/>
      <c r="B86" s="83" t="s">
        <v>87</v>
      </c>
      <c r="C86" s="149"/>
      <c r="D86" s="196"/>
      <c r="E86" s="149"/>
      <c r="F86" s="149"/>
      <c r="G86" s="149"/>
      <c r="H86" s="150"/>
      <c r="I86" s="150"/>
      <c r="J86" s="83" t="s">
        <v>87</v>
      </c>
      <c r="K86" s="150"/>
      <c r="L86" s="209">
        <f>'[3]Link In'!$L$48</f>
        <v>49.16</v>
      </c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9" ht="14.4" x14ac:dyDescent="0.3">
      <c r="A87" s="150"/>
      <c r="B87" s="147"/>
      <c r="C87" s="150"/>
      <c r="D87" s="210"/>
      <c r="E87" s="150"/>
      <c r="F87" s="150"/>
      <c r="G87" s="150"/>
      <c r="H87" s="150"/>
      <c r="I87" s="150"/>
      <c r="J87" s="147"/>
      <c r="K87" s="150"/>
      <c r="L87" s="209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9" ht="15" thickBot="1" x14ac:dyDescent="0.3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9" ht="15" thickTop="1" x14ac:dyDescent="0.3">
      <c r="A89" s="153"/>
      <c r="B89" s="154"/>
      <c r="C89" s="155"/>
      <c r="D89" s="155"/>
      <c r="E89" s="155"/>
      <c r="F89" s="155"/>
      <c r="G89" s="155"/>
      <c r="H89" s="154"/>
      <c r="I89" s="156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6"/>
      <c r="W89" s="6"/>
      <c r="X89" s="6"/>
      <c r="Y89" s="6"/>
      <c r="Z89" s="6"/>
      <c r="AA89" s="6"/>
      <c r="AB89" s="6"/>
      <c r="AC89" s="6"/>
    </row>
    <row r="90" spans="1:29" ht="14.4" x14ac:dyDescent="0.3">
      <c r="A90" s="149" t="str">
        <f>'[1]Rate Case Constants'!$C$9</f>
        <v>Kentucky American Water Company</v>
      </c>
      <c r="B90" s="149"/>
      <c r="C90" s="149"/>
      <c r="D90" s="209"/>
      <c r="E90" s="149"/>
      <c r="F90" s="149"/>
      <c r="G90" s="150"/>
      <c r="H90" s="150"/>
      <c r="I90" s="150"/>
      <c r="J90" s="150"/>
      <c r="K90" s="211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9" ht="14.4" x14ac:dyDescent="0.3">
      <c r="A91" s="149" t="str">
        <f>'[1]Rate Case Constants'!$C$11</f>
        <v>Case No. 2018-00358</v>
      </c>
      <c r="B91" s="149"/>
      <c r="C91" s="149"/>
      <c r="D91" s="209"/>
      <c r="E91" s="149"/>
      <c r="F91" s="149"/>
      <c r="G91" s="150"/>
      <c r="H91" s="150"/>
      <c r="I91" s="150"/>
      <c r="J91" s="150"/>
      <c r="K91" s="211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9" ht="14.4" x14ac:dyDescent="0.3">
      <c r="A92" s="149" t="str">
        <f>'[1]Rate Case Constants'!$C$17</f>
        <v>Forecast Year for the 12 Months Ended June 30, 2020</v>
      </c>
      <c r="B92" s="149"/>
      <c r="C92" s="149"/>
      <c r="D92" s="209"/>
      <c r="E92" s="149"/>
      <c r="F92" s="149"/>
      <c r="G92" s="150"/>
      <c r="H92" s="150"/>
      <c r="I92" s="150"/>
      <c r="J92" s="150"/>
      <c r="K92" s="211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9" ht="14.4" x14ac:dyDescent="0.3">
      <c r="A93" s="149" t="str">
        <f>'[1]Rate Case Constants'!$C$15</f>
        <v>Base Year for the 12 Months Ended February 28, 2019</v>
      </c>
      <c r="B93" s="149"/>
      <c r="C93" s="149"/>
      <c r="D93" s="209"/>
      <c r="E93" s="149"/>
      <c r="F93" s="149"/>
      <c r="G93" s="150"/>
      <c r="H93" s="150"/>
      <c r="I93" s="150"/>
      <c r="J93" s="150"/>
      <c r="K93" s="211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9" ht="14.4" x14ac:dyDescent="0.3">
      <c r="A94" s="149" t="str">
        <f>'[1]Link Out Filing Exhibits'!$M$116</f>
        <v>Schedule M-3</v>
      </c>
      <c r="B94" s="149" t="str">
        <f>'[1]Link Out Filing Exhibits'!$M$119</f>
        <v>Schedule N-3</v>
      </c>
      <c r="C94" s="149"/>
      <c r="D94" s="209"/>
      <c r="E94" s="149"/>
      <c r="F94" s="149"/>
      <c r="G94" s="150"/>
      <c r="H94" s="150"/>
      <c r="I94" s="150"/>
      <c r="J94" s="150"/>
      <c r="K94" s="211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9" ht="14.4" x14ac:dyDescent="0.3">
      <c r="A95" s="149" t="s">
        <v>192</v>
      </c>
      <c r="B95" s="149"/>
      <c r="C95" s="149"/>
      <c r="D95" s="209"/>
      <c r="E95" s="149"/>
      <c r="F95" s="149"/>
      <c r="G95" s="150"/>
      <c r="H95" s="150"/>
      <c r="I95" s="150"/>
      <c r="J95" s="150"/>
      <c r="K95" s="211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9" ht="14.4" x14ac:dyDescent="0.3">
      <c r="A96" s="149"/>
      <c r="B96" s="149" t="s">
        <v>79</v>
      </c>
      <c r="C96" s="149" t="s">
        <v>73</v>
      </c>
      <c r="D96" s="149" t="s">
        <v>79</v>
      </c>
      <c r="E96" s="149"/>
      <c r="F96" s="149" t="s">
        <v>73</v>
      </c>
      <c r="G96" s="150"/>
      <c r="H96" s="150"/>
      <c r="I96" s="150"/>
      <c r="J96" s="150"/>
      <c r="K96" s="211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4.4" x14ac:dyDescent="0.3">
      <c r="A97" s="212" t="s">
        <v>118</v>
      </c>
      <c r="B97" s="212" t="s">
        <v>119</v>
      </c>
      <c r="C97" s="212" t="s">
        <v>119</v>
      </c>
      <c r="D97" s="213" t="s">
        <v>122</v>
      </c>
      <c r="E97" s="149"/>
      <c r="F97" s="213" t="s">
        <v>122</v>
      </c>
      <c r="G97" s="150"/>
      <c r="H97" s="150"/>
      <c r="I97" s="150"/>
      <c r="J97" s="150"/>
      <c r="K97" s="211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4.4" x14ac:dyDescent="0.3">
      <c r="A98" s="83" t="s">
        <v>91</v>
      </c>
      <c r="B98" s="286">
        <v>0</v>
      </c>
      <c r="C98" s="286">
        <f>+B98</f>
        <v>0</v>
      </c>
      <c r="D98" s="286"/>
      <c r="E98" s="149"/>
      <c r="F98" s="286">
        <v>0</v>
      </c>
      <c r="G98" s="150"/>
      <c r="H98" s="150"/>
      <c r="I98" s="150"/>
      <c r="J98" s="150"/>
      <c r="K98" s="211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4.4" x14ac:dyDescent="0.3">
      <c r="A99" s="83" t="s">
        <v>137</v>
      </c>
      <c r="B99" s="286">
        <f>+SUM('[4]Other Operating Revenues'!$E$33:$P$33)</f>
        <v>2468.6586119999997</v>
      </c>
      <c r="C99" s="286">
        <f>+B99</f>
        <v>2468.6586119999997</v>
      </c>
      <c r="D99" s="286">
        <f>+SUM('[4]Other Operating Revenues'!$U$33:$AF$33)</f>
        <v>2938.9972239999988</v>
      </c>
      <c r="E99" s="149"/>
      <c r="F99" s="286">
        <f t="shared" ref="F99:F108" si="18">+D99</f>
        <v>2938.9972239999988</v>
      </c>
      <c r="G99" s="150"/>
      <c r="H99" s="150"/>
      <c r="I99" s="150"/>
      <c r="J99" s="150"/>
      <c r="K99" s="211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4.4" x14ac:dyDescent="0.3">
      <c r="A100" s="83" t="s">
        <v>138</v>
      </c>
      <c r="B100" s="286">
        <v>0</v>
      </c>
      <c r="C100" s="286">
        <f t="shared" ref="C100:C108" si="19">+B100</f>
        <v>0</v>
      </c>
      <c r="D100" s="286">
        <v>0</v>
      </c>
      <c r="E100" s="149"/>
      <c r="F100" s="286">
        <f t="shared" si="18"/>
        <v>0</v>
      </c>
      <c r="G100" s="150"/>
      <c r="H100" s="150"/>
      <c r="I100" s="150"/>
      <c r="J100" s="150"/>
      <c r="K100" s="211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4.4" x14ac:dyDescent="0.3">
      <c r="A101" s="83" t="s">
        <v>139</v>
      </c>
      <c r="B101" s="286">
        <v>0</v>
      </c>
      <c r="C101" s="286">
        <f t="shared" si="19"/>
        <v>0</v>
      </c>
      <c r="D101" s="286">
        <v>0</v>
      </c>
      <c r="E101" s="149"/>
      <c r="F101" s="286">
        <f t="shared" si="18"/>
        <v>0</v>
      </c>
      <c r="G101" s="150"/>
      <c r="H101" s="150"/>
      <c r="I101" s="150"/>
      <c r="J101" s="150"/>
      <c r="K101" s="211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4.4" x14ac:dyDescent="0.3">
      <c r="A102" s="83" t="s">
        <v>140</v>
      </c>
      <c r="B102" s="286">
        <v>0</v>
      </c>
      <c r="C102" s="286">
        <f t="shared" si="19"/>
        <v>0</v>
      </c>
      <c r="D102" s="286">
        <v>0</v>
      </c>
      <c r="E102" s="149"/>
      <c r="F102" s="286">
        <f t="shared" si="18"/>
        <v>0</v>
      </c>
      <c r="G102" s="150"/>
      <c r="H102" s="150"/>
      <c r="I102" s="150"/>
      <c r="J102" s="150"/>
      <c r="K102" s="211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4.4" x14ac:dyDescent="0.3">
      <c r="A103" s="83" t="s">
        <v>141</v>
      </c>
      <c r="B103" s="286">
        <v>0</v>
      </c>
      <c r="C103" s="286">
        <f t="shared" si="19"/>
        <v>0</v>
      </c>
      <c r="D103" s="286">
        <v>0</v>
      </c>
      <c r="E103" s="149"/>
      <c r="F103" s="286">
        <f t="shared" si="18"/>
        <v>0</v>
      </c>
      <c r="G103" s="150"/>
      <c r="H103" s="150"/>
      <c r="I103" s="150"/>
      <c r="J103" s="150"/>
      <c r="K103" s="211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4.4" x14ac:dyDescent="0.3">
      <c r="A104" s="184" t="s">
        <v>142</v>
      </c>
      <c r="B104" s="286">
        <f>+SUM('[4]Other Operating Revenues'!$E$38:$P$38)</f>
        <v>1736.0000000000002</v>
      </c>
      <c r="C104" s="286">
        <f t="shared" si="19"/>
        <v>1736.0000000000002</v>
      </c>
      <c r="D104" s="286">
        <f>+SUM('[4]Other Operating Revenues'!$U$38:$AF$38)</f>
        <v>1736.0000000000002</v>
      </c>
      <c r="E104" s="149"/>
      <c r="F104" s="286">
        <f t="shared" si="18"/>
        <v>1736.0000000000002</v>
      </c>
      <c r="G104" s="150"/>
      <c r="H104" s="150"/>
      <c r="I104" s="150"/>
      <c r="J104" s="150"/>
      <c r="K104" s="211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4.4" x14ac:dyDescent="0.3">
      <c r="A105" s="83" t="s">
        <v>143</v>
      </c>
      <c r="B105" s="286">
        <v>0</v>
      </c>
      <c r="C105" s="286">
        <f t="shared" si="19"/>
        <v>0</v>
      </c>
      <c r="D105" s="286">
        <v>0</v>
      </c>
      <c r="E105" s="149"/>
      <c r="F105" s="286">
        <f t="shared" si="18"/>
        <v>0</v>
      </c>
      <c r="G105" s="150"/>
      <c r="H105" s="150"/>
      <c r="I105" s="150"/>
      <c r="J105" s="150"/>
      <c r="K105" s="211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4.4" x14ac:dyDescent="0.3">
      <c r="A106" s="83" t="s">
        <v>144</v>
      </c>
      <c r="B106" s="286">
        <f>+SUM('[4]Other Operating Revenues'!$E$40:$P$40)</f>
        <v>224</v>
      </c>
      <c r="C106" s="286">
        <f t="shared" si="19"/>
        <v>224</v>
      </c>
      <c r="D106" s="286">
        <v>0</v>
      </c>
      <c r="E106" s="149"/>
      <c r="F106" s="286">
        <f t="shared" si="18"/>
        <v>0</v>
      </c>
      <c r="G106" s="150"/>
      <c r="H106" s="150"/>
      <c r="I106" s="150"/>
      <c r="J106" s="150"/>
      <c r="K106" s="211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4.4" x14ac:dyDescent="0.3">
      <c r="A107" s="149" t="s">
        <v>145</v>
      </c>
      <c r="B107" s="286">
        <v>0</v>
      </c>
      <c r="C107" s="286">
        <f t="shared" si="19"/>
        <v>0</v>
      </c>
      <c r="D107" s="286">
        <v>0</v>
      </c>
      <c r="E107" s="149"/>
      <c r="F107" s="286">
        <f t="shared" si="18"/>
        <v>0</v>
      </c>
      <c r="G107" s="150"/>
      <c r="H107" s="150"/>
      <c r="I107" s="150"/>
      <c r="J107" s="150"/>
      <c r="K107" s="211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4.4" x14ac:dyDescent="0.3">
      <c r="A108" s="149" t="s">
        <v>146</v>
      </c>
      <c r="B108" s="286">
        <v>0</v>
      </c>
      <c r="C108" s="286">
        <f t="shared" si="19"/>
        <v>0</v>
      </c>
      <c r="D108" s="286">
        <v>0</v>
      </c>
      <c r="E108" s="149"/>
      <c r="F108" s="286">
        <f t="shared" si="18"/>
        <v>0</v>
      </c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4.4" x14ac:dyDescent="0.3">
      <c r="A109" s="149" t="s">
        <v>174</v>
      </c>
      <c r="B109" s="149"/>
      <c r="C109" s="149"/>
      <c r="D109" s="163"/>
      <c r="E109" s="149"/>
      <c r="F109" s="163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4.4" x14ac:dyDescent="0.3">
      <c r="A110" s="150"/>
      <c r="B110" s="214"/>
      <c r="C110" s="215"/>
      <c r="D110" s="215"/>
      <c r="E110" s="216"/>
      <c r="F110" s="214"/>
      <c r="G110" s="214"/>
      <c r="H110" s="214"/>
      <c r="I110" s="214"/>
      <c r="J110" s="214"/>
      <c r="K110" s="214"/>
      <c r="L110" s="214"/>
      <c r="M110" s="216"/>
      <c r="N110" s="214"/>
      <c r="O110" s="216"/>
      <c r="P110" s="214"/>
      <c r="Q110" s="150"/>
      <c r="R110" s="150"/>
      <c r="S110" s="150"/>
      <c r="T110" s="150"/>
      <c r="U110" s="150"/>
    </row>
    <row r="111" spans="1:21" ht="14.4" x14ac:dyDescent="0.3">
      <c r="A111" s="216"/>
      <c r="B111" s="214"/>
      <c r="C111" s="214"/>
      <c r="D111" s="214"/>
      <c r="E111" s="215"/>
      <c r="F111" s="214"/>
      <c r="G111" s="214"/>
      <c r="H111" s="214"/>
      <c r="I111" s="214"/>
      <c r="J111" s="214"/>
      <c r="K111" s="214"/>
      <c r="L111" s="214"/>
      <c r="M111" s="216"/>
      <c r="N111" s="214"/>
      <c r="O111" s="216"/>
      <c r="P111" s="214"/>
      <c r="Q111" s="216"/>
      <c r="R111" s="150"/>
      <c r="S111" s="150"/>
      <c r="T111" s="150"/>
      <c r="U111" s="150"/>
    </row>
    <row r="112" spans="1:21" ht="14.4" x14ac:dyDescent="0.3">
      <c r="A112" s="216"/>
      <c r="B112" s="214" t="s">
        <v>200</v>
      </c>
      <c r="C112" s="214" t="s">
        <v>201</v>
      </c>
      <c r="D112" s="294" t="s">
        <v>200</v>
      </c>
      <c r="E112" s="294" t="s">
        <v>201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150"/>
      <c r="S112" s="150"/>
      <c r="T112" s="150"/>
      <c r="U112" s="150"/>
    </row>
    <row r="113" spans="1:21" ht="14.4" x14ac:dyDescent="0.3">
      <c r="A113" s="298" t="s">
        <v>194</v>
      </c>
      <c r="B113" s="217" t="s">
        <v>3</v>
      </c>
      <c r="C113" s="296" t="s">
        <v>3</v>
      </c>
      <c r="D113" s="296" t="s">
        <v>50</v>
      </c>
      <c r="E113" s="296" t="s">
        <v>50</v>
      </c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150"/>
      <c r="S113" s="150"/>
      <c r="T113" s="150"/>
      <c r="U113" s="150"/>
    </row>
    <row r="114" spans="1:21" ht="14.4" x14ac:dyDescent="0.3">
      <c r="A114" s="184" t="s">
        <v>199</v>
      </c>
      <c r="B114" s="114"/>
      <c r="C114" s="114"/>
      <c r="D114" s="114"/>
      <c r="E114" s="114"/>
      <c r="F114" s="114"/>
      <c r="G114" s="218"/>
      <c r="H114" s="219"/>
      <c r="I114" s="114"/>
      <c r="J114" s="219"/>
      <c r="K114" s="219"/>
      <c r="L114" s="219"/>
      <c r="M114" s="219"/>
      <c r="N114" s="219"/>
      <c r="O114" s="216"/>
      <c r="P114" s="218"/>
      <c r="Q114" s="216"/>
      <c r="R114" s="150"/>
      <c r="S114" s="150"/>
      <c r="T114" s="150"/>
      <c r="U114" s="150"/>
    </row>
    <row r="115" spans="1:21" ht="14.4" x14ac:dyDescent="0.3">
      <c r="A115" s="184" t="s">
        <v>74</v>
      </c>
      <c r="B115" s="299">
        <f>+'[2]Link Out'!$C$285</f>
        <v>7206.3193069306926</v>
      </c>
      <c r="C115" s="299">
        <f>+'[2]Link Out'!$I$285</f>
        <v>7356</v>
      </c>
      <c r="D115" s="220">
        <f>+'[2]Link Out'!$C$320</f>
        <v>230.82036775106081</v>
      </c>
      <c r="E115" s="114">
        <f>+'[2]Link Out'!$I$320</f>
        <v>264</v>
      </c>
      <c r="F115" s="114"/>
      <c r="G115" s="295"/>
      <c r="H115" s="219"/>
      <c r="I115" s="114"/>
      <c r="J115" s="219"/>
      <c r="K115" s="219"/>
      <c r="L115" s="219"/>
      <c r="M115" s="219"/>
      <c r="N115" s="219"/>
      <c r="O115" s="216"/>
      <c r="P115" s="295"/>
      <c r="Q115" s="216"/>
      <c r="R115" s="150"/>
      <c r="S115" s="150"/>
      <c r="T115" s="150"/>
      <c r="U115" s="150"/>
    </row>
    <row r="116" spans="1:21" ht="14.4" x14ac:dyDescent="0.3">
      <c r="A116" s="184" t="s">
        <v>202</v>
      </c>
      <c r="B116" s="300">
        <v>28.28</v>
      </c>
      <c r="C116" s="300">
        <v>28.28</v>
      </c>
      <c r="D116" s="300">
        <v>28.28</v>
      </c>
      <c r="E116" s="300">
        <v>28.28</v>
      </c>
      <c r="F116" s="114"/>
      <c r="G116" s="295"/>
      <c r="H116" s="219"/>
      <c r="I116" s="114"/>
      <c r="J116" s="219"/>
      <c r="K116" s="219"/>
      <c r="L116" s="219"/>
      <c r="M116" s="219"/>
      <c r="N116" s="219"/>
      <c r="O116" s="216"/>
      <c r="P116" s="295"/>
      <c r="Q116" s="216"/>
      <c r="R116" s="150"/>
      <c r="S116" s="150"/>
      <c r="T116" s="150"/>
      <c r="U116" s="150"/>
    </row>
    <row r="117" spans="1:21" ht="14.4" x14ac:dyDescent="0.3">
      <c r="A117" s="184" t="s">
        <v>177</v>
      </c>
      <c r="B117" s="220"/>
      <c r="C117" s="220"/>
      <c r="D117" s="220"/>
      <c r="E117" s="220"/>
      <c r="F117" s="220"/>
      <c r="G117" s="221"/>
      <c r="H117" s="219"/>
      <c r="I117" s="114"/>
      <c r="J117" s="219"/>
      <c r="K117" s="219"/>
      <c r="L117" s="219"/>
      <c r="M117" s="219"/>
      <c r="N117" s="219"/>
      <c r="O117" s="216"/>
      <c r="P117" s="216"/>
      <c r="Q117" s="216"/>
      <c r="R117" s="150"/>
      <c r="S117" s="150"/>
      <c r="T117" s="150"/>
      <c r="U117" s="150"/>
    </row>
    <row r="118" spans="1:21" ht="14.4" x14ac:dyDescent="0.3">
      <c r="A118" s="184" t="s">
        <v>195</v>
      </c>
      <c r="B118" s="220">
        <f>+'[2]Link Out'!C299</f>
        <v>10751.6</v>
      </c>
      <c r="C118" s="220">
        <f>+'[2]Link Out'!I299</f>
        <v>10751.599999999999</v>
      </c>
      <c r="D118" s="220">
        <f>+'[2]Link Out'!C334</f>
        <v>444.40000000000015</v>
      </c>
      <c r="E118" s="220">
        <f>+'[2]Link Out'!I334</f>
        <v>444.4000000000002</v>
      </c>
      <c r="F118" s="220"/>
      <c r="G118" s="221"/>
      <c r="H118" s="219"/>
      <c r="I118" s="220"/>
      <c r="J118" s="222"/>
      <c r="K118" s="222"/>
      <c r="L118" s="222"/>
      <c r="M118" s="219"/>
      <c r="N118" s="219"/>
      <c r="O118" s="216"/>
      <c r="P118" s="216"/>
      <c r="Q118" s="216"/>
      <c r="R118" s="150"/>
      <c r="S118" s="150"/>
      <c r="T118" s="150"/>
      <c r="U118" s="150"/>
    </row>
    <row r="119" spans="1:21" ht="14.4" x14ac:dyDescent="0.3">
      <c r="A119" s="184" t="s">
        <v>196</v>
      </c>
      <c r="B119" s="220">
        <f>+'[2]Link Out'!C300</f>
        <v>8772.7198612315715</v>
      </c>
      <c r="C119" s="220">
        <f>+'[2]Link Out'!I300</f>
        <v>8772.7198612315715</v>
      </c>
      <c r="D119" s="220">
        <f>+'[2]Link Out'!C335</f>
        <v>243.98612315698173</v>
      </c>
      <c r="E119" s="220">
        <f>+'[2]Link Out'!I335</f>
        <v>243.98612315698173</v>
      </c>
      <c r="F119" s="220"/>
      <c r="G119" s="221"/>
      <c r="H119" s="219"/>
      <c r="I119" s="220"/>
      <c r="J119" s="222"/>
      <c r="K119" s="222"/>
      <c r="L119" s="222"/>
      <c r="M119" s="219"/>
      <c r="N119" s="219"/>
      <c r="O119" s="216"/>
      <c r="P119" s="216"/>
      <c r="Q119" s="216"/>
      <c r="R119" s="150"/>
      <c r="S119" s="150"/>
      <c r="T119" s="150"/>
      <c r="U119" s="150"/>
    </row>
    <row r="120" spans="1:21" ht="14.4" x14ac:dyDescent="0.3">
      <c r="A120" s="184" t="s">
        <v>202</v>
      </c>
      <c r="B120" s="220"/>
      <c r="C120" s="220"/>
      <c r="D120" s="220"/>
      <c r="E120" s="220"/>
      <c r="F120" s="220"/>
      <c r="G120" s="221"/>
      <c r="H120" s="219"/>
      <c r="I120" s="220"/>
      <c r="J120" s="222"/>
      <c r="K120" s="222"/>
      <c r="L120" s="222"/>
      <c r="M120" s="219"/>
      <c r="N120" s="219"/>
      <c r="O120" s="216"/>
      <c r="P120" s="216"/>
      <c r="Q120" s="216"/>
      <c r="R120" s="150"/>
      <c r="S120" s="150"/>
      <c r="T120" s="150"/>
      <c r="U120" s="150"/>
    </row>
    <row r="121" spans="1:21" ht="14.4" x14ac:dyDescent="0.3">
      <c r="A121" s="184" t="s">
        <v>195</v>
      </c>
      <c r="B121" s="301">
        <f>+'[2]Link Out'!E299</f>
        <v>0</v>
      </c>
      <c r="C121" s="301">
        <f>+'[2]Link Out'!K299</f>
        <v>0</v>
      </c>
      <c r="D121" s="301">
        <f>+'[2]Link Out'!E334</f>
        <v>0</v>
      </c>
      <c r="E121" s="301">
        <f>+'[2]Link Out'!K334</f>
        <v>0</v>
      </c>
      <c r="F121" s="220"/>
      <c r="G121" s="221"/>
      <c r="H121" s="219"/>
      <c r="I121" s="220"/>
      <c r="J121" s="222"/>
      <c r="K121" s="222"/>
      <c r="L121" s="222"/>
      <c r="M121" s="219"/>
      <c r="N121" s="219"/>
      <c r="O121" s="216"/>
      <c r="P121" s="216"/>
      <c r="Q121" s="216"/>
      <c r="R121" s="150"/>
      <c r="S121" s="150"/>
      <c r="T121" s="150"/>
      <c r="U121" s="150"/>
    </row>
    <row r="122" spans="1:21" ht="14.4" x14ac:dyDescent="0.3">
      <c r="A122" s="184" t="s">
        <v>196</v>
      </c>
      <c r="B122" s="301">
        <f>+'[2]Link Out'!E300</f>
        <v>11.53</v>
      </c>
      <c r="C122" s="301">
        <f>+'[2]Link Out'!K300</f>
        <v>11.53</v>
      </c>
      <c r="D122" s="301">
        <f>+'[2]Link Out'!E335</f>
        <v>11.53</v>
      </c>
      <c r="E122" s="301">
        <f>+'[2]Link Out'!K335</f>
        <v>11.53</v>
      </c>
      <c r="F122" s="220"/>
      <c r="G122" s="221"/>
      <c r="H122" s="219"/>
      <c r="I122" s="220"/>
      <c r="J122" s="222"/>
      <c r="K122" s="222"/>
      <c r="L122" s="222"/>
      <c r="M122" s="219"/>
      <c r="N122" s="219"/>
      <c r="O122" s="216"/>
      <c r="P122" s="216"/>
      <c r="Q122" s="216"/>
      <c r="R122" s="150"/>
      <c r="S122" s="150"/>
      <c r="T122" s="150"/>
      <c r="U122" s="150"/>
    </row>
    <row r="123" spans="1:21" ht="14.4" x14ac:dyDescent="0.3">
      <c r="A123" s="184"/>
      <c r="B123" s="220"/>
      <c r="C123" s="220"/>
      <c r="D123" s="220"/>
      <c r="E123" s="220"/>
      <c r="F123" s="220"/>
      <c r="G123" s="221"/>
      <c r="H123" s="114"/>
      <c r="I123" s="220"/>
      <c r="J123" s="220"/>
      <c r="K123" s="220"/>
      <c r="L123" s="222"/>
      <c r="M123" s="219"/>
      <c r="N123" s="222"/>
      <c r="O123" s="216"/>
      <c r="P123" s="216"/>
      <c r="Q123" s="216"/>
      <c r="R123" s="150"/>
      <c r="S123" s="150"/>
      <c r="T123" s="150"/>
      <c r="U123" s="150"/>
    </row>
    <row r="124" spans="1:21" ht="14.4" x14ac:dyDescent="0.3">
      <c r="A124" s="184"/>
      <c r="B124" s="220"/>
      <c r="C124" s="220"/>
      <c r="D124" s="220"/>
      <c r="E124" s="220"/>
      <c r="F124" s="220"/>
      <c r="G124" s="221"/>
      <c r="H124" s="114"/>
      <c r="I124" s="220"/>
      <c r="J124" s="220"/>
      <c r="K124" s="222"/>
      <c r="L124" s="222"/>
      <c r="M124" s="219"/>
      <c r="N124" s="119"/>
      <c r="O124" s="216"/>
      <c r="P124" s="216"/>
      <c r="Q124" s="216"/>
      <c r="R124" s="150"/>
      <c r="S124" s="150"/>
      <c r="T124" s="150"/>
      <c r="U124" s="150"/>
    </row>
    <row r="125" spans="1:21" ht="14.4" x14ac:dyDescent="0.3">
      <c r="A125" s="184"/>
      <c r="B125" s="222"/>
      <c r="C125" s="222"/>
      <c r="D125" s="222"/>
      <c r="E125" s="222"/>
      <c r="F125" s="222"/>
      <c r="G125" s="223"/>
      <c r="H125" s="224"/>
      <c r="I125" s="220"/>
      <c r="J125" s="222"/>
      <c r="K125" s="222"/>
      <c r="L125" s="222"/>
      <c r="M125" s="216"/>
      <c r="N125" s="222"/>
      <c r="O125" s="216"/>
      <c r="P125" s="216"/>
      <c r="Q125" s="216"/>
      <c r="R125" s="150"/>
      <c r="S125" s="150"/>
      <c r="T125" s="150"/>
      <c r="U125" s="150"/>
    </row>
    <row r="126" spans="1:21" ht="14.4" x14ac:dyDescent="0.3">
      <c r="A126" s="225"/>
      <c r="B126" s="217"/>
      <c r="C126" s="217"/>
      <c r="D126" s="217"/>
      <c r="E126" s="217"/>
      <c r="F126" s="217"/>
      <c r="G126" s="217"/>
      <c r="H126" s="218"/>
      <c r="I126" s="218"/>
      <c r="J126" s="218"/>
      <c r="K126" s="218"/>
      <c r="L126" s="218"/>
      <c r="M126" s="218"/>
      <c r="N126" s="218"/>
      <c r="O126" s="216"/>
      <c r="P126" s="216"/>
      <c r="Q126" s="216"/>
      <c r="R126" s="150"/>
      <c r="S126" s="150"/>
      <c r="T126" s="150"/>
      <c r="U126" s="150"/>
    </row>
    <row r="127" spans="1:21" ht="14.4" x14ac:dyDescent="0.3">
      <c r="A127" s="83"/>
      <c r="B127" s="116"/>
      <c r="C127" s="116"/>
      <c r="D127" s="116"/>
      <c r="E127" s="118"/>
      <c r="F127" s="116"/>
      <c r="G127" s="218"/>
      <c r="H127" s="121"/>
      <c r="I127" s="121"/>
      <c r="J127" s="121"/>
      <c r="K127" s="121"/>
      <c r="L127" s="121"/>
      <c r="M127" s="121"/>
      <c r="N127" s="121"/>
      <c r="O127" s="216"/>
      <c r="P127" s="216"/>
      <c r="Q127" s="216"/>
      <c r="R127" s="150"/>
      <c r="S127" s="150"/>
      <c r="T127" s="150"/>
      <c r="U127" s="150"/>
    </row>
    <row r="128" spans="1:21" ht="14.4" x14ac:dyDescent="0.3">
      <c r="A128" s="83"/>
      <c r="B128" s="116"/>
      <c r="C128" s="116"/>
      <c r="D128" s="116"/>
      <c r="E128" s="116"/>
      <c r="F128" s="116"/>
      <c r="G128" s="218"/>
      <c r="H128" s="121"/>
      <c r="I128" s="121"/>
      <c r="J128" s="121"/>
      <c r="K128" s="121"/>
      <c r="L128" s="121"/>
      <c r="M128" s="121"/>
      <c r="N128" s="121"/>
      <c r="O128" s="216"/>
      <c r="P128" s="216"/>
      <c r="Q128" s="216"/>
      <c r="R128" s="150"/>
      <c r="S128" s="150"/>
      <c r="T128" s="150"/>
      <c r="U128" s="150"/>
    </row>
    <row r="129" spans="1:21" ht="14.4" x14ac:dyDescent="0.3">
      <c r="A129" s="83"/>
      <c r="B129" s="116"/>
      <c r="C129" s="116"/>
      <c r="D129" s="116"/>
      <c r="E129" s="118"/>
      <c r="F129" s="116"/>
      <c r="G129" s="218"/>
      <c r="H129" s="121"/>
      <c r="I129" s="121"/>
      <c r="J129" s="121"/>
      <c r="K129" s="121"/>
      <c r="L129" s="121"/>
      <c r="M129" s="121"/>
      <c r="N129" s="121"/>
      <c r="O129" s="216"/>
      <c r="P129" s="216"/>
      <c r="Q129" s="216"/>
      <c r="R129" s="150"/>
      <c r="S129" s="150"/>
      <c r="T129" s="150"/>
      <c r="U129" s="150"/>
    </row>
    <row r="130" spans="1:21" ht="14.4" x14ac:dyDescent="0.3">
      <c r="A130" s="83"/>
      <c r="B130" s="116"/>
      <c r="C130" s="116"/>
      <c r="D130" s="116"/>
      <c r="E130" s="116"/>
      <c r="F130" s="116"/>
      <c r="G130" s="218"/>
      <c r="H130" s="121"/>
      <c r="I130" s="121"/>
      <c r="J130" s="121"/>
      <c r="K130" s="121"/>
      <c r="L130" s="121"/>
      <c r="M130" s="121"/>
      <c r="N130" s="121"/>
      <c r="O130" s="216"/>
      <c r="P130" s="216"/>
      <c r="Q130" s="216"/>
      <c r="R130" s="150"/>
      <c r="S130" s="150"/>
      <c r="T130" s="150"/>
      <c r="U130" s="150"/>
    </row>
    <row r="131" spans="1:21" ht="14.4" x14ac:dyDescent="0.3">
      <c r="A131" s="83"/>
      <c r="B131" s="116"/>
      <c r="C131" s="116"/>
      <c r="D131" s="116"/>
      <c r="E131" s="116"/>
      <c r="F131" s="116"/>
      <c r="G131" s="218"/>
      <c r="H131" s="121"/>
      <c r="I131" s="121"/>
      <c r="J131" s="121"/>
      <c r="K131" s="121"/>
      <c r="L131" s="121"/>
      <c r="M131" s="121"/>
      <c r="N131" s="121"/>
      <c r="O131" s="216"/>
      <c r="P131" s="216"/>
      <c r="Q131" s="216"/>
      <c r="R131" s="150"/>
      <c r="S131" s="150"/>
      <c r="T131" s="150"/>
      <c r="U131" s="150"/>
    </row>
    <row r="132" spans="1:21" ht="14.4" x14ac:dyDescent="0.3">
      <c r="A132" s="83"/>
      <c r="B132" s="116"/>
      <c r="C132" s="116"/>
      <c r="D132" s="116"/>
      <c r="E132" s="116"/>
      <c r="F132" s="116"/>
      <c r="G132" s="218"/>
      <c r="H132" s="121"/>
      <c r="I132" s="121"/>
      <c r="J132" s="121"/>
      <c r="K132" s="121"/>
      <c r="L132" s="121"/>
      <c r="M132" s="121"/>
      <c r="N132" s="121"/>
      <c r="O132" s="216"/>
      <c r="P132" s="216"/>
      <c r="Q132" s="216"/>
      <c r="R132" s="150"/>
      <c r="S132" s="150"/>
      <c r="T132" s="150"/>
      <c r="U132" s="150"/>
    </row>
    <row r="133" spans="1:21" ht="14.4" x14ac:dyDescent="0.3">
      <c r="A133" s="83"/>
      <c r="B133" s="119"/>
      <c r="C133" s="216"/>
      <c r="D133" s="216"/>
      <c r="E133" s="216"/>
      <c r="F133" s="216"/>
      <c r="G133" s="218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150"/>
      <c r="S133" s="150"/>
      <c r="T133" s="150"/>
      <c r="U133" s="150"/>
    </row>
    <row r="134" spans="1:21" ht="15" thickBot="1" x14ac:dyDescent="0.35">
      <c r="A134" s="226"/>
      <c r="B134" s="226"/>
      <c r="C134" s="226"/>
      <c r="D134" s="226"/>
      <c r="E134" s="226"/>
      <c r="F134" s="226"/>
      <c r="G134" s="227">
        <f>SUM(G127:G133)</f>
        <v>0</v>
      </c>
      <c r="H134" s="226"/>
      <c r="I134" s="226"/>
      <c r="J134" s="226"/>
      <c r="K134" s="226"/>
      <c r="L134" s="226"/>
      <c r="M134" s="216"/>
      <c r="N134" s="216"/>
      <c r="O134" s="150"/>
      <c r="P134" s="150"/>
      <c r="Q134" s="150"/>
      <c r="R134" s="150"/>
      <c r="S134" s="150"/>
      <c r="T134" s="150"/>
      <c r="U134" s="150"/>
    </row>
    <row r="135" spans="1:21" ht="14.4" x14ac:dyDescent="0.3">
      <c r="A135" s="150" t="s">
        <v>87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216"/>
      <c r="N135" s="216"/>
      <c r="O135" s="150"/>
      <c r="P135" s="150"/>
      <c r="Q135" s="150"/>
      <c r="R135" s="150"/>
      <c r="S135" s="150"/>
      <c r="T135" s="150"/>
      <c r="U135" s="150"/>
    </row>
    <row r="136" spans="1:21" ht="14.4" x14ac:dyDescent="0.3">
      <c r="A136" s="228"/>
      <c r="B136" s="228" t="s">
        <v>111</v>
      </c>
      <c r="C136" s="228"/>
      <c r="D136" s="228"/>
      <c r="E136" s="228"/>
      <c r="F136" s="228"/>
      <c r="G136" s="184"/>
      <c r="H136" s="149"/>
      <c r="I136" s="228" t="s">
        <v>111</v>
      </c>
      <c r="J136" s="228"/>
      <c r="K136" s="228"/>
      <c r="L136" s="228"/>
      <c r="M136" s="228"/>
      <c r="N136" s="216"/>
      <c r="O136" s="150"/>
      <c r="P136" s="150"/>
      <c r="Q136" s="150"/>
      <c r="R136" s="150"/>
      <c r="S136" s="150"/>
      <c r="T136" s="150"/>
      <c r="U136" s="150"/>
    </row>
    <row r="137" spans="1:21" ht="14.4" x14ac:dyDescent="0.3">
      <c r="A137" s="229" t="s">
        <v>119</v>
      </c>
      <c r="B137" s="230">
        <v>0</v>
      </c>
      <c r="C137" s="149"/>
      <c r="D137" s="149"/>
      <c r="E137" s="149"/>
      <c r="F137" s="149"/>
      <c r="G137" s="184"/>
      <c r="H137" s="149" t="s">
        <v>122</v>
      </c>
      <c r="I137" s="231">
        <f>B137</f>
        <v>0</v>
      </c>
      <c r="J137" s="232"/>
      <c r="K137" s="232"/>
      <c r="L137" s="232"/>
      <c r="M137" s="232"/>
      <c r="N137" s="150"/>
      <c r="O137" s="150"/>
      <c r="P137" s="150"/>
      <c r="Q137" s="150"/>
      <c r="R137" s="150"/>
      <c r="S137" s="150"/>
      <c r="T137" s="150"/>
      <c r="U137" s="150"/>
    </row>
    <row r="138" spans="1:21" ht="15" thickBot="1" x14ac:dyDescent="0.35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16"/>
      <c r="N138" s="216"/>
      <c r="O138" s="150"/>
      <c r="P138" s="150"/>
      <c r="Q138" s="150"/>
      <c r="R138" s="150"/>
      <c r="S138" s="150"/>
      <c r="T138" s="150"/>
      <c r="U138" s="150"/>
    </row>
    <row r="139" spans="1:21" ht="14.4" x14ac:dyDescent="0.3">
      <c r="A139" s="150"/>
      <c r="B139" s="150"/>
      <c r="C139" s="150" t="s">
        <v>179</v>
      </c>
      <c r="D139" s="150" t="s">
        <v>179</v>
      </c>
      <c r="E139" s="150"/>
      <c r="F139" s="150"/>
      <c r="G139" s="150"/>
      <c r="H139" s="150"/>
      <c r="I139" s="150"/>
      <c r="J139" s="150"/>
      <c r="K139" s="150"/>
      <c r="L139" s="150"/>
      <c r="M139" s="216"/>
      <c r="N139" s="216"/>
      <c r="O139" s="150"/>
      <c r="P139" s="150"/>
      <c r="Q139" s="150"/>
      <c r="R139" s="150"/>
      <c r="S139" s="150"/>
      <c r="T139" s="150"/>
      <c r="U139" s="150"/>
    </row>
    <row r="140" spans="1:21" ht="14.4" x14ac:dyDescent="0.3">
      <c r="A140" s="150"/>
      <c r="B140" s="233"/>
      <c r="C140" s="234" t="s">
        <v>79</v>
      </c>
      <c r="D140" s="234" t="s">
        <v>73</v>
      </c>
      <c r="E140" s="234"/>
      <c r="F140" s="234"/>
      <c r="G140" s="235" t="s">
        <v>117</v>
      </c>
      <c r="H140" s="235"/>
      <c r="I140" s="235"/>
      <c r="J140" s="235"/>
      <c r="K140" s="235"/>
      <c r="L140" s="235"/>
      <c r="M140" s="214"/>
      <c r="N140" s="214"/>
      <c r="O140" s="235"/>
      <c r="P140" s="235"/>
      <c r="Q140" s="150"/>
      <c r="R140" s="150"/>
      <c r="S140" s="150"/>
      <c r="T140" s="150"/>
      <c r="U140" s="150"/>
    </row>
    <row r="141" spans="1:21" ht="14.4" x14ac:dyDescent="0.3">
      <c r="A141" s="150" t="s">
        <v>92</v>
      </c>
      <c r="B141" s="236"/>
      <c r="C141" s="118">
        <f>[5]Exhibit!$K$44</f>
        <v>0</v>
      </c>
      <c r="D141" s="118">
        <f>[5]Exhibit!$O$44</f>
        <v>0</v>
      </c>
      <c r="E141" s="118"/>
      <c r="F141" s="118"/>
      <c r="G141" s="237"/>
      <c r="H141" s="238"/>
      <c r="I141" s="237"/>
      <c r="J141" s="237"/>
      <c r="K141" s="237"/>
      <c r="L141" s="237"/>
      <c r="M141" s="119"/>
      <c r="N141" s="119"/>
      <c r="O141" s="237"/>
      <c r="P141" s="237"/>
      <c r="Q141" s="150"/>
      <c r="R141" s="150"/>
      <c r="S141" s="150"/>
      <c r="T141" s="150"/>
      <c r="U141" s="150"/>
    </row>
    <row r="142" spans="1:21" ht="14.4" x14ac:dyDescent="0.3">
      <c r="A142" s="150" t="s">
        <v>93</v>
      </c>
      <c r="B142" s="236"/>
      <c r="C142" s="116">
        <f>'Sch M'!Q38</f>
        <v>324130.99722399999</v>
      </c>
      <c r="D142" s="116">
        <f>'Sch M'!V38</f>
        <v>247159.99722399999</v>
      </c>
      <c r="E142" s="118"/>
      <c r="F142" s="118"/>
      <c r="G142" s="237"/>
      <c r="H142" s="238"/>
      <c r="I142" s="237"/>
      <c r="J142" s="237"/>
      <c r="K142" s="237"/>
      <c r="L142" s="82"/>
      <c r="M142" s="70"/>
      <c r="N142" s="119"/>
      <c r="O142" s="237"/>
      <c r="P142" s="237"/>
      <c r="Q142" s="150"/>
      <c r="R142" s="150"/>
      <c r="S142" s="150"/>
      <c r="T142" s="150"/>
      <c r="U142" s="150"/>
    </row>
    <row r="143" spans="1:21" ht="14.4" x14ac:dyDescent="0.3">
      <c r="A143" s="150"/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119"/>
      <c r="N143" s="119"/>
      <c r="O143" s="237"/>
      <c r="P143" s="237"/>
      <c r="Q143" s="150"/>
      <c r="R143" s="150"/>
      <c r="S143" s="150"/>
      <c r="T143" s="150"/>
      <c r="U143" s="150"/>
    </row>
    <row r="144" spans="1:21" ht="14.4" x14ac:dyDescent="0.3">
      <c r="A144" s="150" t="s">
        <v>95</v>
      </c>
      <c r="B144" s="239"/>
      <c r="C144" s="306">
        <f>C141-C142</f>
        <v>-324130.99722399999</v>
      </c>
      <c r="D144" s="240">
        <f>D141-D142</f>
        <v>-247159.99722399999</v>
      </c>
      <c r="E144" s="239"/>
      <c r="F144" s="239"/>
      <c r="G144" s="239"/>
      <c r="H144" s="239"/>
      <c r="I144" s="239"/>
      <c r="J144" s="239"/>
      <c r="K144" s="239"/>
      <c r="L144" s="239"/>
      <c r="M144" s="241"/>
      <c r="N144" s="241"/>
      <c r="O144" s="239"/>
      <c r="P144" s="239"/>
      <c r="Q144" s="150"/>
      <c r="R144" s="150"/>
      <c r="S144" s="150"/>
      <c r="T144" s="150"/>
      <c r="U144" s="150"/>
    </row>
    <row r="145" spans="1:21" ht="14.4" x14ac:dyDescent="0.3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216"/>
      <c r="N145" s="216"/>
      <c r="O145" s="150"/>
      <c r="P145" s="150"/>
      <c r="Q145" s="150"/>
      <c r="R145" s="150"/>
      <c r="S145" s="150"/>
      <c r="T145" s="150"/>
      <c r="U145" s="150"/>
    </row>
    <row r="146" spans="1:21" ht="14.4" x14ac:dyDescent="0.3">
      <c r="A146" s="150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17"/>
      <c r="N146" s="217"/>
      <c r="O146" s="150"/>
      <c r="P146" s="150"/>
      <c r="Q146" s="150"/>
      <c r="R146" s="150"/>
      <c r="S146" s="150"/>
      <c r="T146" s="150"/>
      <c r="U146" s="150"/>
    </row>
    <row r="147" spans="1:21" ht="14.4" x14ac:dyDescent="0.3">
      <c r="A147" s="150"/>
      <c r="B147" s="243"/>
      <c r="C147" s="243"/>
      <c r="D147" s="243"/>
      <c r="E147" s="243"/>
      <c r="F147" s="243"/>
      <c r="G147" s="244"/>
      <c r="H147" s="244"/>
      <c r="I147" s="244"/>
      <c r="J147" s="244"/>
      <c r="K147" s="244"/>
      <c r="L147" s="244"/>
      <c r="M147" s="245"/>
      <c r="N147" s="245"/>
      <c r="O147" s="150"/>
      <c r="P147" s="150"/>
      <c r="Q147" s="150"/>
      <c r="R147" s="150"/>
      <c r="S147" s="150"/>
      <c r="T147" s="150"/>
      <c r="U147" s="150"/>
    </row>
    <row r="148" spans="1:21" ht="14.4" x14ac:dyDescent="0.3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216"/>
      <c r="N148" s="216"/>
      <c r="O148" s="150"/>
      <c r="P148" s="150"/>
      <c r="Q148" s="150"/>
      <c r="R148" s="150"/>
      <c r="S148" s="150"/>
      <c r="T148" s="150"/>
      <c r="U148" s="150"/>
    </row>
    <row r="149" spans="1:21" ht="14.4" x14ac:dyDescent="0.3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216"/>
      <c r="N149" s="216"/>
      <c r="O149" s="150"/>
      <c r="P149" s="150"/>
      <c r="Q149" s="150"/>
      <c r="R149" s="150"/>
      <c r="S149" s="150"/>
      <c r="T149" s="150"/>
      <c r="U149" s="150"/>
    </row>
    <row r="150" spans="1:21" ht="14.4" x14ac:dyDescent="0.3">
      <c r="A150" s="149"/>
      <c r="B150" s="163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216"/>
      <c r="N150" s="216"/>
      <c r="O150" s="150"/>
      <c r="P150" s="150"/>
      <c r="Q150" s="150"/>
      <c r="R150" s="150"/>
      <c r="S150" s="150"/>
      <c r="T150" s="150"/>
      <c r="U150" s="150"/>
    </row>
    <row r="151" spans="1:21" ht="14.4" x14ac:dyDescent="0.3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216"/>
      <c r="N151" s="216"/>
      <c r="O151" s="150"/>
      <c r="P151" s="150"/>
      <c r="Q151" s="150"/>
      <c r="R151" s="150"/>
      <c r="S151" s="150"/>
      <c r="T151" s="150"/>
      <c r="U151" s="150"/>
    </row>
    <row r="152" spans="1:21" ht="15" thickBot="1" x14ac:dyDescent="0.35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16"/>
      <c r="N152" s="216"/>
      <c r="O152" s="150"/>
      <c r="P152" s="150"/>
      <c r="Q152" s="150"/>
      <c r="R152" s="150"/>
      <c r="S152" s="150"/>
      <c r="T152" s="150"/>
      <c r="U152" s="150"/>
    </row>
    <row r="153" spans="1:21" ht="14.4" x14ac:dyDescent="0.3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216"/>
      <c r="N153" s="216"/>
      <c r="O153" s="150"/>
      <c r="P153" s="150"/>
      <c r="Q153" s="150"/>
      <c r="R153" s="150"/>
      <c r="S153" s="150"/>
      <c r="T153" s="150"/>
      <c r="U153" s="150"/>
    </row>
    <row r="154" spans="1:21" ht="14.4" x14ac:dyDescent="0.3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4.4" x14ac:dyDescent="0.3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4.4" x14ac:dyDescent="0.3">
      <c r="A156" s="150"/>
      <c r="B156" s="246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4.4" x14ac:dyDescent="0.3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4.4" x14ac:dyDescent="0.3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4.4" x14ac:dyDescent="0.3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4.4" x14ac:dyDescent="0.3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4.4" x14ac:dyDescent="0.3">
      <c r="A161" s="216"/>
      <c r="B161" s="216" t="s">
        <v>167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4.4" x14ac:dyDescent="0.3">
      <c r="A162" s="70" t="s">
        <v>3</v>
      </c>
      <c r="B162" s="93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4.4" x14ac:dyDescent="0.3">
      <c r="A163" s="70" t="s">
        <v>50</v>
      </c>
      <c r="B163" s="93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4.4" x14ac:dyDescent="0.3">
      <c r="A164" s="70" t="s">
        <v>5</v>
      </c>
      <c r="B164" s="247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4.4" x14ac:dyDescent="0.3">
      <c r="A165" s="70" t="s">
        <v>68</v>
      </c>
      <c r="B165" s="247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21" ht="14.4" x14ac:dyDescent="0.3">
      <c r="A166" s="70" t="s">
        <v>69</v>
      </c>
      <c r="B166" s="247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</row>
    <row r="167" spans="1:21" ht="14.4" x14ac:dyDescent="0.3">
      <c r="A167" s="70" t="s">
        <v>130</v>
      </c>
      <c r="B167" s="247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</row>
    <row r="168" spans="1:21" ht="14.4" x14ac:dyDescent="0.3">
      <c r="A168" s="70" t="s">
        <v>156</v>
      </c>
      <c r="B168" s="247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</row>
    <row r="169" spans="1:21" ht="14.4" x14ac:dyDescent="0.3">
      <c r="A169" s="70" t="s">
        <v>1</v>
      </c>
      <c r="B169" s="247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</row>
    <row r="170" spans="1:21" ht="14.4" x14ac:dyDescent="0.3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</row>
    <row r="171" spans="1:21" ht="14.4" x14ac:dyDescent="0.3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</row>
    <row r="172" spans="1:21" ht="14.4" x14ac:dyDescent="0.3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</row>
    <row r="173" spans="1:21" ht="14.4" x14ac:dyDescent="0.3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</row>
    <row r="174" spans="1:21" ht="14.4" x14ac:dyDescent="0.3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</row>
    <row r="175" spans="1:21" ht="14.4" x14ac:dyDescent="0.3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</row>
    <row r="176" spans="1:21" ht="14.4" x14ac:dyDescent="0.3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</row>
    <row r="177" spans="1:21" ht="14.4" x14ac:dyDescent="0.3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</row>
    <row r="178" spans="1:21" ht="14.4" x14ac:dyDescent="0.3">
      <c r="A178" s="150" t="str">
        <f>'[1]Rate Case Constants'!$C$39</f>
        <v>Witness Responsible:   Melissa Schwarzell</v>
      </c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</row>
    <row r="179" spans="1:21" ht="14.4" x14ac:dyDescent="0.3">
      <c r="A179" s="150" t="s">
        <v>192</v>
      </c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</row>
  </sheetData>
  <mergeCells count="4">
    <mergeCell ref="B6:J6"/>
    <mergeCell ref="L6:T6"/>
    <mergeCell ref="D65:E65"/>
    <mergeCell ref="K65:L65"/>
  </mergeCells>
  <phoneticPr fontId="0" type="noConversion"/>
  <pageMargins left="0.5" right="0.5" top="1" bottom="1" header="0.5" footer="0.5"/>
  <pageSetup scale="76" orientation="landscape" r:id="rId1"/>
  <headerFooter alignWithMargins="0">
    <oddFooter>&amp;L&amp;D  &amp;T&amp;C&amp;F  &amp;A&amp;R&amp;P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19"/>
  <sheetViews>
    <sheetView tabSelected="1" zoomScale="80" zoomScaleNormal="80" zoomScaleSheetLayoutView="70" workbookViewId="0">
      <selection sqref="A1:Z1"/>
    </sheetView>
  </sheetViews>
  <sheetFormatPr defaultColWidth="14.5546875" defaultRowHeight="13.8" x14ac:dyDescent="0.3"/>
  <cols>
    <col min="1" max="1" width="5.5546875" style="18" customWidth="1"/>
    <col min="2" max="2" width="15.109375" style="18" customWidth="1"/>
    <col min="3" max="3" width="1.5546875" style="18" customWidth="1"/>
    <col min="4" max="4" width="10.88671875" style="18" customWidth="1"/>
    <col min="5" max="6" width="11.5546875" style="18" customWidth="1"/>
    <col min="7" max="7" width="19.5546875" style="18" bestFit="1" customWidth="1"/>
    <col min="8" max="8" width="1.5546875" style="18" customWidth="1"/>
    <col min="9" max="9" width="13.5546875" style="18" customWidth="1"/>
    <col min="10" max="11" width="11.5546875" style="18" customWidth="1"/>
    <col min="12" max="12" width="13.5546875" style="18" bestFit="1" customWidth="1"/>
    <col min="13" max="13" width="1.5546875" style="18" customWidth="1"/>
    <col min="14" max="14" width="10.5546875" style="18" bestFit="1" customWidth="1"/>
    <col min="15" max="16" width="11.5546875" style="18" customWidth="1"/>
    <col min="17" max="17" width="12.5546875" style="18" bestFit="1" customWidth="1"/>
    <col min="18" max="18" width="1.5546875" style="18" customWidth="1"/>
    <col min="19" max="21" width="11.5546875" style="18" customWidth="1"/>
    <col min="22" max="22" width="13.5546875" style="18" bestFit="1" customWidth="1"/>
    <col min="23" max="23" width="1.5546875" style="25" customWidth="1"/>
    <col min="24" max="24" width="12.5546875" style="25" bestFit="1" customWidth="1"/>
    <col min="25" max="25" width="1.5546875" style="25" customWidth="1"/>
    <col min="26" max="26" width="11.5546875" style="25" customWidth="1"/>
    <col min="27" max="16384" width="14.5546875" style="18"/>
  </cols>
  <sheetData>
    <row r="1" spans="1:27" ht="14.4" x14ac:dyDescent="0.3">
      <c r="A1" s="323" t="str">
        <f>'Link in'!A90</f>
        <v>Kentucky American Water Company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19"/>
    </row>
    <row r="2" spans="1:27" ht="14.4" x14ac:dyDescent="0.3">
      <c r="A2" s="323" t="s">
        <v>166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19"/>
    </row>
    <row r="3" spans="1:27" ht="14.4" x14ac:dyDescent="0.3">
      <c r="A3" s="323" t="str">
        <f>'Link in'!A91</f>
        <v>Case No. 2018-00358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19"/>
    </row>
    <row r="4" spans="1:27" ht="14.4" x14ac:dyDescent="0.3">
      <c r="A4" s="323" t="str">
        <f>'Link in'!A93&amp;" and "&amp;'Link in'!A92</f>
        <v>Base Year for the 12 Months Ended February 28, 2019 and Forecast Year for the 12 Months Ended June 30, 2020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19"/>
    </row>
    <row r="5" spans="1:27" ht="14.4" x14ac:dyDescent="0.3">
      <c r="A5" s="87" t="str">
        <f>'Link in'!A178</f>
        <v>Witness Responsible:   Melissa Schwarzell</v>
      </c>
      <c r="B5" s="83"/>
      <c r="C5" s="83"/>
      <c r="D5" s="83"/>
      <c r="E5" s="83"/>
      <c r="F5" s="83"/>
      <c r="G5" s="83"/>
      <c r="H5" s="83"/>
      <c r="I5" s="322" t="s">
        <v>207</v>
      </c>
      <c r="J5" s="322"/>
      <c r="K5" s="322"/>
      <c r="L5" s="322"/>
      <c r="M5" s="322"/>
      <c r="N5" s="322"/>
      <c r="O5" s="322"/>
      <c r="P5" s="322"/>
      <c r="Q5" s="322"/>
      <c r="R5" s="83"/>
      <c r="S5" s="83"/>
      <c r="T5" s="83"/>
      <c r="U5" s="83"/>
      <c r="V5" s="83"/>
      <c r="W5" s="83"/>
      <c r="X5" s="83"/>
      <c r="Y5" s="83"/>
      <c r="Z5" s="88" t="s">
        <v>185</v>
      </c>
      <c r="AA5" s="19"/>
    </row>
    <row r="6" spans="1:27" ht="14.4" x14ac:dyDescent="0.3">
      <c r="A6" s="89" t="str">
        <f>'Link in'!A179</f>
        <v/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1"/>
      <c r="Y6" s="91"/>
      <c r="Z6" s="92" t="str">
        <f ca="1">RIGHT(CELL("filename",$A$1),LEN(CELL("filename",$A$1))-SEARCH("\Revenues",CELL("filename",$A$1),1))</f>
        <v>Revenues\[KAWC 2018 Rate Case - Revenue - E. Rockcastle.xlsx]Sch M</v>
      </c>
      <c r="AA6" s="19"/>
    </row>
    <row r="7" spans="1:27" ht="14.4" x14ac:dyDescent="0.3">
      <c r="A7" s="70"/>
      <c r="B7" s="70"/>
      <c r="C7" s="93"/>
      <c r="D7" s="70"/>
      <c r="E7" s="317" t="s">
        <v>170</v>
      </c>
      <c r="F7" s="317"/>
      <c r="G7" s="317"/>
      <c r="H7" s="93"/>
      <c r="I7" s="93"/>
      <c r="J7" s="317" t="s">
        <v>169</v>
      </c>
      <c r="K7" s="317"/>
      <c r="L7" s="317"/>
      <c r="M7" s="93"/>
      <c r="N7" s="70"/>
      <c r="O7" s="317" t="s">
        <v>120</v>
      </c>
      <c r="P7" s="317"/>
      <c r="Q7" s="317"/>
      <c r="R7" s="93"/>
      <c r="S7" s="70"/>
      <c r="T7" s="317" t="s">
        <v>121</v>
      </c>
      <c r="U7" s="317"/>
      <c r="V7" s="317"/>
      <c r="W7" s="83"/>
      <c r="X7" s="94"/>
      <c r="Y7" s="83"/>
      <c r="Z7" s="83"/>
      <c r="AA7" s="19"/>
    </row>
    <row r="8" spans="1:27" ht="14.4" x14ac:dyDescent="0.3">
      <c r="A8" s="70"/>
      <c r="B8" s="70"/>
      <c r="C8" s="93"/>
      <c r="D8" s="70"/>
      <c r="E8" s="93"/>
      <c r="F8" s="93"/>
      <c r="G8" s="93"/>
      <c r="H8" s="93"/>
      <c r="I8" s="93"/>
      <c r="J8" s="93"/>
      <c r="K8" s="93"/>
      <c r="L8" s="93"/>
      <c r="M8" s="93"/>
      <c r="N8" s="70"/>
      <c r="O8" s="93"/>
      <c r="P8" s="93"/>
      <c r="Q8" s="93"/>
      <c r="R8" s="93"/>
      <c r="S8" s="70"/>
      <c r="T8" s="93"/>
      <c r="U8" s="93"/>
      <c r="V8" s="93"/>
      <c r="W8" s="83"/>
      <c r="X8" s="95"/>
      <c r="Y8" s="83"/>
      <c r="Z8" s="83"/>
      <c r="AA8" s="19"/>
    </row>
    <row r="9" spans="1:27" ht="14.4" x14ac:dyDescent="0.3">
      <c r="A9" s="70"/>
      <c r="B9" s="93" t="s">
        <v>24</v>
      </c>
      <c r="C9" s="93"/>
      <c r="D9" s="70"/>
      <c r="E9" s="93" t="s">
        <v>39</v>
      </c>
      <c r="F9" s="93"/>
      <c r="G9" s="93" t="s">
        <v>1</v>
      </c>
      <c r="H9" s="93"/>
      <c r="I9" s="93"/>
      <c r="J9" s="93" t="s">
        <v>39</v>
      </c>
      <c r="K9" s="93"/>
      <c r="L9" s="93" t="s">
        <v>1</v>
      </c>
      <c r="M9" s="93"/>
      <c r="N9" s="93"/>
      <c r="O9" s="93" t="s">
        <v>39</v>
      </c>
      <c r="P9" s="93"/>
      <c r="Q9" s="93" t="s">
        <v>1</v>
      </c>
      <c r="R9" s="93"/>
      <c r="S9" s="93"/>
      <c r="T9" s="93" t="s">
        <v>39</v>
      </c>
      <c r="U9" s="93"/>
      <c r="V9" s="93" t="s">
        <v>1</v>
      </c>
      <c r="W9" s="95"/>
      <c r="X9" s="95" t="s">
        <v>51</v>
      </c>
      <c r="Y9" s="83"/>
      <c r="Z9" s="95" t="s">
        <v>53</v>
      </c>
      <c r="AA9" s="19"/>
    </row>
    <row r="10" spans="1:27" ht="14.4" x14ac:dyDescent="0.3">
      <c r="A10" s="93" t="s">
        <v>0</v>
      </c>
      <c r="B10" s="96" t="s">
        <v>2</v>
      </c>
      <c r="C10" s="93"/>
      <c r="D10" s="70"/>
      <c r="E10" s="96" t="s">
        <v>133</v>
      </c>
      <c r="F10" s="96"/>
      <c r="G10" s="96" t="s">
        <v>47</v>
      </c>
      <c r="H10" s="93"/>
      <c r="I10" s="93"/>
      <c r="J10" s="96" t="s">
        <v>133</v>
      </c>
      <c r="K10" s="96"/>
      <c r="L10" s="96" t="s">
        <v>47</v>
      </c>
      <c r="M10" s="93"/>
      <c r="N10" s="93"/>
      <c r="O10" s="96" t="str">
        <f>E10</f>
        <v>('000 Gal)</v>
      </c>
      <c r="P10" s="96"/>
      <c r="Q10" s="96" t="s">
        <v>47</v>
      </c>
      <c r="R10" s="93"/>
      <c r="S10" s="93"/>
      <c r="T10" s="96" t="str">
        <f>O10</f>
        <v>('000 Gal)</v>
      </c>
      <c r="U10" s="96"/>
      <c r="V10" s="96" t="s">
        <v>47</v>
      </c>
      <c r="W10" s="95"/>
      <c r="X10" s="97" t="s">
        <v>52</v>
      </c>
      <c r="Y10" s="90"/>
      <c r="Z10" s="97" t="s">
        <v>52</v>
      </c>
      <c r="AA10" s="19"/>
    </row>
    <row r="11" spans="1:27" ht="14.4" x14ac:dyDescent="0.3">
      <c r="A11" s="93">
        <v>1</v>
      </c>
      <c r="B11" s="98" t="s">
        <v>67</v>
      </c>
      <c r="C11" s="93"/>
      <c r="D11" s="70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5"/>
      <c r="X11" s="95"/>
      <c r="Y11" s="83"/>
      <c r="Z11" s="95"/>
      <c r="AA11" s="19"/>
    </row>
    <row r="12" spans="1:27" ht="14.4" x14ac:dyDescent="0.3">
      <c r="A12" s="93">
        <v>2</v>
      </c>
      <c r="B12" s="9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83"/>
      <c r="X12" s="83"/>
      <c r="Y12" s="83"/>
      <c r="Z12" s="83"/>
      <c r="AA12" s="19"/>
    </row>
    <row r="13" spans="1:27" ht="14.4" x14ac:dyDescent="0.3">
      <c r="A13" s="93">
        <v>3</v>
      </c>
      <c r="B13" s="70" t="s">
        <v>3</v>
      </c>
      <c r="C13" s="86"/>
      <c r="D13" s="80"/>
      <c r="E13" s="80">
        <f>+E74</f>
        <v>19624.259930615779</v>
      </c>
      <c r="F13" s="80"/>
      <c r="G13" s="100">
        <f>ROUND(+G74,0)</f>
        <v>303895</v>
      </c>
      <c r="H13" s="86"/>
      <c r="I13" s="86"/>
      <c r="J13" s="84">
        <f>+J74</f>
        <v>19624.259930615779</v>
      </c>
      <c r="K13" s="84"/>
      <c r="L13" s="100">
        <f>+L74</f>
        <v>231299.04</v>
      </c>
      <c r="M13" s="86"/>
      <c r="N13" s="86"/>
      <c r="O13" s="80">
        <f>+O74</f>
        <v>19524.319861231568</v>
      </c>
      <c r="P13" s="80"/>
      <c r="Q13" s="100">
        <f>+ROUND(Q74,0)</f>
        <v>309177</v>
      </c>
      <c r="R13" s="86"/>
      <c r="S13" s="80"/>
      <c r="T13" s="80">
        <f>+T74</f>
        <v>19524.319861231568</v>
      </c>
      <c r="U13" s="80"/>
      <c r="V13" s="86">
        <f>+V74</f>
        <v>234593</v>
      </c>
      <c r="W13" s="100"/>
      <c r="X13" s="86">
        <f>+V13-Q13</f>
        <v>-74584</v>
      </c>
      <c r="Y13" s="85"/>
      <c r="Z13" s="101">
        <f t="shared" ref="Z13:Z19" si="0">IF(Q13=0,0,ROUND((X13/Q13),4))</f>
        <v>-0.2412</v>
      </c>
      <c r="AA13" s="19"/>
    </row>
    <row r="14" spans="1:27" ht="14.4" x14ac:dyDescent="0.3">
      <c r="A14" s="93">
        <v>4</v>
      </c>
      <c r="B14" s="70" t="s">
        <v>50</v>
      </c>
      <c r="C14" s="80"/>
      <c r="D14" s="80"/>
      <c r="E14" s="80">
        <f>+E113</f>
        <v>672.99306157849094</v>
      </c>
      <c r="F14" s="80"/>
      <c r="G14" s="84">
        <f>ROUND(+G113,0)</f>
        <v>10131</v>
      </c>
      <c r="H14" s="80"/>
      <c r="I14" s="80"/>
      <c r="J14" s="84">
        <f>+J113</f>
        <v>672.99306157849094</v>
      </c>
      <c r="K14" s="84"/>
      <c r="L14" s="84">
        <f>+L113</f>
        <v>7924</v>
      </c>
      <c r="M14" s="80"/>
      <c r="N14" s="80"/>
      <c r="O14" s="80">
        <f>+O113</f>
        <v>688.38612315698197</v>
      </c>
      <c r="P14" s="80"/>
      <c r="Q14" s="84">
        <f>+ROUND(Q113,0)</f>
        <v>10279</v>
      </c>
      <c r="R14" s="80"/>
      <c r="S14" s="80"/>
      <c r="T14" s="80">
        <f>+T113</f>
        <v>688.38612315698197</v>
      </c>
      <c r="U14" s="80"/>
      <c r="V14" s="80">
        <f>+V113</f>
        <v>7892</v>
      </c>
      <c r="W14" s="84"/>
      <c r="X14" s="80">
        <f t="shared" ref="X14:X19" si="1">+V14-Q14</f>
        <v>-2387</v>
      </c>
      <c r="Y14" s="85"/>
      <c r="Z14" s="101">
        <f t="shared" si="0"/>
        <v>-0.23219999999999999</v>
      </c>
      <c r="AA14" s="19"/>
    </row>
    <row r="15" spans="1:27" ht="14.4" x14ac:dyDescent="0.3">
      <c r="A15" s="93">
        <v>5</v>
      </c>
      <c r="B15" s="70" t="s">
        <v>5</v>
      </c>
      <c r="C15" s="80"/>
      <c r="D15" s="80"/>
      <c r="E15" s="80">
        <f>+E152</f>
        <v>0</v>
      </c>
      <c r="F15" s="80"/>
      <c r="G15" s="84">
        <f>ROUND(+G152,0)</f>
        <v>0</v>
      </c>
      <c r="H15" s="80"/>
      <c r="I15" s="80"/>
      <c r="J15" s="84">
        <f>+J152</f>
        <v>0</v>
      </c>
      <c r="K15" s="84"/>
      <c r="L15" s="84">
        <f>+L152</f>
        <v>0</v>
      </c>
      <c r="M15" s="80"/>
      <c r="N15" s="80"/>
      <c r="O15" s="80">
        <f>+O152</f>
        <v>0</v>
      </c>
      <c r="P15" s="80"/>
      <c r="Q15" s="84">
        <f>+ROUND(Q152,0)</f>
        <v>0</v>
      </c>
      <c r="R15" s="80"/>
      <c r="S15" s="80"/>
      <c r="T15" s="80">
        <f>+T152</f>
        <v>0</v>
      </c>
      <c r="U15" s="80"/>
      <c r="V15" s="80">
        <f>+V152</f>
        <v>0</v>
      </c>
      <c r="W15" s="84"/>
      <c r="X15" s="80">
        <f t="shared" si="1"/>
        <v>0</v>
      </c>
      <c r="Y15" s="85"/>
      <c r="Z15" s="101">
        <f t="shared" si="0"/>
        <v>0</v>
      </c>
      <c r="AA15" s="19"/>
    </row>
    <row r="16" spans="1:27" ht="14.4" x14ac:dyDescent="0.3">
      <c r="A16" s="93">
        <v>6</v>
      </c>
      <c r="B16" s="70" t="s">
        <v>68</v>
      </c>
      <c r="C16" s="80"/>
      <c r="D16" s="80"/>
      <c r="E16" s="80">
        <f>+E191</f>
        <v>0</v>
      </c>
      <c r="F16" s="80"/>
      <c r="G16" s="84">
        <f>ROUND(+G191,0)</f>
        <v>0</v>
      </c>
      <c r="H16" s="80"/>
      <c r="I16" s="80"/>
      <c r="J16" s="84">
        <f>+J191</f>
        <v>0</v>
      </c>
      <c r="K16" s="84"/>
      <c r="L16" s="84">
        <f>+L191</f>
        <v>0</v>
      </c>
      <c r="M16" s="80"/>
      <c r="N16" s="80"/>
      <c r="O16" s="80">
        <f>+O191</f>
        <v>0</v>
      </c>
      <c r="P16" s="80"/>
      <c r="Q16" s="84">
        <f>+ROUND(Q191,0)</f>
        <v>0</v>
      </c>
      <c r="R16" s="80"/>
      <c r="S16" s="80"/>
      <c r="T16" s="80">
        <f>+T191</f>
        <v>0</v>
      </c>
      <c r="U16" s="80"/>
      <c r="V16" s="80">
        <f>+V191</f>
        <v>0</v>
      </c>
      <c r="W16" s="84"/>
      <c r="X16" s="80">
        <f t="shared" si="1"/>
        <v>0</v>
      </c>
      <c r="Y16" s="85"/>
      <c r="Z16" s="101">
        <f t="shared" si="0"/>
        <v>0</v>
      </c>
      <c r="AA16" s="19"/>
    </row>
    <row r="17" spans="1:27" ht="14.4" x14ac:dyDescent="0.3">
      <c r="A17" s="93">
        <v>7</v>
      </c>
      <c r="B17" s="70" t="s">
        <v>172</v>
      </c>
      <c r="C17" s="80"/>
      <c r="D17" s="80"/>
      <c r="E17" s="80">
        <f>+E231</f>
        <v>0</v>
      </c>
      <c r="F17" s="80"/>
      <c r="G17" s="84">
        <f>ROUND(+G231,0)</f>
        <v>0</v>
      </c>
      <c r="H17" s="80"/>
      <c r="I17" s="80"/>
      <c r="J17" s="84">
        <f>+J231</f>
        <v>0</v>
      </c>
      <c r="K17" s="84"/>
      <c r="L17" s="84">
        <f>+L231</f>
        <v>0</v>
      </c>
      <c r="M17" s="80"/>
      <c r="N17" s="80"/>
      <c r="O17" s="80">
        <f>+O231</f>
        <v>0</v>
      </c>
      <c r="P17" s="80"/>
      <c r="Q17" s="84">
        <f>+ROUND(Q231,0)</f>
        <v>0</v>
      </c>
      <c r="R17" s="80"/>
      <c r="S17" s="80"/>
      <c r="T17" s="80">
        <f>+T231</f>
        <v>0</v>
      </c>
      <c r="U17" s="80"/>
      <c r="V17" s="80">
        <f>+V231</f>
        <v>0</v>
      </c>
      <c r="W17" s="84"/>
      <c r="X17" s="80">
        <f t="shared" si="1"/>
        <v>0</v>
      </c>
      <c r="Y17" s="85"/>
      <c r="Z17" s="101">
        <f t="shared" si="0"/>
        <v>0</v>
      </c>
      <c r="AA17" s="19"/>
    </row>
    <row r="18" spans="1:27" ht="14.4" x14ac:dyDescent="0.3">
      <c r="A18" s="93">
        <v>8</v>
      </c>
      <c r="B18" s="70" t="s">
        <v>57</v>
      </c>
      <c r="C18" s="80"/>
      <c r="D18" s="81"/>
      <c r="E18" s="80">
        <f>+ROUND(E270,0)</f>
        <v>0</v>
      </c>
      <c r="F18" s="102"/>
      <c r="G18" s="84">
        <f>ROUND(G259+G262,0)</f>
        <v>0</v>
      </c>
      <c r="H18" s="80"/>
      <c r="I18" s="80"/>
      <c r="J18" s="84">
        <f>+J262</f>
        <v>0</v>
      </c>
      <c r="K18" s="103"/>
      <c r="L18" s="84">
        <f>L259</f>
        <v>0</v>
      </c>
      <c r="M18" s="80"/>
      <c r="N18" s="80"/>
      <c r="O18" s="80">
        <v>0</v>
      </c>
      <c r="P18" s="102"/>
      <c r="Q18" s="84">
        <f>ROUND(Q259,0)</f>
        <v>0</v>
      </c>
      <c r="R18" s="80"/>
      <c r="S18" s="80"/>
      <c r="T18" s="80">
        <v>0</v>
      </c>
      <c r="U18" s="102"/>
      <c r="V18" s="80">
        <f>V259</f>
        <v>0</v>
      </c>
      <c r="W18" s="84"/>
      <c r="X18" s="80">
        <f t="shared" si="1"/>
        <v>0</v>
      </c>
      <c r="Y18" s="85"/>
      <c r="Z18" s="101">
        <f t="shared" si="0"/>
        <v>0</v>
      </c>
      <c r="AA18" s="19"/>
    </row>
    <row r="19" spans="1:27" ht="14.4" x14ac:dyDescent="0.3">
      <c r="A19" s="95">
        <v>9</v>
      </c>
      <c r="B19" s="82" t="s">
        <v>168</v>
      </c>
      <c r="C19" s="82"/>
      <c r="D19" s="82"/>
      <c r="E19" s="82">
        <v>0</v>
      </c>
      <c r="F19" s="82"/>
      <c r="G19" s="104">
        <f>ROUND(G268,0)+ROUND(G270,0)</f>
        <v>0</v>
      </c>
      <c r="H19" s="82"/>
      <c r="I19" s="82"/>
      <c r="J19" s="84">
        <f>+J233</f>
        <v>0</v>
      </c>
      <c r="K19" s="104"/>
      <c r="L19" s="104">
        <f>ROUND(L268,0)+ROUND(L270,0)</f>
        <v>0</v>
      </c>
      <c r="M19" s="82"/>
      <c r="N19" s="82"/>
      <c r="O19" s="82">
        <v>0</v>
      </c>
      <c r="P19" s="82"/>
      <c r="Q19" s="104">
        <f>ROUND(Q268+Q270,0)</f>
        <v>0</v>
      </c>
      <c r="R19" s="82"/>
      <c r="S19" s="82"/>
      <c r="T19" s="82">
        <v>0</v>
      </c>
      <c r="U19" s="82"/>
      <c r="V19" s="104">
        <f>ROUND(V268+V270,0)</f>
        <v>0</v>
      </c>
      <c r="W19" s="83"/>
      <c r="X19" s="80">
        <f t="shared" si="1"/>
        <v>0</v>
      </c>
      <c r="Y19" s="83"/>
      <c r="Z19" s="101">
        <f t="shared" si="0"/>
        <v>0</v>
      </c>
      <c r="AA19" s="19"/>
    </row>
    <row r="20" spans="1:27" ht="14.4" x14ac:dyDescent="0.3">
      <c r="A20" s="93">
        <v>10</v>
      </c>
      <c r="B20" s="83" t="s">
        <v>156</v>
      </c>
      <c r="C20" s="84"/>
      <c r="D20" s="85"/>
      <c r="E20" s="84">
        <f>E313</f>
        <v>0</v>
      </c>
      <c r="F20" s="103"/>
      <c r="G20" s="84">
        <f>ROUND(G313,0)</f>
        <v>165</v>
      </c>
      <c r="H20" s="84"/>
      <c r="I20" s="84"/>
      <c r="J20" s="84">
        <f>J313</f>
        <v>0</v>
      </c>
      <c r="K20" s="103"/>
      <c r="L20" s="84">
        <f>L313</f>
        <v>165</v>
      </c>
      <c r="M20" s="84"/>
      <c r="N20" s="84"/>
      <c r="O20" s="84">
        <f>O313</f>
        <v>0</v>
      </c>
      <c r="P20" s="103"/>
      <c r="Q20" s="84">
        <f>ROUND(Q313,0)</f>
        <v>0</v>
      </c>
      <c r="R20" s="84"/>
      <c r="S20" s="84"/>
      <c r="T20" s="84">
        <f>T313</f>
        <v>0</v>
      </c>
      <c r="U20" s="103"/>
      <c r="V20" s="84">
        <f>V313</f>
        <v>0</v>
      </c>
      <c r="W20" s="84"/>
      <c r="X20" s="84">
        <f>+V20-Q20</f>
        <v>0</v>
      </c>
      <c r="Y20" s="85"/>
      <c r="Z20" s="101">
        <f>IF(Q20=0,0,ROUND((X20/Q20),4))</f>
        <v>0</v>
      </c>
      <c r="AA20" s="19"/>
    </row>
    <row r="21" spans="1:27" ht="14.4" x14ac:dyDescent="0.3">
      <c r="A21" s="93">
        <v>11</v>
      </c>
      <c r="B21" s="82" t="s">
        <v>91</v>
      </c>
      <c r="C21" s="82"/>
      <c r="D21" s="82"/>
      <c r="E21" s="82">
        <v>0</v>
      </c>
      <c r="F21" s="82"/>
      <c r="G21" s="104">
        <v>0</v>
      </c>
      <c r="H21" s="82"/>
      <c r="I21" s="82"/>
      <c r="J21" s="104">
        <v>0</v>
      </c>
      <c r="K21" s="104"/>
      <c r="L21" s="104">
        <f>G21</f>
        <v>0</v>
      </c>
      <c r="M21" s="82"/>
      <c r="N21" s="82"/>
      <c r="O21" s="82">
        <v>0</v>
      </c>
      <c r="P21" s="82"/>
      <c r="Q21" s="104">
        <v>0</v>
      </c>
      <c r="R21" s="82"/>
      <c r="S21" s="82"/>
      <c r="T21" s="82">
        <v>0</v>
      </c>
      <c r="U21" s="82"/>
      <c r="V21" s="82">
        <f>'Link in'!F98</f>
        <v>0</v>
      </c>
      <c r="W21" s="83"/>
      <c r="X21" s="80">
        <f>+V21-Q21</f>
        <v>0</v>
      </c>
      <c r="Y21" s="83"/>
      <c r="Z21" s="101">
        <f>IF(Q21=0,0,ROUND((X21/Q21),4))</f>
        <v>0</v>
      </c>
      <c r="AA21" s="19"/>
    </row>
    <row r="22" spans="1:27" ht="14.4" x14ac:dyDescent="0.3">
      <c r="A22" s="93">
        <v>12</v>
      </c>
      <c r="B22" s="70" t="s">
        <v>1</v>
      </c>
      <c r="C22" s="86"/>
      <c r="D22" s="80"/>
      <c r="E22" s="285">
        <f>SUM(E13:E21)</f>
        <v>20297.25299219427</v>
      </c>
      <c r="F22" s="80"/>
      <c r="G22" s="106">
        <f>SUM(G13:G21)</f>
        <v>314191</v>
      </c>
      <c r="H22" s="86"/>
      <c r="I22" s="86"/>
      <c r="J22" s="285">
        <f>SUM(J13:J21)</f>
        <v>20297.25299219427</v>
      </c>
      <c r="K22" s="84"/>
      <c r="L22" s="106">
        <f>SUM(L13:L21)</f>
        <v>239388.04</v>
      </c>
      <c r="M22" s="86"/>
      <c r="N22" s="86"/>
      <c r="O22" s="285">
        <f>SUM(O13:O21)</f>
        <v>20212.705984388551</v>
      </c>
      <c r="P22" s="80"/>
      <c r="Q22" s="106">
        <f>SUM(Q13:Q21)</f>
        <v>319456</v>
      </c>
      <c r="R22" s="86"/>
      <c r="S22" s="80"/>
      <c r="T22" s="285">
        <f>SUM(T13:T21)</f>
        <v>20212.705984388551</v>
      </c>
      <c r="U22" s="102"/>
      <c r="V22" s="106">
        <f>SUM(V13:V21)</f>
        <v>242485</v>
      </c>
      <c r="W22" s="84"/>
      <c r="X22" s="106">
        <f>+V22-Q22</f>
        <v>-76971</v>
      </c>
      <c r="Y22" s="85"/>
      <c r="Z22" s="109">
        <f>IF(Q22=0,0,ROUND((X22/Q22),4))</f>
        <v>-0.2409</v>
      </c>
      <c r="AA22" s="19"/>
    </row>
    <row r="23" spans="1:27" ht="14.4" x14ac:dyDescent="0.3">
      <c r="A23" s="93">
        <v>13</v>
      </c>
      <c r="B23" s="82"/>
      <c r="C23" s="82"/>
      <c r="D23" s="82"/>
      <c r="E23" s="82"/>
      <c r="F23" s="82"/>
      <c r="G23" s="104"/>
      <c r="H23" s="82"/>
      <c r="I23" s="82"/>
      <c r="J23" s="104"/>
      <c r="K23" s="104"/>
      <c r="L23" s="104"/>
      <c r="M23" s="82"/>
      <c r="N23" s="82"/>
      <c r="O23" s="82"/>
      <c r="P23" s="82"/>
      <c r="Q23" s="104"/>
      <c r="R23" s="82"/>
      <c r="S23" s="82"/>
      <c r="T23" s="82"/>
      <c r="U23" s="82"/>
      <c r="V23" s="82"/>
      <c r="W23" s="83"/>
      <c r="X23" s="83"/>
      <c r="Y23" s="83"/>
      <c r="Z23" s="83"/>
      <c r="AA23" s="19"/>
    </row>
    <row r="24" spans="1:27" ht="14.4" x14ac:dyDescent="0.3">
      <c r="A24" s="93">
        <v>14</v>
      </c>
      <c r="B24" s="98" t="s">
        <v>70</v>
      </c>
      <c r="C24" s="81"/>
      <c r="D24" s="81"/>
      <c r="E24" s="81"/>
      <c r="F24" s="81"/>
      <c r="G24" s="85"/>
      <c r="H24" s="81"/>
      <c r="I24" s="81"/>
      <c r="J24" s="85"/>
      <c r="K24" s="85"/>
      <c r="L24" s="85"/>
      <c r="M24" s="81"/>
      <c r="N24" s="81"/>
      <c r="O24" s="81"/>
      <c r="P24" s="81"/>
      <c r="Q24" s="85"/>
      <c r="R24" s="85"/>
      <c r="S24" s="85"/>
      <c r="T24" s="84"/>
      <c r="U24" s="103"/>
      <c r="V24" s="81"/>
      <c r="W24" s="85"/>
      <c r="X24" s="84"/>
      <c r="Y24" s="85"/>
      <c r="Z24" s="101"/>
      <c r="AA24" s="19"/>
    </row>
    <row r="25" spans="1:27" ht="14.4" x14ac:dyDescent="0.3">
      <c r="A25" s="93">
        <v>15</v>
      </c>
      <c r="B25" s="110" t="s">
        <v>91</v>
      </c>
      <c r="C25" s="84"/>
      <c r="D25" s="85"/>
      <c r="E25" s="84"/>
      <c r="F25" s="111"/>
      <c r="G25" s="303">
        <f>+'Link in'!B98</f>
        <v>0</v>
      </c>
      <c r="H25" s="86"/>
      <c r="I25" s="84"/>
      <c r="J25" s="84"/>
      <c r="K25" s="111"/>
      <c r="L25" s="100">
        <v>0</v>
      </c>
      <c r="M25" s="84"/>
      <c r="N25" s="84"/>
      <c r="O25" s="84"/>
      <c r="P25" s="111"/>
      <c r="Q25" s="100">
        <v>0</v>
      </c>
      <c r="R25" s="84"/>
      <c r="S25" s="84"/>
      <c r="T25" s="84"/>
      <c r="U25" s="111"/>
      <c r="V25" s="100">
        <v>0</v>
      </c>
      <c r="W25" s="84"/>
      <c r="X25" s="84">
        <f>+V25-Q25</f>
        <v>0</v>
      </c>
      <c r="Y25" s="83"/>
      <c r="Z25" s="101">
        <f t="shared" ref="Z25" si="2">IF(Q25=0,0,ROUND((X25/Q25),4))</f>
        <v>0</v>
      </c>
      <c r="AA25" s="19"/>
    </row>
    <row r="26" spans="1:27" ht="14.4" x14ac:dyDescent="0.3">
      <c r="A26" s="93">
        <v>16</v>
      </c>
      <c r="B26" s="110" t="s">
        <v>158</v>
      </c>
      <c r="C26" s="100"/>
      <c r="D26" s="83"/>
      <c r="E26" s="84"/>
      <c r="F26" s="111"/>
      <c r="G26" s="84">
        <f>'Link in'!B99</f>
        <v>2468.6586119999997</v>
      </c>
      <c r="H26" s="80"/>
      <c r="I26" s="100"/>
      <c r="J26" s="84"/>
      <c r="K26" s="111"/>
      <c r="L26" s="84">
        <f>'Link in'!C99</f>
        <v>2468.6586119999997</v>
      </c>
      <c r="M26" s="100"/>
      <c r="N26" s="100"/>
      <c r="O26" s="84"/>
      <c r="P26" s="111"/>
      <c r="Q26" s="84">
        <f>'Link in'!D99</f>
        <v>2938.9972239999988</v>
      </c>
      <c r="R26" s="100"/>
      <c r="S26" s="84"/>
      <c r="T26" s="84"/>
      <c r="U26" s="111"/>
      <c r="V26" s="84">
        <f>'Link in'!F99</f>
        <v>2938.9972239999988</v>
      </c>
      <c r="W26" s="84"/>
      <c r="X26" s="84">
        <f>+V26-Q26</f>
        <v>0</v>
      </c>
      <c r="Y26" s="83"/>
      <c r="Z26" s="101">
        <f t="shared" ref="Z26:Z35" si="3">IF(Q26=0,0,ROUND((X26/Q26),4))</f>
        <v>0</v>
      </c>
      <c r="AA26" s="19"/>
    </row>
    <row r="27" spans="1:27" ht="14.4" x14ac:dyDescent="0.3">
      <c r="A27" s="93">
        <v>17</v>
      </c>
      <c r="B27" s="110" t="s">
        <v>152</v>
      </c>
      <c r="C27" s="84"/>
      <c r="D27" s="83"/>
      <c r="E27" s="84"/>
      <c r="F27" s="111"/>
      <c r="G27" s="84">
        <f>'Link in'!B100</f>
        <v>0</v>
      </c>
      <c r="H27" s="80"/>
      <c r="I27" s="84"/>
      <c r="J27" s="84"/>
      <c r="K27" s="111"/>
      <c r="L27" s="84">
        <f>'Link in'!C100</f>
        <v>0</v>
      </c>
      <c r="M27" s="84"/>
      <c r="N27" s="84"/>
      <c r="O27" s="84"/>
      <c r="P27" s="111"/>
      <c r="Q27" s="84">
        <f>'Link in'!D100</f>
        <v>0</v>
      </c>
      <c r="R27" s="84"/>
      <c r="S27" s="84"/>
      <c r="T27" s="84"/>
      <c r="U27" s="111"/>
      <c r="V27" s="84">
        <f>'Link in'!F100</f>
        <v>0</v>
      </c>
      <c r="W27" s="84"/>
      <c r="X27" s="84">
        <f t="shared" ref="X27:X35" si="4">+V27-Q27</f>
        <v>0</v>
      </c>
      <c r="Y27" s="83"/>
      <c r="Z27" s="101">
        <f t="shared" si="3"/>
        <v>0</v>
      </c>
      <c r="AA27" s="19"/>
    </row>
    <row r="28" spans="1:27" ht="14.4" x14ac:dyDescent="0.3">
      <c r="A28" s="93">
        <v>18</v>
      </c>
      <c r="B28" s="110" t="s">
        <v>153</v>
      </c>
      <c r="C28" s="84"/>
      <c r="D28" s="83"/>
      <c r="E28" s="84"/>
      <c r="F28" s="111"/>
      <c r="G28" s="84">
        <f>'Link in'!B101</f>
        <v>0</v>
      </c>
      <c r="H28" s="80"/>
      <c r="I28" s="84"/>
      <c r="J28" s="84"/>
      <c r="K28" s="111"/>
      <c r="L28" s="84">
        <f>'Link in'!C101</f>
        <v>0</v>
      </c>
      <c r="M28" s="84"/>
      <c r="N28" s="84"/>
      <c r="O28" s="84"/>
      <c r="P28" s="111"/>
      <c r="Q28" s="84">
        <f>'Link in'!D101</f>
        <v>0</v>
      </c>
      <c r="R28" s="84"/>
      <c r="S28" s="84"/>
      <c r="T28" s="84"/>
      <c r="U28" s="111"/>
      <c r="V28" s="84">
        <f>'Link in'!F101</f>
        <v>0</v>
      </c>
      <c r="W28" s="84"/>
      <c r="X28" s="84">
        <f t="shared" si="4"/>
        <v>0</v>
      </c>
      <c r="Y28" s="83"/>
      <c r="Z28" s="101">
        <f t="shared" si="3"/>
        <v>0</v>
      </c>
      <c r="AA28" s="19"/>
    </row>
    <row r="29" spans="1:27" ht="14.4" x14ac:dyDescent="0.3">
      <c r="A29" s="93">
        <v>19</v>
      </c>
      <c r="B29" s="110" t="s">
        <v>154</v>
      </c>
      <c r="C29" s="84"/>
      <c r="D29" s="95"/>
      <c r="E29" s="84"/>
      <c r="F29" s="95"/>
      <c r="G29" s="84">
        <f>'Link in'!B102</f>
        <v>0</v>
      </c>
      <c r="H29" s="80"/>
      <c r="I29" s="84"/>
      <c r="J29" s="84"/>
      <c r="K29" s="95"/>
      <c r="L29" s="84">
        <f>'Link in'!C102</f>
        <v>0</v>
      </c>
      <c r="M29" s="84"/>
      <c r="N29" s="84"/>
      <c r="O29" s="84"/>
      <c r="P29" s="95"/>
      <c r="Q29" s="84">
        <f>'Link in'!D102</f>
        <v>0</v>
      </c>
      <c r="R29" s="84"/>
      <c r="S29" s="95"/>
      <c r="T29" s="112"/>
      <c r="U29" s="112"/>
      <c r="V29" s="84">
        <f>'Link in'!F102</f>
        <v>0</v>
      </c>
      <c r="W29" s="112"/>
      <c r="X29" s="84">
        <f t="shared" si="4"/>
        <v>0</v>
      </c>
      <c r="Y29" s="83"/>
      <c r="Z29" s="101">
        <f t="shared" si="3"/>
        <v>0</v>
      </c>
      <c r="AA29" s="19"/>
    </row>
    <row r="30" spans="1:27" ht="14.4" x14ac:dyDescent="0.3">
      <c r="A30" s="93">
        <v>20</v>
      </c>
      <c r="B30" s="110" t="s">
        <v>159</v>
      </c>
      <c r="C30" s="84"/>
      <c r="D30" s="113"/>
      <c r="E30" s="83"/>
      <c r="F30" s="113"/>
      <c r="G30" s="84">
        <f>'Link in'!B103</f>
        <v>0</v>
      </c>
      <c r="H30" s="80"/>
      <c r="I30" s="84"/>
      <c r="J30" s="83"/>
      <c r="K30" s="113"/>
      <c r="L30" s="84">
        <f>'Link in'!C103</f>
        <v>0</v>
      </c>
      <c r="M30" s="84"/>
      <c r="N30" s="84"/>
      <c r="O30" s="83"/>
      <c r="P30" s="113"/>
      <c r="Q30" s="84">
        <f>'Link in'!D103</f>
        <v>0</v>
      </c>
      <c r="R30" s="84"/>
      <c r="S30" s="113"/>
      <c r="T30" s="113"/>
      <c r="U30" s="113"/>
      <c r="V30" s="84">
        <f>'Link in'!F103</f>
        <v>0</v>
      </c>
      <c r="W30" s="113"/>
      <c r="X30" s="84">
        <f t="shared" si="4"/>
        <v>0</v>
      </c>
      <c r="Y30" s="83"/>
      <c r="Z30" s="101">
        <f t="shared" si="3"/>
        <v>0</v>
      </c>
      <c r="AA30" s="19"/>
    </row>
    <row r="31" spans="1:27" ht="14.4" x14ac:dyDescent="0.3">
      <c r="A31" s="93">
        <v>21</v>
      </c>
      <c r="B31" s="110" t="s">
        <v>164</v>
      </c>
      <c r="C31" s="114"/>
      <c r="D31" s="115"/>
      <c r="E31" s="83"/>
      <c r="F31" s="115"/>
      <c r="G31" s="84">
        <f>'Link in'!B104</f>
        <v>1736.0000000000002</v>
      </c>
      <c r="H31" s="80"/>
      <c r="I31" s="114"/>
      <c r="J31" s="83"/>
      <c r="K31" s="115"/>
      <c r="L31" s="84">
        <f>'Link in'!C104</f>
        <v>1736.0000000000002</v>
      </c>
      <c r="M31" s="114"/>
      <c r="N31" s="114"/>
      <c r="O31" s="83"/>
      <c r="P31" s="115"/>
      <c r="Q31" s="84">
        <f>'Link in'!D104</f>
        <v>1736.0000000000002</v>
      </c>
      <c r="R31" s="114"/>
      <c r="S31" s="115"/>
      <c r="T31" s="83"/>
      <c r="U31" s="115"/>
      <c r="V31" s="84">
        <f>'Link in'!F104</f>
        <v>1736.0000000000002</v>
      </c>
      <c r="W31" s="115"/>
      <c r="X31" s="84">
        <f t="shared" si="4"/>
        <v>0</v>
      </c>
      <c r="Y31" s="83"/>
      <c r="Z31" s="101">
        <f t="shared" si="3"/>
        <v>0</v>
      </c>
      <c r="AA31" s="19"/>
    </row>
    <row r="32" spans="1:27" ht="14.4" x14ac:dyDescent="0.3">
      <c r="A32" s="93">
        <v>22</v>
      </c>
      <c r="B32" s="110" t="s">
        <v>155</v>
      </c>
      <c r="C32" s="84"/>
      <c r="D32" s="116"/>
      <c r="E32" s="83"/>
      <c r="F32" s="83"/>
      <c r="G32" s="84">
        <f>'Link in'!B105</f>
        <v>0</v>
      </c>
      <c r="H32" s="80"/>
      <c r="I32" s="84"/>
      <c r="J32" s="83"/>
      <c r="K32" s="83"/>
      <c r="L32" s="84">
        <f>'Link in'!C105</f>
        <v>0</v>
      </c>
      <c r="M32" s="84"/>
      <c r="N32" s="84"/>
      <c r="O32" s="83"/>
      <c r="P32" s="83"/>
      <c r="Q32" s="84">
        <f>'Link in'!D105</f>
        <v>0</v>
      </c>
      <c r="R32" s="84"/>
      <c r="S32" s="116"/>
      <c r="T32" s="83"/>
      <c r="U32" s="117"/>
      <c r="V32" s="84">
        <f>'Link in'!F105</f>
        <v>0</v>
      </c>
      <c r="W32" s="116"/>
      <c r="X32" s="84">
        <f t="shared" si="4"/>
        <v>0</v>
      </c>
      <c r="Y32" s="83"/>
      <c r="Z32" s="101">
        <f t="shared" si="3"/>
        <v>0</v>
      </c>
      <c r="AA32" s="19"/>
    </row>
    <row r="33" spans="1:27" ht="14.4" x14ac:dyDescent="0.3">
      <c r="A33" s="93">
        <v>23</v>
      </c>
      <c r="B33" s="110" t="s">
        <v>160</v>
      </c>
      <c r="C33" s="118"/>
      <c r="D33" s="83"/>
      <c r="E33" s="83"/>
      <c r="F33" s="83"/>
      <c r="G33" s="84">
        <f>'Link in'!B106</f>
        <v>224</v>
      </c>
      <c r="H33" s="80"/>
      <c r="I33" s="119"/>
      <c r="J33" s="83"/>
      <c r="K33" s="83"/>
      <c r="L33" s="84">
        <f>'Link in'!C106</f>
        <v>224</v>
      </c>
      <c r="M33" s="119"/>
      <c r="N33" s="119"/>
      <c r="O33" s="70"/>
      <c r="P33" s="70"/>
      <c r="Q33" s="84">
        <f>'Link in'!D106</f>
        <v>0</v>
      </c>
      <c r="R33" s="119"/>
      <c r="S33" s="70"/>
      <c r="T33" s="70"/>
      <c r="U33" s="70"/>
      <c r="V33" s="84">
        <f>'Link in'!F106</f>
        <v>0</v>
      </c>
      <c r="W33" s="83"/>
      <c r="X33" s="84">
        <f t="shared" si="4"/>
        <v>0</v>
      </c>
      <c r="Y33" s="83"/>
      <c r="Z33" s="101">
        <f t="shared" si="3"/>
        <v>0</v>
      </c>
      <c r="AA33" s="19"/>
    </row>
    <row r="34" spans="1:27" ht="14.4" x14ac:dyDescent="0.3">
      <c r="A34" s="93">
        <v>24</v>
      </c>
      <c r="B34" s="110" t="s">
        <v>161</v>
      </c>
      <c r="C34" s="84"/>
      <c r="D34" s="83"/>
      <c r="E34" s="83"/>
      <c r="F34" s="117"/>
      <c r="G34" s="84">
        <f>'Link in'!B107</f>
        <v>0</v>
      </c>
      <c r="H34" s="80"/>
      <c r="I34" s="80"/>
      <c r="J34" s="83"/>
      <c r="K34" s="117"/>
      <c r="L34" s="84">
        <f>'Link in'!C107</f>
        <v>0</v>
      </c>
      <c r="M34" s="80"/>
      <c r="N34" s="80"/>
      <c r="O34" s="70"/>
      <c r="P34" s="120"/>
      <c r="Q34" s="84">
        <f>'Link in'!D107</f>
        <v>0</v>
      </c>
      <c r="R34" s="80"/>
      <c r="S34" s="70"/>
      <c r="T34" s="70"/>
      <c r="U34" s="120"/>
      <c r="V34" s="84">
        <f>'Link in'!F107</f>
        <v>0</v>
      </c>
      <c r="W34" s="83"/>
      <c r="X34" s="84">
        <f t="shared" si="4"/>
        <v>0</v>
      </c>
      <c r="Y34" s="83"/>
      <c r="Z34" s="101">
        <f t="shared" si="3"/>
        <v>0</v>
      </c>
      <c r="AA34" s="19"/>
    </row>
    <row r="35" spans="1:27" ht="14.4" x14ac:dyDescent="0.3">
      <c r="A35" s="93">
        <v>25</v>
      </c>
      <c r="B35" s="110" t="s">
        <v>162</v>
      </c>
      <c r="C35" s="84"/>
      <c r="D35" s="116"/>
      <c r="E35" s="83"/>
      <c r="F35" s="117"/>
      <c r="G35" s="84">
        <f>'Link in'!B108</f>
        <v>0</v>
      </c>
      <c r="H35" s="80"/>
      <c r="I35" s="80"/>
      <c r="J35" s="83"/>
      <c r="K35" s="117"/>
      <c r="L35" s="84">
        <f>'Link in'!C108</f>
        <v>0</v>
      </c>
      <c r="M35" s="80"/>
      <c r="N35" s="80"/>
      <c r="O35" s="70"/>
      <c r="P35" s="120"/>
      <c r="Q35" s="84">
        <f>'Link in'!D108</f>
        <v>0</v>
      </c>
      <c r="R35" s="80"/>
      <c r="S35" s="121"/>
      <c r="T35" s="70"/>
      <c r="U35" s="120"/>
      <c r="V35" s="84">
        <f>'Link in'!F108</f>
        <v>0</v>
      </c>
      <c r="W35" s="116"/>
      <c r="X35" s="84">
        <f t="shared" si="4"/>
        <v>0</v>
      </c>
      <c r="Y35" s="83"/>
      <c r="Z35" s="101">
        <f t="shared" si="3"/>
        <v>0</v>
      </c>
      <c r="AA35" s="19"/>
    </row>
    <row r="36" spans="1:27" ht="14.4" x14ac:dyDescent="0.3">
      <c r="A36" s="93">
        <v>26</v>
      </c>
      <c r="B36" s="70" t="s">
        <v>150</v>
      </c>
      <c r="C36" s="80"/>
      <c r="D36" s="70"/>
      <c r="E36" s="70"/>
      <c r="F36" s="120"/>
      <c r="G36" s="304">
        <f>SUM(G25:G35)</f>
        <v>4428.6586120000002</v>
      </c>
      <c r="H36" s="86"/>
      <c r="I36" s="80"/>
      <c r="J36" s="83"/>
      <c r="K36" s="117"/>
      <c r="L36" s="106">
        <f>SUM(L25:L35)</f>
        <v>4428.6586120000002</v>
      </c>
      <c r="M36" s="80"/>
      <c r="N36" s="80"/>
      <c r="O36" s="70"/>
      <c r="P36" s="120"/>
      <c r="Q36" s="108">
        <f>SUM(Q25:Q35)</f>
        <v>4674.9972239999988</v>
      </c>
      <c r="R36" s="80"/>
      <c r="S36" s="70"/>
      <c r="T36" s="70"/>
      <c r="U36" s="120"/>
      <c r="V36" s="108">
        <f>SUM(V25:V35)</f>
        <v>4674.9972239999988</v>
      </c>
      <c r="W36" s="83"/>
      <c r="X36" s="108">
        <f>V36-Q36</f>
        <v>0</v>
      </c>
      <c r="Y36" s="83"/>
      <c r="Z36" s="109">
        <f>IF(Q36=0,0,ROUND((X36/Q36),4))</f>
        <v>0</v>
      </c>
      <c r="AA36" s="19"/>
    </row>
    <row r="37" spans="1:27" ht="14.4" x14ac:dyDescent="0.3">
      <c r="A37" s="93">
        <v>27</v>
      </c>
      <c r="B37" s="70"/>
      <c r="C37" s="80"/>
      <c r="D37" s="93"/>
      <c r="E37" s="70"/>
      <c r="F37" s="120"/>
      <c r="G37" s="80"/>
      <c r="H37" s="80"/>
      <c r="I37" s="80"/>
      <c r="J37" s="83"/>
      <c r="K37" s="117"/>
      <c r="L37" s="84"/>
      <c r="M37" s="80"/>
      <c r="N37" s="80"/>
      <c r="O37" s="70"/>
      <c r="P37" s="120"/>
      <c r="Q37" s="80"/>
      <c r="R37" s="80"/>
      <c r="S37" s="93"/>
      <c r="T37" s="70"/>
      <c r="U37" s="120"/>
      <c r="V37" s="80"/>
      <c r="W37" s="83"/>
      <c r="X37" s="84"/>
      <c r="Y37" s="83"/>
      <c r="Z37" s="101"/>
      <c r="AA37" s="19"/>
    </row>
    <row r="38" spans="1:27" ht="15" thickBot="1" x14ac:dyDescent="0.35">
      <c r="A38" s="93">
        <v>28</v>
      </c>
      <c r="B38" s="70" t="s">
        <v>151</v>
      </c>
      <c r="C38" s="122"/>
      <c r="D38" s="122"/>
      <c r="E38" s="70"/>
      <c r="F38" s="122"/>
      <c r="G38" s="305">
        <f>G36+G22</f>
        <v>318619.658612</v>
      </c>
      <c r="H38" s="123"/>
      <c r="I38" s="122"/>
      <c r="J38" s="83"/>
      <c r="K38" s="113"/>
      <c r="L38" s="284">
        <f>L36+L22</f>
        <v>243816.69861200001</v>
      </c>
      <c r="M38" s="122"/>
      <c r="N38" s="122"/>
      <c r="O38" s="70"/>
      <c r="P38" s="122"/>
      <c r="Q38" s="284">
        <f>Q36+Q22</f>
        <v>324130.99722399999</v>
      </c>
      <c r="R38" s="122"/>
      <c r="S38" s="122"/>
      <c r="T38" s="99"/>
      <c r="U38" s="99"/>
      <c r="V38" s="284">
        <f>V36+V22</f>
        <v>247159.99722399999</v>
      </c>
      <c r="W38" s="124"/>
      <c r="X38" s="284">
        <f>V38-Q38</f>
        <v>-76971</v>
      </c>
      <c r="Y38" s="95"/>
      <c r="Z38" s="125">
        <f>IF(Q38=0,0,ROUND((X38/Q38),4))</f>
        <v>-0.23749999999999999</v>
      </c>
      <c r="AA38" s="19"/>
    </row>
    <row r="39" spans="1:27" ht="15" thickTop="1" x14ac:dyDescent="0.3">
      <c r="A39" s="93"/>
      <c r="B39" s="70"/>
      <c r="C39" s="126"/>
      <c r="D39" s="121"/>
      <c r="E39" s="70"/>
      <c r="F39" s="127"/>
      <c r="G39" s="126"/>
      <c r="H39" s="126"/>
      <c r="I39" s="126"/>
      <c r="J39" s="126"/>
      <c r="K39" s="126"/>
      <c r="L39" s="126"/>
      <c r="M39" s="126"/>
      <c r="N39" s="126"/>
      <c r="O39" s="70"/>
      <c r="P39" s="127"/>
      <c r="Q39" s="126"/>
      <c r="R39" s="126"/>
      <c r="S39" s="126"/>
      <c r="T39" s="121"/>
      <c r="U39" s="127"/>
      <c r="V39" s="121"/>
      <c r="W39" s="116"/>
      <c r="X39" s="84"/>
      <c r="Y39" s="116"/>
      <c r="Z39" s="101"/>
      <c r="AA39" s="19"/>
    </row>
    <row r="40" spans="1:27" ht="14.4" x14ac:dyDescent="0.3">
      <c r="A40" s="323" t="str">
        <f>A1</f>
        <v>Kentucky American Water Company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19"/>
    </row>
    <row r="41" spans="1:27" ht="14.4" x14ac:dyDescent="0.3">
      <c r="A41" s="323" t="s">
        <v>77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19"/>
    </row>
    <row r="42" spans="1:27" ht="14.4" x14ac:dyDescent="0.3">
      <c r="A42" s="323" t="str">
        <f>A3</f>
        <v>Case No. 2018-00358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19"/>
    </row>
    <row r="43" spans="1:27" ht="14.4" x14ac:dyDescent="0.3">
      <c r="A43" s="323" t="str">
        <f>A4</f>
        <v>Base Year for the 12 Months Ended February 28, 2019 and Forecast Year for the 12 Months Ended June 30, 2020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19"/>
    </row>
    <row r="44" spans="1:27" ht="14.4" x14ac:dyDescent="0.3">
      <c r="A44" s="98" t="str">
        <f>A5</f>
        <v>Witness Responsible:   Melissa Schwarzell</v>
      </c>
      <c r="B44" s="70"/>
      <c r="C44" s="70"/>
      <c r="D44" s="70"/>
      <c r="E44" s="70"/>
      <c r="F44" s="70"/>
      <c r="G44" s="70"/>
      <c r="H44" s="70"/>
      <c r="I44" s="322" t="str">
        <f>"EASTERN ROCKCASTLE ("&amp;LEFT(B50,SEARCH(":",B50,1)-1)&amp;")"</f>
        <v>EASTERN ROCKCASTLE (Residential)</v>
      </c>
      <c r="J44" s="322"/>
      <c r="K44" s="322"/>
      <c r="L44" s="322"/>
      <c r="M44" s="322"/>
      <c r="N44" s="322"/>
      <c r="O44" s="322"/>
      <c r="P44" s="322"/>
      <c r="Q44" s="322"/>
      <c r="R44" s="70"/>
      <c r="S44" s="70"/>
      <c r="T44" s="70"/>
      <c r="U44" s="70"/>
      <c r="V44" s="70"/>
      <c r="W44" s="83"/>
      <c r="X44" s="83"/>
      <c r="Y44" s="83"/>
      <c r="Z44" s="88" t="s">
        <v>186</v>
      </c>
      <c r="AA44" s="19"/>
    </row>
    <row r="45" spans="1:27" ht="14.4" x14ac:dyDescent="0.3">
      <c r="A45" s="128" t="str">
        <f>A6</f>
        <v/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90"/>
      <c r="X45" s="90"/>
      <c r="Y45" s="90"/>
      <c r="Z45" s="130" t="str">
        <f ca="1">Z6</f>
        <v>Revenues\[KAWC 2018 Rate Case - Revenue - E. Rockcastle.xlsx]Sch M</v>
      </c>
      <c r="AA45" s="19"/>
    </row>
    <row r="46" spans="1:27" ht="14.4" x14ac:dyDescent="0.3">
      <c r="A46" s="70"/>
      <c r="B46" s="70"/>
      <c r="C46" s="93"/>
      <c r="D46" s="317" t="s">
        <v>170</v>
      </c>
      <c r="E46" s="317" t="s">
        <v>97</v>
      </c>
      <c r="F46" s="317"/>
      <c r="G46" s="317"/>
      <c r="H46" s="93"/>
      <c r="I46" s="324" t="s">
        <v>169</v>
      </c>
      <c r="J46" s="324" t="s">
        <v>97</v>
      </c>
      <c r="K46" s="324"/>
      <c r="L46" s="324"/>
      <c r="M46" s="93"/>
      <c r="N46" s="317" t="s">
        <v>120</v>
      </c>
      <c r="O46" s="317" t="s">
        <v>98</v>
      </c>
      <c r="P46" s="317"/>
      <c r="Q46" s="317"/>
      <c r="R46" s="93"/>
      <c r="S46" s="317" t="s">
        <v>121</v>
      </c>
      <c r="T46" s="317" t="s">
        <v>99</v>
      </c>
      <c r="U46" s="317"/>
      <c r="V46" s="317"/>
      <c r="W46" s="94"/>
      <c r="X46" s="94"/>
      <c r="Y46" s="83"/>
      <c r="Z46" s="83"/>
      <c r="AA46" s="19"/>
    </row>
    <row r="47" spans="1:27" ht="14.4" x14ac:dyDescent="0.3">
      <c r="A47" s="70"/>
      <c r="B47" s="70"/>
      <c r="C47" s="93"/>
      <c r="D47" s="93" t="s">
        <v>27</v>
      </c>
      <c r="E47" s="93"/>
      <c r="F47" s="93"/>
      <c r="G47" s="93"/>
      <c r="H47" s="93"/>
      <c r="I47" s="95" t="s">
        <v>27</v>
      </c>
      <c r="J47" s="95"/>
      <c r="K47" s="95"/>
      <c r="L47" s="95"/>
      <c r="M47" s="93"/>
      <c r="N47" s="93" t="s">
        <v>27</v>
      </c>
      <c r="O47" s="93"/>
      <c r="P47" s="93"/>
      <c r="Q47" s="93"/>
      <c r="R47" s="93"/>
      <c r="S47" s="93" t="s">
        <v>27</v>
      </c>
      <c r="T47" s="93"/>
      <c r="U47" s="93"/>
      <c r="V47" s="93"/>
      <c r="W47" s="95"/>
      <c r="X47" s="95"/>
      <c r="Y47" s="83"/>
      <c r="Z47" s="83"/>
      <c r="AA47" s="19"/>
    </row>
    <row r="48" spans="1:27" ht="14.4" x14ac:dyDescent="0.3">
      <c r="A48" s="70"/>
      <c r="B48" s="93" t="s">
        <v>24</v>
      </c>
      <c r="C48" s="93"/>
      <c r="D48" s="93" t="s">
        <v>28</v>
      </c>
      <c r="E48" s="93" t="s">
        <v>39</v>
      </c>
      <c r="F48" s="93" t="s">
        <v>45</v>
      </c>
      <c r="G48" s="93" t="s">
        <v>1</v>
      </c>
      <c r="H48" s="93"/>
      <c r="I48" s="95" t="s">
        <v>28</v>
      </c>
      <c r="J48" s="95" t="s">
        <v>39</v>
      </c>
      <c r="K48" s="95" t="s">
        <v>171</v>
      </c>
      <c r="L48" s="95" t="s">
        <v>1</v>
      </c>
      <c r="M48" s="93"/>
      <c r="N48" s="93" t="s">
        <v>28</v>
      </c>
      <c r="O48" s="93" t="s">
        <v>39</v>
      </c>
      <c r="P48" s="93" t="s">
        <v>45</v>
      </c>
      <c r="Q48" s="93" t="s">
        <v>1</v>
      </c>
      <c r="R48" s="93"/>
      <c r="S48" s="93" t="s">
        <v>28</v>
      </c>
      <c r="T48" s="93" t="s">
        <v>39</v>
      </c>
      <c r="U48" s="93" t="s">
        <v>73</v>
      </c>
      <c r="V48" s="93" t="s">
        <v>1</v>
      </c>
      <c r="W48" s="95"/>
      <c r="X48" s="95" t="s">
        <v>51</v>
      </c>
      <c r="Y48" s="83"/>
      <c r="Z48" s="95" t="s">
        <v>53</v>
      </c>
      <c r="AA48" s="19"/>
    </row>
    <row r="49" spans="1:27" ht="14.4" x14ac:dyDescent="0.3">
      <c r="A49" s="96" t="s">
        <v>0</v>
      </c>
      <c r="B49" s="96" t="s">
        <v>2</v>
      </c>
      <c r="C49" s="93"/>
      <c r="D49" s="96" t="s">
        <v>29</v>
      </c>
      <c r="E49" s="96" t="str">
        <f>E10</f>
        <v>('000 Gal)</v>
      </c>
      <c r="F49" s="96" t="s">
        <v>46</v>
      </c>
      <c r="G49" s="96" t="s">
        <v>47</v>
      </c>
      <c r="H49" s="93"/>
      <c r="I49" s="97" t="s">
        <v>29</v>
      </c>
      <c r="J49" s="97" t="str">
        <f>J10</f>
        <v>('000 Gal)</v>
      </c>
      <c r="K49" s="97" t="s">
        <v>46</v>
      </c>
      <c r="L49" s="97" t="s">
        <v>47</v>
      </c>
      <c r="M49" s="93"/>
      <c r="N49" s="96" t="s">
        <v>29</v>
      </c>
      <c r="O49" s="96" t="str">
        <f>E49</f>
        <v>('000 Gal)</v>
      </c>
      <c r="P49" s="96" t="s">
        <v>46</v>
      </c>
      <c r="Q49" s="96" t="s">
        <v>47</v>
      </c>
      <c r="R49" s="93"/>
      <c r="S49" s="96" t="s">
        <v>29</v>
      </c>
      <c r="T49" s="96" t="str">
        <f>O49</f>
        <v>('000 Gal)</v>
      </c>
      <c r="U49" s="96" t="s">
        <v>46</v>
      </c>
      <c r="V49" s="96" t="s">
        <v>47</v>
      </c>
      <c r="W49" s="95"/>
      <c r="X49" s="97" t="s">
        <v>52</v>
      </c>
      <c r="Y49" s="83"/>
      <c r="Z49" s="97" t="s">
        <v>52</v>
      </c>
      <c r="AA49" s="19"/>
    </row>
    <row r="50" spans="1:27" ht="14.4" x14ac:dyDescent="0.3">
      <c r="A50" s="93">
        <v>1</v>
      </c>
      <c r="B50" s="98" t="s">
        <v>25</v>
      </c>
      <c r="C50" s="93"/>
      <c r="D50" s="70"/>
      <c r="E50" s="93"/>
      <c r="F50" s="93"/>
      <c r="G50" s="93"/>
      <c r="H50" s="93"/>
      <c r="I50" s="95"/>
      <c r="J50" s="95"/>
      <c r="K50" s="95"/>
      <c r="L50" s="95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5"/>
      <c r="X50" s="95"/>
      <c r="Y50" s="83"/>
      <c r="Z50" s="95"/>
      <c r="AA50" s="19"/>
    </row>
    <row r="51" spans="1:27" ht="14.4" x14ac:dyDescent="0.3">
      <c r="A51" s="93">
        <v>2</v>
      </c>
      <c r="B51" s="99" t="s">
        <v>26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83"/>
      <c r="X51" s="83"/>
      <c r="Y51" s="83"/>
      <c r="Z51" s="83"/>
      <c r="AA51" s="19"/>
    </row>
    <row r="52" spans="1:27" ht="14.4" x14ac:dyDescent="0.3">
      <c r="A52" s="93">
        <v>3</v>
      </c>
      <c r="B52" s="70" t="s">
        <v>30</v>
      </c>
      <c r="C52" s="86"/>
      <c r="D52" s="84">
        <f>'Link in'!C10</f>
        <v>7206.3193069306926</v>
      </c>
      <c r="E52" s="85"/>
      <c r="F52" s="103">
        <f>+'Link in'!C41</f>
        <v>28.28</v>
      </c>
      <c r="G52" s="86">
        <f t="shared" ref="G52:G60" si="5">ROUND((D52*F52),0)</f>
        <v>203795</v>
      </c>
      <c r="H52" s="86"/>
      <c r="I52" s="84">
        <f>D52</f>
        <v>7206.3193069306926</v>
      </c>
      <c r="J52" s="85"/>
      <c r="K52" s="131">
        <f>U52</f>
        <v>15</v>
      </c>
      <c r="L52" s="100">
        <f>ROUND((I52*K52),0)</f>
        <v>108095</v>
      </c>
      <c r="M52" s="86"/>
      <c r="N52" s="84">
        <f>'Link in'!M10</f>
        <v>7356</v>
      </c>
      <c r="O52" s="81"/>
      <c r="P52" s="132">
        <f>+F52</f>
        <v>28.28</v>
      </c>
      <c r="Q52" s="86">
        <f t="shared" ref="Q52:Q60" si="6">ROUND((N52*P52),0)</f>
        <v>208028</v>
      </c>
      <c r="R52" s="86"/>
      <c r="S52" s="80">
        <f>N52</f>
        <v>7356</v>
      </c>
      <c r="T52" s="85"/>
      <c r="U52" s="131">
        <f>'Link in'!J41</f>
        <v>15</v>
      </c>
      <c r="V52" s="86">
        <f>ROUND((S52*U52),0)</f>
        <v>110340</v>
      </c>
      <c r="W52" s="100"/>
      <c r="X52" s="86">
        <f>+V52-Q52</f>
        <v>-97688</v>
      </c>
      <c r="Y52" s="85"/>
      <c r="Z52" s="101">
        <f t="shared" ref="Z52:Z61" si="7">IF(Q52=0,0,ROUND((X52/Q52),4))</f>
        <v>-0.46960000000000002</v>
      </c>
      <c r="AA52" s="19"/>
    </row>
    <row r="53" spans="1:27" ht="14.4" x14ac:dyDescent="0.3">
      <c r="A53" s="93">
        <v>4</v>
      </c>
      <c r="B53" s="70" t="s">
        <v>31</v>
      </c>
      <c r="C53" s="80"/>
      <c r="D53" s="84">
        <f>'Link in'!C11</f>
        <v>0</v>
      </c>
      <c r="E53" s="85"/>
      <c r="F53" s="103">
        <f>+'Link in'!C42</f>
        <v>0</v>
      </c>
      <c r="G53" s="80">
        <f t="shared" si="5"/>
        <v>0</v>
      </c>
      <c r="H53" s="80"/>
      <c r="I53" s="84">
        <f t="shared" ref="I53:I60" si="8">D53</f>
        <v>0</v>
      </c>
      <c r="J53" s="85"/>
      <c r="K53" s="103">
        <f t="shared" ref="K53:K60" si="9">U53</f>
        <v>22.4</v>
      </c>
      <c r="L53" s="84">
        <f t="shared" ref="L53:L60" si="10">ROUND((I53*K53),0)</f>
        <v>0</v>
      </c>
      <c r="M53" s="80"/>
      <c r="N53" s="84">
        <f>'Link in'!M11</f>
        <v>0</v>
      </c>
      <c r="O53" s="81"/>
      <c r="P53" s="102">
        <f t="shared" ref="P53:P60" si="11">+F53</f>
        <v>0</v>
      </c>
      <c r="Q53" s="80">
        <f t="shared" si="6"/>
        <v>0</v>
      </c>
      <c r="R53" s="80"/>
      <c r="S53" s="80">
        <f t="shared" ref="S53:S60" si="12">N53</f>
        <v>0</v>
      </c>
      <c r="T53" s="85"/>
      <c r="U53" s="103">
        <f>'Link in'!J42</f>
        <v>22.4</v>
      </c>
      <c r="V53" s="80">
        <f>ROUND((S53*U53),0)</f>
        <v>0</v>
      </c>
      <c r="W53" s="84"/>
      <c r="X53" s="80">
        <f t="shared" ref="X53:X61" si="13">+V53-Q53</f>
        <v>0</v>
      </c>
      <c r="Y53" s="85"/>
      <c r="Z53" s="101">
        <f t="shared" si="7"/>
        <v>0</v>
      </c>
      <c r="AA53" s="19"/>
    </row>
    <row r="54" spans="1:27" ht="14.4" x14ac:dyDescent="0.3">
      <c r="A54" s="93">
        <v>5</v>
      </c>
      <c r="B54" s="70" t="s">
        <v>32</v>
      </c>
      <c r="C54" s="80"/>
      <c r="D54" s="84">
        <f>'Link in'!C12</f>
        <v>0</v>
      </c>
      <c r="E54" s="85"/>
      <c r="F54" s="103">
        <f>+'Link in'!C43</f>
        <v>0</v>
      </c>
      <c r="G54" s="80">
        <f t="shared" si="5"/>
        <v>0</v>
      </c>
      <c r="H54" s="80"/>
      <c r="I54" s="84">
        <f t="shared" si="8"/>
        <v>0</v>
      </c>
      <c r="J54" s="85"/>
      <c r="K54" s="103">
        <f t="shared" si="9"/>
        <v>37.299999999999997</v>
      </c>
      <c r="L54" s="84">
        <f t="shared" si="10"/>
        <v>0</v>
      </c>
      <c r="M54" s="80"/>
      <c r="N54" s="84">
        <f>'Link in'!M12</f>
        <v>0</v>
      </c>
      <c r="O54" s="81"/>
      <c r="P54" s="102">
        <f t="shared" si="11"/>
        <v>0</v>
      </c>
      <c r="Q54" s="80">
        <f t="shared" si="6"/>
        <v>0</v>
      </c>
      <c r="R54" s="80"/>
      <c r="S54" s="80">
        <f t="shared" si="12"/>
        <v>0</v>
      </c>
      <c r="T54" s="85"/>
      <c r="U54" s="103">
        <f>'Link in'!J43</f>
        <v>37.299999999999997</v>
      </c>
      <c r="V54" s="80">
        <f>ROUND((S54*U54),0)</f>
        <v>0</v>
      </c>
      <c r="W54" s="84"/>
      <c r="X54" s="80">
        <f t="shared" si="13"/>
        <v>0</v>
      </c>
      <c r="Y54" s="85"/>
      <c r="Z54" s="101">
        <f t="shared" si="7"/>
        <v>0</v>
      </c>
      <c r="AA54" s="19"/>
    </row>
    <row r="55" spans="1:27" ht="14.4" x14ac:dyDescent="0.3">
      <c r="A55" s="93">
        <v>6</v>
      </c>
      <c r="B55" s="70" t="s">
        <v>33</v>
      </c>
      <c r="C55" s="80"/>
      <c r="D55" s="84">
        <f>'Link in'!C13</f>
        <v>0</v>
      </c>
      <c r="E55" s="85"/>
      <c r="F55" s="103">
        <f>+'Link in'!C44</f>
        <v>0</v>
      </c>
      <c r="G55" s="80">
        <f t="shared" si="5"/>
        <v>0</v>
      </c>
      <c r="H55" s="80"/>
      <c r="I55" s="84">
        <f t="shared" si="8"/>
        <v>0</v>
      </c>
      <c r="J55" s="85"/>
      <c r="K55" s="103">
        <f t="shared" si="9"/>
        <v>74.7</v>
      </c>
      <c r="L55" s="84">
        <f t="shared" si="10"/>
        <v>0</v>
      </c>
      <c r="M55" s="80"/>
      <c r="N55" s="84">
        <f>'Link in'!M13</f>
        <v>0</v>
      </c>
      <c r="O55" s="81"/>
      <c r="P55" s="102">
        <f t="shared" si="11"/>
        <v>0</v>
      </c>
      <c r="Q55" s="80">
        <f t="shared" si="6"/>
        <v>0</v>
      </c>
      <c r="R55" s="80"/>
      <c r="S55" s="80">
        <f t="shared" si="12"/>
        <v>0</v>
      </c>
      <c r="T55" s="85"/>
      <c r="U55" s="103">
        <f>'Link in'!J44</f>
        <v>74.7</v>
      </c>
      <c r="V55" s="80">
        <f>ROUND((S55*U55),0)</f>
        <v>0</v>
      </c>
      <c r="W55" s="84"/>
      <c r="X55" s="80">
        <f t="shared" si="13"/>
        <v>0</v>
      </c>
      <c r="Y55" s="85"/>
      <c r="Z55" s="101">
        <f t="shared" si="7"/>
        <v>0</v>
      </c>
      <c r="AA55" s="19"/>
    </row>
    <row r="56" spans="1:27" ht="14.4" x14ac:dyDescent="0.3">
      <c r="A56" s="93">
        <v>7</v>
      </c>
      <c r="B56" s="70" t="s">
        <v>34</v>
      </c>
      <c r="C56" s="80"/>
      <c r="D56" s="84">
        <f>'Link in'!C14</f>
        <v>0</v>
      </c>
      <c r="E56" s="85"/>
      <c r="F56" s="103">
        <f>+'Link in'!C45</f>
        <v>0</v>
      </c>
      <c r="G56" s="80">
        <f t="shared" si="5"/>
        <v>0</v>
      </c>
      <c r="H56" s="80"/>
      <c r="I56" s="84">
        <f t="shared" si="8"/>
        <v>0</v>
      </c>
      <c r="J56" s="85"/>
      <c r="K56" s="103">
        <f t="shared" si="9"/>
        <v>119.5</v>
      </c>
      <c r="L56" s="84">
        <f t="shared" si="10"/>
        <v>0</v>
      </c>
      <c r="M56" s="80"/>
      <c r="N56" s="84">
        <f>'Link in'!M14</f>
        <v>0</v>
      </c>
      <c r="O56" s="81"/>
      <c r="P56" s="102">
        <f t="shared" si="11"/>
        <v>0</v>
      </c>
      <c r="Q56" s="80">
        <f t="shared" si="6"/>
        <v>0</v>
      </c>
      <c r="R56" s="80"/>
      <c r="S56" s="80">
        <f t="shared" si="12"/>
        <v>0</v>
      </c>
      <c r="T56" s="85"/>
      <c r="U56" s="103">
        <f>'Link in'!J45</f>
        <v>119.5</v>
      </c>
      <c r="V56" s="80">
        <f>ROUND((S56*U56),0)</f>
        <v>0</v>
      </c>
      <c r="W56" s="84"/>
      <c r="X56" s="80">
        <f t="shared" si="13"/>
        <v>0</v>
      </c>
      <c r="Y56" s="85"/>
      <c r="Z56" s="101">
        <f t="shared" si="7"/>
        <v>0</v>
      </c>
      <c r="AA56" s="19"/>
    </row>
    <row r="57" spans="1:27" ht="14.4" x14ac:dyDescent="0.3">
      <c r="A57" s="93">
        <v>8</v>
      </c>
      <c r="B57" s="70" t="s">
        <v>35</v>
      </c>
      <c r="C57" s="80"/>
      <c r="D57" s="84">
        <f>'Link in'!C15</f>
        <v>0</v>
      </c>
      <c r="E57" s="85"/>
      <c r="F57" s="103">
        <f>+'Link in'!C46</f>
        <v>0</v>
      </c>
      <c r="G57" s="80">
        <f t="shared" si="5"/>
        <v>0</v>
      </c>
      <c r="H57" s="80"/>
      <c r="I57" s="84">
        <f t="shared" si="8"/>
        <v>0</v>
      </c>
      <c r="J57" s="85"/>
      <c r="K57" s="103">
        <f t="shared" si="9"/>
        <v>224</v>
      </c>
      <c r="L57" s="84">
        <f t="shared" si="10"/>
        <v>0</v>
      </c>
      <c r="M57" s="80"/>
      <c r="N57" s="84">
        <f>'Link in'!M15</f>
        <v>0</v>
      </c>
      <c r="O57" s="81"/>
      <c r="P57" s="102">
        <f t="shared" si="11"/>
        <v>0</v>
      </c>
      <c r="Q57" s="80">
        <f t="shared" si="6"/>
        <v>0</v>
      </c>
      <c r="R57" s="80"/>
      <c r="S57" s="80">
        <f t="shared" si="12"/>
        <v>0</v>
      </c>
      <c r="T57" s="85"/>
      <c r="U57" s="103">
        <f>'Link in'!J46</f>
        <v>224</v>
      </c>
      <c r="V57" s="80">
        <f t="shared" ref="V57:V60" si="14">ROUND((S57*U57),0)</f>
        <v>0</v>
      </c>
      <c r="W57" s="84"/>
      <c r="X57" s="80">
        <f t="shared" si="13"/>
        <v>0</v>
      </c>
      <c r="Y57" s="85"/>
      <c r="Z57" s="101">
        <f t="shared" si="7"/>
        <v>0</v>
      </c>
      <c r="AA57" s="19"/>
    </row>
    <row r="58" spans="1:27" ht="14.4" x14ac:dyDescent="0.3">
      <c r="A58" s="93">
        <v>9</v>
      </c>
      <c r="B58" s="70" t="s">
        <v>36</v>
      </c>
      <c r="C58" s="80"/>
      <c r="D58" s="84">
        <f>'Link in'!C16</f>
        <v>0</v>
      </c>
      <c r="E58" s="85"/>
      <c r="F58" s="103">
        <f>+'Link in'!C47</f>
        <v>0</v>
      </c>
      <c r="G58" s="80">
        <f t="shared" si="5"/>
        <v>0</v>
      </c>
      <c r="H58" s="80"/>
      <c r="I58" s="84">
        <f t="shared" si="8"/>
        <v>0</v>
      </c>
      <c r="J58" s="85"/>
      <c r="K58" s="103">
        <f t="shared" si="9"/>
        <v>373.4</v>
      </c>
      <c r="L58" s="84">
        <f t="shared" si="10"/>
        <v>0</v>
      </c>
      <c r="M58" s="80"/>
      <c r="N58" s="84">
        <f>'Link in'!M16</f>
        <v>0</v>
      </c>
      <c r="O58" s="81"/>
      <c r="P58" s="102">
        <f t="shared" si="11"/>
        <v>0</v>
      </c>
      <c r="Q58" s="80">
        <f t="shared" si="6"/>
        <v>0</v>
      </c>
      <c r="R58" s="80"/>
      <c r="S58" s="80">
        <f t="shared" si="12"/>
        <v>0</v>
      </c>
      <c r="T58" s="85"/>
      <c r="U58" s="103">
        <f>'Link in'!J47</f>
        <v>373.4</v>
      </c>
      <c r="V58" s="80">
        <f t="shared" si="14"/>
        <v>0</v>
      </c>
      <c r="W58" s="84"/>
      <c r="X58" s="80">
        <f t="shared" si="13"/>
        <v>0</v>
      </c>
      <c r="Y58" s="85"/>
      <c r="Z58" s="101">
        <f t="shared" si="7"/>
        <v>0</v>
      </c>
      <c r="AA58" s="19"/>
    </row>
    <row r="59" spans="1:27" ht="14.4" x14ac:dyDescent="0.3">
      <c r="A59" s="93">
        <v>10</v>
      </c>
      <c r="B59" s="70" t="s">
        <v>37</v>
      </c>
      <c r="C59" s="80"/>
      <c r="D59" s="84">
        <f>'Link in'!C17</f>
        <v>0</v>
      </c>
      <c r="E59" s="85"/>
      <c r="F59" s="103">
        <f>+'Link in'!C48</f>
        <v>0</v>
      </c>
      <c r="G59" s="80">
        <f t="shared" si="5"/>
        <v>0</v>
      </c>
      <c r="H59" s="80"/>
      <c r="I59" s="84">
        <f t="shared" si="8"/>
        <v>0</v>
      </c>
      <c r="J59" s="85"/>
      <c r="K59" s="103">
        <f t="shared" si="9"/>
        <v>746.7</v>
      </c>
      <c r="L59" s="84">
        <f t="shared" si="10"/>
        <v>0</v>
      </c>
      <c r="M59" s="80"/>
      <c r="N59" s="84">
        <f>'Link in'!M17</f>
        <v>0</v>
      </c>
      <c r="O59" s="81"/>
      <c r="P59" s="102">
        <f t="shared" si="11"/>
        <v>0</v>
      </c>
      <c r="Q59" s="80">
        <f t="shared" si="6"/>
        <v>0</v>
      </c>
      <c r="R59" s="80"/>
      <c r="S59" s="80">
        <f t="shared" si="12"/>
        <v>0</v>
      </c>
      <c r="T59" s="85"/>
      <c r="U59" s="103">
        <f>'Link in'!J48</f>
        <v>746.7</v>
      </c>
      <c r="V59" s="80">
        <f t="shared" si="14"/>
        <v>0</v>
      </c>
      <c r="W59" s="84"/>
      <c r="X59" s="80">
        <f t="shared" si="13"/>
        <v>0</v>
      </c>
      <c r="Y59" s="85"/>
      <c r="Z59" s="101">
        <f t="shared" si="7"/>
        <v>0</v>
      </c>
      <c r="AA59" s="19"/>
    </row>
    <row r="60" spans="1:27" ht="14.4" x14ac:dyDescent="0.3">
      <c r="A60" s="93">
        <v>11</v>
      </c>
      <c r="B60" s="70" t="s">
        <v>38</v>
      </c>
      <c r="C60" s="80"/>
      <c r="D60" s="84">
        <f>'Link in'!C18</f>
        <v>0</v>
      </c>
      <c r="E60" s="85"/>
      <c r="F60" s="103">
        <f>+'Link in'!C49</f>
        <v>0</v>
      </c>
      <c r="G60" s="80">
        <f t="shared" si="5"/>
        <v>0</v>
      </c>
      <c r="H60" s="80"/>
      <c r="I60" s="84">
        <f t="shared" si="8"/>
        <v>0</v>
      </c>
      <c r="J60" s="85"/>
      <c r="K60" s="103">
        <f t="shared" si="9"/>
        <v>1194.7</v>
      </c>
      <c r="L60" s="84">
        <f t="shared" si="10"/>
        <v>0</v>
      </c>
      <c r="M60" s="80"/>
      <c r="N60" s="84">
        <f>'Link in'!M18</f>
        <v>0</v>
      </c>
      <c r="O60" s="81"/>
      <c r="P60" s="102">
        <f t="shared" si="11"/>
        <v>0</v>
      </c>
      <c r="Q60" s="80">
        <f t="shared" si="6"/>
        <v>0</v>
      </c>
      <c r="R60" s="80"/>
      <c r="S60" s="80">
        <f t="shared" si="12"/>
        <v>0</v>
      </c>
      <c r="T60" s="85"/>
      <c r="U60" s="103">
        <f>'Link in'!J49</f>
        <v>1194.7</v>
      </c>
      <c r="V60" s="80">
        <f t="shared" si="14"/>
        <v>0</v>
      </c>
      <c r="W60" s="84"/>
      <c r="X60" s="80">
        <f t="shared" si="13"/>
        <v>0</v>
      </c>
      <c r="Y60" s="85"/>
      <c r="Z60" s="101">
        <f t="shared" si="7"/>
        <v>0</v>
      </c>
      <c r="AA60" s="19"/>
    </row>
    <row r="61" spans="1:27" ht="14.4" x14ac:dyDescent="0.3">
      <c r="A61" s="93">
        <v>12</v>
      </c>
      <c r="B61" s="70" t="s">
        <v>113</v>
      </c>
      <c r="C61" s="80"/>
      <c r="D61" s="84"/>
      <c r="E61" s="85"/>
      <c r="F61" s="103"/>
      <c r="G61" s="80"/>
      <c r="H61" s="80"/>
      <c r="I61" s="84"/>
      <c r="J61" s="85"/>
      <c r="K61" s="103"/>
      <c r="L61" s="84"/>
      <c r="M61" s="80"/>
      <c r="N61" s="80"/>
      <c r="O61" s="81"/>
      <c r="P61" s="102"/>
      <c r="Q61" s="102"/>
      <c r="R61" s="80"/>
      <c r="S61" s="80"/>
      <c r="T61" s="85"/>
      <c r="U61" s="103"/>
      <c r="V61" s="80"/>
      <c r="W61" s="84"/>
      <c r="X61" s="80">
        <f t="shared" si="13"/>
        <v>0</v>
      </c>
      <c r="Y61" s="85"/>
      <c r="Z61" s="101">
        <f t="shared" si="7"/>
        <v>0</v>
      </c>
      <c r="AA61" s="19"/>
    </row>
    <row r="62" spans="1:27" ht="14.4" x14ac:dyDescent="0.3">
      <c r="A62" s="93">
        <v>13</v>
      </c>
      <c r="B62" s="70"/>
      <c r="C62" s="80"/>
      <c r="D62" s="84"/>
      <c r="E62" s="85"/>
      <c r="F62" s="103"/>
      <c r="G62" s="80"/>
      <c r="H62" s="80"/>
      <c r="I62" s="84"/>
      <c r="J62" s="85"/>
      <c r="K62" s="103"/>
      <c r="L62" s="84"/>
      <c r="M62" s="80"/>
      <c r="N62" s="80"/>
      <c r="O62" s="81"/>
      <c r="P62" s="102"/>
      <c r="Q62" s="102"/>
      <c r="R62" s="80"/>
      <c r="S62" s="80"/>
      <c r="T62" s="85"/>
      <c r="U62" s="103"/>
      <c r="V62" s="80"/>
      <c r="W62" s="84"/>
      <c r="X62" s="100"/>
      <c r="Y62" s="85"/>
      <c r="Z62" s="101"/>
      <c r="AA62" s="19"/>
    </row>
    <row r="63" spans="1:27" ht="14.4" x14ac:dyDescent="0.3">
      <c r="A63" s="93">
        <v>14</v>
      </c>
      <c r="B63" s="70"/>
      <c r="C63" s="81"/>
      <c r="D63" s="85"/>
      <c r="E63" s="85"/>
      <c r="F63" s="85"/>
      <c r="G63" s="81"/>
      <c r="H63" s="81"/>
      <c r="I63" s="85"/>
      <c r="J63" s="85"/>
      <c r="K63" s="85"/>
      <c r="L63" s="85"/>
      <c r="M63" s="81"/>
      <c r="N63" s="81"/>
      <c r="O63" s="81"/>
      <c r="P63" s="81"/>
      <c r="Q63" s="81"/>
      <c r="R63" s="81"/>
      <c r="S63" s="81"/>
      <c r="T63" s="85"/>
      <c r="U63" s="85"/>
      <c r="V63" s="81"/>
      <c r="W63" s="85"/>
      <c r="X63" s="84"/>
      <c r="Y63" s="85"/>
      <c r="Z63" s="101"/>
      <c r="AA63" s="19"/>
    </row>
    <row r="64" spans="1:27" ht="14.4" x14ac:dyDescent="0.3">
      <c r="A64" s="93">
        <v>15</v>
      </c>
      <c r="B64" s="70"/>
      <c r="C64" s="70"/>
      <c r="D64" s="83"/>
      <c r="E64" s="83"/>
      <c r="F64" s="85"/>
      <c r="G64" s="70"/>
      <c r="H64" s="70"/>
      <c r="I64" s="83"/>
      <c r="J64" s="83"/>
      <c r="K64" s="85"/>
      <c r="L64" s="83"/>
      <c r="M64" s="70"/>
      <c r="N64" s="70"/>
      <c r="O64" s="70"/>
      <c r="P64" s="70"/>
      <c r="Q64" s="70"/>
      <c r="R64" s="70"/>
      <c r="S64" s="70"/>
      <c r="T64" s="83"/>
      <c r="U64" s="83"/>
      <c r="V64" s="70"/>
      <c r="W64" s="83"/>
      <c r="X64" s="83"/>
      <c r="Y64" s="83"/>
      <c r="Z64" s="83"/>
      <c r="AA64" s="19"/>
    </row>
    <row r="65" spans="1:27" ht="14.4" x14ac:dyDescent="0.3">
      <c r="A65" s="93">
        <v>16</v>
      </c>
      <c r="B65" s="99" t="s">
        <v>40</v>
      </c>
      <c r="C65" s="81"/>
      <c r="D65" s="85"/>
      <c r="E65" s="85"/>
      <c r="F65" s="85"/>
      <c r="G65" s="81"/>
      <c r="H65" s="81"/>
      <c r="I65" s="85"/>
      <c r="J65" s="85"/>
      <c r="K65" s="85"/>
      <c r="L65" s="85"/>
      <c r="M65" s="81"/>
      <c r="N65" s="81"/>
      <c r="O65" s="81"/>
      <c r="P65" s="81"/>
      <c r="Q65" s="81"/>
      <c r="R65" s="81"/>
      <c r="S65" s="81"/>
      <c r="T65" s="85"/>
      <c r="U65" s="85"/>
      <c r="V65" s="81"/>
      <c r="W65" s="85"/>
      <c r="X65" s="84"/>
      <c r="Y65" s="85"/>
      <c r="Z65" s="101"/>
      <c r="AA65" s="19"/>
    </row>
    <row r="66" spans="1:27" ht="14.4" x14ac:dyDescent="0.3">
      <c r="A66" s="93">
        <v>17</v>
      </c>
      <c r="B66" s="70" t="s">
        <v>41</v>
      </c>
      <c r="C66" s="86"/>
      <c r="D66" s="85"/>
      <c r="E66" s="84">
        <f>'Link in'!C23</f>
        <v>10751.6</v>
      </c>
      <c r="F66" s="133">
        <f>+'Link in'!C60</f>
        <v>0</v>
      </c>
      <c r="G66" s="86">
        <f t="shared" ref="G66" si="15">ROUND((E66*F66),0)</f>
        <v>0</v>
      </c>
      <c r="H66" s="86"/>
      <c r="I66" s="85"/>
      <c r="J66" s="84">
        <f>E66</f>
        <v>10751.6</v>
      </c>
      <c r="K66" s="133">
        <f>U66</f>
        <v>6.3639999999999999</v>
      </c>
      <c r="L66" s="100">
        <f>ROUND((J66*K66),0)</f>
        <v>68423</v>
      </c>
      <c r="M66" s="86"/>
      <c r="N66" s="81"/>
      <c r="O66" s="84">
        <f>'Link in'!M23</f>
        <v>10751.599999999999</v>
      </c>
      <c r="P66" s="134">
        <f>+F66</f>
        <v>0</v>
      </c>
      <c r="Q66" s="86">
        <f t="shared" ref="Q66" si="16">ROUND((O66*P66),0)</f>
        <v>0</v>
      </c>
      <c r="R66" s="86"/>
      <c r="S66" s="81"/>
      <c r="T66" s="84">
        <f>O66</f>
        <v>10751.599999999999</v>
      </c>
      <c r="U66" s="133">
        <f>'Link in'!J59</f>
        <v>6.3639999999999999</v>
      </c>
      <c r="V66" s="86">
        <f>ROUND((T66*U66),0)</f>
        <v>68423</v>
      </c>
      <c r="W66" s="84"/>
      <c r="X66" s="86">
        <f t="shared" ref="X66:X72" si="17">+V66-Q66</f>
        <v>68423</v>
      </c>
      <c r="Y66" s="85"/>
      <c r="Z66" s="101">
        <f t="shared" ref="Z66:Z74" si="18">IF(Q66=0,0,ROUND((X66/Q66),4))</f>
        <v>0</v>
      </c>
      <c r="AA66" s="19"/>
    </row>
    <row r="67" spans="1:27" ht="14.4" x14ac:dyDescent="0.3">
      <c r="A67" s="93">
        <v>18</v>
      </c>
      <c r="B67" s="70" t="s">
        <v>42</v>
      </c>
      <c r="C67" s="80"/>
      <c r="D67" s="83"/>
      <c r="E67" s="84">
        <f>'Link in'!C24</f>
        <v>8772.7198612315715</v>
      </c>
      <c r="F67" s="103">
        <f>+'Link in'!C61</f>
        <v>11.53</v>
      </c>
      <c r="G67" s="80">
        <f>ROUND((E67*F67),0)</f>
        <v>101149</v>
      </c>
      <c r="H67" s="80"/>
      <c r="I67" s="83"/>
      <c r="J67" s="84">
        <f t="shared" ref="J67:J72" si="19">E67</f>
        <v>8772.7198612315715</v>
      </c>
      <c r="K67" s="111">
        <f>U67</f>
        <v>6.3639999999999999</v>
      </c>
      <c r="L67" s="84">
        <f>ROUND((J67*K67),0)</f>
        <v>55830</v>
      </c>
      <c r="M67" s="80"/>
      <c r="N67" s="70"/>
      <c r="O67" s="84">
        <f>'Link in'!M24</f>
        <v>8772.7198612315715</v>
      </c>
      <c r="P67" s="135">
        <f t="shared" ref="P67:P71" si="20">+F67</f>
        <v>11.53</v>
      </c>
      <c r="Q67" s="80">
        <f>ROUND((O67*P67),0)</f>
        <v>101149</v>
      </c>
      <c r="R67" s="80"/>
      <c r="S67" s="70"/>
      <c r="T67" s="84">
        <f t="shared" ref="T67:T71" si="21">O67</f>
        <v>8772.7198612315715</v>
      </c>
      <c r="U67" s="111">
        <f>'Link in'!J60</f>
        <v>6.3639999999999999</v>
      </c>
      <c r="V67" s="80">
        <f>ROUND((T67*U67),0)</f>
        <v>55830</v>
      </c>
      <c r="W67" s="84"/>
      <c r="X67" s="80">
        <f>+V67-Q67</f>
        <v>-45319</v>
      </c>
      <c r="Y67" s="83"/>
      <c r="Z67" s="101">
        <f t="shared" si="18"/>
        <v>-0.44800000000000001</v>
      </c>
      <c r="AA67" s="19"/>
    </row>
    <row r="68" spans="1:27" ht="14.4" x14ac:dyDescent="0.3">
      <c r="A68" s="93">
        <v>19</v>
      </c>
      <c r="B68" s="70" t="s">
        <v>43</v>
      </c>
      <c r="C68" s="80"/>
      <c r="D68" s="83"/>
      <c r="E68" s="84">
        <f>'Link in'!C25</f>
        <v>0</v>
      </c>
      <c r="F68" s="103">
        <f>+'Link in'!C62</f>
        <v>0</v>
      </c>
      <c r="G68" s="80">
        <f t="shared" ref="G68:G71" si="22">ROUND((E68*F68),0)</f>
        <v>0</v>
      </c>
      <c r="H68" s="80"/>
      <c r="I68" s="83"/>
      <c r="J68" s="84">
        <f t="shared" si="19"/>
        <v>0</v>
      </c>
      <c r="K68" s="111">
        <f t="shared" ref="K68:K71" si="23">U68</f>
        <v>6.3639999999999999</v>
      </c>
      <c r="L68" s="84">
        <f>ROUND((J68*K68),0)</f>
        <v>0</v>
      </c>
      <c r="M68" s="80"/>
      <c r="N68" s="70"/>
      <c r="O68" s="84">
        <f>'Link in'!M25</f>
        <v>0</v>
      </c>
      <c r="P68" s="135">
        <f t="shared" si="20"/>
        <v>0</v>
      </c>
      <c r="Q68" s="80">
        <f t="shared" ref="Q68:Q71" si="24">ROUND((O68*P68),0)</f>
        <v>0</v>
      </c>
      <c r="R68" s="80"/>
      <c r="S68" s="70"/>
      <c r="T68" s="84">
        <f t="shared" si="21"/>
        <v>0</v>
      </c>
      <c r="U68" s="111">
        <f>'Link in'!J61</f>
        <v>6.3639999999999999</v>
      </c>
      <c r="V68" s="80">
        <f>ROUND((T68*U68),0)</f>
        <v>0</v>
      </c>
      <c r="W68" s="84"/>
      <c r="X68" s="80">
        <f>+V68-Q68</f>
        <v>0</v>
      </c>
      <c r="Y68" s="83"/>
      <c r="Z68" s="101">
        <f t="shared" si="18"/>
        <v>0</v>
      </c>
      <c r="AA68" s="19"/>
    </row>
    <row r="69" spans="1:27" ht="14.4" x14ac:dyDescent="0.3">
      <c r="A69" s="93">
        <v>20</v>
      </c>
      <c r="B69" s="70" t="s">
        <v>44</v>
      </c>
      <c r="C69" s="80"/>
      <c r="D69" s="83"/>
      <c r="E69" s="84">
        <f>'Link in'!C26</f>
        <v>0</v>
      </c>
      <c r="F69" s="103">
        <f>+'Link in'!C63</f>
        <v>0</v>
      </c>
      <c r="G69" s="80">
        <f t="shared" si="22"/>
        <v>0</v>
      </c>
      <c r="H69" s="80"/>
      <c r="I69" s="83"/>
      <c r="J69" s="84">
        <f t="shared" si="19"/>
        <v>0</v>
      </c>
      <c r="K69" s="111">
        <f t="shared" si="23"/>
        <v>6.3639999999999999</v>
      </c>
      <c r="L69" s="84">
        <f>ROUND((J69*K69),0)</f>
        <v>0</v>
      </c>
      <c r="M69" s="80"/>
      <c r="N69" s="70"/>
      <c r="O69" s="84">
        <f>'Link in'!M26</f>
        <v>0</v>
      </c>
      <c r="P69" s="135">
        <f t="shared" si="20"/>
        <v>0</v>
      </c>
      <c r="Q69" s="80">
        <f t="shared" si="24"/>
        <v>0</v>
      </c>
      <c r="R69" s="80"/>
      <c r="S69" s="70"/>
      <c r="T69" s="84">
        <f t="shared" si="21"/>
        <v>0</v>
      </c>
      <c r="U69" s="111">
        <f>'Link in'!J62</f>
        <v>6.3639999999999999</v>
      </c>
      <c r="V69" s="80">
        <f>ROUND((T69*U69),0)</f>
        <v>0</v>
      </c>
      <c r="W69" s="84"/>
      <c r="X69" s="80">
        <f t="shared" si="17"/>
        <v>0</v>
      </c>
      <c r="Y69" s="83"/>
      <c r="Z69" s="101">
        <f t="shared" si="18"/>
        <v>0</v>
      </c>
      <c r="AA69" s="19"/>
    </row>
    <row r="70" spans="1:27" ht="14.4" x14ac:dyDescent="0.3">
      <c r="A70" s="93">
        <v>21</v>
      </c>
      <c r="B70" s="70" t="s">
        <v>96</v>
      </c>
      <c r="C70" s="70"/>
      <c r="D70" s="83"/>
      <c r="E70" s="84">
        <f>'Link in'!C27</f>
        <v>0</v>
      </c>
      <c r="F70" s="103">
        <f>+'Link in'!C64</f>
        <v>0</v>
      </c>
      <c r="G70" s="80">
        <f t="shared" si="22"/>
        <v>0</v>
      </c>
      <c r="H70" s="80"/>
      <c r="I70" s="83"/>
      <c r="J70" s="84">
        <f t="shared" si="19"/>
        <v>0</v>
      </c>
      <c r="K70" s="111">
        <f t="shared" si="23"/>
        <v>6.3639999999999999</v>
      </c>
      <c r="L70" s="84">
        <f t="shared" ref="L70:L71" si="25">ROUND((J70*K70),0)</f>
        <v>0</v>
      </c>
      <c r="M70" s="70"/>
      <c r="N70" s="70"/>
      <c r="O70" s="84">
        <f>'Link in'!M27</f>
        <v>0</v>
      </c>
      <c r="P70" s="135">
        <f t="shared" si="20"/>
        <v>0</v>
      </c>
      <c r="Q70" s="80">
        <f t="shared" si="24"/>
        <v>0</v>
      </c>
      <c r="R70" s="70"/>
      <c r="S70" s="70"/>
      <c r="T70" s="84">
        <f t="shared" si="21"/>
        <v>0</v>
      </c>
      <c r="U70" s="111">
        <f>'Link in'!J63</f>
        <v>6.3639999999999999</v>
      </c>
      <c r="V70" s="80">
        <f>ROUND((T70*U70),0)</f>
        <v>0</v>
      </c>
      <c r="W70" s="83"/>
      <c r="X70" s="80">
        <f t="shared" si="17"/>
        <v>0</v>
      </c>
      <c r="Y70" s="83"/>
      <c r="Z70" s="101">
        <f t="shared" si="18"/>
        <v>0</v>
      </c>
      <c r="AA70" s="19"/>
    </row>
    <row r="71" spans="1:27" ht="14.4" x14ac:dyDescent="0.3">
      <c r="A71" s="93">
        <v>22</v>
      </c>
      <c r="B71" s="70" t="s">
        <v>101</v>
      </c>
      <c r="C71" s="70"/>
      <c r="D71" s="83"/>
      <c r="E71" s="84">
        <f>'Link in'!C28</f>
        <v>0</v>
      </c>
      <c r="F71" s="103">
        <f>+'Link in'!C65</f>
        <v>0</v>
      </c>
      <c r="G71" s="80">
        <f t="shared" si="22"/>
        <v>0</v>
      </c>
      <c r="H71" s="80"/>
      <c r="I71" s="83"/>
      <c r="J71" s="84">
        <f t="shared" si="19"/>
        <v>0</v>
      </c>
      <c r="K71" s="111">
        <f t="shared" si="23"/>
        <v>6.3639999999999999</v>
      </c>
      <c r="L71" s="84">
        <f t="shared" si="25"/>
        <v>0</v>
      </c>
      <c r="M71" s="70"/>
      <c r="N71" s="70"/>
      <c r="O71" s="84">
        <f>'Link in'!M28</f>
        <v>0</v>
      </c>
      <c r="P71" s="135">
        <f t="shared" si="20"/>
        <v>0</v>
      </c>
      <c r="Q71" s="80">
        <f t="shared" si="24"/>
        <v>0</v>
      </c>
      <c r="R71" s="70"/>
      <c r="S71" s="70"/>
      <c r="T71" s="84">
        <f t="shared" si="21"/>
        <v>0</v>
      </c>
      <c r="U71" s="111">
        <f>'Link in'!J64</f>
        <v>6.3639999999999999</v>
      </c>
      <c r="V71" s="80">
        <f t="shared" ref="V71" si="26">ROUND((T71*U71),0)</f>
        <v>0</v>
      </c>
      <c r="W71" s="83"/>
      <c r="X71" s="80">
        <f t="shared" si="17"/>
        <v>0</v>
      </c>
      <c r="Y71" s="83"/>
      <c r="Z71" s="101">
        <f t="shared" si="18"/>
        <v>0</v>
      </c>
      <c r="AA71" s="78"/>
    </row>
    <row r="72" spans="1:27" ht="14.4" x14ac:dyDescent="0.3">
      <c r="A72" s="93">
        <v>23</v>
      </c>
      <c r="B72" s="83" t="s">
        <v>108</v>
      </c>
      <c r="C72" s="112"/>
      <c r="D72" s="83"/>
      <c r="E72" s="83">
        <f>'Link in'!C32</f>
        <v>99.940069384207163</v>
      </c>
      <c r="F72" s="111"/>
      <c r="G72" s="112">
        <f>'Link in'!C34</f>
        <v>-1048.9599999999987</v>
      </c>
      <c r="H72" s="112"/>
      <c r="I72" s="83"/>
      <c r="J72" s="84">
        <f t="shared" si="19"/>
        <v>99.940069384207163</v>
      </c>
      <c r="K72" s="133"/>
      <c r="L72" s="112">
        <f>G72</f>
        <v>-1048.9599999999987</v>
      </c>
      <c r="M72" s="112"/>
      <c r="N72" s="83"/>
      <c r="O72" s="83"/>
      <c r="P72" s="95"/>
      <c r="Q72" s="80">
        <f>+[2]Summary!M49+[2]Summary!M306+[2]Summary!M374+[2]Summary!M512</f>
        <v>0</v>
      </c>
      <c r="R72" s="112"/>
      <c r="S72" s="83"/>
      <c r="T72" s="83">
        <f>O72</f>
        <v>0</v>
      </c>
      <c r="U72" s="95"/>
      <c r="V72" s="112">
        <f>Q72</f>
        <v>0</v>
      </c>
      <c r="W72" s="112"/>
      <c r="X72" s="112">
        <f t="shared" si="17"/>
        <v>0</v>
      </c>
      <c r="Y72" s="83"/>
      <c r="Z72" s="101">
        <f t="shared" si="18"/>
        <v>0</v>
      </c>
      <c r="AA72" s="19"/>
    </row>
    <row r="73" spans="1:27" ht="14.4" x14ac:dyDescent="0.3">
      <c r="A73" s="93">
        <v>24</v>
      </c>
      <c r="B73" s="70"/>
      <c r="C73" s="122"/>
      <c r="D73" s="70"/>
      <c r="E73" s="70"/>
      <c r="F73" s="122"/>
      <c r="G73" s="122"/>
      <c r="H73" s="122"/>
      <c r="I73" s="83"/>
      <c r="J73" s="83"/>
      <c r="K73" s="113"/>
      <c r="L73" s="113"/>
      <c r="M73" s="122"/>
      <c r="N73" s="70"/>
      <c r="O73" s="70"/>
      <c r="P73" s="122"/>
      <c r="Q73" s="122"/>
      <c r="R73" s="122"/>
      <c r="S73" s="70"/>
      <c r="T73" s="70"/>
      <c r="U73" s="122"/>
      <c r="V73" s="122"/>
      <c r="W73" s="113"/>
      <c r="X73" s="84"/>
      <c r="Y73" s="83"/>
      <c r="Z73" s="101"/>
      <c r="AA73" s="19"/>
    </row>
    <row r="74" spans="1:27" ht="15" thickBot="1" x14ac:dyDescent="0.35">
      <c r="A74" s="93">
        <v>25</v>
      </c>
      <c r="B74" s="70" t="s">
        <v>1</v>
      </c>
      <c r="C74" s="126"/>
      <c r="D74" s="136"/>
      <c r="E74" s="137">
        <f>SUM(E66:E73)</f>
        <v>19624.259930615779</v>
      </c>
      <c r="F74" s="126"/>
      <c r="G74" s="138">
        <f>SUM(G52:G73)</f>
        <v>303895.03999999998</v>
      </c>
      <c r="H74" s="126"/>
      <c r="I74" s="139"/>
      <c r="J74" s="140">
        <f>SUM(J66:J73)</f>
        <v>19624.259930615779</v>
      </c>
      <c r="K74" s="115"/>
      <c r="L74" s="141">
        <f>SUM(L52:L73)</f>
        <v>231299.04</v>
      </c>
      <c r="M74" s="126"/>
      <c r="N74" s="136"/>
      <c r="O74" s="137">
        <f>SUM(O66:O73)</f>
        <v>19524.319861231568</v>
      </c>
      <c r="P74" s="126"/>
      <c r="Q74" s="138">
        <f>SUM(Q52:Q73)</f>
        <v>309177</v>
      </c>
      <c r="R74" s="126"/>
      <c r="S74" s="136"/>
      <c r="T74" s="137">
        <f>SUM(T66:T73)</f>
        <v>19524.319861231568</v>
      </c>
      <c r="U74" s="126"/>
      <c r="V74" s="138">
        <f>SUM(V52:V73)</f>
        <v>234593</v>
      </c>
      <c r="W74" s="115"/>
      <c r="X74" s="141">
        <f>SUM(X52:X73)</f>
        <v>-74584</v>
      </c>
      <c r="Y74" s="83"/>
      <c r="Z74" s="125">
        <f t="shared" si="18"/>
        <v>-0.2412</v>
      </c>
      <c r="AA74" s="19"/>
    </row>
    <row r="75" spans="1:27" ht="15" thickTop="1" x14ac:dyDescent="0.3">
      <c r="A75" s="93"/>
      <c r="B75" s="70"/>
      <c r="C75" s="80"/>
      <c r="D75" s="70"/>
      <c r="E75" s="70"/>
      <c r="F75" s="120"/>
      <c r="G75" s="80"/>
      <c r="H75" s="80"/>
      <c r="I75" s="80"/>
      <c r="J75" s="80"/>
      <c r="K75" s="80"/>
      <c r="L75" s="80"/>
      <c r="M75" s="80"/>
      <c r="N75" s="80"/>
      <c r="O75" s="70"/>
      <c r="P75" s="120"/>
      <c r="Q75" s="80"/>
      <c r="R75" s="80"/>
      <c r="S75" s="70"/>
      <c r="T75" s="70"/>
      <c r="U75" s="120"/>
      <c r="V75" s="80"/>
      <c r="W75" s="83"/>
      <c r="X75" s="84"/>
      <c r="Y75" s="83"/>
      <c r="Z75" s="101"/>
      <c r="AA75" s="19"/>
    </row>
    <row r="76" spans="1:27" ht="14.4" x14ac:dyDescent="0.3">
      <c r="A76" s="93"/>
      <c r="B76" s="70"/>
      <c r="C76" s="80"/>
      <c r="D76" s="93"/>
      <c r="E76" s="70"/>
      <c r="F76" s="120"/>
      <c r="G76" s="80"/>
      <c r="H76" s="80"/>
      <c r="I76" s="80"/>
      <c r="J76" s="80"/>
      <c r="K76" s="80"/>
      <c r="L76" s="80"/>
      <c r="M76" s="80"/>
      <c r="N76" s="80"/>
      <c r="O76" s="70"/>
      <c r="P76" s="120"/>
      <c r="Q76" s="80"/>
      <c r="R76" s="80"/>
      <c r="S76" s="93"/>
      <c r="T76" s="70"/>
      <c r="U76" s="120"/>
      <c r="V76" s="80"/>
      <c r="W76" s="83"/>
      <c r="X76" s="84"/>
      <c r="Y76" s="83"/>
      <c r="Z76" s="101"/>
      <c r="AA76" s="19"/>
    </row>
    <row r="77" spans="1:27" ht="14.4" x14ac:dyDescent="0.3">
      <c r="A77" s="93"/>
      <c r="B77" s="70"/>
      <c r="C77" s="70"/>
      <c r="D77" s="70"/>
      <c r="E77" s="70"/>
      <c r="F77" s="142"/>
      <c r="G77" s="70"/>
      <c r="H77" s="70"/>
      <c r="I77" s="70"/>
      <c r="J77" s="70"/>
      <c r="K77" s="70"/>
      <c r="L77" s="70"/>
      <c r="M77" s="70"/>
      <c r="N77" s="70"/>
      <c r="O77" s="70"/>
      <c r="P77" s="142"/>
      <c r="Q77" s="70"/>
      <c r="R77" s="70"/>
      <c r="S77" s="70"/>
      <c r="T77" s="70"/>
      <c r="U77" s="142"/>
      <c r="V77" s="70"/>
      <c r="W77" s="83"/>
      <c r="X77" s="84"/>
      <c r="Y77" s="83"/>
      <c r="Z77" s="101"/>
      <c r="AA77" s="19"/>
    </row>
    <row r="78" spans="1:27" ht="14.4" x14ac:dyDescent="0.3">
      <c r="A78" s="93"/>
      <c r="B78" s="70"/>
      <c r="C78" s="70"/>
      <c r="D78" s="70"/>
      <c r="E78" s="70"/>
      <c r="F78" s="142"/>
      <c r="G78" s="70"/>
      <c r="H78" s="70"/>
      <c r="I78" s="70"/>
      <c r="J78" s="70"/>
      <c r="K78" s="70"/>
      <c r="L78" s="70"/>
      <c r="M78" s="70"/>
      <c r="N78" s="70"/>
      <c r="O78" s="70"/>
      <c r="P78" s="142"/>
      <c r="Q78" s="70"/>
      <c r="R78" s="70"/>
      <c r="S78" s="70"/>
      <c r="T78" s="70"/>
      <c r="U78" s="142"/>
      <c r="V78" s="70"/>
      <c r="W78" s="83"/>
      <c r="X78" s="84"/>
      <c r="Y78" s="83"/>
      <c r="Z78" s="101"/>
      <c r="AA78" s="19"/>
    </row>
    <row r="79" spans="1:27" ht="14.4" x14ac:dyDescent="0.3">
      <c r="A79" s="323" t="str">
        <f>A40</f>
        <v>Kentucky American Water Company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</row>
    <row r="80" spans="1:27" ht="14.4" x14ac:dyDescent="0.3">
      <c r="A80" s="323" t="s">
        <v>77</v>
      </c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</row>
    <row r="81" spans="1:26" ht="14.4" x14ac:dyDescent="0.3">
      <c r="A81" s="323" t="str">
        <f>A42</f>
        <v>Case No. 2018-00358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</row>
    <row r="82" spans="1:26" ht="14.4" x14ac:dyDescent="0.3">
      <c r="A82" s="323" t="str">
        <f>A43</f>
        <v>Base Year for the 12 Months Ended February 28, 2019 and Forecast Year for the 12 Months Ended June 30, 2020</v>
      </c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</row>
    <row r="83" spans="1:26" ht="14.4" x14ac:dyDescent="0.3">
      <c r="A83" s="98" t="str">
        <f>A44</f>
        <v>Witness Responsible:   Melissa Schwarzell</v>
      </c>
      <c r="B83" s="70"/>
      <c r="C83" s="70"/>
      <c r="D83" s="70"/>
      <c r="E83" s="70"/>
      <c r="F83" s="70"/>
      <c r="G83" s="70"/>
      <c r="H83" s="70"/>
      <c r="I83" s="322" t="str">
        <f>"EASTERN ROCKCASTLE ("&amp;LEFT(B89,SEARCH(":",B89,1)-1)&amp;")"</f>
        <v>EASTERN ROCKCASTLE (Commercial)</v>
      </c>
      <c r="J83" s="322"/>
      <c r="K83" s="322"/>
      <c r="L83" s="322"/>
      <c r="M83" s="322"/>
      <c r="N83" s="322"/>
      <c r="O83" s="322"/>
      <c r="P83" s="322"/>
      <c r="Q83" s="322"/>
      <c r="R83" s="70"/>
      <c r="S83" s="70"/>
      <c r="T83" s="70"/>
      <c r="U83" s="70"/>
      <c r="V83" s="70"/>
      <c r="W83" s="83"/>
      <c r="X83" s="83"/>
      <c r="Y83" s="83"/>
      <c r="Z83" s="88" t="str">
        <f>Z44</f>
        <v>Exhibit 37, Schedule M-3</v>
      </c>
    </row>
    <row r="84" spans="1:26" ht="14.4" x14ac:dyDescent="0.3">
      <c r="A84" s="128" t="str">
        <f>A45</f>
        <v/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90"/>
      <c r="X84" s="90"/>
      <c r="Y84" s="90"/>
      <c r="Z84" s="130" t="str">
        <f ca="1">Z45</f>
        <v>Revenues\[KAWC 2018 Rate Case - Revenue - E. Rockcastle.xlsx]Sch M</v>
      </c>
    </row>
    <row r="85" spans="1:26" ht="14.4" x14ac:dyDescent="0.3">
      <c r="A85" s="70"/>
      <c r="B85" s="70"/>
      <c r="C85" s="93"/>
      <c r="D85" s="317" t="s">
        <v>170</v>
      </c>
      <c r="E85" s="317" t="s">
        <v>97</v>
      </c>
      <c r="F85" s="317"/>
      <c r="G85" s="317"/>
      <c r="H85" s="93"/>
      <c r="I85" s="324" t="s">
        <v>169</v>
      </c>
      <c r="J85" s="324" t="s">
        <v>97</v>
      </c>
      <c r="K85" s="324"/>
      <c r="L85" s="324"/>
      <c r="M85" s="93"/>
      <c r="N85" s="317" t="s">
        <v>120</v>
      </c>
      <c r="O85" s="317" t="s">
        <v>98</v>
      </c>
      <c r="P85" s="317"/>
      <c r="Q85" s="317"/>
      <c r="R85" s="93"/>
      <c r="S85" s="317" t="s">
        <v>121</v>
      </c>
      <c r="T85" s="317" t="s">
        <v>99</v>
      </c>
      <c r="U85" s="317"/>
      <c r="V85" s="317"/>
      <c r="W85" s="94"/>
      <c r="X85" s="94"/>
      <c r="Y85" s="83"/>
      <c r="Z85" s="83"/>
    </row>
    <row r="86" spans="1:26" ht="14.4" x14ac:dyDescent="0.3">
      <c r="A86" s="70"/>
      <c r="B86" s="70"/>
      <c r="C86" s="93"/>
      <c r="D86" s="93" t="s">
        <v>27</v>
      </c>
      <c r="E86" s="93"/>
      <c r="F86" s="93"/>
      <c r="G86" s="93"/>
      <c r="H86" s="93"/>
      <c r="I86" s="95" t="s">
        <v>27</v>
      </c>
      <c r="J86" s="95"/>
      <c r="K86" s="95"/>
      <c r="L86" s="95"/>
      <c r="M86" s="93"/>
      <c r="N86" s="93" t="s">
        <v>27</v>
      </c>
      <c r="O86" s="93"/>
      <c r="P86" s="93"/>
      <c r="Q86" s="93"/>
      <c r="R86" s="93"/>
      <c r="S86" s="93" t="s">
        <v>27</v>
      </c>
      <c r="T86" s="93"/>
      <c r="U86" s="93"/>
      <c r="V86" s="93"/>
      <c r="W86" s="95"/>
      <c r="X86" s="95"/>
      <c r="Y86" s="83"/>
      <c r="Z86" s="83"/>
    </row>
    <row r="87" spans="1:26" ht="14.4" x14ac:dyDescent="0.3">
      <c r="A87" s="70"/>
      <c r="B87" s="93" t="s">
        <v>24</v>
      </c>
      <c r="C87" s="93"/>
      <c r="D87" s="93" t="s">
        <v>28</v>
      </c>
      <c r="E87" s="93" t="s">
        <v>39</v>
      </c>
      <c r="F87" s="93" t="s">
        <v>45</v>
      </c>
      <c r="G87" s="93" t="s">
        <v>1</v>
      </c>
      <c r="H87" s="93"/>
      <c r="I87" s="95" t="s">
        <v>28</v>
      </c>
      <c r="J87" s="95" t="s">
        <v>39</v>
      </c>
      <c r="K87" s="95" t="s">
        <v>171</v>
      </c>
      <c r="L87" s="95" t="s">
        <v>1</v>
      </c>
      <c r="M87" s="93"/>
      <c r="N87" s="93" t="s">
        <v>28</v>
      </c>
      <c r="O87" s="93" t="s">
        <v>39</v>
      </c>
      <c r="P87" s="93" t="s">
        <v>45</v>
      </c>
      <c r="Q87" s="93" t="s">
        <v>1</v>
      </c>
      <c r="R87" s="93"/>
      <c r="S87" s="93" t="s">
        <v>28</v>
      </c>
      <c r="T87" s="93" t="s">
        <v>39</v>
      </c>
      <c r="U87" s="93" t="s">
        <v>73</v>
      </c>
      <c r="V87" s="93" t="s">
        <v>1</v>
      </c>
      <c r="W87" s="95"/>
      <c r="X87" s="95" t="s">
        <v>51</v>
      </c>
      <c r="Y87" s="83"/>
      <c r="Z87" s="95" t="s">
        <v>53</v>
      </c>
    </row>
    <row r="88" spans="1:26" ht="14.4" x14ac:dyDescent="0.3">
      <c r="A88" s="96" t="s">
        <v>0</v>
      </c>
      <c r="B88" s="96" t="s">
        <v>2</v>
      </c>
      <c r="C88" s="93"/>
      <c r="D88" s="96" t="s">
        <v>29</v>
      </c>
      <c r="E88" s="96" t="str">
        <f>E49</f>
        <v>('000 Gal)</v>
      </c>
      <c r="F88" s="96" t="s">
        <v>46</v>
      </c>
      <c r="G88" s="96" t="s">
        <v>47</v>
      </c>
      <c r="H88" s="93"/>
      <c r="I88" s="97" t="s">
        <v>29</v>
      </c>
      <c r="J88" s="97" t="str">
        <f>J49</f>
        <v>('000 Gal)</v>
      </c>
      <c r="K88" s="97" t="s">
        <v>46</v>
      </c>
      <c r="L88" s="97" t="s">
        <v>47</v>
      </c>
      <c r="M88" s="93"/>
      <c r="N88" s="96" t="s">
        <v>29</v>
      </c>
      <c r="O88" s="96" t="str">
        <f>E88</f>
        <v>('000 Gal)</v>
      </c>
      <c r="P88" s="96" t="s">
        <v>46</v>
      </c>
      <c r="Q88" s="96" t="s">
        <v>47</v>
      </c>
      <c r="R88" s="93"/>
      <c r="S88" s="96" t="s">
        <v>29</v>
      </c>
      <c r="T88" s="96" t="str">
        <f>O88</f>
        <v>('000 Gal)</v>
      </c>
      <c r="U88" s="96" t="s">
        <v>46</v>
      </c>
      <c r="V88" s="96" t="s">
        <v>47</v>
      </c>
      <c r="W88" s="95"/>
      <c r="X88" s="97" t="s">
        <v>52</v>
      </c>
      <c r="Y88" s="83"/>
      <c r="Z88" s="97" t="s">
        <v>52</v>
      </c>
    </row>
    <row r="89" spans="1:26" ht="14.4" x14ac:dyDescent="0.3">
      <c r="A89" s="93">
        <v>1</v>
      </c>
      <c r="B89" s="98" t="s">
        <v>54</v>
      </c>
      <c r="C89" s="93"/>
      <c r="D89" s="70"/>
      <c r="E89" s="93"/>
      <c r="F89" s="93"/>
      <c r="G89" s="93"/>
      <c r="H89" s="93"/>
      <c r="I89" s="95"/>
      <c r="J89" s="95"/>
      <c r="K89" s="95"/>
      <c r="L89" s="95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5"/>
      <c r="X89" s="95"/>
      <c r="Y89" s="83"/>
      <c r="Z89" s="95"/>
    </row>
    <row r="90" spans="1:26" ht="14.4" x14ac:dyDescent="0.3">
      <c r="A90" s="93">
        <v>2</v>
      </c>
      <c r="B90" s="99" t="s">
        <v>26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83"/>
      <c r="X90" s="83"/>
      <c r="Y90" s="83"/>
      <c r="Z90" s="83"/>
    </row>
    <row r="91" spans="1:26" ht="14.4" x14ac:dyDescent="0.3">
      <c r="A91" s="93">
        <v>3</v>
      </c>
      <c r="B91" s="70" t="s">
        <v>30</v>
      </c>
      <c r="C91" s="86"/>
      <c r="D91" s="84">
        <f>'Link in'!D10</f>
        <v>230.82036775106081</v>
      </c>
      <c r="E91" s="85"/>
      <c r="F91" s="131">
        <f>+'Link in'!D41</f>
        <v>28.28</v>
      </c>
      <c r="G91" s="100">
        <f t="shared" ref="G91:G99" si="27">ROUND((D91*F91),0)</f>
        <v>6528</v>
      </c>
      <c r="H91" s="86"/>
      <c r="I91" s="84">
        <f>D91</f>
        <v>230.82036775106081</v>
      </c>
      <c r="J91" s="85"/>
      <c r="K91" s="131">
        <f>U91</f>
        <v>15</v>
      </c>
      <c r="L91" s="100">
        <f>ROUND((I91*K91),0)</f>
        <v>3462</v>
      </c>
      <c r="M91" s="86"/>
      <c r="N91" s="84">
        <f>'Link in'!N10</f>
        <v>264</v>
      </c>
      <c r="O91" s="85"/>
      <c r="P91" s="132">
        <f>+F91</f>
        <v>28.28</v>
      </c>
      <c r="Q91" s="100">
        <f t="shared" ref="Q91:Q99" si="28">ROUND((N91*P91),0)</f>
        <v>7466</v>
      </c>
      <c r="R91" s="86"/>
      <c r="S91" s="80">
        <f>N91</f>
        <v>264</v>
      </c>
      <c r="T91" s="81"/>
      <c r="U91" s="131">
        <f>'Link in'!K41</f>
        <v>15</v>
      </c>
      <c r="V91" s="86">
        <f>ROUND((S91*U91),0)</f>
        <v>3960</v>
      </c>
      <c r="W91" s="100"/>
      <c r="X91" s="86">
        <f>+V91-Q91</f>
        <v>-3506</v>
      </c>
      <c r="Y91" s="85"/>
      <c r="Z91" s="101">
        <f t="shared" ref="Z91:Z100" si="29">IF(Q91=0,0,ROUND((X91/Q91),4))</f>
        <v>-0.46960000000000002</v>
      </c>
    </row>
    <row r="92" spans="1:26" ht="14.4" x14ac:dyDescent="0.3">
      <c r="A92" s="93">
        <v>4</v>
      </c>
      <c r="B92" s="70" t="s">
        <v>31</v>
      </c>
      <c r="C92" s="80"/>
      <c r="D92" s="84">
        <f>'Link in'!D11</f>
        <v>0</v>
      </c>
      <c r="E92" s="85"/>
      <c r="F92" s="103">
        <f>'Link in'!D42</f>
        <v>0</v>
      </c>
      <c r="G92" s="84">
        <f t="shared" si="27"/>
        <v>0</v>
      </c>
      <c r="H92" s="80"/>
      <c r="I92" s="84">
        <f t="shared" ref="I92:I99" si="30">D92</f>
        <v>0</v>
      </c>
      <c r="J92" s="85"/>
      <c r="K92" s="103">
        <f t="shared" ref="K92:K99" si="31">U92</f>
        <v>22.4</v>
      </c>
      <c r="L92" s="84">
        <f t="shared" ref="L92:L99" si="32">ROUND((I92*K92),0)</f>
        <v>0</v>
      </c>
      <c r="M92" s="80"/>
      <c r="N92" s="84">
        <f>'Link in'!N11</f>
        <v>0</v>
      </c>
      <c r="O92" s="85"/>
      <c r="P92" s="103">
        <f t="shared" ref="P92:P99" si="33">+F92</f>
        <v>0</v>
      </c>
      <c r="Q92" s="84">
        <f t="shared" si="28"/>
        <v>0</v>
      </c>
      <c r="R92" s="80"/>
      <c r="S92" s="80">
        <f t="shared" ref="S92:S99" si="34">N92</f>
        <v>0</v>
      </c>
      <c r="T92" s="81"/>
      <c r="U92" s="103">
        <f>'Link in'!K42</f>
        <v>22.4</v>
      </c>
      <c r="V92" s="80">
        <f t="shared" ref="V92:V99" si="35">ROUND((S92*U92),0)</f>
        <v>0</v>
      </c>
      <c r="W92" s="84"/>
      <c r="X92" s="80">
        <f t="shared" ref="X92:X100" si="36">+V92-Q92</f>
        <v>0</v>
      </c>
      <c r="Y92" s="85"/>
      <c r="Z92" s="101">
        <f t="shared" si="29"/>
        <v>0</v>
      </c>
    </row>
    <row r="93" spans="1:26" ht="14.4" x14ac:dyDescent="0.3">
      <c r="A93" s="93">
        <v>5</v>
      </c>
      <c r="B93" s="70" t="s">
        <v>32</v>
      </c>
      <c r="C93" s="80"/>
      <c r="D93" s="84">
        <f>'Link in'!D12</f>
        <v>0</v>
      </c>
      <c r="E93" s="85"/>
      <c r="F93" s="103">
        <f>'Link in'!D43</f>
        <v>0</v>
      </c>
      <c r="G93" s="84">
        <f t="shared" si="27"/>
        <v>0</v>
      </c>
      <c r="H93" s="80"/>
      <c r="I93" s="84">
        <f t="shared" si="30"/>
        <v>0</v>
      </c>
      <c r="J93" s="85"/>
      <c r="K93" s="103">
        <f t="shared" si="31"/>
        <v>37.299999999999997</v>
      </c>
      <c r="L93" s="84">
        <f t="shared" si="32"/>
        <v>0</v>
      </c>
      <c r="M93" s="80"/>
      <c r="N93" s="84">
        <f>'Link in'!N12</f>
        <v>0</v>
      </c>
      <c r="O93" s="85"/>
      <c r="P93" s="103">
        <f t="shared" si="33"/>
        <v>0</v>
      </c>
      <c r="Q93" s="84">
        <f t="shared" si="28"/>
        <v>0</v>
      </c>
      <c r="R93" s="80"/>
      <c r="S93" s="80">
        <f t="shared" si="34"/>
        <v>0</v>
      </c>
      <c r="T93" s="81"/>
      <c r="U93" s="103">
        <f>'Link in'!K43</f>
        <v>37.299999999999997</v>
      </c>
      <c r="V93" s="80">
        <f t="shared" si="35"/>
        <v>0</v>
      </c>
      <c r="W93" s="84"/>
      <c r="X93" s="80">
        <f t="shared" si="36"/>
        <v>0</v>
      </c>
      <c r="Y93" s="85"/>
      <c r="Z93" s="101">
        <f t="shared" si="29"/>
        <v>0</v>
      </c>
    </row>
    <row r="94" spans="1:26" ht="14.4" x14ac:dyDescent="0.3">
      <c r="A94" s="93">
        <v>6</v>
      </c>
      <c r="B94" s="70" t="s">
        <v>33</v>
      </c>
      <c r="C94" s="80"/>
      <c r="D94" s="84">
        <f>'Link in'!D13</f>
        <v>0</v>
      </c>
      <c r="E94" s="85"/>
      <c r="F94" s="103">
        <f>'Link in'!D44</f>
        <v>0</v>
      </c>
      <c r="G94" s="84">
        <f t="shared" si="27"/>
        <v>0</v>
      </c>
      <c r="H94" s="80"/>
      <c r="I94" s="84">
        <f t="shared" si="30"/>
        <v>0</v>
      </c>
      <c r="J94" s="85"/>
      <c r="K94" s="103">
        <f t="shared" si="31"/>
        <v>74.7</v>
      </c>
      <c r="L94" s="84">
        <f t="shared" si="32"/>
        <v>0</v>
      </c>
      <c r="M94" s="80"/>
      <c r="N94" s="84">
        <f>'Link in'!N13</f>
        <v>0</v>
      </c>
      <c r="O94" s="85"/>
      <c r="P94" s="103">
        <f t="shared" si="33"/>
        <v>0</v>
      </c>
      <c r="Q94" s="84">
        <f t="shared" si="28"/>
        <v>0</v>
      </c>
      <c r="R94" s="80"/>
      <c r="S94" s="80">
        <f t="shared" si="34"/>
        <v>0</v>
      </c>
      <c r="T94" s="81"/>
      <c r="U94" s="103">
        <f>'Link in'!K44</f>
        <v>74.7</v>
      </c>
      <c r="V94" s="80">
        <f t="shared" si="35"/>
        <v>0</v>
      </c>
      <c r="W94" s="84"/>
      <c r="X94" s="80">
        <f t="shared" si="36"/>
        <v>0</v>
      </c>
      <c r="Y94" s="85"/>
      <c r="Z94" s="101">
        <f t="shared" si="29"/>
        <v>0</v>
      </c>
    </row>
    <row r="95" spans="1:26" ht="14.4" x14ac:dyDescent="0.3">
      <c r="A95" s="93">
        <v>7</v>
      </c>
      <c r="B95" s="70" t="s">
        <v>34</v>
      </c>
      <c r="C95" s="80"/>
      <c r="D95" s="84">
        <f>'Link in'!D14</f>
        <v>4.4333501711848236</v>
      </c>
      <c r="E95" s="85"/>
      <c r="F95" s="103">
        <f>+'[2]Link Out'!$E$324</f>
        <v>178.17</v>
      </c>
      <c r="G95" s="84">
        <f t="shared" si="27"/>
        <v>790</v>
      </c>
      <c r="H95" s="80"/>
      <c r="I95" s="84">
        <f t="shared" si="30"/>
        <v>4.4333501711848236</v>
      </c>
      <c r="J95" s="85"/>
      <c r="K95" s="103">
        <f t="shared" si="31"/>
        <v>119.5</v>
      </c>
      <c r="L95" s="84">
        <f t="shared" si="32"/>
        <v>530</v>
      </c>
      <c r="M95" s="80"/>
      <c r="N95" s="84">
        <f>'Link in'!N14</f>
        <v>0</v>
      </c>
      <c r="O95" s="85"/>
      <c r="P95" s="103">
        <f t="shared" si="33"/>
        <v>178.17</v>
      </c>
      <c r="Q95" s="84">
        <f t="shared" si="28"/>
        <v>0</v>
      </c>
      <c r="R95" s="80"/>
      <c r="S95" s="80">
        <f t="shared" si="34"/>
        <v>0</v>
      </c>
      <c r="T95" s="81"/>
      <c r="U95" s="103">
        <f>'Link in'!K45</f>
        <v>119.5</v>
      </c>
      <c r="V95" s="80">
        <f t="shared" si="35"/>
        <v>0</v>
      </c>
      <c r="W95" s="84"/>
      <c r="X95" s="80">
        <f t="shared" si="36"/>
        <v>0</v>
      </c>
      <c r="Y95" s="85"/>
      <c r="Z95" s="101">
        <f t="shared" si="29"/>
        <v>0</v>
      </c>
    </row>
    <row r="96" spans="1:26" ht="14.4" x14ac:dyDescent="0.3">
      <c r="A96" s="93">
        <v>8</v>
      </c>
      <c r="B96" s="70" t="s">
        <v>35</v>
      </c>
      <c r="C96" s="80"/>
      <c r="D96" s="84">
        <f>'Link in'!D15</f>
        <v>0</v>
      </c>
      <c r="E96" s="85"/>
      <c r="F96" s="103">
        <f>'Link in'!D46</f>
        <v>0</v>
      </c>
      <c r="G96" s="84">
        <f t="shared" si="27"/>
        <v>0</v>
      </c>
      <c r="H96" s="80"/>
      <c r="I96" s="84">
        <f t="shared" si="30"/>
        <v>0</v>
      </c>
      <c r="J96" s="85"/>
      <c r="K96" s="103">
        <f t="shared" si="31"/>
        <v>224</v>
      </c>
      <c r="L96" s="84">
        <f t="shared" si="32"/>
        <v>0</v>
      </c>
      <c r="M96" s="80"/>
      <c r="N96" s="84">
        <f>'Link in'!N15</f>
        <v>0</v>
      </c>
      <c r="O96" s="85"/>
      <c r="P96" s="103">
        <f t="shared" si="33"/>
        <v>0</v>
      </c>
      <c r="Q96" s="84">
        <f t="shared" si="28"/>
        <v>0</v>
      </c>
      <c r="R96" s="80"/>
      <c r="S96" s="80">
        <f t="shared" si="34"/>
        <v>0</v>
      </c>
      <c r="T96" s="81"/>
      <c r="U96" s="103">
        <f>'Link in'!K46</f>
        <v>224</v>
      </c>
      <c r="V96" s="80">
        <f t="shared" si="35"/>
        <v>0</v>
      </c>
      <c r="W96" s="84"/>
      <c r="X96" s="80">
        <f t="shared" si="36"/>
        <v>0</v>
      </c>
      <c r="Y96" s="85"/>
      <c r="Z96" s="101">
        <f t="shared" si="29"/>
        <v>0</v>
      </c>
    </row>
    <row r="97" spans="1:27" ht="14.4" x14ac:dyDescent="0.3">
      <c r="A97" s="93">
        <v>9</v>
      </c>
      <c r="B97" s="70" t="s">
        <v>36</v>
      </c>
      <c r="C97" s="80"/>
      <c r="D97" s="84">
        <f>'Link in'!D16</f>
        <v>0</v>
      </c>
      <c r="E97" s="85"/>
      <c r="F97" s="103">
        <f>'Link in'!D47</f>
        <v>0</v>
      </c>
      <c r="G97" s="84">
        <f t="shared" si="27"/>
        <v>0</v>
      </c>
      <c r="H97" s="80"/>
      <c r="I97" s="84">
        <f t="shared" si="30"/>
        <v>0</v>
      </c>
      <c r="J97" s="85"/>
      <c r="K97" s="103">
        <f t="shared" si="31"/>
        <v>373.4</v>
      </c>
      <c r="L97" s="84">
        <f t="shared" si="32"/>
        <v>0</v>
      </c>
      <c r="M97" s="80"/>
      <c r="N97" s="84">
        <f>'Link in'!N16</f>
        <v>0</v>
      </c>
      <c r="O97" s="85"/>
      <c r="P97" s="103">
        <f t="shared" si="33"/>
        <v>0</v>
      </c>
      <c r="Q97" s="84">
        <f t="shared" si="28"/>
        <v>0</v>
      </c>
      <c r="R97" s="80"/>
      <c r="S97" s="80">
        <f t="shared" si="34"/>
        <v>0</v>
      </c>
      <c r="T97" s="81"/>
      <c r="U97" s="103">
        <f>'Link in'!K47</f>
        <v>373.4</v>
      </c>
      <c r="V97" s="80">
        <f t="shared" si="35"/>
        <v>0</v>
      </c>
      <c r="W97" s="84"/>
      <c r="X97" s="80">
        <f t="shared" si="36"/>
        <v>0</v>
      </c>
      <c r="Y97" s="85"/>
      <c r="Z97" s="101">
        <f t="shared" si="29"/>
        <v>0</v>
      </c>
    </row>
    <row r="98" spans="1:27" ht="14.4" x14ac:dyDescent="0.3">
      <c r="A98" s="93">
        <v>10</v>
      </c>
      <c r="B98" s="70" t="s">
        <v>37</v>
      </c>
      <c r="C98" s="80"/>
      <c r="D98" s="84">
        <f>'Link in'!D17</f>
        <v>0</v>
      </c>
      <c r="E98" s="85"/>
      <c r="F98" s="103">
        <f>'Link in'!D48</f>
        <v>0</v>
      </c>
      <c r="G98" s="84">
        <f t="shared" si="27"/>
        <v>0</v>
      </c>
      <c r="H98" s="80"/>
      <c r="I98" s="84">
        <f t="shared" si="30"/>
        <v>0</v>
      </c>
      <c r="J98" s="85"/>
      <c r="K98" s="103">
        <f t="shared" si="31"/>
        <v>746.7</v>
      </c>
      <c r="L98" s="84">
        <f t="shared" si="32"/>
        <v>0</v>
      </c>
      <c r="M98" s="80"/>
      <c r="N98" s="84">
        <f>'Link in'!N17</f>
        <v>0</v>
      </c>
      <c r="O98" s="85"/>
      <c r="P98" s="103">
        <f t="shared" si="33"/>
        <v>0</v>
      </c>
      <c r="Q98" s="84">
        <f t="shared" si="28"/>
        <v>0</v>
      </c>
      <c r="R98" s="80"/>
      <c r="S98" s="80">
        <f t="shared" si="34"/>
        <v>0</v>
      </c>
      <c r="T98" s="81"/>
      <c r="U98" s="103">
        <f>'Link in'!K48</f>
        <v>746.7</v>
      </c>
      <c r="V98" s="80">
        <f t="shared" si="35"/>
        <v>0</v>
      </c>
      <c r="W98" s="84"/>
      <c r="X98" s="80">
        <f t="shared" si="36"/>
        <v>0</v>
      </c>
      <c r="Y98" s="85"/>
      <c r="Z98" s="101">
        <f t="shared" si="29"/>
        <v>0</v>
      </c>
    </row>
    <row r="99" spans="1:27" ht="14.4" x14ac:dyDescent="0.3">
      <c r="A99" s="93">
        <v>11</v>
      </c>
      <c r="B99" s="70" t="s">
        <v>38</v>
      </c>
      <c r="C99" s="80"/>
      <c r="D99" s="84">
        <f>'Link in'!D18</f>
        <v>0</v>
      </c>
      <c r="E99" s="85"/>
      <c r="F99" s="103">
        <f>'Link in'!D49</f>
        <v>0</v>
      </c>
      <c r="G99" s="84">
        <f t="shared" si="27"/>
        <v>0</v>
      </c>
      <c r="H99" s="80"/>
      <c r="I99" s="84">
        <f t="shared" si="30"/>
        <v>0</v>
      </c>
      <c r="J99" s="85"/>
      <c r="K99" s="103">
        <f t="shared" si="31"/>
        <v>1194.7</v>
      </c>
      <c r="L99" s="84">
        <f t="shared" si="32"/>
        <v>0</v>
      </c>
      <c r="M99" s="80"/>
      <c r="N99" s="84">
        <f>'Link in'!N18</f>
        <v>0</v>
      </c>
      <c r="O99" s="85"/>
      <c r="P99" s="103">
        <f t="shared" si="33"/>
        <v>0</v>
      </c>
      <c r="Q99" s="84">
        <f t="shared" si="28"/>
        <v>0</v>
      </c>
      <c r="R99" s="80"/>
      <c r="S99" s="80">
        <f t="shared" si="34"/>
        <v>0</v>
      </c>
      <c r="T99" s="81"/>
      <c r="U99" s="103">
        <f>'Link in'!K49</f>
        <v>1194.7</v>
      </c>
      <c r="V99" s="80">
        <f t="shared" si="35"/>
        <v>0</v>
      </c>
      <c r="W99" s="84"/>
      <c r="X99" s="80">
        <f t="shared" si="36"/>
        <v>0</v>
      </c>
      <c r="Y99" s="85"/>
      <c r="Z99" s="101">
        <f t="shared" si="29"/>
        <v>0</v>
      </c>
    </row>
    <row r="100" spans="1:27" ht="14.4" x14ac:dyDescent="0.3">
      <c r="A100" s="93">
        <v>12</v>
      </c>
      <c r="B100" s="70" t="s">
        <v>113</v>
      </c>
      <c r="C100" s="80"/>
      <c r="D100" s="84"/>
      <c r="E100" s="85"/>
      <c r="F100" s="103"/>
      <c r="G100" s="84"/>
      <c r="H100" s="80"/>
      <c r="I100" s="84"/>
      <c r="J100" s="85"/>
      <c r="K100" s="103"/>
      <c r="L100" s="84"/>
      <c r="M100" s="80"/>
      <c r="N100" s="84"/>
      <c r="O100" s="85"/>
      <c r="P100" s="102"/>
      <c r="Q100" s="102"/>
      <c r="R100" s="80"/>
      <c r="S100" s="80"/>
      <c r="T100" s="81"/>
      <c r="U100" s="102"/>
      <c r="V100" s="80"/>
      <c r="W100" s="84"/>
      <c r="X100" s="80">
        <f t="shared" si="36"/>
        <v>0</v>
      </c>
      <c r="Y100" s="85"/>
      <c r="Z100" s="101">
        <f t="shared" si="29"/>
        <v>0</v>
      </c>
    </row>
    <row r="101" spans="1:27" ht="14.4" x14ac:dyDescent="0.3">
      <c r="A101" s="93">
        <v>13</v>
      </c>
      <c r="B101" s="70"/>
      <c r="C101" s="80"/>
      <c r="D101" s="84"/>
      <c r="E101" s="85"/>
      <c r="F101" s="103"/>
      <c r="G101" s="84"/>
      <c r="H101" s="80"/>
      <c r="I101" s="84"/>
      <c r="J101" s="85"/>
      <c r="K101" s="103"/>
      <c r="L101" s="84"/>
      <c r="M101" s="80"/>
      <c r="N101" s="84"/>
      <c r="O101" s="85"/>
      <c r="P101" s="102"/>
      <c r="Q101" s="102"/>
      <c r="R101" s="80"/>
      <c r="S101" s="80"/>
      <c r="T101" s="81"/>
      <c r="U101" s="102"/>
      <c r="V101" s="80"/>
      <c r="W101" s="84"/>
      <c r="X101" s="100"/>
      <c r="Y101" s="85"/>
      <c r="Z101" s="101"/>
    </row>
    <row r="102" spans="1:27" ht="14.4" x14ac:dyDescent="0.3">
      <c r="A102" s="93">
        <v>14</v>
      </c>
      <c r="B102" s="70"/>
      <c r="C102" s="81"/>
      <c r="D102" s="85"/>
      <c r="E102" s="85"/>
      <c r="F102" s="85"/>
      <c r="G102" s="85"/>
      <c r="H102" s="81"/>
      <c r="I102" s="85"/>
      <c r="J102" s="85"/>
      <c r="K102" s="85"/>
      <c r="L102" s="85"/>
      <c r="M102" s="81"/>
      <c r="N102" s="85"/>
      <c r="O102" s="85"/>
      <c r="P102" s="81"/>
      <c r="Q102" s="81"/>
      <c r="R102" s="81"/>
      <c r="S102" s="81"/>
      <c r="T102" s="81"/>
      <c r="U102" s="81"/>
      <c r="V102" s="81"/>
      <c r="W102" s="85"/>
      <c r="X102" s="84"/>
      <c r="Y102" s="85"/>
      <c r="Z102" s="101"/>
    </row>
    <row r="103" spans="1:27" ht="14.4" x14ac:dyDescent="0.3">
      <c r="A103" s="93">
        <v>15</v>
      </c>
      <c r="B103" s="70"/>
      <c r="C103" s="70"/>
      <c r="D103" s="83"/>
      <c r="E103" s="83"/>
      <c r="F103" s="85"/>
      <c r="G103" s="83"/>
      <c r="H103" s="70"/>
      <c r="I103" s="83"/>
      <c r="J103" s="83"/>
      <c r="K103" s="85"/>
      <c r="L103" s="83"/>
      <c r="M103" s="70"/>
      <c r="N103" s="83"/>
      <c r="O103" s="83"/>
      <c r="P103" s="70"/>
      <c r="Q103" s="70"/>
      <c r="R103" s="70"/>
      <c r="S103" s="70"/>
      <c r="T103" s="70"/>
      <c r="U103" s="70"/>
      <c r="V103" s="70"/>
      <c r="W103" s="83"/>
      <c r="X103" s="83"/>
      <c r="Y103" s="83"/>
      <c r="Z103" s="83"/>
    </row>
    <row r="104" spans="1:27" ht="14.4" x14ac:dyDescent="0.3">
      <c r="A104" s="93">
        <v>16</v>
      </c>
      <c r="B104" s="99" t="s">
        <v>40</v>
      </c>
      <c r="C104" s="81"/>
      <c r="D104" s="85"/>
      <c r="E104" s="85"/>
      <c r="F104" s="85"/>
      <c r="G104" s="85"/>
      <c r="H104" s="81"/>
      <c r="I104" s="85"/>
      <c r="J104" s="85"/>
      <c r="K104" s="85"/>
      <c r="L104" s="85"/>
      <c r="M104" s="81"/>
      <c r="N104" s="85"/>
      <c r="O104" s="85"/>
      <c r="P104" s="81"/>
      <c r="Q104" s="81"/>
      <c r="R104" s="81"/>
      <c r="S104" s="81"/>
      <c r="T104" s="81"/>
      <c r="U104" s="81"/>
      <c r="V104" s="81"/>
      <c r="W104" s="85"/>
      <c r="X104" s="84"/>
      <c r="Y104" s="85"/>
      <c r="Z104" s="101"/>
    </row>
    <row r="105" spans="1:27" ht="14.4" x14ac:dyDescent="0.3">
      <c r="A105" s="93">
        <v>17</v>
      </c>
      <c r="B105" s="70" t="s">
        <v>41</v>
      </c>
      <c r="C105" s="86"/>
      <c r="D105" s="85"/>
      <c r="E105" s="84">
        <f>'Link in'!D23</f>
        <v>444.40000000000015</v>
      </c>
      <c r="F105" s="133">
        <f>+'Link in'!C60</f>
        <v>0</v>
      </c>
      <c r="G105" s="100">
        <f t="shared" ref="G105" si="37">ROUND((E105*F105),0)</f>
        <v>0</v>
      </c>
      <c r="H105" s="86"/>
      <c r="I105" s="85"/>
      <c r="J105" s="84">
        <f>E105</f>
        <v>444.40000000000015</v>
      </c>
      <c r="K105" s="133">
        <f>U105</f>
        <v>5.7119999999999997</v>
      </c>
      <c r="L105" s="100">
        <f>ROUND((J105*K105),0)</f>
        <v>2538</v>
      </c>
      <c r="M105" s="86"/>
      <c r="N105" s="85"/>
      <c r="O105" s="84">
        <f>'Link in'!N23</f>
        <v>444.4000000000002</v>
      </c>
      <c r="P105" s="134">
        <f>+F105</f>
        <v>0</v>
      </c>
      <c r="Q105" s="100">
        <f t="shared" ref="Q105" si="38">ROUND((O105*P105),0)</f>
        <v>0</v>
      </c>
      <c r="R105" s="86"/>
      <c r="S105" s="81"/>
      <c r="T105" s="80">
        <f>O105</f>
        <v>444.4000000000002</v>
      </c>
      <c r="U105" s="133">
        <f>'Link in'!K59</f>
        <v>5.7119999999999997</v>
      </c>
      <c r="V105" s="86">
        <f>ROUND((T105*U105),0)</f>
        <v>2538</v>
      </c>
      <c r="W105" s="84"/>
      <c r="X105" s="86">
        <f t="shared" ref="X105:X111" si="39">+V105-Q105</f>
        <v>2538</v>
      </c>
      <c r="Y105" s="85"/>
      <c r="Z105" s="101">
        <f t="shared" ref="Z105:Z113" si="40">IF(Q105=0,0,ROUND((X105/Q105),4))</f>
        <v>0</v>
      </c>
    </row>
    <row r="106" spans="1:27" ht="14.4" x14ac:dyDescent="0.3">
      <c r="A106" s="93">
        <v>18</v>
      </c>
      <c r="B106" s="70" t="s">
        <v>42</v>
      </c>
      <c r="C106" s="80"/>
      <c r="D106" s="83"/>
      <c r="E106" s="84">
        <f>'Link in'!D24</f>
        <v>243.98612315698173</v>
      </c>
      <c r="F106" s="111">
        <f>+'Link in'!C61</f>
        <v>11.53</v>
      </c>
      <c r="G106" s="84">
        <f>ROUND((E106*F106),0)</f>
        <v>2813</v>
      </c>
      <c r="H106" s="80"/>
      <c r="I106" s="83"/>
      <c r="J106" s="84">
        <f t="shared" ref="J106:J111" si="41">E106</f>
        <v>243.98612315698173</v>
      </c>
      <c r="K106" s="111">
        <f t="shared" ref="K106:K110" si="42">U106</f>
        <v>5.7119999999999997</v>
      </c>
      <c r="L106" s="84">
        <f>ROUND((J106*K106),0)</f>
        <v>1394</v>
      </c>
      <c r="M106" s="80"/>
      <c r="N106" s="83"/>
      <c r="O106" s="84">
        <f>'Link in'!N24</f>
        <v>243.98612315698173</v>
      </c>
      <c r="P106" s="135">
        <f t="shared" ref="P106:P110" si="43">+F106</f>
        <v>11.53</v>
      </c>
      <c r="Q106" s="84">
        <f>ROUND((O106*P106),0)</f>
        <v>2813</v>
      </c>
      <c r="R106" s="80"/>
      <c r="S106" s="70"/>
      <c r="T106" s="80">
        <f t="shared" ref="T106:T110" si="44">O106</f>
        <v>243.98612315698173</v>
      </c>
      <c r="U106" s="111">
        <f>'Link in'!K60</f>
        <v>5.7119999999999997</v>
      </c>
      <c r="V106" s="80">
        <f>ROUND((T106*U106),0)</f>
        <v>1394</v>
      </c>
      <c r="W106" s="84"/>
      <c r="X106" s="80">
        <f t="shared" si="39"/>
        <v>-1419</v>
      </c>
      <c r="Y106" s="83"/>
      <c r="Z106" s="101">
        <f t="shared" si="40"/>
        <v>-0.50439999999999996</v>
      </c>
    </row>
    <row r="107" spans="1:27" ht="14.4" x14ac:dyDescent="0.3">
      <c r="A107" s="93">
        <v>19</v>
      </c>
      <c r="B107" s="70" t="s">
        <v>43</v>
      </c>
      <c r="C107" s="80"/>
      <c r="D107" s="83"/>
      <c r="E107" s="84">
        <f>'Link in'!D25</f>
        <v>0</v>
      </c>
      <c r="F107" s="111">
        <f>'Link in'!D61</f>
        <v>11.53</v>
      </c>
      <c r="G107" s="84">
        <f t="shared" ref="G107:G111" si="45">ROUND((E107*F107),0)</f>
        <v>0</v>
      </c>
      <c r="H107" s="80"/>
      <c r="I107" s="83"/>
      <c r="J107" s="84">
        <f t="shared" si="41"/>
        <v>0</v>
      </c>
      <c r="K107" s="111">
        <f t="shared" si="42"/>
        <v>5.7119999999999997</v>
      </c>
      <c r="L107" s="84">
        <f>ROUND((J107*K107),0)</f>
        <v>0</v>
      </c>
      <c r="M107" s="80"/>
      <c r="N107" s="83"/>
      <c r="O107" s="84">
        <f>'Link in'!N25</f>
        <v>0</v>
      </c>
      <c r="P107" s="135">
        <f t="shared" si="43"/>
        <v>11.53</v>
      </c>
      <c r="Q107" s="84">
        <f t="shared" ref="Q107:Q110" si="46">ROUND((O107*P107),0)</f>
        <v>0</v>
      </c>
      <c r="R107" s="80"/>
      <c r="S107" s="70"/>
      <c r="T107" s="80">
        <f t="shared" si="44"/>
        <v>0</v>
      </c>
      <c r="U107" s="111">
        <f>'Link in'!K61</f>
        <v>5.7119999999999997</v>
      </c>
      <c r="V107" s="80">
        <f>ROUND((T107*U107),0)</f>
        <v>0</v>
      </c>
      <c r="W107" s="84"/>
      <c r="X107" s="80">
        <f t="shared" si="39"/>
        <v>0</v>
      </c>
      <c r="Y107" s="83"/>
      <c r="Z107" s="101">
        <f t="shared" si="40"/>
        <v>0</v>
      </c>
    </row>
    <row r="108" spans="1:27" ht="14.4" x14ac:dyDescent="0.3">
      <c r="A108" s="93">
        <v>20</v>
      </c>
      <c r="B108" s="70" t="s">
        <v>44</v>
      </c>
      <c r="C108" s="80"/>
      <c r="D108" s="83"/>
      <c r="E108" s="84">
        <f>'Link in'!D26</f>
        <v>0</v>
      </c>
      <c r="F108" s="111">
        <f>'Link in'!D62</f>
        <v>0</v>
      </c>
      <c r="G108" s="84">
        <f t="shared" si="45"/>
        <v>0</v>
      </c>
      <c r="H108" s="80"/>
      <c r="I108" s="83"/>
      <c r="J108" s="84">
        <f t="shared" si="41"/>
        <v>0</v>
      </c>
      <c r="K108" s="111">
        <f t="shared" si="42"/>
        <v>5.7119999999999997</v>
      </c>
      <c r="L108" s="84">
        <f>ROUND((J108*K108),0)</f>
        <v>0</v>
      </c>
      <c r="M108" s="80"/>
      <c r="N108" s="83"/>
      <c r="O108" s="84">
        <f>'Link in'!N26</f>
        <v>0</v>
      </c>
      <c r="P108" s="135">
        <f t="shared" si="43"/>
        <v>0</v>
      </c>
      <c r="Q108" s="84">
        <f t="shared" si="46"/>
        <v>0</v>
      </c>
      <c r="R108" s="80"/>
      <c r="S108" s="70"/>
      <c r="T108" s="80">
        <f t="shared" si="44"/>
        <v>0</v>
      </c>
      <c r="U108" s="111">
        <f>'Link in'!K62</f>
        <v>5.7119999999999997</v>
      </c>
      <c r="V108" s="80">
        <f>ROUND((T108*U108),0)</f>
        <v>0</v>
      </c>
      <c r="W108" s="84"/>
      <c r="X108" s="80">
        <f t="shared" si="39"/>
        <v>0</v>
      </c>
      <c r="Y108" s="83"/>
      <c r="Z108" s="101">
        <f t="shared" si="40"/>
        <v>0</v>
      </c>
    </row>
    <row r="109" spans="1:27" ht="14.4" x14ac:dyDescent="0.3">
      <c r="A109" s="93">
        <v>21</v>
      </c>
      <c r="B109" s="70" t="s">
        <v>96</v>
      </c>
      <c r="C109" s="70"/>
      <c r="D109" s="83"/>
      <c r="E109" s="84">
        <f>'Link in'!D27</f>
        <v>0</v>
      </c>
      <c r="F109" s="111">
        <f>'Link in'!D63</f>
        <v>0</v>
      </c>
      <c r="G109" s="84">
        <f t="shared" si="45"/>
        <v>0</v>
      </c>
      <c r="H109" s="80"/>
      <c r="I109" s="83"/>
      <c r="J109" s="84">
        <f t="shared" si="41"/>
        <v>0</v>
      </c>
      <c r="K109" s="111">
        <f t="shared" si="42"/>
        <v>5.7119999999999997</v>
      </c>
      <c r="L109" s="84">
        <f t="shared" ref="L109:L110" si="47">ROUND((J109*K109),0)</f>
        <v>0</v>
      </c>
      <c r="M109" s="70"/>
      <c r="N109" s="83"/>
      <c r="O109" s="84">
        <f>'Link in'!N27</f>
        <v>0</v>
      </c>
      <c r="P109" s="135">
        <f t="shared" si="43"/>
        <v>0</v>
      </c>
      <c r="Q109" s="84">
        <f t="shared" si="46"/>
        <v>0</v>
      </c>
      <c r="R109" s="70"/>
      <c r="S109" s="70"/>
      <c r="T109" s="80">
        <f t="shared" si="44"/>
        <v>0</v>
      </c>
      <c r="U109" s="111">
        <f>'Link in'!K63</f>
        <v>5.7119999999999997</v>
      </c>
      <c r="V109" s="80">
        <f t="shared" ref="V109:V110" si="48">ROUND((T109*U109),0)</f>
        <v>0</v>
      </c>
      <c r="W109" s="83"/>
      <c r="X109" s="80">
        <f t="shared" si="39"/>
        <v>0</v>
      </c>
      <c r="Y109" s="83"/>
      <c r="Z109" s="101">
        <f t="shared" si="40"/>
        <v>0</v>
      </c>
    </row>
    <row r="110" spans="1:27" ht="14.4" x14ac:dyDescent="0.3">
      <c r="A110" s="93">
        <v>22</v>
      </c>
      <c r="B110" s="70" t="s">
        <v>101</v>
      </c>
      <c r="C110" s="70"/>
      <c r="D110" s="83"/>
      <c r="E110" s="84">
        <f>'Link in'!D28</f>
        <v>0</v>
      </c>
      <c r="F110" s="111">
        <f>'Link in'!D64</f>
        <v>0</v>
      </c>
      <c r="G110" s="84">
        <f t="shared" si="45"/>
        <v>0</v>
      </c>
      <c r="H110" s="80"/>
      <c r="I110" s="83"/>
      <c r="J110" s="84">
        <f t="shared" si="41"/>
        <v>0</v>
      </c>
      <c r="K110" s="111">
        <f t="shared" si="42"/>
        <v>5.7119999999999997</v>
      </c>
      <c r="L110" s="84">
        <f t="shared" si="47"/>
        <v>0</v>
      </c>
      <c r="M110" s="70"/>
      <c r="N110" s="83"/>
      <c r="O110" s="84">
        <f>'Link in'!N28</f>
        <v>0</v>
      </c>
      <c r="P110" s="135">
        <f t="shared" si="43"/>
        <v>0</v>
      </c>
      <c r="Q110" s="84">
        <f t="shared" si="46"/>
        <v>0</v>
      </c>
      <c r="R110" s="70"/>
      <c r="S110" s="70"/>
      <c r="T110" s="80">
        <f t="shared" si="44"/>
        <v>0</v>
      </c>
      <c r="U110" s="111">
        <f>'Link in'!K64</f>
        <v>5.7119999999999997</v>
      </c>
      <c r="V110" s="80">
        <f t="shared" si="48"/>
        <v>0</v>
      </c>
      <c r="W110" s="83"/>
      <c r="X110" s="80">
        <f t="shared" si="39"/>
        <v>0</v>
      </c>
      <c r="Y110" s="83"/>
      <c r="Z110" s="101">
        <f t="shared" si="40"/>
        <v>0</v>
      </c>
    </row>
    <row r="111" spans="1:27" ht="14.4" x14ac:dyDescent="0.3">
      <c r="A111" s="93">
        <v>23</v>
      </c>
      <c r="B111" s="83" t="s">
        <v>108</v>
      </c>
      <c r="C111" s="112"/>
      <c r="D111" s="83"/>
      <c r="E111" s="83">
        <f>+'Link in'!D32</f>
        <v>-15.393061578490915</v>
      </c>
      <c r="F111" s="111"/>
      <c r="G111" s="112">
        <f t="shared" si="45"/>
        <v>0</v>
      </c>
      <c r="H111" s="112"/>
      <c r="I111" s="83"/>
      <c r="J111" s="84">
        <f t="shared" si="41"/>
        <v>-15.393061578490915</v>
      </c>
      <c r="K111" s="133"/>
      <c r="L111" s="112">
        <f>G111</f>
        <v>0</v>
      </c>
      <c r="M111" s="112"/>
      <c r="N111" s="83"/>
      <c r="O111" s="83"/>
      <c r="P111" s="95"/>
      <c r="Q111" s="80">
        <f>+'Link in'!N34</f>
        <v>0</v>
      </c>
      <c r="R111" s="112"/>
      <c r="S111" s="83"/>
      <c r="T111" s="83">
        <f>O111</f>
        <v>0</v>
      </c>
      <c r="U111" s="95"/>
      <c r="V111" s="112">
        <f>Q111</f>
        <v>0</v>
      </c>
      <c r="W111" s="112"/>
      <c r="X111" s="112">
        <f t="shared" si="39"/>
        <v>0</v>
      </c>
      <c r="Y111" s="83"/>
      <c r="Z111" s="101">
        <f t="shared" si="40"/>
        <v>0</v>
      </c>
      <c r="AA111" s="24"/>
    </row>
    <row r="112" spans="1:27" ht="14.4" x14ac:dyDescent="0.3">
      <c r="A112" s="93">
        <v>24</v>
      </c>
      <c r="B112" s="70"/>
      <c r="C112" s="122"/>
      <c r="D112" s="83"/>
      <c r="E112" s="83"/>
      <c r="F112" s="113"/>
      <c r="G112" s="113"/>
      <c r="H112" s="122"/>
      <c r="I112" s="83"/>
      <c r="J112" s="83"/>
      <c r="K112" s="113"/>
      <c r="L112" s="113"/>
      <c r="M112" s="122"/>
      <c r="N112" s="70"/>
      <c r="O112" s="70"/>
      <c r="P112" s="122"/>
      <c r="Q112" s="122"/>
      <c r="R112" s="122"/>
      <c r="S112" s="70"/>
      <c r="T112" s="70"/>
      <c r="U112" s="122"/>
      <c r="V112" s="122"/>
      <c r="W112" s="113"/>
      <c r="X112" s="84"/>
      <c r="Y112" s="83"/>
      <c r="Z112" s="101"/>
    </row>
    <row r="113" spans="1:26" ht="15" thickBot="1" x14ac:dyDescent="0.35">
      <c r="A113" s="93">
        <v>25</v>
      </c>
      <c r="B113" s="70" t="s">
        <v>1</v>
      </c>
      <c r="C113" s="126"/>
      <c r="D113" s="139"/>
      <c r="E113" s="140">
        <f>SUM(E105:E112)</f>
        <v>672.99306157849094</v>
      </c>
      <c r="F113" s="115"/>
      <c r="G113" s="141">
        <f>SUM(G91:G112)</f>
        <v>10131</v>
      </c>
      <c r="H113" s="126"/>
      <c r="I113" s="139"/>
      <c r="J113" s="140">
        <f>SUM(J105:J112)</f>
        <v>672.99306157849094</v>
      </c>
      <c r="K113" s="115"/>
      <c r="L113" s="141">
        <f>SUM(L91:L112)</f>
        <v>7924</v>
      </c>
      <c r="M113" s="126"/>
      <c r="N113" s="136"/>
      <c r="O113" s="137">
        <f>SUM(O105:O112)</f>
        <v>688.38612315698197</v>
      </c>
      <c r="P113" s="126"/>
      <c r="Q113" s="138">
        <f>SUM(Q91:Q112)</f>
        <v>10279</v>
      </c>
      <c r="R113" s="126"/>
      <c r="S113" s="136"/>
      <c r="T113" s="137">
        <f>SUM(T105:T112)</f>
        <v>688.38612315698197</v>
      </c>
      <c r="U113" s="126"/>
      <c r="V113" s="138">
        <f>SUM(V91:V112)</f>
        <v>7892</v>
      </c>
      <c r="W113" s="115"/>
      <c r="X113" s="141">
        <f>SUM(X91:X112)</f>
        <v>-2387</v>
      </c>
      <c r="Y113" s="83"/>
      <c r="Z113" s="125">
        <f t="shared" si="40"/>
        <v>-0.23219999999999999</v>
      </c>
    </row>
    <row r="114" spans="1:26" ht="15" thickTop="1" x14ac:dyDescent="0.3">
      <c r="A114" s="93"/>
      <c r="B114" s="70"/>
      <c r="C114" s="80"/>
      <c r="D114" s="83"/>
      <c r="E114" s="83"/>
      <c r="F114" s="117"/>
      <c r="G114" s="84"/>
      <c r="H114" s="80"/>
      <c r="I114" s="80"/>
      <c r="J114" s="80"/>
      <c r="K114" s="80"/>
      <c r="L114" s="80"/>
      <c r="M114" s="80"/>
      <c r="N114" s="80"/>
      <c r="O114" s="70"/>
      <c r="P114" s="120"/>
      <c r="Q114" s="80"/>
      <c r="R114" s="80"/>
      <c r="S114" s="70"/>
      <c r="T114" s="70"/>
      <c r="U114" s="120"/>
      <c r="V114" s="80"/>
      <c r="W114" s="83"/>
      <c r="X114" s="84"/>
      <c r="Y114" s="83"/>
      <c r="Z114" s="101"/>
    </row>
    <row r="115" spans="1:26" ht="14.4" x14ac:dyDescent="0.3">
      <c r="A115" s="93"/>
      <c r="B115" s="70"/>
      <c r="C115" s="80"/>
      <c r="D115" s="93"/>
      <c r="E115" s="70"/>
      <c r="F115" s="120"/>
      <c r="G115" s="80"/>
      <c r="H115" s="80"/>
      <c r="I115" s="80"/>
      <c r="J115" s="80"/>
      <c r="K115" s="80"/>
      <c r="L115" s="80"/>
      <c r="M115" s="80"/>
      <c r="N115" s="80"/>
      <c r="O115" s="70"/>
      <c r="P115" s="120"/>
      <c r="Q115" s="80"/>
      <c r="R115" s="80"/>
      <c r="S115" s="93"/>
      <c r="T115" s="70"/>
      <c r="U115" s="120"/>
      <c r="V115" s="80"/>
      <c r="W115" s="83"/>
      <c r="X115" s="84"/>
      <c r="Y115" s="83"/>
      <c r="Z115" s="101"/>
    </row>
    <row r="116" spans="1:26" ht="14.4" x14ac:dyDescent="0.3">
      <c r="A116" s="93"/>
      <c r="B116" s="70"/>
      <c r="C116" s="70"/>
      <c r="D116" s="70"/>
      <c r="E116" s="70"/>
      <c r="F116" s="142"/>
      <c r="G116" s="302"/>
      <c r="H116" s="70"/>
      <c r="I116" s="70"/>
      <c r="J116" s="70"/>
      <c r="K116" s="70"/>
      <c r="L116" s="70"/>
      <c r="M116" s="70"/>
      <c r="N116" s="70"/>
      <c r="O116" s="70"/>
      <c r="P116" s="142"/>
      <c r="Q116" s="70"/>
      <c r="R116" s="70"/>
      <c r="S116" s="70"/>
      <c r="T116" s="70"/>
      <c r="U116" s="142"/>
      <c r="V116" s="70"/>
      <c r="W116" s="83"/>
      <c r="X116" s="84"/>
      <c r="Y116" s="83"/>
      <c r="Z116" s="101"/>
    </row>
    <row r="117" spans="1:26" ht="14.4" x14ac:dyDescent="0.3">
      <c r="A117" s="93"/>
      <c r="B117" s="70"/>
      <c r="C117" s="70"/>
      <c r="D117" s="70"/>
      <c r="E117" s="70"/>
      <c r="F117" s="142"/>
      <c r="G117" s="70"/>
      <c r="H117" s="70"/>
      <c r="I117" s="70"/>
      <c r="J117" s="70"/>
      <c r="K117" s="70"/>
      <c r="L117" s="70"/>
      <c r="M117" s="70"/>
      <c r="N117" s="70"/>
      <c r="O117" s="70"/>
      <c r="P117" s="142"/>
      <c r="Q117" s="70"/>
      <c r="R117" s="70"/>
      <c r="S117" s="70"/>
      <c r="T117" s="70"/>
      <c r="U117" s="142"/>
      <c r="V117" s="70"/>
      <c r="W117" s="83"/>
      <c r="X117" s="84"/>
      <c r="Y117" s="83"/>
      <c r="Z117" s="101"/>
    </row>
    <row r="118" spans="1:26" ht="14.4" x14ac:dyDescent="0.3">
      <c r="A118" s="323" t="str">
        <f>A79</f>
        <v>Kentucky American Water Company</v>
      </c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</row>
    <row r="119" spans="1:26" ht="14.4" x14ac:dyDescent="0.3">
      <c r="A119" s="323" t="s">
        <v>77</v>
      </c>
      <c r="B119" s="323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</row>
    <row r="120" spans="1:26" ht="14.4" x14ac:dyDescent="0.3">
      <c r="A120" s="323" t="str">
        <f>A81</f>
        <v>Case No. 2018-00358</v>
      </c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</row>
    <row r="121" spans="1:26" ht="14.4" x14ac:dyDescent="0.3">
      <c r="A121" s="323" t="str">
        <f>A82</f>
        <v>Base Year for the 12 Months Ended February 28, 2019 and Forecast Year for the 12 Months Ended June 30, 2020</v>
      </c>
      <c r="B121" s="323"/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</row>
    <row r="122" spans="1:26" ht="14.4" x14ac:dyDescent="0.3">
      <c r="A122" s="98" t="str">
        <f>A83</f>
        <v>Witness Responsible:   Melissa Schwarzell</v>
      </c>
      <c r="B122" s="70"/>
      <c r="C122" s="70"/>
      <c r="D122" s="70"/>
      <c r="E122" s="70"/>
      <c r="F122" s="70"/>
      <c r="G122" s="70"/>
      <c r="H122" s="70"/>
      <c r="I122" s="322" t="str">
        <f>"EASTERN ROCKCASTLE ("&amp;LEFT(B128,SEARCH(":",B128,1)-1)&amp;")"</f>
        <v>EASTERN ROCKCASTLE (Industrial)</v>
      </c>
      <c r="J122" s="322"/>
      <c r="K122" s="322"/>
      <c r="L122" s="322"/>
      <c r="M122" s="322"/>
      <c r="N122" s="322"/>
      <c r="O122" s="322"/>
      <c r="P122" s="322"/>
      <c r="Q122" s="322"/>
      <c r="R122" s="70"/>
      <c r="S122" s="70"/>
      <c r="T122" s="70"/>
      <c r="U122" s="70"/>
      <c r="V122" s="70"/>
      <c r="W122" s="83"/>
      <c r="X122" s="83"/>
      <c r="Y122" s="83"/>
      <c r="Z122" s="88" t="str">
        <f>Z83</f>
        <v>Exhibit 37, Schedule M-3</v>
      </c>
    </row>
    <row r="123" spans="1:26" ht="14.4" x14ac:dyDescent="0.3">
      <c r="A123" s="128" t="str">
        <f>A84</f>
        <v/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90"/>
      <c r="X123" s="90"/>
      <c r="Y123" s="90"/>
      <c r="Z123" s="130" t="str">
        <f ca="1">Z84</f>
        <v>Revenues\[KAWC 2018 Rate Case - Revenue - E. Rockcastle.xlsx]Sch M</v>
      </c>
    </row>
    <row r="124" spans="1:26" ht="14.4" x14ac:dyDescent="0.3">
      <c r="A124" s="70"/>
      <c r="B124" s="70"/>
      <c r="C124" s="93"/>
      <c r="D124" s="317" t="s">
        <v>170</v>
      </c>
      <c r="E124" s="317" t="s">
        <v>97</v>
      </c>
      <c r="F124" s="317"/>
      <c r="G124" s="317"/>
      <c r="H124" s="93"/>
      <c r="I124" s="324" t="s">
        <v>169</v>
      </c>
      <c r="J124" s="324" t="s">
        <v>97</v>
      </c>
      <c r="K124" s="324"/>
      <c r="L124" s="324"/>
      <c r="M124" s="93"/>
      <c r="N124" s="317" t="s">
        <v>120</v>
      </c>
      <c r="O124" s="317" t="s">
        <v>98</v>
      </c>
      <c r="P124" s="317"/>
      <c r="Q124" s="317"/>
      <c r="R124" s="93"/>
      <c r="S124" s="317" t="s">
        <v>121</v>
      </c>
      <c r="T124" s="317" t="s">
        <v>99</v>
      </c>
      <c r="U124" s="317"/>
      <c r="V124" s="317"/>
      <c r="W124" s="94"/>
      <c r="X124" s="94"/>
      <c r="Y124" s="83"/>
      <c r="Z124" s="83"/>
    </row>
    <row r="125" spans="1:26" ht="14.4" x14ac:dyDescent="0.3">
      <c r="A125" s="70"/>
      <c r="B125" s="70"/>
      <c r="C125" s="93"/>
      <c r="D125" s="93" t="s">
        <v>27</v>
      </c>
      <c r="E125" s="93"/>
      <c r="F125" s="93"/>
      <c r="G125" s="93"/>
      <c r="H125" s="93"/>
      <c r="I125" s="95" t="s">
        <v>27</v>
      </c>
      <c r="J125" s="95"/>
      <c r="K125" s="95"/>
      <c r="L125" s="95"/>
      <c r="M125" s="93"/>
      <c r="N125" s="93" t="s">
        <v>27</v>
      </c>
      <c r="O125" s="93"/>
      <c r="P125" s="93"/>
      <c r="Q125" s="93"/>
      <c r="R125" s="93"/>
      <c r="S125" s="93" t="s">
        <v>27</v>
      </c>
      <c r="T125" s="93"/>
      <c r="U125" s="93"/>
      <c r="V125" s="93"/>
      <c r="W125" s="95"/>
      <c r="X125" s="95"/>
      <c r="Y125" s="83"/>
      <c r="Z125" s="83"/>
    </row>
    <row r="126" spans="1:26" ht="14.4" x14ac:dyDescent="0.3">
      <c r="A126" s="70"/>
      <c r="B126" s="93" t="s">
        <v>24</v>
      </c>
      <c r="C126" s="93"/>
      <c r="D126" s="93" t="s">
        <v>28</v>
      </c>
      <c r="E126" s="93" t="s">
        <v>39</v>
      </c>
      <c r="F126" s="93" t="s">
        <v>45</v>
      </c>
      <c r="G126" s="93" t="s">
        <v>1</v>
      </c>
      <c r="H126" s="93"/>
      <c r="I126" s="95" t="s">
        <v>28</v>
      </c>
      <c r="J126" s="95" t="s">
        <v>39</v>
      </c>
      <c r="K126" s="95" t="s">
        <v>171</v>
      </c>
      <c r="L126" s="95" t="s">
        <v>1</v>
      </c>
      <c r="M126" s="93"/>
      <c r="N126" s="93" t="s">
        <v>28</v>
      </c>
      <c r="O126" s="93" t="s">
        <v>39</v>
      </c>
      <c r="P126" s="93" t="s">
        <v>45</v>
      </c>
      <c r="Q126" s="93" t="s">
        <v>1</v>
      </c>
      <c r="R126" s="93"/>
      <c r="S126" s="93" t="s">
        <v>28</v>
      </c>
      <c r="T126" s="93" t="s">
        <v>39</v>
      </c>
      <c r="U126" s="93" t="s">
        <v>73</v>
      </c>
      <c r="V126" s="93" t="s">
        <v>1</v>
      </c>
      <c r="W126" s="95"/>
      <c r="X126" s="95" t="s">
        <v>51</v>
      </c>
      <c r="Y126" s="83"/>
      <c r="Z126" s="95" t="s">
        <v>53</v>
      </c>
    </row>
    <row r="127" spans="1:26" ht="14.4" x14ac:dyDescent="0.3">
      <c r="A127" s="96" t="s">
        <v>0</v>
      </c>
      <c r="B127" s="96" t="s">
        <v>2</v>
      </c>
      <c r="C127" s="93"/>
      <c r="D127" s="96" t="s">
        <v>29</v>
      </c>
      <c r="E127" s="96" t="str">
        <f>E88</f>
        <v>('000 Gal)</v>
      </c>
      <c r="F127" s="96" t="s">
        <v>46</v>
      </c>
      <c r="G127" s="96" t="s">
        <v>47</v>
      </c>
      <c r="H127" s="93"/>
      <c r="I127" s="97" t="s">
        <v>29</v>
      </c>
      <c r="J127" s="97" t="str">
        <f>J88</f>
        <v>('000 Gal)</v>
      </c>
      <c r="K127" s="97" t="s">
        <v>46</v>
      </c>
      <c r="L127" s="97" t="s">
        <v>47</v>
      </c>
      <c r="M127" s="93"/>
      <c r="N127" s="96" t="s">
        <v>29</v>
      </c>
      <c r="O127" s="96" t="str">
        <f>E127</f>
        <v>('000 Gal)</v>
      </c>
      <c r="P127" s="96" t="s">
        <v>46</v>
      </c>
      <c r="Q127" s="96" t="s">
        <v>47</v>
      </c>
      <c r="R127" s="93"/>
      <c r="S127" s="96" t="s">
        <v>29</v>
      </c>
      <c r="T127" s="96" t="str">
        <f>O127</f>
        <v>('000 Gal)</v>
      </c>
      <c r="U127" s="96" t="s">
        <v>46</v>
      </c>
      <c r="V127" s="96" t="s">
        <v>47</v>
      </c>
      <c r="W127" s="95"/>
      <c r="X127" s="97" t="s">
        <v>52</v>
      </c>
      <c r="Y127" s="83"/>
      <c r="Z127" s="97" t="s">
        <v>52</v>
      </c>
    </row>
    <row r="128" spans="1:26" ht="14.4" x14ac:dyDescent="0.3">
      <c r="A128" s="93">
        <v>1</v>
      </c>
      <c r="B128" s="98" t="s">
        <v>55</v>
      </c>
      <c r="C128" s="93"/>
      <c r="D128" s="70"/>
      <c r="E128" s="93"/>
      <c r="F128" s="93"/>
      <c r="G128" s="93"/>
      <c r="H128" s="93"/>
      <c r="I128" s="95"/>
      <c r="J128" s="95"/>
      <c r="K128" s="95"/>
      <c r="L128" s="95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5"/>
      <c r="X128" s="95"/>
      <c r="Y128" s="83"/>
      <c r="Z128" s="95"/>
    </row>
    <row r="129" spans="1:26" ht="14.4" x14ac:dyDescent="0.3">
      <c r="A129" s="93">
        <v>2</v>
      </c>
      <c r="B129" s="99" t="s">
        <v>26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83"/>
      <c r="X129" s="83"/>
      <c r="Y129" s="83"/>
      <c r="Z129" s="83"/>
    </row>
    <row r="130" spans="1:26" ht="14.4" x14ac:dyDescent="0.3">
      <c r="A130" s="93">
        <v>3</v>
      </c>
      <c r="B130" s="70" t="s">
        <v>30</v>
      </c>
      <c r="C130" s="86"/>
      <c r="D130" s="84">
        <f>'Link in'!E10</f>
        <v>0</v>
      </c>
      <c r="E130" s="85"/>
      <c r="F130" s="131">
        <f>'Link in'!E41</f>
        <v>0</v>
      </c>
      <c r="G130" s="100">
        <f>ROUND((D130*F130),0)</f>
        <v>0</v>
      </c>
      <c r="H130" s="86"/>
      <c r="I130" s="84">
        <f>D130</f>
        <v>0</v>
      </c>
      <c r="J130" s="85"/>
      <c r="K130" s="131">
        <f>U130</f>
        <v>15</v>
      </c>
      <c r="L130" s="100">
        <f>ROUND((I130*K130),0)</f>
        <v>0</v>
      </c>
      <c r="M130" s="86"/>
      <c r="N130" s="84">
        <f>'Link in'!O10</f>
        <v>0</v>
      </c>
      <c r="O130" s="85"/>
      <c r="P130" s="131">
        <f>F130</f>
        <v>0</v>
      </c>
      <c r="Q130" s="100">
        <f>ROUND((N130*P130),0)</f>
        <v>0</v>
      </c>
      <c r="R130" s="86"/>
      <c r="S130" s="80">
        <f>N130</f>
        <v>0</v>
      </c>
      <c r="T130" s="81"/>
      <c r="U130" s="131">
        <f>'Link in'!L41</f>
        <v>15</v>
      </c>
      <c r="V130" s="86">
        <f>ROUND((S130*U130),0)</f>
        <v>0</v>
      </c>
      <c r="W130" s="100"/>
      <c r="X130" s="86">
        <f>+V130-Q130</f>
        <v>0</v>
      </c>
      <c r="Y130" s="85"/>
      <c r="Z130" s="101">
        <f t="shared" ref="Z130:Z139" si="49">IF(Q130=0,0,ROUND((X130/Q130),4))</f>
        <v>0</v>
      </c>
    </row>
    <row r="131" spans="1:26" ht="14.4" x14ac:dyDescent="0.3">
      <c r="A131" s="93">
        <v>4</v>
      </c>
      <c r="B131" s="70" t="s">
        <v>31</v>
      </c>
      <c r="C131" s="80"/>
      <c r="D131" s="84">
        <f>'Link in'!E11</f>
        <v>0</v>
      </c>
      <c r="E131" s="85"/>
      <c r="F131" s="103">
        <f>'Link in'!E42</f>
        <v>0</v>
      </c>
      <c r="G131" s="84">
        <f t="shared" ref="G131:G138" si="50">ROUND((D131*F131),0)</f>
        <v>0</v>
      </c>
      <c r="H131" s="80"/>
      <c r="I131" s="84">
        <f t="shared" ref="I131:I138" si="51">D131</f>
        <v>0</v>
      </c>
      <c r="J131" s="85"/>
      <c r="K131" s="103">
        <f t="shared" ref="K131:K138" si="52">U131</f>
        <v>22.4</v>
      </c>
      <c r="L131" s="84">
        <f t="shared" ref="L131:L138" si="53">ROUND((I131*K131),0)</f>
        <v>0</v>
      </c>
      <c r="M131" s="80"/>
      <c r="N131" s="84">
        <f>'Link in'!O11</f>
        <v>0</v>
      </c>
      <c r="O131" s="85"/>
      <c r="P131" s="103">
        <f t="shared" ref="P131:P138" si="54">F131</f>
        <v>0</v>
      </c>
      <c r="Q131" s="84">
        <f t="shared" ref="Q131:Q138" si="55">ROUND((N131*P131),0)</f>
        <v>0</v>
      </c>
      <c r="R131" s="80"/>
      <c r="S131" s="80">
        <f t="shared" ref="S131:S138" si="56">N131</f>
        <v>0</v>
      </c>
      <c r="T131" s="81"/>
      <c r="U131" s="103">
        <f>'Link in'!L42</f>
        <v>22.4</v>
      </c>
      <c r="V131" s="80">
        <f t="shared" ref="V131:V138" si="57">ROUND((S131*U131),0)</f>
        <v>0</v>
      </c>
      <c r="W131" s="84"/>
      <c r="X131" s="80">
        <f t="shared" ref="X131:X139" si="58">+V131-Q131</f>
        <v>0</v>
      </c>
      <c r="Y131" s="85"/>
      <c r="Z131" s="101">
        <f t="shared" si="49"/>
        <v>0</v>
      </c>
    </row>
    <row r="132" spans="1:26" ht="14.4" x14ac:dyDescent="0.3">
      <c r="A132" s="93">
        <v>5</v>
      </c>
      <c r="B132" s="70" t="s">
        <v>32</v>
      </c>
      <c r="C132" s="80"/>
      <c r="D132" s="84">
        <f>'Link in'!E12</f>
        <v>0</v>
      </c>
      <c r="E132" s="85"/>
      <c r="F132" s="103">
        <f>'Link in'!E43</f>
        <v>0</v>
      </c>
      <c r="G132" s="84">
        <f t="shared" si="50"/>
        <v>0</v>
      </c>
      <c r="H132" s="80"/>
      <c r="I132" s="84">
        <f t="shared" si="51"/>
        <v>0</v>
      </c>
      <c r="J132" s="85"/>
      <c r="K132" s="103">
        <f t="shared" si="52"/>
        <v>37.299999999999997</v>
      </c>
      <c r="L132" s="84">
        <f t="shared" si="53"/>
        <v>0</v>
      </c>
      <c r="M132" s="80"/>
      <c r="N132" s="84">
        <f>'Link in'!O12</f>
        <v>0</v>
      </c>
      <c r="O132" s="85"/>
      <c r="P132" s="103">
        <f t="shared" si="54"/>
        <v>0</v>
      </c>
      <c r="Q132" s="84">
        <f t="shared" si="55"/>
        <v>0</v>
      </c>
      <c r="R132" s="80"/>
      <c r="S132" s="80">
        <f t="shared" si="56"/>
        <v>0</v>
      </c>
      <c r="T132" s="81"/>
      <c r="U132" s="103">
        <f>'Link in'!L43</f>
        <v>37.299999999999997</v>
      </c>
      <c r="V132" s="80">
        <f t="shared" si="57"/>
        <v>0</v>
      </c>
      <c r="W132" s="84"/>
      <c r="X132" s="80">
        <f t="shared" si="58"/>
        <v>0</v>
      </c>
      <c r="Y132" s="85"/>
      <c r="Z132" s="101">
        <f t="shared" si="49"/>
        <v>0</v>
      </c>
    </row>
    <row r="133" spans="1:26" ht="14.4" x14ac:dyDescent="0.3">
      <c r="A133" s="93">
        <v>6</v>
      </c>
      <c r="B133" s="70" t="s">
        <v>33</v>
      </c>
      <c r="C133" s="80"/>
      <c r="D133" s="84">
        <f>'Link in'!E13</f>
        <v>0</v>
      </c>
      <c r="E133" s="85"/>
      <c r="F133" s="103">
        <f>'Link in'!E44</f>
        <v>0</v>
      </c>
      <c r="G133" s="84">
        <f t="shared" si="50"/>
        <v>0</v>
      </c>
      <c r="H133" s="80"/>
      <c r="I133" s="84">
        <f t="shared" si="51"/>
        <v>0</v>
      </c>
      <c r="J133" s="85"/>
      <c r="K133" s="103">
        <f t="shared" si="52"/>
        <v>74.7</v>
      </c>
      <c r="L133" s="84">
        <f t="shared" si="53"/>
        <v>0</v>
      </c>
      <c r="M133" s="80"/>
      <c r="N133" s="84">
        <f>'Link in'!O13</f>
        <v>0</v>
      </c>
      <c r="O133" s="85"/>
      <c r="P133" s="103">
        <f t="shared" si="54"/>
        <v>0</v>
      </c>
      <c r="Q133" s="84">
        <f t="shared" si="55"/>
        <v>0</v>
      </c>
      <c r="R133" s="80"/>
      <c r="S133" s="80">
        <f t="shared" si="56"/>
        <v>0</v>
      </c>
      <c r="T133" s="81"/>
      <c r="U133" s="103">
        <f>'Link in'!L44</f>
        <v>74.7</v>
      </c>
      <c r="V133" s="80">
        <f t="shared" si="57"/>
        <v>0</v>
      </c>
      <c r="W133" s="84"/>
      <c r="X133" s="80">
        <f t="shared" si="58"/>
        <v>0</v>
      </c>
      <c r="Y133" s="85"/>
      <c r="Z133" s="101">
        <f t="shared" si="49"/>
        <v>0</v>
      </c>
    </row>
    <row r="134" spans="1:26" ht="14.4" x14ac:dyDescent="0.3">
      <c r="A134" s="93">
        <v>7</v>
      </c>
      <c r="B134" s="70" t="s">
        <v>34</v>
      </c>
      <c r="C134" s="80"/>
      <c r="D134" s="84">
        <f>'Link in'!E14</f>
        <v>0</v>
      </c>
      <c r="E134" s="85"/>
      <c r="F134" s="103">
        <f>'Link in'!E45</f>
        <v>0</v>
      </c>
      <c r="G134" s="84">
        <f t="shared" si="50"/>
        <v>0</v>
      </c>
      <c r="H134" s="80"/>
      <c r="I134" s="84">
        <f t="shared" si="51"/>
        <v>0</v>
      </c>
      <c r="J134" s="85"/>
      <c r="K134" s="103">
        <f t="shared" si="52"/>
        <v>119.5</v>
      </c>
      <c r="L134" s="84">
        <f t="shared" si="53"/>
        <v>0</v>
      </c>
      <c r="M134" s="80"/>
      <c r="N134" s="84">
        <f>'Link in'!O14</f>
        <v>0</v>
      </c>
      <c r="O134" s="85"/>
      <c r="P134" s="103">
        <f t="shared" si="54"/>
        <v>0</v>
      </c>
      <c r="Q134" s="84">
        <f t="shared" si="55"/>
        <v>0</v>
      </c>
      <c r="R134" s="80"/>
      <c r="S134" s="80">
        <f t="shared" si="56"/>
        <v>0</v>
      </c>
      <c r="T134" s="81"/>
      <c r="U134" s="103">
        <f>'Link in'!L45</f>
        <v>119.5</v>
      </c>
      <c r="V134" s="80">
        <f t="shared" si="57"/>
        <v>0</v>
      </c>
      <c r="W134" s="84"/>
      <c r="X134" s="80">
        <f t="shared" si="58"/>
        <v>0</v>
      </c>
      <c r="Y134" s="85"/>
      <c r="Z134" s="101">
        <f t="shared" si="49"/>
        <v>0</v>
      </c>
    </row>
    <row r="135" spans="1:26" ht="14.4" x14ac:dyDescent="0.3">
      <c r="A135" s="93">
        <v>8</v>
      </c>
      <c r="B135" s="70" t="s">
        <v>35</v>
      </c>
      <c r="C135" s="80"/>
      <c r="D135" s="84">
        <f>'Link in'!E15</f>
        <v>0</v>
      </c>
      <c r="E135" s="85"/>
      <c r="F135" s="103">
        <f>'Link in'!E46</f>
        <v>0</v>
      </c>
      <c r="G135" s="84">
        <f t="shared" si="50"/>
        <v>0</v>
      </c>
      <c r="H135" s="80"/>
      <c r="I135" s="84">
        <f t="shared" si="51"/>
        <v>0</v>
      </c>
      <c r="J135" s="85"/>
      <c r="K135" s="103">
        <f t="shared" si="52"/>
        <v>224</v>
      </c>
      <c r="L135" s="84">
        <f t="shared" si="53"/>
        <v>0</v>
      </c>
      <c r="M135" s="80"/>
      <c r="N135" s="84">
        <f>'Link in'!O15</f>
        <v>0</v>
      </c>
      <c r="O135" s="85"/>
      <c r="P135" s="103">
        <f t="shared" si="54"/>
        <v>0</v>
      </c>
      <c r="Q135" s="84">
        <f t="shared" si="55"/>
        <v>0</v>
      </c>
      <c r="R135" s="80"/>
      <c r="S135" s="80">
        <f t="shared" si="56"/>
        <v>0</v>
      </c>
      <c r="T135" s="81"/>
      <c r="U135" s="103">
        <f>'Link in'!L46</f>
        <v>224</v>
      </c>
      <c r="V135" s="80">
        <f t="shared" si="57"/>
        <v>0</v>
      </c>
      <c r="W135" s="84"/>
      <c r="X135" s="80">
        <f t="shared" si="58"/>
        <v>0</v>
      </c>
      <c r="Y135" s="85"/>
      <c r="Z135" s="101">
        <f t="shared" si="49"/>
        <v>0</v>
      </c>
    </row>
    <row r="136" spans="1:26" ht="14.4" x14ac:dyDescent="0.3">
      <c r="A136" s="93">
        <v>9</v>
      </c>
      <c r="B136" s="70" t="s">
        <v>36</v>
      </c>
      <c r="C136" s="80"/>
      <c r="D136" s="84">
        <f>'Link in'!E16</f>
        <v>0</v>
      </c>
      <c r="E136" s="85"/>
      <c r="F136" s="103">
        <f>'Link in'!E47</f>
        <v>0</v>
      </c>
      <c r="G136" s="84">
        <f t="shared" si="50"/>
        <v>0</v>
      </c>
      <c r="H136" s="80"/>
      <c r="I136" s="84">
        <f t="shared" si="51"/>
        <v>0</v>
      </c>
      <c r="J136" s="85"/>
      <c r="K136" s="103">
        <f t="shared" si="52"/>
        <v>373.4</v>
      </c>
      <c r="L136" s="84">
        <f t="shared" si="53"/>
        <v>0</v>
      </c>
      <c r="M136" s="80"/>
      <c r="N136" s="84">
        <f>'Link in'!O16</f>
        <v>0</v>
      </c>
      <c r="O136" s="85"/>
      <c r="P136" s="103">
        <f t="shared" si="54"/>
        <v>0</v>
      </c>
      <c r="Q136" s="84">
        <f t="shared" si="55"/>
        <v>0</v>
      </c>
      <c r="R136" s="80"/>
      <c r="S136" s="80">
        <f t="shared" si="56"/>
        <v>0</v>
      </c>
      <c r="T136" s="81"/>
      <c r="U136" s="103">
        <f>'Link in'!L47</f>
        <v>373.4</v>
      </c>
      <c r="V136" s="80">
        <f t="shared" si="57"/>
        <v>0</v>
      </c>
      <c r="W136" s="84"/>
      <c r="X136" s="80">
        <f t="shared" si="58"/>
        <v>0</v>
      </c>
      <c r="Y136" s="85"/>
      <c r="Z136" s="101">
        <f t="shared" si="49"/>
        <v>0</v>
      </c>
    </row>
    <row r="137" spans="1:26" ht="14.4" x14ac:dyDescent="0.3">
      <c r="A137" s="93">
        <v>10</v>
      </c>
      <c r="B137" s="70" t="s">
        <v>37</v>
      </c>
      <c r="C137" s="80"/>
      <c r="D137" s="84">
        <f>'Link in'!E17</f>
        <v>0</v>
      </c>
      <c r="E137" s="85"/>
      <c r="F137" s="103">
        <f>'Link in'!E48</f>
        <v>0</v>
      </c>
      <c r="G137" s="84">
        <f t="shared" si="50"/>
        <v>0</v>
      </c>
      <c r="H137" s="80"/>
      <c r="I137" s="84">
        <f t="shared" si="51"/>
        <v>0</v>
      </c>
      <c r="J137" s="85"/>
      <c r="K137" s="103">
        <f t="shared" si="52"/>
        <v>746.7</v>
      </c>
      <c r="L137" s="84">
        <f t="shared" si="53"/>
        <v>0</v>
      </c>
      <c r="M137" s="80"/>
      <c r="N137" s="84">
        <f>'Link in'!O17</f>
        <v>0</v>
      </c>
      <c r="O137" s="85"/>
      <c r="P137" s="103">
        <f t="shared" si="54"/>
        <v>0</v>
      </c>
      <c r="Q137" s="84">
        <f t="shared" si="55"/>
        <v>0</v>
      </c>
      <c r="R137" s="80"/>
      <c r="S137" s="80">
        <f t="shared" si="56"/>
        <v>0</v>
      </c>
      <c r="T137" s="81"/>
      <c r="U137" s="103">
        <f>'Link in'!L48</f>
        <v>746.7</v>
      </c>
      <c r="V137" s="80">
        <f t="shared" si="57"/>
        <v>0</v>
      </c>
      <c r="W137" s="84"/>
      <c r="X137" s="80">
        <f t="shared" si="58"/>
        <v>0</v>
      </c>
      <c r="Y137" s="85"/>
      <c r="Z137" s="101">
        <f t="shared" si="49"/>
        <v>0</v>
      </c>
    </row>
    <row r="138" spans="1:26" ht="14.4" x14ac:dyDescent="0.3">
      <c r="A138" s="93">
        <v>11</v>
      </c>
      <c r="B138" s="70" t="s">
        <v>38</v>
      </c>
      <c r="C138" s="80"/>
      <c r="D138" s="84">
        <f>'Link in'!E18</f>
        <v>0</v>
      </c>
      <c r="E138" s="85"/>
      <c r="F138" s="103">
        <f>'Link in'!E49</f>
        <v>0</v>
      </c>
      <c r="G138" s="84">
        <f t="shared" si="50"/>
        <v>0</v>
      </c>
      <c r="H138" s="80"/>
      <c r="I138" s="84">
        <f t="shared" si="51"/>
        <v>0</v>
      </c>
      <c r="J138" s="85"/>
      <c r="K138" s="103">
        <f t="shared" si="52"/>
        <v>1194.7</v>
      </c>
      <c r="L138" s="84">
        <f t="shared" si="53"/>
        <v>0</v>
      </c>
      <c r="M138" s="80"/>
      <c r="N138" s="84">
        <f>'Link in'!O18</f>
        <v>0</v>
      </c>
      <c r="O138" s="85"/>
      <c r="P138" s="103">
        <f t="shared" si="54"/>
        <v>0</v>
      </c>
      <c r="Q138" s="84">
        <f t="shared" si="55"/>
        <v>0</v>
      </c>
      <c r="R138" s="80"/>
      <c r="S138" s="80">
        <f t="shared" si="56"/>
        <v>0</v>
      </c>
      <c r="T138" s="81"/>
      <c r="U138" s="103">
        <f>'Link in'!L49</f>
        <v>1194.7</v>
      </c>
      <c r="V138" s="80">
        <f t="shared" si="57"/>
        <v>0</v>
      </c>
      <c r="W138" s="84"/>
      <c r="X138" s="80">
        <f t="shared" si="58"/>
        <v>0</v>
      </c>
      <c r="Y138" s="85"/>
      <c r="Z138" s="101">
        <f t="shared" si="49"/>
        <v>0</v>
      </c>
    </row>
    <row r="139" spans="1:26" ht="14.4" x14ac:dyDescent="0.3">
      <c r="A139" s="93">
        <v>12</v>
      </c>
      <c r="B139" s="70" t="s">
        <v>113</v>
      </c>
      <c r="C139" s="80"/>
      <c r="D139" s="84"/>
      <c r="E139" s="85"/>
      <c r="F139" s="103"/>
      <c r="G139" s="84"/>
      <c r="H139" s="80"/>
      <c r="I139" s="84"/>
      <c r="J139" s="85"/>
      <c r="K139" s="103"/>
      <c r="L139" s="84"/>
      <c r="M139" s="80"/>
      <c r="N139" s="84"/>
      <c r="O139" s="85"/>
      <c r="P139" s="103"/>
      <c r="Q139" s="103"/>
      <c r="R139" s="80"/>
      <c r="S139" s="80"/>
      <c r="T139" s="81"/>
      <c r="U139" s="103"/>
      <c r="V139" s="80"/>
      <c r="W139" s="84"/>
      <c r="X139" s="80">
        <f t="shared" si="58"/>
        <v>0</v>
      </c>
      <c r="Y139" s="85"/>
      <c r="Z139" s="101">
        <f t="shared" si="49"/>
        <v>0</v>
      </c>
    </row>
    <row r="140" spans="1:26" ht="14.4" x14ac:dyDescent="0.3">
      <c r="A140" s="93">
        <v>13</v>
      </c>
      <c r="B140" s="70"/>
      <c r="C140" s="80"/>
      <c r="D140" s="84"/>
      <c r="E140" s="85"/>
      <c r="F140" s="103"/>
      <c r="G140" s="84"/>
      <c r="H140" s="80"/>
      <c r="I140" s="84"/>
      <c r="J140" s="85"/>
      <c r="K140" s="103"/>
      <c r="L140" s="84"/>
      <c r="M140" s="80"/>
      <c r="N140" s="84"/>
      <c r="O140" s="85"/>
      <c r="P140" s="103"/>
      <c r="Q140" s="103"/>
      <c r="R140" s="80"/>
      <c r="S140" s="80"/>
      <c r="T140" s="81"/>
      <c r="U140" s="103"/>
      <c r="V140" s="80"/>
      <c r="W140" s="84"/>
      <c r="X140" s="100"/>
      <c r="Y140" s="85"/>
      <c r="Z140" s="101"/>
    </row>
    <row r="141" spans="1:26" ht="14.4" x14ac:dyDescent="0.3">
      <c r="A141" s="93">
        <v>14</v>
      </c>
      <c r="B141" s="70"/>
      <c r="C141" s="81"/>
      <c r="D141" s="85"/>
      <c r="E141" s="85"/>
      <c r="F141" s="85"/>
      <c r="G141" s="85"/>
      <c r="H141" s="81"/>
      <c r="I141" s="85"/>
      <c r="J141" s="85"/>
      <c r="K141" s="85"/>
      <c r="L141" s="85"/>
      <c r="M141" s="81"/>
      <c r="N141" s="85"/>
      <c r="O141" s="85"/>
      <c r="P141" s="85"/>
      <c r="Q141" s="85"/>
      <c r="R141" s="81"/>
      <c r="S141" s="81"/>
      <c r="T141" s="81"/>
      <c r="U141" s="85"/>
      <c r="V141" s="81"/>
      <c r="W141" s="85"/>
      <c r="X141" s="84"/>
      <c r="Y141" s="85"/>
      <c r="Z141" s="101"/>
    </row>
    <row r="142" spans="1:26" ht="14.4" x14ac:dyDescent="0.3">
      <c r="A142" s="93">
        <v>15</v>
      </c>
      <c r="B142" s="70"/>
      <c r="C142" s="70"/>
      <c r="D142" s="83"/>
      <c r="E142" s="83"/>
      <c r="F142" s="85"/>
      <c r="G142" s="83"/>
      <c r="H142" s="70"/>
      <c r="I142" s="83"/>
      <c r="J142" s="83"/>
      <c r="K142" s="85"/>
      <c r="L142" s="83"/>
      <c r="M142" s="70"/>
      <c r="N142" s="83"/>
      <c r="O142" s="83"/>
      <c r="P142" s="83"/>
      <c r="Q142" s="83"/>
      <c r="R142" s="70"/>
      <c r="S142" s="70"/>
      <c r="T142" s="70"/>
      <c r="U142" s="83"/>
      <c r="V142" s="70"/>
      <c r="W142" s="83"/>
      <c r="X142" s="83"/>
      <c r="Y142" s="83"/>
      <c r="Z142" s="83"/>
    </row>
    <row r="143" spans="1:26" ht="14.4" x14ac:dyDescent="0.3">
      <c r="A143" s="93">
        <v>16</v>
      </c>
      <c r="B143" s="99" t="s">
        <v>40</v>
      </c>
      <c r="C143" s="81"/>
      <c r="D143" s="85"/>
      <c r="E143" s="85"/>
      <c r="F143" s="85"/>
      <c r="G143" s="85"/>
      <c r="H143" s="81"/>
      <c r="I143" s="85"/>
      <c r="J143" s="85"/>
      <c r="K143" s="85"/>
      <c r="L143" s="85"/>
      <c r="M143" s="81"/>
      <c r="N143" s="85"/>
      <c r="O143" s="85"/>
      <c r="P143" s="85"/>
      <c r="Q143" s="85"/>
      <c r="R143" s="81"/>
      <c r="S143" s="81"/>
      <c r="T143" s="81"/>
      <c r="U143" s="85"/>
      <c r="V143" s="81"/>
      <c r="W143" s="85"/>
      <c r="X143" s="84"/>
      <c r="Y143" s="85"/>
      <c r="Z143" s="101"/>
    </row>
    <row r="144" spans="1:26" ht="14.4" x14ac:dyDescent="0.3">
      <c r="A144" s="93">
        <v>17</v>
      </c>
      <c r="B144" s="70" t="s">
        <v>41</v>
      </c>
      <c r="C144" s="86"/>
      <c r="D144" s="85"/>
      <c r="E144" s="84">
        <f>'Link in'!E23</f>
        <v>0</v>
      </c>
      <c r="F144" s="133">
        <v>0</v>
      </c>
      <c r="G144" s="100">
        <f>ROUND((E144*F144),0)</f>
        <v>0</v>
      </c>
      <c r="H144" s="86"/>
      <c r="I144" s="85"/>
      <c r="J144" s="84">
        <f>E144</f>
        <v>0</v>
      </c>
      <c r="K144" s="133">
        <f t="shared" ref="K144:K149" si="59">U144</f>
        <v>4.75</v>
      </c>
      <c r="L144" s="100">
        <f>ROUND((J144*K144),0)</f>
        <v>0</v>
      </c>
      <c r="M144" s="86"/>
      <c r="N144" s="85"/>
      <c r="O144" s="84">
        <f>'Link in'!O23</f>
        <v>0</v>
      </c>
      <c r="P144" s="134">
        <v>0</v>
      </c>
      <c r="Q144" s="100">
        <f>ROUND((O144*P144),0)</f>
        <v>0</v>
      </c>
      <c r="R144" s="86"/>
      <c r="S144" s="81"/>
      <c r="T144" s="80">
        <f>O144</f>
        <v>0</v>
      </c>
      <c r="U144" s="133">
        <f>+'Link in'!$L59</f>
        <v>4.75</v>
      </c>
      <c r="V144" s="86">
        <f>ROUND((T144*U144),0)</f>
        <v>0</v>
      </c>
      <c r="W144" s="84"/>
      <c r="X144" s="86">
        <f t="shared" ref="X144:X150" si="60">+V144-Q144</f>
        <v>0</v>
      </c>
      <c r="Y144" s="85"/>
      <c r="Z144" s="101">
        <f t="shared" ref="Z144:Z152" si="61">IF(Q144=0,0,ROUND((X144/Q144),4))</f>
        <v>0</v>
      </c>
    </row>
    <row r="145" spans="1:27" ht="14.4" x14ac:dyDescent="0.3">
      <c r="A145" s="93">
        <v>18</v>
      </c>
      <c r="B145" s="70" t="s">
        <v>42</v>
      </c>
      <c r="C145" s="80"/>
      <c r="D145" s="83"/>
      <c r="E145" s="84">
        <f>'Link in'!E24</f>
        <v>0</v>
      </c>
      <c r="F145" s="111">
        <f>'Link in'!E60</f>
        <v>0</v>
      </c>
      <c r="G145" s="84">
        <f>ROUND((E145*F145),0)</f>
        <v>0</v>
      </c>
      <c r="H145" s="80"/>
      <c r="I145" s="83"/>
      <c r="J145" s="84">
        <f t="shared" ref="J145:J150" si="62">E145</f>
        <v>0</v>
      </c>
      <c r="K145" s="111">
        <f t="shared" si="59"/>
        <v>4.75</v>
      </c>
      <c r="L145" s="84">
        <f>ROUND((J145*K145),0)</f>
        <v>0</v>
      </c>
      <c r="M145" s="80"/>
      <c r="N145" s="83"/>
      <c r="O145" s="84">
        <f>'Link in'!O24</f>
        <v>0</v>
      </c>
      <c r="P145" s="111">
        <f>'Link in'!O60</f>
        <v>0</v>
      </c>
      <c r="Q145" s="84">
        <f>ROUND((O145*P145),0)</f>
        <v>0</v>
      </c>
      <c r="R145" s="80"/>
      <c r="S145" s="70"/>
      <c r="T145" s="80">
        <f t="shared" ref="T145:T150" si="63">O145</f>
        <v>0</v>
      </c>
      <c r="U145" s="111">
        <f>+'Link in'!$L60</f>
        <v>4.75</v>
      </c>
      <c r="V145" s="80">
        <f>ROUND((T145*U145),0)</f>
        <v>0</v>
      </c>
      <c r="W145" s="84"/>
      <c r="X145" s="80">
        <f t="shared" si="60"/>
        <v>0</v>
      </c>
      <c r="Y145" s="83"/>
      <c r="Z145" s="101">
        <f t="shared" si="61"/>
        <v>0</v>
      </c>
    </row>
    <row r="146" spans="1:27" ht="14.4" x14ac:dyDescent="0.3">
      <c r="A146" s="93">
        <v>19</v>
      </c>
      <c r="B146" s="70" t="s">
        <v>43</v>
      </c>
      <c r="C146" s="80"/>
      <c r="D146" s="83"/>
      <c r="E146" s="84">
        <f>'Link in'!E25</f>
        <v>0</v>
      </c>
      <c r="F146" s="111">
        <f>'Link in'!E61</f>
        <v>0</v>
      </c>
      <c r="G146" s="84">
        <f>ROUND((E146*F146),0)</f>
        <v>0</v>
      </c>
      <c r="H146" s="80"/>
      <c r="I146" s="83"/>
      <c r="J146" s="84">
        <f t="shared" si="62"/>
        <v>0</v>
      </c>
      <c r="K146" s="111">
        <f t="shared" si="59"/>
        <v>4.75</v>
      </c>
      <c r="L146" s="84">
        <f>ROUND((J146*K146),0)</f>
        <v>0</v>
      </c>
      <c r="M146" s="80"/>
      <c r="N146" s="83"/>
      <c r="O146" s="84">
        <f>'Link in'!O25</f>
        <v>0</v>
      </c>
      <c r="P146" s="111">
        <f>'Link in'!O61</f>
        <v>0</v>
      </c>
      <c r="Q146" s="84">
        <f>ROUND((O146*P146),0)</f>
        <v>0</v>
      </c>
      <c r="R146" s="80"/>
      <c r="S146" s="70"/>
      <c r="T146" s="80">
        <f t="shared" si="63"/>
        <v>0</v>
      </c>
      <c r="U146" s="111">
        <f>+'Link in'!$L61</f>
        <v>4.75</v>
      </c>
      <c r="V146" s="80">
        <f>ROUND((T146*U146),0)</f>
        <v>0</v>
      </c>
      <c r="W146" s="84"/>
      <c r="X146" s="80">
        <f t="shared" si="60"/>
        <v>0</v>
      </c>
      <c r="Y146" s="83"/>
      <c r="Z146" s="101">
        <f t="shared" si="61"/>
        <v>0</v>
      </c>
    </row>
    <row r="147" spans="1:27" ht="14.4" x14ac:dyDescent="0.3">
      <c r="A147" s="93">
        <v>20</v>
      </c>
      <c r="B147" s="70" t="s">
        <v>44</v>
      </c>
      <c r="C147" s="80"/>
      <c r="D147" s="83"/>
      <c r="E147" s="84">
        <f>'Link in'!E26</f>
        <v>0</v>
      </c>
      <c r="F147" s="111">
        <f>'Link in'!E62</f>
        <v>0</v>
      </c>
      <c r="G147" s="84">
        <f>ROUND((E147*F147),0)</f>
        <v>0</v>
      </c>
      <c r="H147" s="80"/>
      <c r="I147" s="83"/>
      <c r="J147" s="84">
        <f t="shared" si="62"/>
        <v>0</v>
      </c>
      <c r="K147" s="111">
        <f t="shared" si="59"/>
        <v>4.75</v>
      </c>
      <c r="L147" s="84">
        <f>ROUND((J147*K147),0)</f>
        <v>0</v>
      </c>
      <c r="M147" s="80"/>
      <c r="N147" s="83"/>
      <c r="O147" s="84">
        <f>'Link in'!O26</f>
        <v>0</v>
      </c>
      <c r="P147" s="111">
        <f>'Link in'!O62</f>
        <v>0</v>
      </c>
      <c r="Q147" s="84">
        <f>ROUND((O147*P147),0)</f>
        <v>0</v>
      </c>
      <c r="R147" s="80"/>
      <c r="S147" s="70"/>
      <c r="T147" s="80">
        <f t="shared" si="63"/>
        <v>0</v>
      </c>
      <c r="U147" s="111">
        <f>+'Link in'!$L62</f>
        <v>4.75</v>
      </c>
      <c r="V147" s="80">
        <f>ROUND((T147*U147),0)</f>
        <v>0</v>
      </c>
      <c r="W147" s="84"/>
      <c r="X147" s="80">
        <f t="shared" si="60"/>
        <v>0</v>
      </c>
      <c r="Y147" s="83"/>
      <c r="Z147" s="101">
        <f t="shared" si="61"/>
        <v>0</v>
      </c>
    </row>
    <row r="148" spans="1:27" ht="14.4" x14ac:dyDescent="0.3">
      <c r="A148" s="93">
        <v>21</v>
      </c>
      <c r="B148" s="70" t="s">
        <v>96</v>
      </c>
      <c r="C148" s="70"/>
      <c r="D148" s="83"/>
      <c r="E148" s="84">
        <f>'Link in'!E27</f>
        <v>0</v>
      </c>
      <c r="F148" s="111">
        <f>'Link in'!E63</f>
        <v>0</v>
      </c>
      <c r="G148" s="84">
        <f t="shared" ref="G148:G149" si="64">ROUND((E148*F148),0)</f>
        <v>0</v>
      </c>
      <c r="H148" s="80"/>
      <c r="I148" s="83"/>
      <c r="J148" s="84">
        <f t="shared" si="62"/>
        <v>0</v>
      </c>
      <c r="K148" s="111">
        <f t="shared" si="59"/>
        <v>4.75</v>
      </c>
      <c r="L148" s="84">
        <f t="shared" ref="L148:L149" si="65">ROUND((J148*K148),0)</f>
        <v>0</v>
      </c>
      <c r="M148" s="70"/>
      <c r="N148" s="83"/>
      <c r="O148" s="84">
        <f>'Link in'!O27</f>
        <v>0</v>
      </c>
      <c r="P148" s="111">
        <f>'Link in'!O63</f>
        <v>0</v>
      </c>
      <c r="Q148" s="84">
        <f t="shared" ref="Q148:Q149" si="66">ROUND((O148*P148),0)</f>
        <v>0</v>
      </c>
      <c r="R148" s="70"/>
      <c r="S148" s="70"/>
      <c r="T148" s="80">
        <f t="shared" si="63"/>
        <v>0</v>
      </c>
      <c r="U148" s="111">
        <f>+'Link in'!$L63</f>
        <v>4.75</v>
      </c>
      <c r="V148" s="80">
        <f t="shared" ref="V148:V149" si="67">ROUND((T148*U148),0)</f>
        <v>0</v>
      </c>
      <c r="W148" s="83"/>
      <c r="X148" s="80">
        <f t="shared" si="60"/>
        <v>0</v>
      </c>
      <c r="Y148" s="83"/>
      <c r="Z148" s="101">
        <f t="shared" si="61"/>
        <v>0</v>
      </c>
    </row>
    <row r="149" spans="1:27" ht="14.4" x14ac:dyDescent="0.3">
      <c r="A149" s="93">
        <v>22</v>
      </c>
      <c r="B149" s="70" t="s">
        <v>101</v>
      </c>
      <c r="C149" s="70"/>
      <c r="D149" s="83"/>
      <c r="E149" s="84">
        <f>'Link in'!E28</f>
        <v>0</v>
      </c>
      <c r="F149" s="111">
        <f>'Link in'!E64</f>
        <v>0</v>
      </c>
      <c r="G149" s="84">
        <f t="shared" si="64"/>
        <v>0</v>
      </c>
      <c r="H149" s="80"/>
      <c r="I149" s="83"/>
      <c r="J149" s="84">
        <f t="shared" si="62"/>
        <v>0</v>
      </c>
      <c r="K149" s="111">
        <f t="shared" si="59"/>
        <v>4.75</v>
      </c>
      <c r="L149" s="84">
        <f t="shared" si="65"/>
        <v>0</v>
      </c>
      <c r="M149" s="70"/>
      <c r="N149" s="83"/>
      <c r="O149" s="84">
        <f>'Link in'!O28</f>
        <v>0</v>
      </c>
      <c r="P149" s="111">
        <f>'Link in'!O64</f>
        <v>0</v>
      </c>
      <c r="Q149" s="84">
        <f t="shared" si="66"/>
        <v>0</v>
      </c>
      <c r="R149" s="70"/>
      <c r="S149" s="70"/>
      <c r="T149" s="80">
        <f t="shared" si="63"/>
        <v>0</v>
      </c>
      <c r="U149" s="111">
        <f>+'Link in'!$L64</f>
        <v>4.75</v>
      </c>
      <c r="V149" s="80">
        <f t="shared" si="67"/>
        <v>0</v>
      </c>
      <c r="W149" s="83"/>
      <c r="X149" s="80">
        <f t="shared" si="60"/>
        <v>0</v>
      </c>
      <c r="Y149" s="83"/>
      <c r="Z149" s="101">
        <f t="shared" si="61"/>
        <v>0</v>
      </c>
    </row>
    <row r="150" spans="1:27" ht="14.4" x14ac:dyDescent="0.3">
      <c r="A150" s="93">
        <v>23</v>
      </c>
      <c r="B150" s="83" t="s">
        <v>108</v>
      </c>
      <c r="C150" s="112"/>
      <c r="D150" s="83"/>
      <c r="E150" s="83">
        <f>'Link in'!E32</f>
        <v>0</v>
      </c>
      <c r="F150" s="111"/>
      <c r="G150" s="112">
        <f>'Link in'!E34</f>
        <v>0</v>
      </c>
      <c r="H150" s="112"/>
      <c r="I150" s="83"/>
      <c r="J150" s="84">
        <f t="shared" si="62"/>
        <v>0</v>
      </c>
      <c r="K150" s="133"/>
      <c r="L150" s="112">
        <f>G150</f>
        <v>0</v>
      </c>
      <c r="M150" s="112"/>
      <c r="N150" s="83"/>
      <c r="O150" s="83"/>
      <c r="P150" s="95"/>
      <c r="Q150" s="112"/>
      <c r="R150" s="112"/>
      <c r="S150" s="83"/>
      <c r="T150" s="83">
        <f t="shared" si="63"/>
        <v>0</v>
      </c>
      <c r="U150" s="95"/>
      <c r="V150" s="112">
        <f>Q150</f>
        <v>0</v>
      </c>
      <c r="W150" s="112"/>
      <c r="X150" s="112">
        <f t="shared" si="60"/>
        <v>0</v>
      </c>
      <c r="Y150" s="83"/>
      <c r="Z150" s="101">
        <f t="shared" si="61"/>
        <v>0</v>
      </c>
      <c r="AA150" s="24"/>
    </row>
    <row r="151" spans="1:27" ht="14.4" x14ac:dyDescent="0.3">
      <c r="A151" s="93">
        <v>24</v>
      </c>
      <c r="B151" s="70"/>
      <c r="C151" s="122"/>
      <c r="D151" s="83"/>
      <c r="E151" s="83"/>
      <c r="F151" s="113"/>
      <c r="G151" s="113"/>
      <c r="H151" s="122"/>
      <c r="I151" s="83"/>
      <c r="J151" s="83"/>
      <c r="K151" s="113"/>
      <c r="L151" s="113"/>
      <c r="M151" s="122"/>
      <c r="N151" s="70"/>
      <c r="O151" s="70"/>
      <c r="P151" s="122"/>
      <c r="Q151" s="122"/>
      <c r="R151" s="122"/>
      <c r="S151" s="70"/>
      <c r="T151" s="70"/>
      <c r="U151" s="122"/>
      <c r="V151" s="122"/>
      <c r="W151" s="113"/>
      <c r="X151" s="84"/>
      <c r="Y151" s="83"/>
      <c r="Z151" s="101"/>
    </row>
    <row r="152" spans="1:27" ht="15" thickBot="1" x14ac:dyDescent="0.35">
      <c r="A152" s="93">
        <v>25</v>
      </c>
      <c r="B152" s="70" t="s">
        <v>1</v>
      </c>
      <c r="C152" s="126"/>
      <c r="D152" s="139"/>
      <c r="E152" s="140">
        <f>SUM(E144:E151)</f>
        <v>0</v>
      </c>
      <c r="F152" s="115"/>
      <c r="G152" s="141">
        <f>SUM(G130:G151)</f>
        <v>0</v>
      </c>
      <c r="H152" s="126"/>
      <c r="I152" s="139"/>
      <c r="J152" s="140">
        <f>SUM(J144:J151)</f>
        <v>0</v>
      </c>
      <c r="K152" s="115"/>
      <c r="L152" s="141">
        <f>SUM(L130:L151)</f>
        <v>0</v>
      </c>
      <c r="M152" s="126"/>
      <c r="N152" s="136"/>
      <c r="O152" s="137">
        <f>SUM(O144:O151)</f>
        <v>0</v>
      </c>
      <c r="P152" s="126"/>
      <c r="Q152" s="138">
        <f>SUM(Q130:Q151)</f>
        <v>0</v>
      </c>
      <c r="R152" s="126"/>
      <c r="S152" s="136"/>
      <c r="T152" s="137">
        <f>SUM(T144:T151)</f>
        <v>0</v>
      </c>
      <c r="U152" s="126"/>
      <c r="V152" s="138">
        <f>SUM(V130:V151)</f>
        <v>0</v>
      </c>
      <c r="W152" s="115"/>
      <c r="X152" s="141">
        <f>SUM(X130:X151)</f>
        <v>0</v>
      </c>
      <c r="Y152" s="83"/>
      <c r="Z152" s="125">
        <f t="shared" si="61"/>
        <v>0</v>
      </c>
    </row>
    <row r="153" spans="1:27" ht="15" thickTop="1" x14ac:dyDescent="0.3">
      <c r="A153" s="93"/>
      <c r="B153" s="70"/>
      <c r="C153" s="80"/>
      <c r="D153" s="70"/>
      <c r="E153" s="70"/>
      <c r="F153" s="120"/>
      <c r="G153" s="80"/>
      <c r="H153" s="80"/>
      <c r="I153" s="80"/>
      <c r="J153" s="80"/>
      <c r="K153" s="80"/>
      <c r="L153" s="80"/>
      <c r="M153" s="80"/>
      <c r="N153" s="80"/>
      <c r="O153" s="70"/>
      <c r="P153" s="120"/>
      <c r="Q153" s="80"/>
      <c r="R153" s="80"/>
      <c r="S153" s="70"/>
      <c r="T153" s="70"/>
      <c r="U153" s="120"/>
      <c r="V153" s="80"/>
      <c r="W153" s="83"/>
      <c r="X153" s="84"/>
      <c r="Y153" s="83"/>
      <c r="Z153" s="101"/>
    </row>
    <row r="154" spans="1:27" ht="14.4" x14ac:dyDescent="0.3">
      <c r="A154" s="93"/>
      <c r="B154" s="70"/>
      <c r="C154" s="80"/>
      <c r="D154" s="93"/>
      <c r="E154" s="70"/>
      <c r="F154" s="120"/>
      <c r="G154" s="80"/>
      <c r="H154" s="80"/>
      <c r="I154" s="80"/>
      <c r="J154" s="80"/>
      <c r="K154" s="80"/>
      <c r="L154" s="80"/>
      <c r="M154" s="80"/>
      <c r="N154" s="80"/>
      <c r="O154" s="70"/>
      <c r="P154" s="120"/>
      <c r="Q154" s="80"/>
      <c r="R154" s="80"/>
      <c r="S154" s="93"/>
      <c r="T154" s="70"/>
      <c r="U154" s="120"/>
      <c r="V154" s="80"/>
      <c r="W154" s="83"/>
      <c r="X154" s="84"/>
      <c r="Y154" s="83"/>
      <c r="Z154" s="101"/>
    </row>
    <row r="155" spans="1:27" ht="14.4" x14ac:dyDescent="0.3">
      <c r="A155" s="93"/>
      <c r="B155" s="70"/>
      <c r="C155" s="70"/>
      <c r="D155" s="70"/>
      <c r="E155" s="70"/>
      <c r="F155" s="142"/>
      <c r="G155" s="70"/>
      <c r="H155" s="70"/>
      <c r="I155" s="70"/>
      <c r="J155" s="70"/>
      <c r="K155" s="70"/>
      <c r="L155" s="70"/>
      <c r="M155" s="70"/>
      <c r="N155" s="70"/>
      <c r="O155" s="70"/>
      <c r="P155" s="142"/>
      <c r="Q155" s="70"/>
      <c r="R155" s="70"/>
      <c r="S155" s="70"/>
      <c r="T155" s="70"/>
      <c r="U155" s="142"/>
      <c r="V155" s="70"/>
      <c r="W155" s="83"/>
      <c r="X155" s="84"/>
      <c r="Y155" s="83"/>
      <c r="Z155" s="101"/>
    </row>
    <row r="156" spans="1:27" ht="14.4" x14ac:dyDescent="0.3">
      <c r="A156" s="93"/>
      <c r="B156" s="70"/>
      <c r="C156" s="70"/>
      <c r="D156" s="70"/>
      <c r="E156" s="70"/>
      <c r="F156" s="142"/>
      <c r="G156" s="70"/>
      <c r="H156" s="70"/>
      <c r="I156" s="70"/>
      <c r="J156" s="70"/>
      <c r="K156" s="70"/>
      <c r="L156" s="70"/>
      <c r="M156" s="70"/>
      <c r="N156" s="70"/>
      <c r="O156" s="70"/>
      <c r="P156" s="142"/>
      <c r="Q156" s="70"/>
      <c r="R156" s="70"/>
      <c r="S156" s="70"/>
      <c r="T156" s="70"/>
      <c r="U156" s="142"/>
      <c r="V156" s="70"/>
      <c r="W156" s="83"/>
      <c r="X156" s="84"/>
      <c r="Y156" s="83"/>
      <c r="Z156" s="101"/>
    </row>
    <row r="157" spans="1:27" ht="14.4" x14ac:dyDescent="0.3">
      <c r="A157" s="323" t="str">
        <f>A118</f>
        <v>Kentucky American Water Company</v>
      </c>
      <c r="B157" s="323"/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</row>
    <row r="158" spans="1:27" ht="14.4" x14ac:dyDescent="0.3">
      <c r="A158" s="323" t="s">
        <v>77</v>
      </c>
      <c r="B158" s="323"/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</row>
    <row r="159" spans="1:27" ht="14.4" x14ac:dyDescent="0.3">
      <c r="A159" s="323" t="str">
        <f>A120</f>
        <v>Case No. 2018-00358</v>
      </c>
      <c r="B159" s="323"/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</row>
    <row r="160" spans="1:27" ht="14.4" x14ac:dyDescent="0.3">
      <c r="A160" s="323" t="str">
        <f>A121</f>
        <v>Base Year for the 12 Months Ended February 28, 2019 and Forecast Year for the 12 Months Ended June 30, 2020</v>
      </c>
      <c r="B160" s="323"/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</row>
    <row r="161" spans="1:26" ht="14.4" x14ac:dyDescent="0.3">
      <c r="A161" s="98" t="str">
        <f>A122</f>
        <v>Witness Responsible:   Melissa Schwarzell</v>
      </c>
      <c r="B161" s="70"/>
      <c r="C161" s="70"/>
      <c r="D161" s="70"/>
      <c r="E161" s="70"/>
      <c r="F161" s="70"/>
      <c r="G161" s="70"/>
      <c r="H161" s="70"/>
      <c r="I161" s="322" t="str">
        <f>"EASTERN ROCKCASTLE ("&amp;LEFT(B167,SEARCH(":",B167,1)-1)&amp;")"</f>
        <v>EASTERN ROCKCASTLE (Other Public Authority)</v>
      </c>
      <c r="J161" s="322"/>
      <c r="K161" s="322"/>
      <c r="L161" s="322"/>
      <c r="M161" s="322"/>
      <c r="N161" s="322"/>
      <c r="O161" s="322"/>
      <c r="P161" s="322"/>
      <c r="Q161" s="322"/>
      <c r="R161" s="70"/>
      <c r="S161" s="70"/>
      <c r="T161" s="70"/>
      <c r="U161" s="70"/>
      <c r="V161" s="70"/>
      <c r="W161" s="83"/>
      <c r="X161" s="83"/>
      <c r="Y161" s="83"/>
      <c r="Z161" s="88" t="str">
        <f>Z122</f>
        <v>Exhibit 37, Schedule M-3</v>
      </c>
    </row>
    <row r="162" spans="1:26" ht="14.4" x14ac:dyDescent="0.3">
      <c r="A162" s="128" t="str">
        <f>A123</f>
        <v/>
      </c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90"/>
      <c r="X162" s="90"/>
      <c r="Y162" s="90"/>
      <c r="Z162" s="130" t="str">
        <f ca="1">Z123</f>
        <v>Revenues\[KAWC 2018 Rate Case - Revenue - E. Rockcastle.xlsx]Sch M</v>
      </c>
    </row>
    <row r="163" spans="1:26" ht="14.4" x14ac:dyDescent="0.3">
      <c r="A163" s="70"/>
      <c r="B163" s="70"/>
      <c r="C163" s="93"/>
      <c r="D163" s="317" t="s">
        <v>170</v>
      </c>
      <c r="E163" s="317" t="s">
        <v>97</v>
      </c>
      <c r="F163" s="317"/>
      <c r="G163" s="317"/>
      <c r="H163" s="93"/>
      <c r="I163" s="324" t="s">
        <v>169</v>
      </c>
      <c r="J163" s="324" t="s">
        <v>97</v>
      </c>
      <c r="K163" s="324"/>
      <c r="L163" s="324"/>
      <c r="M163" s="93"/>
      <c r="N163" s="317" t="s">
        <v>120</v>
      </c>
      <c r="O163" s="317" t="s">
        <v>98</v>
      </c>
      <c r="P163" s="317"/>
      <c r="Q163" s="317"/>
      <c r="R163" s="93"/>
      <c r="S163" s="317" t="s">
        <v>121</v>
      </c>
      <c r="T163" s="317" t="s">
        <v>99</v>
      </c>
      <c r="U163" s="317"/>
      <c r="V163" s="317"/>
      <c r="W163" s="94"/>
      <c r="X163" s="94"/>
      <c r="Y163" s="83"/>
      <c r="Z163" s="83"/>
    </row>
    <row r="164" spans="1:26" ht="14.4" x14ac:dyDescent="0.3">
      <c r="A164" s="70"/>
      <c r="B164" s="70"/>
      <c r="C164" s="93"/>
      <c r="D164" s="93" t="s">
        <v>27</v>
      </c>
      <c r="E164" s="93"/>
      <c r="F164" s="93"/>
      <c r="G164" s="93"/>
      <c r="H164" s="93"/>
      <c r="I164" s="95" t="s">
        <v>27</v>
      </c>
      <c r="J164" s="95"/>
      <c r="K164" s="95"/>
      <c r="L164" s="95"/>
      <c r="M164" s="93"/>
      <c r="N164" s="93" t="s">
        <v>27</v>
      </c>
      <c r="O164" s="93"/>
      <c r="P164" s="93"/>
      <c r="Q164" s="93"/>
      <c r="R164" s="93"/>
      <c r="S164" s="93" t="s">
        <v>27</v>
      </c>
      <c r="T164" s="93"/>
      <c r="U164" s="93"/>
      <c r="V164" s="93"/>
      <c r="W164" s="95"/>
      <c r="X164" s="95"/>
      <c r="Y164" s="83"/>
      <c r="Z164" s="83"/>
    </row>
    <row r="165" spans="1:26" ht="14.4" x14ac:dyDescent="0.3">
      <c r="A165" s="70"/>
      <c r="B165" s="93" t="s">
        <v>24</v>
      </c>
      <c r="C165" s="93"/>
      <c r="D165" s="93" t="s">
        <v>28</v>
      </c>
      <c r="E165" s="93" t="s">
        <v>39</v>
      </c>
      <c r="F165" s="93" t="s">
        <v>45</v>
      </c>
      <c r="G165" s="93" t="s">
        <v>1</v>
      </c>
      <c r="H165" s="93"/>
      <c r="I165" s="95" t="s">
        <v>28</v>
      </c>
      <c r="J165" s="95" t="s">
        <v>39</v>
      </c>
      <c r="K165" s="95" t="s">
        <v>171</v>
      </c>
      <c r="L165" s="95" t="s">
        <v>1</v>
      </c>
      <c r="M165" s="93"/>
      <c r="N165" s="93" t="s">
        <v>28</v>
      </c>
      <c r="O165" s="93" t="s">
        <v>39</v>
      </c>
      <c r="P165" s="93" t="s">
        <v>45</v>
      </c>
      <c r="Q165" s="93" t="s">
        <v>1</v>
      </c>
      <c r="R165" s="93"/>
      <c r="S165" s="93" t="s">
        <v>28</v>
      </c>
      <c r="T165" s="93" t="s">
        <v>39</v>
      </c>
      <c r="U165" s="93" t="s">
        <v>73</v>
      </c>
      <c r="V165" s="93" t="s">
        <v>1</v>
      </c>
      <c r="W165" s="95"/>
      <c r="X165" s="95" t="s">
        <v>51</v>
      </c>
      <c r="Y165" s="83"/>
      <c r="Z165" s="95" t="s">
        <v>53</v>
      </c>
    </row>
    <row r="166" spans="1:26" ht="14.4" x14ac:dyDescent="0.3">
      <c r="A166" s="96" t="s">
        <v>0</v>
      </c>
      <c r="B166" s="96" t="s">
        <v>2</v>
      </c>
      <c r="C166" s="93"/>
      <c r="D166" s="96" t="s">
        <v>29</v>
      </c>
      <c r="E166" s="96" t="str">
        <f>E127</f>
        <v>('000 Gal)</v>
      </c>
      <c r="F166" s="96" t="s">
        <v>46</v>
      </c>
      <c r="G166" s="96" t="s">
        <v>47</v>
      </c>
      <c r="H166" s="93"/>
      <c r="I166" s="97" t="s">
        <v>29</v>
      </c>
      <c r="J166" s="97" t="str">
        <f>J127</f>
        <v>('000 Gal)</v>
      </c>
      <c r="K166" s="97" t="s">
        <v>46</v>
      </c>
      <c r="L166" s="97" t="s">
        <v>47</v>
      </c>
      <c r="M166" s="93"/>
      <c r="N166" s="96" t="s">
        <v>29</v>
      </c>
      <c r="O166" s="96" t="str">
        <f>E166</f>
        <v>('000 Gal)</v>
      </c>
      <c r="P166" s="96" t="s">
        <v>46</v>
      </c>
      <c r="Q166" s="96" t="s">
        <v>47</v>
      </c>
      <c r="R166" s="93"/>
      <c r="S166" s="96" t="s">
        <v>29</v>
      </c>
      <c r="T166" s="96" t="str">
        <f>O166</f>
        <v>('000 Gal)</v>
      </c>
      <c r="U166" s="96" t="s">
        <v>46</v>
      </c>
      <c r="V166" s="96" t="s">
        <v>47</v>
      </c>
      <c r="W166" s="95"/>
      <c r="X166" s="97" t="s">
        <v>52</v>
      </c>
      <c r="Y166" s="83"/>
      <c r="Z166" s="97" t="s">
        <v>52</v>
      </c>
    </row>
    <row r="167" spans="1:26" ht="14.4" x14ac:dyDescent="0.3">
      <c r="A167" s="93">
        <v>1</v>
      </c>
      <c r="B167" s="98" t="s">
        <v>56</v>
      </c>
      <c r="C167" s="93"/>
      <c r="D167" s="70"/>
      <c r="E167" s="93"/>
      <c r="F167" s="93"/>
      <c r="G167" s="93"/>
      <c r="H167" s="93"/>
      <c r="I167" s="95"/>
      <c r="J167" s="95"/>
      <c r="K167" s="95"/>
      <c r="L167" s="95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5"/>
      <c r="X167" s="95"/>
      <c r="Y167" s="83"/>
      <c r="Z167" s="95"/>
    </row>
    <row r="168" spans="1:26" ht="14.4" x14ac:dyDescent="0.3">
      <c r="A168" s="93">
        <v>2</v>
      </c>
      <c r="B168" s="99" t="s">
        <v>26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83"/>
      <c r="X168" s="83"/>
      <c r="Y168" s="83"/>
      <c r="Z168" s="83"/>
    </row>
    <row r="169" spans="1:26" ht="14.4" x14ac:dyDescent="0.3">
      <c r="A169" s="93">
        <v>3</v>
      </c>
      <c r="B169" s="70" t="s">
        <v>30</v>
      </c>
      <c r="C169" s="86"/>
      <c r="D169" s="84">
        <f>'Link in'!F10</f>
        <v>0</v>
      </c>
      <c r="E169" s="85"/>
      <c r="F169" s="131">
        <f>'Link in'!F41</f>
        <v>0</v>
      </c>
      <c r="G169" s="100">
        <f>ROUND((D169*F169),0)</f>
        <v>0</v>
      </c>
      <c r="H169" s="86"/>
      <c r="I169" s="84">
        <f>D169</f>
        <v>0</v>
      </c>
      <c r="J169" s="85"/>
      <c r="K169" s="131">
        <f>U169</f>
        <v>15</v>
      </c>
      <c r="L169" s="100">
        <f>ROUND((I169*K169),0)</f>
        <v>0</v>
      </c>
      <c r="M169" s="86"/>
      <c r="N169" s="84">
        <f>'Link in'!P10</f>
        <v>0</v>
      </c>
      <c r="O169" s="85"/>
      <c r="P169" s="132">
        <v>0</v>
      </c>
      <c r="Q169" s="100">
        <f t="shared" ref="Q169:Q177" si="68">ROUND((N169*P169),0)</f>
        <v>0</v>
      </c>
      <c r="R169" s="100"/>
      <c r="S169" s="80">
        <f>N169</f>
        <v>0</v>
      </c>
      <c r="T169" s="81"/>
      <c r="U169" s="131">
        <f>'Link in'!M41</f>
        <v>15</v>
      </c>
      <c r="V169" s="86">
        <f>ROUND((S169*U169),0)</f>
        <v>0</v>
      </c>
      <c r="W169" s="100"/>
      <c r="X169" s="86">
        <f>+V169-Q169</f>
        <v>0</v>
      </c>
      <c r="Y169" s="85"/>
      <c r="Z169" s="101">
        <f t="shared" ref="Z169:Z178" si="69">IF(Q169=0,0,ROUND((X169/Q169),4))</f>
        <v>0</v>
      </c>
    </row>
    <row r="170" spans="1:26" ht="14.4" x14ac:dyDescent="0.3">
      <c r="A170" s="93">
        <v>4</v>
      </c>
      <c r="B170" s="70" t="s">
        <v>31</v>
      </c>
      <c r="C170" s="80"/>
      <c r="D170" s="84">
        <f>'Link in'!F11</f>
        <v>0</v>
      </c>
      <c r="E170" s="85"/>
      <c r="F170" s="103">
        <f>'Link in'!F42</f>
        <v>0</v>
      </c>
      <c r="G170" s="84">
        <f t="shared" ref="G170:G177" si="70">ROUND((D170*F170),0)</f>
        <v>0</v>
      </c>
      <c r="H170" s="80"/>
      <c r="I170" s="84">
        <f t="shared" ref="I170:I177" si="71">D170</f>
        <v>0</v>
      </c>
      <c r="J170" s="85"/>
      <c r="K170" s="103">
        <f t="shared" ref="K170:K177" si="72">U170</f>
        <v>22.4</v>
      </c>
      <c r="L170" s="84">
        <f t="shared" ref="L170:L177" si="73">ROUND((I170*K170),0)</f>
        <v>0</v>
      </c>
      <c r="M170" s="80"/>
      <c r="N170" s="84">
        <f>'Link in'!P11</f>
        <v>0</v>
      </c>
      <c r="O170" s="85"/>
      <c r="P170" s="102">
        <v>0</v>
      </c>
      <c r="Q170" s="84">
        <f t="shared" si="68"/>
        <v>0</v>
      </c>
      <c r="R170" s="84"/>
      <c r="S170" s="80">
        <f t="shared" ref="S170:S177" si="74">N170</f>
        <v>0</v>
      </c>
      <c r="T170" s="81"/>
      <c r="U170" s="103">
        <f>'Link in'!M42</f>
        <v>22.4</v>
      </c>
      <c r="V170" s="80">
        <f t="shared" ref="V170:V177" si="75">ROUND((S170*U170),0)</f>
        <v>0</v>
      </c>
      <c r="W170" s="84"/>
      <c r="X170" s="80">
        <f t="shared" ref="X170:X178" si="76">+V170-Q170</f>
        <v>0</v>
      </c>
      <c r="Y170" s="85"/>
      <c r="Z170" s="101">
        <f t="shared" si="69"/>
        <v>0</v>
      </c>
    </row>
    <row r="171" spans="1:26" ht="14.4" x14ac:dyDescent="0.3">
      <c r="A171" s="93">
        <v>5</v>
      </c>
      <c r="B171" s="70" t="s">
        <v>32</v>
      </c>
      <c r="C171" s="80"/>
      <c r="D171" s="84">
        <f>'Link in'!F12</f>
        <v>0</v>
      </c>
      <c r="E171" s="85"/>
      <c r="F171" s="103">
        <f>'Link in'!F43</f>
        <v>0</v>
      </c>
      <c r="G171" s="84">
        <f t="shared" si="70"/>
        <v>0</v>
      </c>
      <c r="H171" s="80"/>
      <c r="I171" s="84">
        <f t="shared" si="71"/>
        <v>0</v>
      </c>
      <c r="J171" s="85"/>
      <c r="K171" s="103">
        <f t="shared" si="72"/>
        <v>37.299999999999997</v>
      </c>
      <c r="L171" s="84">
        <f t="shared" si="73"/>
        <v>0</v>
      </c>
      <c r="M171" s="80"/>
      <c r="N171" s="84">
        <f>'Link in'!P12</f>
        <v>0</v>
      </c>
      <c r="O171" s="85"/>
      <c r="P171" s="102">
        <v>0</v>
      </c>
      <c r="Q171" s="84">
        <f t="shared" si="68"/>
        <v>0</v>
      </c>
      <c r="R171" s="84"/>
      <c r="S171" s="80">
        <f t="shared" si="74"/>
        <v>0</v>
      </c>
      <c r="T171" s="81"/>
      <c r="U171" s="103">
        <f>'Link in'!M43</f>
        <v>37.299999999999997</v>
      </c>
      <c r="V171" s="80">
        <f t="shared" si="75"/>
        <v>0</v>
      </c>
      <c r="W171" s="84"/>
      <c r="X171" s="80">
        <f t="shared" si="76"/>
        <v>0</v>
      </c>
      <c r="Y171" s="85"/>
      <c r="Z171" s="101">
        <f t="shared" si="69"/>
        <v>0</v>
      </c>
    </row>
    <row r="172" spans="1:26" ht="14.4" x14ac:dyDescent="0.3">
      <c r="A172" s="93">
        <v>6</v>
      </c>
      <c r="B172" s="70" t="s">
        <v>33</v>
      </c>
      <c r="C172" s="80"/>
      <c r="D172" s="84">
        <f>'Link in'!F13</f>
        <v>0</v>
      </c>
      <c r="E172" s="85"/>
      <c r="F172" s="103">
        <f>'Link in'!F44</f>
        <v>0</v>
      </c>
      <c r="G172" s="84">
        <f t="shared" si="70"/>
        <v>0</v>
      </c>
      <c r="H172" s="80"/>
      <c r="I172" s="84">
        <f t="shared" si="71"/>
        <v>0</v>
      </c>
      <c r="J172" s="85"/>
      <c r="K172" s="103">
        <f t="shared" si="72"/>
        <v>74.7</v>
      </c>
      <c r="L172" s="84">
        <f t="shared" si="73"/>
        <v>0</v>
      </c>
      <c r="M172" s="80"/>
      <c r="N172" s="84">
        <f>'Link in'!P13</f>
        <v>0</v>
      </c>
      <c r="O172" s="85"/>
      <c r="P172" s="102">
        <v>0</v>
      </c>
      <c r="Q172" s="84">
        <f t="shared" si="68"/>
        <v>0</v>
      </c>
      <c r="R172" s="84"/>
      <c r="S172" s="80">
        <f t="shared" si="74"/>
        <v>0</v>
      </c>
      <c r="T172" s="81"/>
      <c r="U172" s="103">
        <f>'Link in'!M44</f>
        <v>74.7</v>
      </c>
      <c r="V172" s="80">
        <f t="shared" si="75"/>
        <v>0</v>
      </c>
      <c r="W172" s="84"/>
      <c r="X172" s="80">
        <f t="shared" si="76"/>
        <v>0</v>
      </c>
      <c r="Y172" s="85"/>
      <c r="Z172" s="101">
        <f t="shared" si="69"/>
        <v>0</v>
      </c>
    </row>
    <row r="173" spans="1:26" ht="14.4" x14ac:dyDescent="0.3">
      <c r="A173" s="93">
        <v>7</v>
      </c>
      <c r="B173" s="70" t="s">
        <v>34</v>
      </c>
      <c r="C173" s="80"/>
      <c r="D173" s="84">
        <f>'Link in'!F14</f>
        <v>0</v>
      </c>
      <c r="E173" s="85"/>
      <c r="F173" s="103">
        <f>'Link in'!F45</f>
        <v>0</v>
      </c>
      <c r="G173" s="84">
        <f t="shared" si="70"/>
        <v>0</v>
      </c>
      <c r="H173" s="80"/>
      <c r="I173" s="84">
        <f t="shared" si="71"/>
        <v>0</v>
      </c>
      <c r="J173" s="85"/>
      <c r="K173" s="103">
        <f t="shared" si="72"/>
        <v>119.5</v>
      </c>
      <c r="L173" s="84">
        <f t="shared" si="73"/>
        <v>0</v>
      </c>
      <c r="M173" s="80"/>
      <c r="N173" s="84">
        <f>'Link in'!P14</f>
        <v>0</v>
      </c>
      <c r="O173" s="85"/>
      <c r="P173" s="102">
        <v>0</v>
      </c>
      <c r="Q173" s="84">
        <f t="shared" si="68"/>
        <v>0</v>
      </c>
      <c r="R173" s="84"/>
      <c r="S173" s="80">
        <f t="shared" si="74"/>
        <v>0</v>
      </c>
      <c r="T173" s="81"/>
      <c r="U173" s="103">
        <f>'Link in'!M45</f>
        <v>119.5</v>
      </c>
      <c r="V173" s="80">
        <f t="shared" si="75"/>
        <v>0</v>
      </c>
      <c r="W173" s="84"/>
      <c r="X173" s="80">
        <f t="shared" si="76"/>
        <v>0</v>
      </c>
      <c r="Y173" s="85"/>
      <c r="Z173" s="101">
        <f t="shared" si="69"/>
        <v>0</v>
      </c>
    </row>
    <row r="174" spans="1:26" ht="14.4" x14ac:dyDescent="0.3">
      <c r="A174" s="93">
        <v>8</v>
      </c>
      <c r="B174" s="70" t="s">
        <v>35</v>
      </c>
      <c r="C174" s="80"/>
      <c r="D174" s="84">
        <f>'Link in'!F15</f>
        <v>0</v>
      </c>
      <c r="E174" s="85"/>
      <c r="F174" s="103">
        <f>'Link in'!F46</f>
        <v>0</v>
      </c>
      <c r="G174" s="84">
        <f t="shared" si="70"/>
        <v>0</v>
      </c>
      <c r="H174" s="80"/>
      <c r="I174" s="84">
        <f t="shared" si="71"/>
        <v>0</v>
      </c>
      <c r="J174" s="85"/>
      <c r="K174" s="103">
        <f t="shared" si="72"/>
        <v>224</v>
      </c>
      <c r="L174" s="84">
        <f t="shared" si="73"/>
        <v>0</v>
      </c>
      <c r="M174" s="80"/>
      <c r="N174" s="84">
        <f>'Link in'!P15</f>
        <v>0</v>
      </c>
      <c r="O174" s="85"/>
      <c r="P174" s="102">
        <v>0</v>
      </c>
      <c r="Q174" s="84">
        <f t="shared" si="68"/>
        <v>0</v>
      </c>
      <c r="R174" s="84"/>
      <c r="S174" s="80">
        <f t="shared" si="74"/>
        <v>0</v>
      </c>
      <c r="T174" s="81"/>
      <c r="U174" s="103">
        <f>'Link in'!M46</f>
        <v>224</v>
      </c>
      <c r="V174" s="80">
        <f t="shared" si="75"/>
        <v>0</v>
      </c>
      <c r="W174" s="84"/>
      <c r="X174" s="80">
        <f t="shared" si="76"/>
        <v>0</v>
      </c>
      <c r="Y174" s="85"/>
      <c r="Z174" s="101">
        <f t="shared" si="69"/>
        <v>0</v>
      </c>
    </row>
    <row r="175" spans="1:26" ht="14.4" x14ac:dyDescent="0.3">
      <c r="A175" s="93">
        <v>9</v>
      </c>
      <c r="B175" s="70" t="s">
        <v>36</v>
      </c>
      <c r="C175" s="80"/>
      <c r="D175" s="84">
        <f>'Link in'!F16</f>
        <v>0</v>
      </c>
      <c r="E175" s="85"/>
      <c r="F175" s="103">
        <f>'Link in'!F47</f>
        <v>0</v>
      </c>
      <c r="G175" s="84">
        <f t="shared" si="70"/>
        <v>0</v>
      </c>
      <c r="H175" s="80"/>
      <c r="I175" s="84">
        <f t="shared" si="71"/>
        <v>0</v>
      </c>
      <c r="J175" s="85"/>
      <c r="K175" s="103">
        <f t="shared" si="72"/>
        <v>373.4</v>
      </c>
      <c r="L175" s="84">
        <f t="shared" si="73"/>
        <v>0</v>
      </c>
      <c r="M175" s="80"/>
      <c r="N175" s="84">
        <f>'Link in'!P16</f>
        <v>0</v>
      </c>
      <c r="O175" s="85"/>
      <c r="P175" s="102">
        <v>0</v>
      </c>
      <c r="Q175" s="84">
        <f t="shared" si="68"/>
        <v>0</v>
      </c>
      <c r="R175" s="84"/>
      <c r="S175" s="80">
        <f t="shared" si="74"/>
        <v>0</v>
      </c>
      <c r="T175" s="81"/>
      <c r="U175" s="103">
        <f>'Link in'!M47</f>
        <v>373.4</v>
      </c>
      <c r="V175" s="80">
        <f t="shared" si="75"/>
        <v>0</v>
      </c>
      <c r="W175" s="84"/>
      <c r="X175" s="80">
        <f t="shared" si="76"/>
        <v>0</v>
      </c>
      <c r="Y175" s="85"/>
      <c r="Z175" s="101">
        <f t="shared" si="69"/>
        <v>0</v>
      </c>
    </row>
    <row r="176" spans="1:26" ht="14.4" x14ac:dyDescent="0.3">
      <c r="A176" s="93">
        <v>10</v>
      </c>
      <c r="B176" s="70" t="s">
        <v>37</v>
      </c>
      <c r="C176" s="80"/>
      <c r="D176" s="84">
        <f>'Link in'!F17</f>
        <v>0</v>
      </c>
      <c r="E176" s="85"/>
      <c r="F176" s="103">
        <f>'Link in'!F48</f>
        <v>0</v>
      </c>
      <c r="G176" s="84">
        <f t="shared" si="70"/>
        <v>0</v>
      </c>
      <c r="H176" s="80"/>
      <c r="I176" s="84">
        <f t="shared" si="71"/>
        <v>0</v>
      </c>
      <c r="J176" s="85"/>
      <c r="K176" s="103">
        <f t="shared" si="72"/>
        <v>746.7</v>
      </c>
      <c r="L176" s="84">
        <f t="shared" si="73"/>
        <v>0</v>
      </c>
      <c r="M176" s="80"/>
      <c r="N176" s="84">
        <f>'Link in'!P17</f>
        <v>0</v>
      </c>
      <c r="O176" s="85"/>
      <c r="P176" s="102">
        <v>0</v>
      </c>
      <c r="Q176" s="84">
        <f t="shared" si="68"/>
        <v>0</v>
      </c>
      <c r="R176" s="84"/>
      <c r="S176" s="80">
        <f t="shared" si="74"/>
        <v>0</v>
      </c>
      <c r="T176" s="81"/>
      <c r="U176" s="103">
        <f>'Link in'!M48</f>
        <v>746.7</v>
      </c>
      <c r="V176" s="80">
        <f t="shared" si="75"/>
        <v>0</v>
      </c>
      <c r="W176" s="84"/>
      <c r="X176" s="80">
        <f t="shared" si="76"/>
        <v>0</v>
      </c>
      <c r="Y176" s="85"/>
      <c r="Z176" s="101">
        <f t="shared" si="69"/>
        <v>0</v>
      </c>
    </row>
    <row r="177" spans="1:27" ht="14.4" x14ac:dyDescent="0.3">
      <c r="A177" s="93">
        <v>11</v>
      </c>
      <c r="B177" s="70" t="s">
        <v>38</v>
      </c>
      <c r="C177" s="80"/>
      <c r="D177" s="84">
        <f>'Link in'!F18</f>
        <v>0</v>
      </c>
      <c r="E177" s="85"/>
      <c r="F177" s="103">
        <f>'Link in'!F49</f>
        <v>0</v>
      </c>
      <c r="G177" s="84">
        <f t="shared" si="70"/>
        <v>0</v>
      </c>
      <c r="H177" s="80"/>
      <c r="I177" s="84">
        <f t="shared" si="71"/>
        <v>0</v>
      </c>
      <c r="J177" s="85"/>
      <c r="K177" s="103">
        <f t="shared" si="72"/>
        <v>1194.7</v>
      </c>
      <c r="L177" s="84">
        <f t="shared" si="73"/>
        <v>0</v>
      </c>
      <c r="M177" s="80"/>
      <c r="N177" s="84">
        <f>'Link in'!P18</f>
        <v>0</v>
      </c>
      <c r="O177" s="85"/>
      <c r="P177" s="102">
        <v>0</v>
      </c>
      <c r="Q177" s="84">
        <f t="shared" si="68"/>
        <v>0</v>
      </c>
      <c r="R177" s="84"/>
      <c r="S177" s="80">
        <f t="shared" si="74"/>
        <v>0</v>
      </c>
      <c r="T177" s="81"/>
      <c r="U177" s="103">
        <f>'Link in'!M49</f>
        <v>1194.7</v>
      </c>
      <c r="V177" s="80">
        <f t="shared" si="75"/>
        <v>0</v>
      </c>
      <c r="W177" s="84"/>
      <c r="X177" s="80">
        <f t="shared" si="76"/>
        <v>0</v>
      </c>
      <c r="Y177" s="85"/>
      <c r="Z177" s="101">
        <f t="shared" si="69"/>
        <v>0</v>
      </c>
    </row>
    <row r="178" spans="1:27" ht="14.4" x14ac:dyDescent="0.3">
      <c r="A178" s="93">
        <v>12</v>
      </c>
      <c r="B178" s="70" t="s">
        <v>113</v>
      </c>
      <c r="C178" s="80"/>
      <c r="D178" s="84"/>
      <c r="E178" s="85"/>
      <c r="F178" s="103"/>
      <c r="G178" s="84"/>
      <c r="H178" s="80"/>
      <c r="I178" s="84"/>
      <c r="J178" s="85"/>
      <c r="K178" s="103"/>
      <c r="L178" s="84"/>
      <c r="M178" s="80"/>
      <c r="N178" s="84"/>
      <c r="O178" s="85"/>
      <c r="P178" s="103"/>
      <c r="Q178" s="103"/>
      <c r="R178" s="84"/>
      <c r="S178" s="80"/>
      <c r="T178" s="81"/>
      <c r="U178" s="103"/>
      <c r="V178" s="80"/>
      <c r="W178" s="84"/>
      <c r="X178" s="80">
        <f t="shared" si="76"/>
        <v>0</v>
      </c>
      <c r="Y178" s="85"/>
      <c r="Z178" s="101">
        <f t="shared" si="69"/>
        <v>0</v>
      </c>
    </row>
    <row r="179" spans="1:27" ht="14.4" x14ac:dyDescent="0.3">
      <c r="A179" s="93">
        <v>13</v>
      </c>
      <c r="B179" s="70"/>
      <c r="C179" s="80"/>
      <c r="D179" s="84"/>
      <c r="E179" s="85"/>
      <c r="F179" s="103"/>
      <c r="G179" s="84"/>
      <c r="H179" s="80"/>
      <c r="I179" s="84"/>
      <c r="J179" s="85"/>
      <c r="K179" s="103"/>
      <c r="L179" s="84"/>
      <c r="M179" s="80"/>
      <c r="N179" s="84"/>
      <c r="O179" s="85"/>
      <c r="P179" s="103"/>
      <c r="Q179" s="103"/>
      <c r="R179" s="84"/>
      <c r="S179" s="80"/>
      <c r="T179" s="81"/>
      <c r="U179" s="103"/>
      <c r="V179" s="80"/>
      <c r="W179" s="84"/>
      <c r="X179" s="100"/>
      <c r="Y179" s="85"/>
      <c r="Z179" s="101"/>
    </row>
    <row r="180" spans="1:27" ht="14.4" x14ac:dyDescent="0.3">
      <c r="A180" s="93">
        <v>14</v>
      </c>
      <c r="B180" s="70"/>
      <c r="C180" s="81"/>
      <c r="D180" s="85"/>
      <c r="E180" s="85"/>
      <c r="F180" s="85"/>
      <c r="G180" s="85"/>
      <c r="H180" s="81"/>
      <c r="I180" s="85"/>
      <c r="J180" s="85"/>
      <c r="K180" s="85"/>
      <c r="L180" s="85"/>
      <c r="M180" s="81"/>
      <c r="N180" s="85"/>
      <c r="O180" s="85"/>
      <c r="P180" s="85"/>
      <c r="Q180" s="85"/>
      <c r="R180" s="85"/>
      <c r="S180" s="81"/>
      <c r="T180" s="81"/>
      <c r="U180" s="85"/>
      <c r="V180" s="81"/>
      <c r="W180" s="85"/>
      <c r="X180" s="84"/>
      <c r="Y180" s="85"/>
      <c r="Z180" s="101"/>
    </row>
    <row r="181" spans="1:27" ht="14.4" x14ac:dyDescent="0.3">
      <c r="A181" s="93">
        <v>15</v>
      </c>
      <c r="B181" s="70"/>
      <c r="C181" s="70"/>
      <c r="D181" s="83"/>
      <c r="E181" s="83"/>
      <c r="F181" s="85"/>
      <c r="G181" s="83"/>
      <c r="H181" s="70"/>
      <c r="I181" s="83"/>
      <c r="J181" s="83"/>
      <c r="K181" s="85"/>
      <c r="L181" s="83"/>
      <c r="M181" s="70"/>
      <c r="N181" s="83"/>
      <c r="O181" s="83"/>
      <c r="P181" s="83"/>
      <c r="Q181" s="83"/>
      <c r="R181" s="83"/>
      <c r="S181" s="70"/>
      <c r="T181" s="70"/>
      <c r="U181" s="83"/>
      <c r="V181" s="70"/>
      <c r="W181" s="83"/>
      <c r="X181" s="83"/>
      <c r="Y181" s="83"/>
      <c r="Z181" s="83"/>
    </row>
    <row r="182" spans="1:27" ht="14.4" x14ac:dyDescent="0.3">
      <c r="A182" s="93">
        <v>16</v>
      </c>
      <c r="B182" s="99" t="s">
        <v>40</v>
      </c>
      <c r="C182" s="81"/>
      <c r="D182" s="85"/>
      <c r="E182" s="85"/>
      <c r="F182" s="85"/>
      <c r="G182" s="85"/>
      <c r="H182" s="81"/>
      <c r="I182" s="85"/>
      <c r="J182" s="85"/>
      <c r="K182" s="85"/>
      <c r="L182" s="85"/>
      <c r="M182" s="81"/>
      <c r="N182" s="85"/>
      <c r="O182" s="85"/>
      <c r="P182" s="85"/>
      <c r="Q182" s="85"/>
      <c r="R182" s="85"/>
      <c r="S182" s="81"/>
      <c r="T182" s="81"/>
      <c r="U182" s="85"/>
      <c r="V182" s="81"/>
      <c r="W182" s="85"/>
      <c r="X182" s="84"/>
      <c r="Y182" s="85"/>
      <c r="Z182" s="101"/>
    </row>
    <row r="183" spans="1:27" ht="14.4" x14ac:dyDescent="0.3">
      <c r="A183" s="93">
        <v>17</v>
      </c>
      <c r="B183" s="70" t="s">
        <v>41</v>
      </c>
      <c r="C183" s="86"/>
      <c r="D183" s="85"/>
      <c r="E183" s="84">
        <f>'Link in'!F23</f>
        <v>0</v>
      </c>
      <c r="F183" s="133">
        <f>+'[2]Link Out'!$E$147</f>
        <v>4.3466219734038738</v>
      </c>
      <c r="G183" s="100">
        <f>ROUND((E183*F183),0)</f>
        <v>0</v>
      </c>
      <c r="H183" s="86"/>
      <c r="I183" s="85"/>
      <c r="J183" s="84">
        <f>E183</f>
        <v>0</v>
      </c>
      <c r="K183" s="133">
        <f>U183</f>
        <v>5.1909999999999998</v>
      </c>
      <c r="L183" s="100">
        <f>ROUND((J183*K183),0)</f>
        <v>0</v>
      </c>
      <c r="M183" s="86"/>
      <c r="N183" s="85"/>
      <c r="O183" s="84">
        <f>'Link in'!P23</f>
        <v>0</v>
      </c>
      <c r="P183" s="134">
        <v>0</v>
      </c>
      <c r="Q183" s="100">
        <f>ROUND((O183*P183),0)</f>
        <v>0</v>
      </c>
      <c r="R183" s="100"/>
      <c r="S183" s="81"/>
      <c r="T183" s="80">
        <f>O183</f>
        <v>0</v>
      </c>
      <c r="U183" s="133">
        <f>+'Link in'!$M59</f>
        <v>5.1909999999999998</v>
      </c>
      <c r="V183" s="86">
        <f>ROUND((T183*U183),0)</f>
        <v>0</v>
      </c>
      <c r="W183" s="84"/>
      <c r="X183" s="86">
        <f t="shared" ref="X183:X189" si="77">+V183-Q183</f>
        <v>0</v>
      </c>
      <c r="Y183" s="85"/>
      <c r="Z183" s="101">
        <f t="shared" ref="Z183:Z191" si="78">IF(Q183=0,0,ROUND((X183/Q183),4))</f>
        <v>0</v>
      </c>
    </row>
    <row r="184" spans="1:27" ht="14.4" x14ac:dyDescent="0.3">
      <c r="A184" s="93">
        <v>18</v>
      </c>
      <c r="B184" s="70" t="s">
        <v>42</v>
      </c>
      <c r="C184" s="80"/>
      <c r="D184" s="83"/>
      <c r="E184" s="84">
        <f>'Link in'!F24</f>
        <v>0</v>
      </c>
      <c r="F184" s="111">
        <f>'Link in'!F60</f>
        <v>0</v>
      </c>
      <c r="G184" s="84">
        <f>ROUND((E184*F184),0)</f>
        <v>0</v>
      </c>
      <c r="H184" s="80"/>
      <c r="I184" s="83"/>
      <c r="J184" s="84">
        <f t="shared" ref="J184:J189" si="79">E184</f>
        <v>0</v>
      </c>
      <c r="K184" s="111">
        <f t="shared" ref="K184:K188" si="80">U184</f>
        <v>5.1909999999999998</v>
      </c>
      <c r="L184" s="84">
        <f>ROUND((J184*K184),0)</f>
        <v>0</v>
      </c>
      <c r="M184" s="80"/>
      <c r="N184" s="83"/>
      <c r="O184" s="84">
        <f>'Link in'!P24</f>
        <v>0</v>
      </c>
      <c r="P184" s="111">
        <f t="shared" ref="P184:P186" si="81">+IFERROR(Q184/O184,0)</f>
        <v>0</v>
      </c>
      <c r="Q184" s="84">
        <f>++[2]Summary!M577+[2]Summary!M149</f>
        <v>0</v>
      </c>
      <c r="R184" s="84"/>
      <c r="S184" s="70"/>
      <c r="T184" s="80">
        <f t="shared" ref="T184:T189" si="82">O184</f>
        <v>0</v>
      </c>
      <c r="U184" s="111">
        <f>+'Link in'!$M60</f>
        <v>5.1909999999999998</v>
      </c>
      <c r="V184" s="80">
        <f>ROUND((T184*U184),0)</f>
        <v>0</v>
      </c>
      <c r="W184" s="84"/>
      <c r="X184" s="80">
        <f t="shared" si="77"/>
        <v>0</v>
      </c>
      <c r="Y184" s="83"/>
      <c r="Z184" s="101">
        <f t="shared" si="78"/>
        <v>0</v>
      </c>
    </row>
    <row r="185" spans="1:27" ht="14.4" x14ac:dyDescent="0.3">
      <c r="A185" s="93">
        <v>19</v>
      </c>
      <c r="B185" s="70" t="s">
        <v>43</v>
      </c>
      <c r="C185" s="80"/>
      <c r="D185" s="83"/>
      <c r="E185" s="84">
        <f>'Link in'!F25</f>
        <v>0</v>
      </c>
      <c r="F185" s="111">
        <f>'Link in'!F61</f>
        <v>0</v>
      </c>
      <c r="G185" s="84">
        <f>ROUND((E185*F185),0)</f>
        <v>0</v>
      </c>
      <c r="H185" s="80"/>
      <c r="I185" s="83"/>
      <c r="J185" s="84">
        <f t="shared" si="79"/>
        <v>0</v>
      </c>
      <c r="K185" s="111">
        <f t="shared" si="80"/>
        <v>5.1909999999999998</v>
      </c>
      <c r="L185" s="84">
        <f>ROUND((J185*K185),0)</f>
        <v>0</v>
      </c>
      <c r="M185" s="80"/>
      <c r="N185" s="83"/>
      <c r="O185" s="84">
        <f>'Link in'!P25</f>
        <v>0</v>
      </c>
      <c r="P185" s="111">
        <f t="shared" si="81"/>
        <v>0</v>
      </c>
      <c r="Q185" s="84">
        <f>++[2]Summary!M578+[2]Summary!M150</f>
        <v>0</v>
      </c>
      <c r="R185" s="84"/>
      <c r="S185" s="70"/>
      <c r="T185" s="80">
        <f t="shared" si="82"/>
        <v>0</v>
      </c>
      <c r="U185" s="111">
        <f>+'Link in'!$M61</f>
        <v>5.1909999999999998</v>
      </c>
      <c r="V185" s="80">
        <f>ROUND((T185*U185),0)</f>
        <v>0</v>
      </c>
      <c r="W185" s="84"/>
      <c r="X185" s="80">
        <f t="shared" si="77"/>
        <v>0</v>
      </c>
      <c r="Y185" s="83"/>
      <c r="Z185" s="101">
        <f t="shared" si="78"/>
        <v>0</v>
      </c>
    </row>
    <row r="186" spans="1:27" ht="14.4" x14ac:dyDescent="0.3">
      <c r="A186" s="93">
        <v>20</v>
      </c>
      <c r="B186" s="70" t="s">
        <v>44</v>
      </c>
      <c r="C186" s="80"/>
      <c r="D186" s="83"/>
      <c r="E186" s="84">
        <f>'Link in'!F26</f>
        <v>0</v>
      </c>
      <c r="F186" s="111">
        <f>'Link in'!F62</f>
        <v>0</v>
      </c>
      <c r="G186" s="84">
        <f>ROUND((E186*F186),0)</f>
        <v>0</v>
      </c>
      <c r="H186" s="80"/>
      <c r="I186" s="83"/>
      <c r="J186" s="84">
        <f t="shared" si="79"/>
        <v>0</v>
      </c>
      <c r="K186" s="111">
        <f t="shared" si="80"/>
        <v>5.1909999999999998</v>
      </c>
      <c r="L186" s="84">
        <f>ROUND((J186*K186),0)</f>
        <v>0</v>
      </c>
      <c r="M186" s="80"/>
      <c r="N186" s="83"/>
      <c r="O186" s="84">
        <f>'Link in'!P26</f>
        <v>0</v>
      </c>
      <c r="P186" s="111">
        <f t="shared" si="81"/>
        <v>0</v>
      </c>
      <c r="Q186" s="84">
        <f>++[2]Summary!M579+[2]Summary!M151</f>
        <v>0</v>
      </c>
      <c r="R186" s="84"/>
      <c r="S186" s="70"/>
      <c r="T186" s="80">
        <f t="shared" si="82"/>
        <v>0</v>
      </c>
      <c r="U186" s="111">
        <f>+'Link in'!$M62</f>
        <v>5.1909999999999998</v>
      </c>
      <c r="V186" s="80">
        <f>ROUND((T186*U186),0)</f>
        <v>0</v>
      </c>
      <c r="W186" s="84"/>
      <c r="X186" s="80">
        <f t="shared" si="77"/>
        <v>0</v>
      </c>
      <c r="Y186" s="83"/>
      <c r="Z186" s="101">
        <f t="shared" si="78"/>
        <v>0</v>
      </c>
    </row>
    <row r="187" spans="1:27" ht="14.4" x14ac:dyDescent="0.3">
      <c r="A187" s="93">
        <v>21</v>
      </c>
      <c r="B187" s="70" t="s">
        <v>96</v>
      </c>
      <c r="C187" s="70"/>
      <c r="D187" s="83"/>
      <c r="E187" s="84">
        <f>'Link in'!F27</f>
        <v>0</v>
      </c>
      <c r="F187" s="111">
        <f>'Link in'!F63</f>
        <v>0</v>
      </c>
      <c r="G187" s="84">
        <f t="shared" ref="G187:G188" si="83">ROUND((E187*F187),0)</f>
        <v>0</v>
      </c>
      <c r="H187" s="80"/>
      <c r="I187" s="83"/>
      <c r="J187" s="84">
        <f t="shared" si="79"/>
        <v>0</v>
      </c>
      <c r="K187" s="111">
        <f t="shared" si="80"/>
        <v>5.1909999999999998</v>
      </c>
      <c r="L187" s="84">
        <f t="shared" ref="L187:L188" si="84">ROUND((J187*K187),0)</f>
        <v>0</v>
      </c>
      <c r="M187" s="70"/>
      <c r="N187" s="83"/>
      <c r="O187" s="84">
        <f>'Link in'!P27</f>
        <v>0</v>
      </c>
      <c r="P187" s="111">
        <f>'Link in'!O102</f>
        <v>0</v>
      </c>
      <c r="Q187" s="84">
        <f>++[2]Summary!M580+[2]Summary!M152</f>
        <v>0</v>
      </c>
      <c r="R187" s="83"/>
      <c r="S187" s="70"/>
      <c r="T187" s="80">
        <f t="shared" si="82"/>
        <v>0</v>
      </c>
      <c r="U187" s="111">
        <f>+'Link in'!$M63</f>
        <v>5.1909999999999998</v>
      </c>
      <c r="V187" s="80">
        <f t="shared" ref="V187:V188" si="85">ROUND((T187*U187),0)</f>
        <v>0</v>
      </c>
      <c r="W187" s="83"/>
      <c r="X187" s="80">
        <f t="shared" si="77"/>
        <v>0</v>
      </c>
      <c r="Y187" s="83"/>
      <c r="Z187" s="101">
        <f t="shared" si="78"/>
        <v>0</v>
      </c>
    </row>
    <row r="188" spans="1:27" ht="14.4" x14ac:dyDescent="0.3">
      <c r="A188" s="93">
        <v>22</v>
      </c>
      <c r="B188" s="70" t="s">
        <v>101</v>
      </c>
      <c r="C188" s="70"/>
      <c r="D188" s="83"/>
      <c r="E188" s="84">
        <f>'Link in'!F28</f>
        <v>0</v>
      </c>
      <c r="F188" s="111">
        <f>'Link in'!F64</f>
        <v>0</v>
      </c>
      <c r="G188" s="84">
        <f t="shared" si="83"/>
        <v>0</v>
      </c>
      <c r="H188" s="80"/>
      <c r="I188" s="83"/>
      <c r="J188" s="84">
        <f t="shared" si="79"/>
        <v>0</v>
      </c>
      <c r="K188" s="111">
        <f t="shared" si="80"/>
        <v>5.1909999999999998</v>
      </c>
      <c r="L188" s="84">
        <f t="shared" si="84"/>
        <v>0</v>
      </c>
      <c r="M188" s="70"/>
      <c r="N188" s="83"/>
      <c r="O188" s="84">
        <f>'Link in'!P28</f>
        <v>0</v>
      </c>
      <c r="P188" s="111">
        <f>'Link in'!O103</f>
        <v>0</v>
      </c>
      <c r="Q188" s="84">
        <f>++[2]Summary!M581+[2]Summary!M153</f>
        <v>0</v>
      </c>
      <c r="R188" s="83"/>
      <c r="S188" s="70"/>
      <c r="T188" s="80">
        <f t="shared" si="82"/>
        <v>0</v>
      </c>
      <c r="U188" s="111">
        <f>+'Link in'!$M64</f>
        <v>5.1909999999999998</v>
      </c>
      <c r="V188" s="80">
        <f t="shared" si="85"/>
        <v>0</v>
      </c>
      <c r="W188" s="83"/>
      <c r="X188" s="80">
        <f t="shared" si="77"/>
        <v>0</v>
      </c>
      <c r="Y188" s="83"/>
      <c r="Z188" s="101">
        <f t="shared" si="78"/>
        <v>0</v>
      </c>
    </row>
    <row r="189" spans="1:27" ht="14.4" x14ac:dyDescent="0.3">
      <c r="A189" s="93">
        <v>23</v>
      </c>
      <c r="B189" s="83" t="s">
        <v>108</v>
      </c>
      <c r="C189" s="112"/>
      <c r="D189" s="83"/>
      <c r="E189" s="83">
        <f>'Link in'!F32</f>
        <v>0</v>
      </c>
      <c r="F189" s="111"/>
      <c r="G189" s="112">
        <f>'Link in'!F34</f>
        <v>0</v>
      </c>
      <c r="H189" s="112"/>
      <c r="I189" s="83"/>
      <c r="J189" s="84">
        <f t="shared" si="79"/>
        <v>0</v>
      </c>
      <c r="K189" s="133"/>
      <c r="L189" s="112">
        <f>G189</f>
        <v>0</v>
      </c>
      <c r="M189" s="112"/>
      <c r="N189" s="83"/>
      <c r="O189" s="83"/>
      <c r="P189" s="95"/>
      <c r="Q189" s="112">
        <f>+'Link in'!P34</f>
        <v>0</v>
      </c>
      <c r="R189" s="112"/>
      <c r="S189" s="83"/>
      <c r="T189" s="83">
        <f t="shared" si="82"/>
        <v>0</v>
      </c>
      <c r="U189" s="95"/>
      <c r="V189" s="112">
        <f>Q189</f>
        <v>0</v>
      </c>
      <c r="W189" s="112"/>
      <c r="X189" s="112">
        <f t="shared" si="77"/>
        <v>0</v>
      </c>
      <c r="Y189" s="83"/>
      <c r="Z189" s="101">
        <f t="shared" si="78"/>
        <v>0</v>
      </c>
      <c r="AA189" s="24"/>
    </row>
    <row r="190" spans="1:27" ht="14.4" x14ac:dyDescent="0.3">
      <c r="A190" s="93">
        <v>24</v>
      </c>
      <c r="B190" s="70"/>
      <c r="C190" s="122"/>
      <c r="D190" s="70"/>
      <c r="E190" s="70"/>
      <c r="F190" s="122"/>
      <c r="G190" s="122"/>
      <c r="H190" s="122"/>
      <c r="I190" s="83"/>
      <c r="J190" s="83"/>
      <c r="K190" s="113"/>
      <c r="L190" s="113"/>
      <c r="M190" s="122"/>
      <c r="N190" s="70"/>
      <c r="O190" s="70"/>
      <c r="P190" s="122"/>
      <c r="Q190" s="122"/>
      <c r="R190" s="122"/>
      <c r="S190" s="70"/>
      <c r="T190" s="70"/>
      <c r="U190" s="122"/>
      <c r="V190" s="122"/>
      <c r="W190" s="113"/>
      <c r="X190" s="84"/>
      <c r="Y190" s="83"/>
      <c r="Z190" s="101"/>
    </row>
    <row r="191" spans="1:27" ht="15" thickBot="1" x14ac:dyDescent="0.35">
      <c r="A191" s="93">
        <v>25</v>
      </c>
      <c r="B191" s="70" t="s">
        <v>1</v>
      </c>
      <c r="C191" s="126"/>
      <c r="D191" s="136"/>
      <c r="E191" s="137">
        <f>SUM(E183:E190)</f>
        <v>0</v>
      </c>
      <c r="F191" s="126"/>
      <c r="G191" s="138">
        <f>SUM(G169:G190)</f>
        <v>0</v>
      </c>
      <c r="H191" s="126"/>
      <c r="I191" s="139"/>
      <c r="J191" s="140">
        <f>SUM(J183:J190)</f>
        <v>0</v>
      </c>
      <c r="K191" s="115"/>
      <c r="L191" s="141">
        <f>SUM(L169:L190)</f>
        <v>0</v>
      </c>
      <c r="M191" s="126"/>
      <c r="N191" s="136"/>
      <c r="O191" s="137">
        <f>SUM(O183:O190)</f>
        <v>0</v>
      </c>
      <c r="P191" s="126"/>
      <c r="Q191" s="138">
        <f>SUM(Q169:Q190)</f>
        <v>0</v>
      </c>
      <c r="R191" s="126"/>
      <c r="S191" s="136"/>
      <c r="T191" s="137">
        <f>SUM(T183:T190)</f>
        <v>0</v>
      </c>
      <c r="U191" s="126"/>
      <c r="V191" s="138">
        <f>SUM(V169:V190)</f>
        <v>0</v>
      </c>
      <c r="W191" s="115"/>
      <c r="X191" s="141">
        <f>SUM(X169:X190)</f>
        <v>0</v>
      </c>
      <c r="Y191" s="83"/>
      <c r="Z191" s="125">
        <f t="shared" si="78"/>
        <v>0</v>
      </c>
    </row>
    <row r="192" spans="1:27" ht="15" thickTop="1" x14ac:dyDescent="0.3">
      <c r="A192" s="93"/>
      <c r="B192" s="70"/>
      <c r="C192" s="80"/>
      <c r="D192" s="70"/>
      <c r="E192" s="70"/>
      <c r="F192" s="120"/>
      <c r="G192" s="80"/>
      <c r="H192" s="80"/>
      <c r="I192" s="80"/>
      <c r="J192" s="80"/>
      <c r="K192" s="80"/>
      <c r="L192" s="80"/>
      <c r="M192" s="80"/>
      <c r="N192" s="80"/>
      <c r="O192" s="70"/>
      <c r="P192" s="120"/>
      <c r="Q192" s="80"/>
      <c r="R192" s="80"/>
      <c r="S192" s="70"/>
      <c r="T192" s="70"/>
      <c r="U192" s="120"/>
      <c r="V192" s="80"/>
      <c r="W192" s="83"/>
      <c r="X192" s="84"/>
      <c r="Y192" s="83"/>
      <c r="Z192" s="101"/>
    </row>
    <row r="193" spans="1:26" ht="14.4" x14ac:dyDescent="0.3">
      <c r="A193" s="93"/>
      <c r="B193" s="70"/>
      <c r="C193" s="80"/>
      <c r="D193" s="93"/>
      <c r="E193" s="70"/>
      <c r="F193" s="120"/>
      <c r="G193" s="80"/>
      <c r="H193" s="80"/>
      <c r="I193" s="80"/>
      <c r="J193" s="80"/>
      <c r="K193" s="80"/>
      <c r="L193" s="80"/>
      <c r="M193" s="80"/>
      <c r="N193" s="80"/>
      <c r="O193" s="70"/>
      <c r="P193" s="120"/>
      <c r="Q193" s="80"/>
      <c r="R193" s="80"/>
      <c r="S193" s="93"/>
      <c r="T193" s="70"/>
      <c r="U193" s="120"/>
      <c r="V193" s="80"/>
      <c r="W193" s="83"/>
      <c r="X193" s="84"/>
      <c r="Y193" s="83"/>
      <c r="Z193" s="101"/>
    </row>
    <row r="194" spans="1:26" ht="14.4" x14ac:dyDescent="0.3">
      <c r="A194" s="93"/>
      <c r="B194" s="70"/>
      <c r="C194" s="70"/>
      <c r="D194" s="70"/>
      <c r="E194" s="70"/>
      <c r="F194" s="142"/>
      <c r="G194" s="70"/>
      <c r="H194" s="70"/>
      <c r="I194" s="70"/>
      <c r="J194" s="70"/>
      <c r="K194" s="70"/>
      <c r="L194" s="70"/>
      <c r="M194" s="70"/>
      <c r="N194" s="70"/>
      <c r="O194" s="70"/>
      <c r="P194" s="142"/>
      <c r="Q194" s="70"/>
      <c r="R194" s="70"/>
      <c r="S194" s="70"/>
      <c r="T194" s="70"/>
      <c r="U194" s="142"/>
      <c r="V194" s="70"/>
      <c r="W194" s="83"/>
      <c r="X194" s="84"/>
      <c r="Y194" s="83"/>
      <c r="Z194" s="101"/>
    </row>
    <row r="195" spans="1:26" ht="14.4" x14ac:dyDescent="0.3">
      <c r="A195" s="93"/>
      <c r="B195" s="70"/>
      <c r="C195" s="70"/>
      <c r="D195" s="70"/>
      <c r="E195" s="70"/>
      <c r="F195" s="142"/>
      <c r="G195" s="70"/>
      <c r="H195" s="70"/>
      <c r="I195" s="70"/>
      <c r="J195" s="70"/>
      <c r="K195" s="70"/>
      <c r="L195" s="70"/>
      <c r="M195" s="70"/>
      <c r="N195" s="70"/>
      <c r="O195" s="70"/>
      <c r="P195" s="142"/>
      <c r="Q195" s="70"/>
      <c r="R195" s="70"/>
      <c r="S195" s="70"/>
      <c r="T195" s="70"/>
      <c r="U195" s="142"/>
      <c r="V195" s="70"/>
      <c r="W195" s="83"/>
      <c r="X195" s="84"/>
      <c r="Y195" s="83"/>
      <c r="Z195" s="101"/>
    </row>
    <row r="196" spans="1:26" ht="14.4" x14ac:dyDescent="0.3">
      <c r="A196" s="323" t="str">
        <f>A157</f>
        <v>Kentucky American Water Company</v>
      </c>
      <c r="B196" s="323"/>
      <c r="C196" s="323"/>
      <c r="D196" s="323"/>
      <c r="E196" s="323"/>
      <c r="F196" s="323"/>
      <c r="G196" s="323"/>
      <c r="H196" s="32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</row>
    <row r="197" spans="1:26" ht="14.4" x14ac:dyDescent="0.3">
      <c r="A197" s="323" t="s">
        <v>77</v>
      </c>
      <c r="B197" s="323"/>
      <c r="C197" s="323"/>
      <c r="D197" s="323"/>
      <c r="E197" s="323"/>
      <c r="F197" s="323"/>
      <c r="G197" s="323"/>
      <c r="H197" s="323"/>
      <c r="I197" s="323"/>
      <c r="J197" s="323"/>
      <c r="K197" s="323"/>
      <c r="L197" s="323"/>
      <c r="M197" s="323"/>
      <c r="N197" s="323"/>
      <c r="O197" s="323"/>
      <c r="P197" s="323"/>
      <c r="Q197" s="323"/>
      <c r="R197" s="323"/>
      <c r="S197" s="323"/>
      <c r="T197" s="323"/>
      <c r="U197" s="323"/>
      <c r="V197" s="323"/>
      <c r="W197" s="323"/>
      <c r="X197" s="323"/>
      <c r="Y197" s="323"/>
      <c r="Z197" s="323"/>
    </row>
    <row r="198" spans="1:26" ht="14.4" x14ac:dyDescent="0.3">
      <c r="A198" s="323" t="str">
        <f>A159</f>
        <v>Case No. 2018-00358</v>
      </c>
      <c r="B198" s="323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323"/>
      <c r="S198" s="323"/>
      <c r="T198" s="323"/>
      <c r="U198" s="323"/>
      <c r="V198" s="323"/>
      <c r="W198" s="323"/>
      <c r="X198" s="323"/>
      <c r="Y198" s="323"/>
      <c r="Z198" s="323"/>
    </row>
    <row r="199" spans="1:26" ht="14.4" x14ac:dyDescent="0.3">
      <c r="A199" s="323" t="str">
        <f>A160</f>
        <v>Base Year for the 12 Months Ended February 28, 2019 and Forecast Year for the 12 Months Ended June 30, 2020</v>
      </c>
      <c r="B199" s="323"/>
      <c r="C199" s="323"/>
      <c r="D199" s="323"/>
      <c r="E199" s="323"/>
      <c r="F199" s="323"/>
      <c r="G199" s="323"/>
      <c r="H199" s="323"/>
      <c r="I199" s="323"/>
      <c r="J199" s="323"/>
      <c r="K199" s="323"/>
      <c r="L199" s="323"/>
      <c r="M199" s="323"/>
      <c r="N199" s="323"/>
      <c r="O199" s="323"/>
      <c r="P199" s="323"/>
      <c r="Q199" s="323"/>
      <c r="R199" s="323"/>
      <c r="S199" s="323"/>
      <c r="T199" s="323"/>
      <c r="U199" s="323"/>
      <c r="V199" s="323"/>
      <c r="W199" s="323"/>
      <c r="X199" s="323"/>
      <c r="Y199" s="323"/>
      <c r="Z199" s="323"/>
    </row>
    <row r="200" spans="1:26" ht="14.4" x14ac:dyDescent="0.3">
      <c r="A200" s="98" t="str">
        <f>A161</f>
        <v>Witness Responsible:   Melissa Schwarzell</v>
      </c>
      <c r="B200" s="70"/>
      <c r="C200" s="70"/>
      <c r="D200" s="70"/>
      <c r="E200" s="70"/>
      <c r="F200" s="70"/>
      <c r="G200" s="70"/>
      <c r="H200" s="70"/>
      <c r="I200" s="322" t="str">
        <f>"EASTERN ROCKCASTLE ("&amp;LEFT(B206,SEARCH(":",B206,1)-1)&amp;")"</f>
        <v>EASTERN ROCKCASTLE (Sale for Resale)</v>
      </c>
      <c r="J200" s="322"/>
      <c r="K200" s="322"/>
      <c r="L200" s="322"/>
      <c r="M200" s="322"/>
      <c r="N200" s="322"/>
      <c r="O200" s="322"/>
      <c r="P200" s="322"/>
      <c r="Q200" s="322"/>
      <c r="R200" s="70"/>
      <c r="S200" s="70"/>
      <c r="T200" s="70"/>
      <c r="U200" s="70"/>
      <c r="V200" s="70"/>
      <c r="W200" s="83"/>
      <c r="X200" s="83"/>
      <c r="Y200" s="83"/>
      <c r="Z200" s="88" t="str">
        <f>Z161</f>
        <v>Exhibit 37, Schedule M-3</v>
      </c>
    </row>
    <row r="201" spans="1:26" ht="14.4" x14ac:dyDescent="0.3">
      <c r="A201" s="128" t="str">
        <f>A162</f>
        <v/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90"/>
      <c r="X201" s="90"/>
      <c r="Y201" s="90"/>
      <c r="Z201" s="130" t="str">
        <f ca="1">Z162</f>
        <v>Revenues\[KAWC 2018 Rate Case - Revenue - E. Rockcastle.xlsx]Sch M</v>
      </c>
    </row>
    <row r="202" spans="1:26" ht="14.4" x14ac:dyDescent="0.3">
      <c r="A202" s="70"/>
      <c r="B202" s="70"/>
      <c r="C202" s="93"/>
      <c r="D202" s="317" t="s">
        <v>170</v>
      </c>
      <c r="E202" s="317" t="s">
        <v>97</v>
      </c>
      <c r="F202" s="317"/>
      <c r="G202" s="317"/>
      <c r="H202" s="93"/>
      <c r="I202" s="324" t="s">
        <v>169</v>
      </c>
      <c r="J202" s="324" t="s">
        <v>97</v>
      </c>
      <c r="K202" s="324"/>
      <c r="L202" s="324"/>
      <c r="M202" s="93"/>
      <c r="N202" s="317" t="s">
        <v>120</v>
      </c>
      <c r="O202" s="317" t="s">
        <v>98</v>
      </c>
      <c r="P202" s="317"/>
      <c r="Q202" s="317"/>
      <c r="R202" s="93"/>
      <c r="S202" s="317" t="s">
        <v>121</v>
      </c>
      <c r="T202" s="317" t="s">
        <v>99</v>
      </c>
      <c r="U202" s="317"/>
      <c r="V202" s="317"/>
      <c r="W202" s="94"/>
      <c r="X202" s="94"/>
      <c r="Y202" s="83"/>
      <c r="Z202" s="83"/>
    </row>
    <row r="203" spans="1:26" ht="14.4" x14ac:dyDescent="0.3">
      <c r="A203" s="70"/>
      <c r="B203" s="70"/>
      <c r="C203" s="93"/>
      <c r="D203" s="93" t="s">
        <v>27</v>
      </c>
      <c r="E203" s="93"/>
      <c r="F203" s="93"/>
      <c r="G203" s="93"/>
      <c r="H203" s="93"/>
      <c r="I203" s="95" t="s">
        <v>27</v>
      </c>
      <c r="J203" s="95"/>
      <c r="K203" s="95"/>
      <c r="L203" s="95"/>
      <c r="M203" s="93"/>
      <c r="N203" s="93" t="s">
        <v>27</v>
      </c>
      <c r="O203" s="93"/>
      <c r="P203" s="93"/>
      <c r="Q203" s="93"/>
      <c r="R203" s="93"/>
      <c r="S203" s="93" t="s">
        <v>27</v>
      </c>
      <c r="T203" s="93"/>
      <c r="U203" s="93"/>
      <c r="V203" s="93"/>
      <c r="W203" s="95"/>
      <c r="X203" s="95"/>
      <c r="Y203" s="83"/>
      <c r="Z203" s="83"/>
    </row>
    <row r="204" spans="1:26" ht="14.4" x14ac:dyDescent="0.3">
      <c r="A204" s="70"/>
      <c r="B204" s="93" t="s">
        <v>24</v>
      </c>
      <c r="C204" s="93"/>
      <c r="D204" s="93" t="s">
        <v>28</v>
      </c>
      <c r="E204" s="93" t="s">
        <v>39</v>
      </c>
      <c r="F204" s="93" t="s">
        <v>45</v>
      </c>
      <c r="G204" s="93" t="s">
        <v>1</v>
      </c>
      <c r="H204" s="93"/>
      <c r="I204" s="95" t="s">
        <v>28</v>
      </c>
      <c r="J204" s="95" t="s">
        <v>39</v>
      </c>
      <c r="K204" s="95" t="s">
        <v>171</v>
      </c>
      <c r="L204" s="95" t="s">
        <v>1</v>
      </c>
      <c r="M204" s="93"/>
      <c r="N204" s="93" t="s">
        <v>28</v>
      </c>
      <c r="O204" s="93" t="s">
        <v>39</v>
      </c>
      <c r="P204" s="93" t="s">
        <v>45</v>
      </c>
      <c r="Q204" s="93" t="s">
        <v>1</v>
      </c>
      <c r="R204" s="93"/>
      <c r="S204" s="93" t="s">
        <v>28</v>
      </c>
      <c r="T204" s="93" t="s">
        <v>39</v>
      </c>
      <c r="U204" s="93" t="s">
        <v>73</v>
      </c>
      <c r="V204" s="93" t="s">
        <v>1</v>
      </c>
      <c r="W204" s="95"/>
      <c r="X204" s="95" t="s">
        <v>51</v>
      </c>
      <c r="Y204" s="83"/>
      <c r="Z204" s="95" t="s">
        <v>53</v>
      </c>
    </row>
    <row r="205" spans="1:26" ht="14.4" x14ac:dyDescent="0.3">
      <c r="A205" s="96" t="s">
        <v>0</v>
      </c>
      <c r="B205" s="96" t="s">
        <v>2</v>
      </c>
      <c r="C205" s="93"/>
      <c r="D205" s="96" t="s">
        <v>29</v>
      </c>
      <c r="E205" s="96" t="str">
        <f>E166</f>
        <v>('000 Gal)</v>
      </c>
      <c r="F205" s="96" t="s">
        <v>46</v>
      </c>
      <c r="G205" s="96" t="s">
        <v>47</v>
      </c>
      <c r="H205" s="93"/>
      <c r="I205" s="97" t="s">
        <v>29</v>
      </c>
      <c r="J205" s="97" t="str">
        <f>J166</f>
        <v>('000 Gal)</v>
      </c>
      <c r="K205" s="97" t="s">
        <v>46</v>
      </c>
      <c r="L205" s="97" t="s">
        <v>47</v>
      </c>
      <c r="M205" s="93"/>
      <c r="N205" s="96" t="s">
        <v>29</v>
      </c>
      <c r="O205" s="96" t="str">
        <f>E205</f>
        <v>('000 Gal)</v>
      </c>
      <c r="P205" s="96" t="s">
        <v>46</v>
      </c>
      <c r="Q205" s="96" t="s">
        <v>47</v>
      </c>
      <c r="R205" s="93"/>
      <c r="S205" s="96" t="s">
        <v>29</v>
      </c>
      <c r="T205" s="96" t="str">
        <f>O205</f>
        <v>('000 Gal)</v>
      </c>
      <c r="U205" s="96" t="s">
        <v>46</v>
      </c>
      <c r="V205" s="96" t="s">
        <v>47</v>
      </c>
      <c r="W205" s="95"/>
      <c r="X205" s="97" t="s">
        <v>52</v>
      </c>
      <c r="Y205" s="83"/>
      <c r="Z205" s="97" t="s">
        <v>52</v>
      </c>
    </row>
    <row r="206" spans="1:26" ht="14.4" x14ac:dyDescent="0.3">
      <c r="A206" s="93">
        <v>1</v>
      </c>
      <c r="B206" s="98" t="s">
        <v>173</v>
      </c>
      <c r="C206" s="93"/>
      <c r="D206" s="70"/>
      <c r="E206" s="93"/>
      <c r="F206" s="93"/>
      <c r="G206" s="93"/>
      <c r="H206" s="93"/>
      <c r="I206" s="95"/>
      <c r="J206" s="95"/>
      <c r="K206" s="95"/>
      <c r="L206" s="95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5"/>
      <c r="X206" s="95"/>
      <c r="Y206" s="83"/>
      <c r="Z206" s="95"/>
    </row>
    <row r="207" spans="1:26" ht="14.4" x14ac:dyDescent="0.3">
      <c r="A207" s="93">
        <v>2</v>
      </c>
      <c r="B207" s="99" t="s">
        <v>26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83"/>
      <c r="X207" s="83"/>
      <c r="Y207" s="83"/>
      <c r="Z207" s="83"/>
    </row>
    <row r="208" spans="1:26" ht="14.4" x14ac:dyDescent="0.3">
      <c r="A208" s="93">
        <v>3</v>
      </c>
      <c r="B208" s="70" t="s">
        <v>30</v>
      </c>
      <c r="C208" s="86"/>
      <c r="D208" s="84">
        <f>'Link in'!G10</f>
        <v>0</v>
      </c>
      <c r="E208" s="85"/>
      <c r="F208" s="131">
        <f>'Link in'!G41</f>
        <v>0</v>
      </c>
      <c r="G208" s="100">
        <f>ROUND((D208*F208),0)</f>
        <v>0</v>
      </c>
      <c r="H208" s="86"/>
      <c r="I208" s="84">
        <f>D208</f>
        <v>0</v>
      </c>
      <c r="J208" s="85"/>
      <c r="K208" s="131">
        <f>U208</f>
        <v>15</v>
      </c>
      <c r="L208" s="100">
        <f>ROUND((I208*K208),0)</f>
        <v>0</v>
      </c>
      <c r="M208" s="86"/>
      <c r="N208" s="84">
        <f>'Link in'!Q10</f>
        <v>0</v>
      </c>
      <c r="O208" s="85"/>
      <c r="P208" s="132">
        <v>0</v>
      </c>
      <c r="Q208" s="100">
        <f>ROUND((N208*P208),0)</f>
        <v>0</v>
      </c>
      <c r="R208" s="86"/>
      <c r="S208" s="80">
        <f>N208</f>
        <v>0</v>
      </c>
      <c r="T208" s="81"/>
      <c r="U208" s="131">
        <f>'Link in'!N41</f>
        <v>15</v>
      </c>
      <c r="V208" s="86">
        <f>ROUND((S208*U208),0)</f>
        <v>0</v>
      </c>
      <c r="W208" s="100"/>
      <c r="X208" s="86">
        <f>+V208-Q208</f>
        <v>0</v>
      </c>
      <c r="Y208" s="85"/>
      <c r="Z208" s="101">
        <f t="shared" ref="Z208:Z217" si="86">IF(Q208=0,0,ROUND((X208/Q208),4))</f>
        <v>0</v>
      </c>
    </row>
    <row r="209" spans="1:26" ht="14.4" x14ac:dyDescent="0.3">
      <c r="A209" s="93">
        <v>4</v>
      </c>
      <c r="B209" s="70" t="s">
        <v>31</v>
      </c>
      <c r="C209" s="80"/>
      <c r="D209" s="84">
        <f>'Link in'!G11</f>
        <v>0</v>
      </c>
      <c r="E209" s="85"/>
      <c r="F209" s="103">
        <f>'Link in'!G42</f>
        <v>0</v>
      </c>
      <c r="G209" s="84">
        <f t="shared" ref="G209:G216" si="87">ROUND((D209*F209),0)</f>
        <v>0</v>
      </c>
      <c r="H209" s="80"/>
      <c r="I209" s="84">
        <f t="shared" ref="I209:I216" si="88">D209</f>
        <v>0</v>
      </c>
      <c r="J209" s="85"/>
      <c r="K209" s="103">
        <f t="shared" ref="K209:K216" si="89">U209</f>
        <v>22.4</v>
      </c>
      <c r="L209" s="84">
        <f t="shared" ref="L209:L216" si="90">ROUND((I209*K209),0)</f>
        <v>0</v>
      </c>
      <c r="M209" s="80"/>
      <c r="N209" s="84">
        <f>'Link in'!Q11</f>
        <v>0</v>
      </c>
      <c r="O209" s="85"/>
      <c r="P209" s="102">
        <v>0</v>
      </c>
      <c r="Q209" s="84">
        <f t="shared" ref="Q209:Q216" si="91">ROUND((N209*P209),0)</f>
        <v>0</v>
      </c>
      <c r="R209" s="80"/>
      <c r="S209" s="80">
        <f t="shared" ref="S209:S216" si="92">N209</f>
        <v>0</v>
      </c>
      <c r="T209" s="81"/>
      <c r="U209" s="103">
        <f>'Link in'!N42</f>
        <v>22.4</v>
      </c>
      <c r="V209" s="80">
        <f t="shared" ref="V209:V216" si="93">ROUND((S209*U209),0)</f>
        <v>0</v>
      </c>
      <c r="W209" s="84"/>
      <c r="X209" s="80">
        <f t="shared" ref="X209:X217" si="94">+V209-Q209</f>
        <v>0</v>
      </c>
      <c r="Y209" s="85"/>
      <c r="Z209" s="101">
        <f t="shared" si="86"/>
        <v>0</v>
      </c>
    </row>
    <row r="210" spans="1:26" ht="14.4" x14ac:dyDescent="0.3">
      <c r="A210" s="93">
        <v>5</v>
      </c>
      <c r="B210" s="70" t="s">
        <v>32</v>
      </c>
      <c r="C210" s="80"/>
      <c r="D210" s="84">
        <f>'Link in'!G12</f>
        <v>0</v>
      </c>
      <c r="E210" s="85"/>
      <c r="F210" s="103">
        <f>'Link in'!G43</f>
        <v>0</v>
      </c>
      <c r="G210" s="84">
        <f t="shared" si="87"/>
        <v>0</v>
      </c>
      <c r="H210" s="80"/>
      <c r="I210" s="84">
        <f t="shared" si="88"/>
        <v>0</v>
      </c>
      <c r="J210" s="85"/>
      <c r="K210" s="103">
        <f t="shared" si="89"/>
        <v>37.299999999999997</v>
      </c>
      <c r="L210" s="84">
        <f t="shared" si="90"/>
        <v>0</v>
      </c>
      <c r="M210" s="80"/>
      <c r="N210" s="84">
        <f>'Link in'!Q12</f>
        <v>0</v>
      </c>
      <c r="O210" s="85"/>
      <c r="P210" s="102">
        <v>0</v>
      </c>
      <c r="Q210" s="84">
        <f t="shared" si="91"/>
        <v>0</v>
      </c>
      <c r="R210" s="80"/>
      <c r="S210" s="80">
        <f t="shared" si="92"/>
        <v>0</v>
      </c>
      <c r="T210" s="81"/>
      <c r="U210" s="103">
        <f>'Link in'!N43</f>
        <v>37.299999999999997</v>
      </c>
      <c r="V210" s="80">
        <f t="shared" si="93"/>
        <v>0</v>
      </c>
      <c r="W210" s="84"/>
      <c r="X210" s="80">
        <f t="shared" si="94"/>
        <v>0</v>
      </c>
      <c r="Y210" s="85"/>
      <c r="Z210" s="101">
        <f t="shared" si="86"/>
        <v>0</v>
      </c>
    </row>
    <row r="211" spans="1:26" ht="14.4" x14ac:dyDescent="0.3">
      <c r="A211" s="93">
        <v>6</v>
      </c>
      <c r="B211" s="70" t="s">
        <v>33</v>
      </c>
      <c r="C211" s="80"/>
      <c r="D211" s="84">
        <f>'Link in'!G13</f>
        <v>0</v>
      </c>
      <c r="E211" s="85"/>
      <c r="F211" s="103">
        <f>'Link in'!G44</f>
        <v>0</v>
      </c>
      <c r="G211" s="84">
        <f t="shared" si="87"/>
        <v>0</v>
      </c>
      <c r="H211" s="80"/>
      <c r="I211" s="84">
        <f t="shared" si="88"/>
        <v>0</v>
      </c>
      <c r="J211" s="85"/>
      <c r="K211" s="103">
        <f t="shared" si="89"/>
        <v>74.7</v>
      </c>
      <c r="L211" s="84">
        <f t="shared" si="90"/>
        <v>0</v>
      </c>
      <c r="M211" s="80"/>
      <c r="N211" s="84">
        <f>'Link in'!Q13</f>
        <v>0</v>
      </c>
      <c r="O211" s="85"/>
      <c r="P211" s="102">
        <v>0</v>
      </c>
      <c r="Q211" s="84">
        <f t="shared" si="91"/>
        <v>0</v>
      </c>
      <c r="R211" s="80"/>
      <c r="S211" s="80">
        <f t="shared" si="92"/>
        <v>0</v>
      </c>
      <c r="T211" s="81"/>
      <c r="U211" s="103">
        <f>'Link in'!N44</f>
        <v>74.7</v>
      </c>
      <c r="V211" s="80">
        <f t="shared" si="93"/>
        <v>0</v>
      </c>
      <c r="W211" s="84"/>
      <c r="X211" s="80">
        <f t="shared" si="94"/>
        <v>0</v>
      </c>
      <c r="Y211" s="85"/>
      <c r="Z211" s="101">
        <f t="shared" si="86"/>
        <v>0</v>
      </c>
    </row>
    <row r="212" spans="1:26" ht="14.4" x14ac:dyDescent="0.3">
      <c r="A212" s="93">
        <v>7</v>
      </c>
      <c r="B212" s="70" t="s">
        <v>34</v>
      </c>
      <c r="C212" s="80"/>
      <c r="D212" s="84">
        <f>'Link in'!G14</f>
        <v>0</v>
      </c>
      <c r="E212" s="85"/>
      <c r="F212" s="103">
        <f>'Link in'!G45</f>
        <v>0</v>
      </c>
      <c r="G212" s="84">
        <f t="shared" si="87"/>
        <v>0</v>
      </c>
      <c r="H212" s="80"/>
      <c r="I212" s="84">
        <f t="shared" si="88"/>
        <v>0</v>
      </c>
      <c r="J212" s="85"/>
      <c r="K212" s="103">
        <f t="shared" si="89"/>
        <v>119.5</v>
      </c>
      <c r="L212" s="84">
        <f t="shared" si="90"/>
        <v>0</v>
      </c>
      <c r="M212" s="80"/>
      <c r="N212" s="84">
        <f>'Link in'!Q14</f>
        <v>0</v>
      </c>
      <c r="O212" s="85"/>
      <c r="P212" s="102">
        <v>0</v>
      </c>
      <c r="Q212" s="84">
        <f t="shared" si="91"/>
        <v>0</v>
      </c>
      <c r="R212" s="80"/>
      <c r="S212" s="80">
        <f t="shared" si="92"/>
        <v>0</v>
      </c>
      <c r="T212" s="81"/>
      <c r="U212" s="103">
        <f>'Link in'!N45</f>
        <v>119.5</v>
      </c>
      <c r="V212" s="80">
        <f t="shared" si="93"/>
        <v>0</v>
      </c>
      <c r="W212" s="84"/>
      <c r="X212" s="80">
        <f t="shared" si="94"/>
        <v>0</v>
      </c>
      <c r="Y212" s="85"/>
      <c r="Z212" s="101">
        <f t="shared" si="86"/>
        <v>0</v>
      </c>
    </row>
    <row r="213" spans="1:26" ht="14.4" x14ac:dyDescent="0.3">
      <c r="A213" s="93">
        <v>8</v>
      </c>
      <c r="B213" s="70" t="s">
        <v>35</v>
      </c>
      <c r="C213" s="80"/>
      <c r="D213" s="84">
        <f>'Link in'!G15</f>
        <v>0</v>
      </c>
      <c r="E213" s="85"/>
      <c r="F213" s="103">
        <f>'Link in'!G46</f>
        <v>0</v>
      </c>
      <c r="G213" s="84">
        <f t="shared" si="87"/>
        <v>0</v>
      </c>
      <c r="H213" s="80"/>
      <c r="I213" s="84">
        <f t="shared" si="88"/>
        <v>0</v>
      </c>
      <c r="J213" s="85"/>
      <c r="K213" s="103">
        <f t="shared" si="89"/>
        <v>224</v>
      </c>
      <c r="L213" s="84">
        <f t="shared" si="90"/>
        <v>0</v>
      </c>
      <c r="M213" s="80"/>
      <c r="N213" s="84">
        <f>'Link in'!Q15</f>
        <v>0</v>
      </c>
      <c r="O213" s="85"/>
      <c r="P213" s="102">
        <v>0</v>
      </c>
      <c r="Q213" s="84">
        <f t="shared" si="91"/>
        <v>0</v>
      </c>
      <c r="R213" s="80"/>
      <c r="S213" s="80">
        <f t="shared" si="92"/>
        <v>0</v>
      </c>
      <c r="T213" s="81"/>
      <c r="U213" s="103">
        <f>'Link in'!N46</f>
        <v>224</v>
      </c>
      <c r="V213" s="80">
        <f t="shared" si="93"/>
        <v>0</v>
      </c>
      <c r="W213" s="84"/>
      <c r="X213" s="80">
        <f t="shared" si="94"/>
        <v>0</v>
      </c>
      <c r="Y213" s="85"/>
      <c r="Z213" s="101">
        <f t="shared" si="86"/>
        <v>0</v>
      </c>
    </row>
    <row r="214" spans="1:26" ht="14.4" x14ac:dyDescent="0.3">
      <c r="A214" s="93">
        <v>9</v>
      </c>
      <c r="B214" s="70" t="s">
        <v>36</v>
      </c>
      <c r="C214" s="80"/>
      <c r="D214" s="84">
        <f>'Link in'!G16</f>
        <v>0</v>
      </c>
      <c r="E214" s="85"/>
      <c r="F214" s="103">
        <f>'Link in'!G47</f>
        <v>0</v>
      </c>
      <c r="G214" s="84">
        <f t="shared" si="87"/>
        <v>0</v>
      </c>
      <c r="H214" s="80"/>
      <c r="I214" s="84">
        <f t="shared" si="88"/>
        <v>0</v>
      </c>
      <c r="J214" s="85"/>
      <c r="K214" s="103">
        <f t="shared" si="89"/>
        <v>373.4</v>
      </c>
      <c r="L214" s="84">
        <f t="shared" si="90"/>
        <v>0</v>
      </c>
      <c r="M214" s="80"/>
      <c r="N214" s="84">
        <f>'Link in'!Q16</f>
        <v>0</v>
      </c>
      <c r="O214" s="85"/>
      <c r="P214" s="102">
        <v>0</v>
      </c>
      <c r="Q214" s="84">
        <f t="shared" si="91"/>
        <v>0</v>
      </c>
      <c r="R214" s="80"/>
      <c r="S214" s="80">
        <f t="shared" si="92"/>
        <v>0</v>
      </c>
      <c r="T214" s="81"/>
      <c r="U214" s="103">
        <f>'Link in'!N47</f>
        <v>373.4</v>
      </c>
      <c r="V214" s="80">
        <f t="shared" si="93"/>
        <v>0</v>
      </c>
      <c r="W214" s="84"/>
      <c r="X214" s="80">
        <f t="shared" si="94"/>
        <v>0</v>
      </c>
      <c r="Y214" s="85"/>
      <c r="Z214" s="101">
        <f t="shared" si="86"/>
        <v>0</v>
      </c>
    </row>
    <row r="215" spans="1:26" ht="14.4" x14ac:dyDescent="0.3">
      <c r="A215" s="93">
        <v>10</v>
      </c>
      <c r="B215" s="70" t="s">
        <v>37</v>
      </c>
      <c r="C215" s="80"/>
      <c r="D215" s="84">
        <f>'Link in'!G17</f>
        <v>0</v>
      </c>
      <c r="E215" s="85"/>
      <c r="F215" s="103">
        <f>'Link in'!G48</f>
        <v>0</v>
      </c>
      <c r="G215" s="84">
        <f t="shared" si="87"/>
        <v>0</v>
      </c>
      <c r="H215" s="80"/>
      <c r="I215" s="84">
        <f t="shared" si="88"/>
        <v>0</v>
      </c>
      <c r="J215" s="85"/>
      <c r="K215" s="103">
        <f t="shared" si="89"/>
        <v>746.7</v>
      </c>
      <c r="L215" s="84">
        <f t="shared" si="90"/>
        <v>0</v>
      </c>
      <c r="M215" s="80"/>
      <c r="N215" s="84">
        <f>'Link in'!Q17</f>
        <v>0</v>
      </c>
      <c r="O215" s="85"/>
      <c r="P215" s="102">
        <v>0</v>
      </c>
      <c r="Q215" s="84">
        <f t="shared" si="91"/>
        <v>0</v>
      </c>
      <c r="R215" s="80"/>
      <c r="S215" s="80">
        <f t="shared" si="92"/>
        <v>0</v>
      </c>
      <c r="T215" s="81"/>
      <c r="U215" s="103">
        <f>'Link in'!N48</f>
        <v>746.7</v>
      </c>
      <c r="V215" s="80">
        <f t="shared" si="93"/>
        <v>0</v>
      </c>
      <c r="W215" s="84"/>
      <c r="X215" s="80">
        <f t="shared" si="94"/>
        <v>0</v>
      </c>
      <c r="Y215" s="85"/>
      <c r="Z215" s="101">
        <f t="shared" si="86"/>
        <v>0</v>
      </c>
    </row>
    <row r="216" spans="1:26" ht="14.4" x14ac:dyDescent="0.3">
      <c r="A216" s="93">
        <v>11</v>
      </c>
      <c r="B216" s="70" t="s">
        <v>38</v>
      </c>
      <c r="C216" s="80"/>
      <c r="D216" s="84">
        <f>'Link in'!G18</f>
        <v>0</v>
      </c>
      <c r="E216" s="85"/>
      <c r="F216" s="103">
        <f>'Link in'!G49</f>
        <v>0</v>
      </c>
      <c r="G216" s="84">
        <f t="shared" si="87"/>
        <v>0</v>
      </c>
      <c r="H216" s="80"/>
      <c r="I216" s="84">
        <f t="shared" si="88"/>
        <v>0</v>
      </c>
      <c r="J216" s="85"/>
      <c r="K216" s="103">
        <f t="shared" si="89"/>
        <v>1194.7</v>
      </c>
      <c r="L216" s="84">
        <f t="shared" si="90"/>
        <v>0</v>
      </c>
      <c r="M216" s="80"/>
      <c r="N216" s="84">
        <f>'Link in'!Q18</f>
        <v>0</v>
      </c>
      <c r="O216" s="85"/>
      <c r="P216" s="102">
        <v>0</v>
      </c>
      <c r="Q216" s="84">
        <f t="shared" si="91"/>
        <v>0</v>
      </c>
      <c r="R216" s="80"/>
      <c r="S216" s="80">
        <f t="shared" si="92"/>
        <v>0</v>
      </c>
      <c r="T216" s="81"/>
      <c r="U216" s="103">
        <f>'Link in'!N49</f>
        <v>1194.7</v>
      </c>
      <c r="V216" s="80">
        <f t="shared" si="93"/>
        <v>0</v>
      </c>
      <c r="W216" s="84"/>
      <c r="X216" s="80">
        <f t="shared" si="94"/>
        <v>0</v>
      </c>
      <c r="Y216" s="85"/>
      <c r="Z216" s="101">
        <f t="shared" si="86"/>
        <v>0</v>
      </c>
    </row>
    <row r="217" spans="1:26" ht="14.4" x14ac:dyDescent="0.3">
      <c r="A217" s="93">
        <v>12</v>
      </c>
      <c r="B217" s="70" t="s">
        <v>157</v>
      </c>
      <c r="C217" s="80"/>
      <c r="D217" s="84"/>
      <c r="E217" s="85"/>
      <c r="F217" s="103"/>
      <c r="G217" s="84">
        <f>'Link in'!B156</f>
        <v>0</v>
      </c>
      <c r="H217" s="80"/>
      <c r="I217" s="84"/>
      <c r="J217" s="85"/>
      <c r="K217" s="103"/>
      <c r="L217" s="84">
        <f>G217</f>
        <v>0</v>
      </c>
      <c r="M217" s="80"/>
      <c r="N217" s="84"/>
      <c r="O217" s="85"/>
      <c r="P217" s="103"/>
      <c r="Q217" s="84"/>
      <c r="R217" s="80"/>
      <c r="S217" s="80"/>
      <c r="T217" s="81"/>
      <c r="U217" s="103"/>
      <c r="V217" s="80">
        <v>0</v>
      </c>
      <c r="W217" s="84"/>
      <c r="X217" s="80">
        <f t="shared" si="94"/>
        <v>0</v>
      </c>
      <c r="Y217" s="85"/>
      <c r="Z217" s="101">
        <f t="shared" si="86"/>
        <v>0</v>
      </c>
    </row>
    <row r="218" spans="1:26" ht="14.4" x14ac:dyDescent="0.3">
      <c r="A218" s="93">
        <v>13</v>
      </c>
      <c r="B218" s="70"/>
      <c r="C218" s="80"/>
      <c r="D218" s="84"/>
      <c r="E218" s="85"/>
      <c r="F218" s="103"/>
      <c r="G218" s="84"/>
      <c r="H218" s="80"/>
      <c r="I218" s="84"/>
      <c r="J218" s="85"/>
      <c r="K218" s="103"/>
      <c r="L218" s="84"/>
      <c r="M218" s="80"/>
      <c r="N218" s="84"/>
      <c r="O218" s="85"/>
      <c r="P218" s="103"/>
      <c r="Q218" s="103"/>
      <c r="R218" s="80"/>
      <c r="S218" s="80"/>
      <c r="T218" s="81"/>
      <c r="U218" s="103"/>
      <c r="V218" s="80"/>
      <c r="W218" s="84"/>
      <c r="X218" s="100"/>
      <c r="Y218" s="85"/>
      <c r="Z218" s="101"/>
    </row>
    <row r="219" spans="1:26" ht="14.4" x14ac:dyDescent="0.3">
      <c r="A219" s="93">
        <v>14</v>
      </c>
      <c r="B219" s="70"/>
      <c r="C219" s="81"/>
      <c r="D219" s="85"/>
      <c r="E219" s="85"/>
      <c r="F219" s="85"/>
      <c r="G219" s="85"/>
      <c r="H219" s="81"/>
      <c r="I219" s="85"/>
      <c r="J219" s="85"/>
      <c r="K219" s="85"/>
      <c r="L219" s="85"/>
      <c r="M219" s="81"/>
      <c r="N219" s="85"/>
      <c r="O219" s="85"/>
      <c r="P219" s="85"/>
      <c r="Q219" s="85"/>
      <c r="R219" s="81"/>
      <c r="S219" s="81"/>
      <c r="T219" s="81"/>
      <c r="U219" s="85"/>
      <c r="V219" s="81"/>
      <c r="W219" s="85"/>
      <c r="X219" s="84"/>
      <c r="Y219" s="85"/>
      <c r="Z219" s="101"/>
    </row>
    <row r="220" spans="1:26" ht="14.4" x14ac:dyDescent="0.3">
      <c r="A220" s="93">
        <v>15</v>
      </c>
      <c r="B220" s="70"/>
      <c r="C220" s="70"/>
      <c r="D220" s="83"/>
      <c r="E220" s="83"/>
      <c r="F220" s="85"/>
      <c r="G220" s="83"/>
      <c r="H220" s="70"/>
      <c r="I220" s="83"/>
      <c r="J220" s="83"/>
      <c r="K220" s="85"/>
      <c r="L220" s="83"/>
      <c r="M220" s="70"/>
      <c r="N220" s="83"/>
      <c r="O220" s="83"/>
      <c r="P220" s="83"/>
      <c r="Q220" s="83"/>
      <c r="R220" s="70"/>
      <c r="S220" s="70"/>
      <c r="T220" s="70"/>
      <c r="U220" s="83"/>
      <c r="V220" s="70"/>
      <c r="W220" s="83"/>
      <c r="X220" s="83"/>
      <c r="Y220" s="83"/>
      <c r="Z220" s="83"/>
    </row>
    <row r="221" spans="1:26" ht="14.4" x14ac:dyDescent="0.3">
      <c r="A221" s="93">
        <v>16</v>
      </c>
      <c r="B221" s="99" t="s">
        <v>40</v>
      </c>
      <c r="C221" s="81"/>
      <c r="D221" s="85"/>
      <c r="E221" s="85"/>
      <c r="F221" s="85"/>
      <c r="G221" s="85"/>
      <c r="H221" s="81"/>
      <c r="I221" s="85"/>
      <c r="J221" s="85"/>
      <c r="K221" s="85"/>
      <c r="L221" s="85"/>
      <c r="M221" s="81"/>
      <c r="N221" s="85"/>
      <c r="O221" s="85"/>
      <c r="P221" s="85"/>
      <c r="Q221" s="85"/>
      <c r="R221" s="81"/>
      <c r="S221" s="81"/>
      <c r="T221" s="81"/>
      <c r="U221" s="85"/>
      <c r="V221" s="81"/>
      <c r="W221" s="85"/>
      <c r="X221" s="84"/>
      <c r="Y221" s="85"/>
      <c r="Z221" s="101"/>
    </row>
    <row r="222" spans="1:26" ht="14.4" x14ac:dyDescent="0.3">
      <c r="A222" s="93">
        <v>17</v>
      </c>
      <c r="B222" s="70" t="s">
        <v>41</v>
      </c>
      <c r="C222" s="86"/>
      <c r="D222" s="85"/>
      <c r="E222" s="84">
        <f>'Link in'!G23</f>
        <v>0</v>
      </c>
      <c r="F222" s="133">
        <v>0</v>
      </c>
      <c r="G222" s="100">
        <f>ROUND((E222*F222),0)</f>
        <v>0</v>
      </c>
      <c r="H222" s="86"/>
      <c r="I222" s="85"/>
      <c r="J222" s="84">
        <f>E222</f>
        <v>0</v>
      </c>
      <c r="K222" s="133">
        <f>U222</f>
        <v>4.76</v>
      </c>
      <c r="L222" s="100">
        <f>ROUND((J222*K222),0)</f>
        <v>0</v>
      </c>
      <c r="M222" s="86"/>
      <c r="N222" s="85"/>
      <c r="O222" s="84">
        <f>'Link in'!Q23</f>
        <v>0</v>
      </c>
      <c r="P222" s="134">
        <v>0</v>
      </c>
      <c r="Q222" s="100">
        <f>ROUND((O222*P222),0)</f>
        <v>0</v>
      </c>
      <c r="R222" s="86"/>
      <c r="S222" s="81"/>
      <c r="T222" s="80">
        <f>O222</f>
        <v>0</v>
      </c>
      <c r="U222" s="133">
        <f>+'Link in'!$N59</f>
        <v>4.76</v>
      </c>
      <c r="V222" s="86">
        <f>ROUND((T222*U222),0)</f>
        <v>0</v>
      </c>
      <c r="W222" s="84"/>
      <c r="X222" s="86">
        <f t="shared" ref="X222:X229" si="95">+V222-Q222</f>
        <v>0</v>
      </c>
      <c r="Y222" s="85"/>
      <c r="Z222" s="101">
        <f t="shared" ref="Z222:Z231" si="96">IF(Q222=0,0,ROUND((X222/Q222),4))</f>
        <v>0</v>
      </c>
    </row>
    <row r="223" spans="1:26" ht="14.4" x14ac:dyDescent="0.3">
      <c r="A223" s="93">
        <v>18</v>
      </c>
      <c r="B223" s="70" t="s">
        <v>42</v>
      </c>
      <c r="C223" s="80"/>
      <c r="D223" s="83"/>
      <c r="E223" s="84">
        <f>'Link in'!G24</f>
        <v>0</v>
      </c>
      <c r="F223" s="111">
        <f>'Link in'!G60</f>
        <v>0</v>
      </c>
      <c r="G223" s="84">
        <f t="shared" ref="G223:G229" si="97">ROUND((E223*F223),0)</f>
        <v>0</v>
      </c>
      <c r="H223" s="80"/>
      <c r="I223" s="83"/>
      <c r="J223" s="84">
        <f t="shared" ref="J223:J230" si="98">E223</f>
        <v>0</v>
      </c>
      <c r="K223" s="111">
        <f t="shared" ref="K223:K230" si="99">U223</f>
        <v>4.76</v>
      </c>
      <c r="L223" s="84">
        <f>ROUND((J223*K223),0)</f>
        <v>0</v>
      </c>
      <c r="M223" s="80"/>
      <c r="N223" s="83"/>
      <c r="O223" s="84">
        <f>'Link in'!Q24</f>
        <v>0</v>
      </c>
      <c r="P223" s="111">
        <f>'Link in'!O138</f>
        <v>0</v>
      </c>
      <c r="Q223" s="84">
        <f t="shared" ref="Q223:Q230" si="100">ROUND((O223*P223),0)</f>
        <v>0</v>
      </c>
      <c r="R223" s="80"/>
      <c r="S223" s="70"/>
      <c r="T223" s="80">
        <f t="shared" ref="T223:T228" si="101">O223</f>
        <v>0</v>
      </c>
      <c r="U223" s="111">
        <f>+'Link in'!$N60</f>
        <v>4.76</v>
      </c>
      <c r="V223" s="80">
        <f>ROUND((T223*U223),0)</f>
        <v>0</v>
      </c>
      <c r="W223" s="84"/>
      <c r="X223" s="80">
        <f t="shared" si="95"/>
        <v>0</v>
      </c>
      <c r="Y223" s="83"/>
      <c r="Z223" s="101">
        <f t="shared" si="96"/>
        <v>0</v>
      </c>
    </row>
    <row r="224" spans="1:26" ht="14.4" x14ac:dyDescent="0.3">
      <c r="A224" s="93">
        <v>19</v>
      </c>
      <c r="B224" s="70" t="s">
        <v>43</v>
      </c>
      <c r="C224" s="80"/>
      <c r="D224" s="83"/>
      <c r="E224" s="84">
        <v>0</v>
      </c>
      <c r="F224" s="111">
        <f>'Link in'!G61</f>
        <v>0</v>
      </c>
      <c r="G224" s="84">
        <f t="shared" si="97"/>
        <v>0</v>
      </c>
      <c r="H224" s="80"/>
      <c r="I224" s="83"/>
      <c r="J224" s="84">
        <f t="shared" si="98"/>
        <v>0</v>
      </c>
      <c r="K224" s="111">
        <f t="shared" si="99"/>
        <v>4.76</v>
      </c>
      <c r="L224" s="84">
        <f>ROUND((J224*K224),0)</f>
        <v>0</v>
      </c>
      <c r="M224" s="80"/>
      <c r="N224" s="83"/>
      <c r="O224" s="84">
        <v>0</v>
      </c>
      <c r="P224" s="111">
        <f t="shared" ref="P224:P226" si="102">F224</f>
        <v>0</v>
      </c>
      <c r="Q224" s="84">
        <f t="shared" si="100"/>
        <v>0</v>
      </c>
      <c r="R224" s="80"/>
      <c r="S224" s="70"/>
      <c r="T224" s="80">
        <f t="shared" si="101"/>
        <v>0</v>
      </c>
      <c r="U224" s="111">
        <f>+'Link in'!$N61</f>
        <v>4.76</v>
      </c>
      <c r="V224" s="80">
        <f>ROUND((T224*U224),0)</f>
        <v>0</v>
      </c>
      <c r="W224" s="84"/>
      <c r="X224" s="80">
        <f t="shared" si="95"/>
        <v>0</v>
      </c>
      <c r="Y224" s="83"/>
      <c r="Z224" s="101">
        <f t="shared" si="96"/>
        <v>0</v>
      </c>
    </row>
    <row r="225" spans="1:27" ht="14.4" x14ac:dyDescent="0.3">
      <c r="A225" s="93">
        <v>20</v>
      </c>
      <c r="B225" s="70" t="s">
        <v>44</v>
      </c>
      <c r="C225" s="80"/>
      <c r="D225" s="83"/>
      <c r="E225" s="84">
        <v>0</v>
      </c>
      <c r="F225" s="111">
        <f>'Link in'!G62</f>
        <v>0</v>
      </c>
      <c r="G225" s="84">
        <f t="shared" si="97"/>
        <v>0</v>
      </c>
      <c r="H225" s="80"/>
      <c r="I225" s="83"/>
      <c r="J225" s="84">
        <f t="shared" si="98"/>
        <v>0</v>
      </c>
      <c r="K225" s="111">
        <f t="shared" si="99"/>
        <v>4.76</v>
      </c>
      <c r="L225" s="84">
        <f>ROUND((J225*K225),0)</f>
        <v>0</v>
      </c>
      <c r="M225" s="80"/>
      <c r="N225" s="83"/>
      <c r="O225" s="84">
        <v>0</v>
      </c>
      <c r="P225" s="111">
        <f t="shared" si="102"/>
        <v>0</v>
      </c>
      <c r="Q225" s="84">
        <f t="shared" si="100"/>
        <v>0</v>
      </c>
      <c r="R225" s="80"/>
      <c r="S225" s="70"/>
      <c r="T225" s="80">
        <f t="shared" si="101"/>
        <v>0</v>
      </c>
      <c r="U225" s="111">
        <f>+'Link in'!$N62</f>
        <v>4.76</v>
      </c>
      <c r="V225" s="80">
        <f>ROUND((T225*U225),0)</f>
        <v>0</v>
      </c>
      <c r="W225" s="84"/>
      <c r="X225" s="80">
        <f t="shared" si="95"/>
        <v>0</v>
      </c>
      <c r="Y225" s="83"/>
      <c r="Z225" s="101">
        <f t="shared" si="96"/>
        <v>0</v>
      </c>
    </row>
    <row r="226" spans="1:27" ht="14.4" x14ac:dyDescent="0.3">
      <c r="A226" s="93">
        <v>21</v>
      </c>
      <c r="B226" s="70" t="s">
        <v>96</v>
      </c>
      <c r="C226" s="70"/>
      <c r="D226" s="83"/>
      <c r="E226" s="84">
        <v>0</v>
      </c>
      <c r="F226" s="111">
        <f>'Link in'!G63</f>
        <v>0</v>
      </c>
      <c r="G226" s="84">
        <f t="shared" si="97"/>
        <v>0</v>
      </c>
      <c r="H226" s="80"/>
      <c r="I226" s="83"/>
      <c r="J226" s="84">
        <f t="shared" si="98"/>
        <v>0</v>
      </c>
      <c r="K226" s="111">
        <f t="shared" si="99"/>
        <v>4.76</v>
      </c>
      <c r="L226" s="84">
        <f t="shared" ref="L226:L227" si="103">ROUND((J226*K226),0)</f>
        <v>0</v>
      </c>
      <c r="M226" s="70"/>
      <c r="N226" s="83"/>
      <c r="O226" s="84">
        <v>0</v>
      </c>
      <c r="P226" s="111">
        <f t="shared" si="102"/>
        <v>0</v>
      </c>
      <c r="Q226" s="84">
        <f t="shared" si="100"/>
        <v>0</v>
      </c>
      <c r="R226" s="70"/>
      <c r="S226" s="70"/>
      <c r="T226" s="80">
        <f t="shared" si="101"/>
        <v>0</v>
      </c>
      <c r="U226" s="111">
        <f>+'Link in'!$N63</f>
        <v>4.76</v>
      </c>
      <c r="V226" s="80">
        <f t="shared" ref="V226:V227" si="104">ROUND((T226*U226),0)</f>
        <v>0</v>
      </c>
      <c r="W226" s="83"/>
      <c r="X226" s="80">
        <f t="shared" si="95"/>
        <v>0</v>
      </c>
      <c r="Y226" s="83"/>
      <c r="Z226" s="101">
        <f t="shared" si="96"/>
        <v>0</v>
      </c>
    </row>
    <row r="227" spans="1:27" ht="14.4" x14ac:dyDescent="0.3">
      <c r="A227" s="93">
        <v>22</v>
      </c>
      <c r="B227" s="70" t="s">
        <v>101</v>
      </c>
      <c r="C227" s="70"/>
      <c r="D227" s="83"/>
      <c r="E227" s="84">
        <v>0</v>
      </c>
      <c r="F227" s="111">
        <f>'Link in'!G64</f>
        <v>0</v>
      </c>
      <c r="G227" s="84">
        <f t="shared" si="97"/>
        <v>0</v>
      </c>
      <c r="H227" s="80"/>
      <c r="I227" s="83"/>
      <c r="J227" s="84">
        <f t="shared" si="98"/>
        <v>0</v>
      </c>
      <c r="K227" s="111">
        <f t="shared" si="99"/>
        <v>4.76</v>
      </c>
      <c r="L227" s="84">
        <f t="shared" si="103"/>
        <v>0</v>
      </c>
      <c r="M227" s="70"/>
      <c r="N227" s="83"/>
      <c r="O227" s="84">
        <v>0</v>
      </c>
      <c r="P227" s="111">
        <v>0</v>
      </c>
      <c r="Q227" s="84">
        <f t="shared" si="100"/>
        <v>0</v>
      </c>
      <c r="R227" s="70"/>
      <c r="S227" s="70"/>
      <c r="T227" s="80">
        <f t="shared" si="101"/>
        <v>0</v>
      </c>
      <c r="U227" s="111">
        <f>+'Link in'!$N64</f>
        <v>4.76</v>
      </c>
      <c r="V227" s="80">
        <f t="shared" si="104"/>
        <v>0</v>
      </c>
      <c r="W227" s="83"/>
      <c r="X227" s="80">
        <f t="shared" si="95"/>
        <v>0</v>
      </c>
      <c r="Y227" s="83"/>
      <c r="Z227" s="101">
        <f t="shared" si="96"/>
        <v>0</v>
      </c>
    </row>
    <row r="228" spans="1:27" ht="14.4" x14ac:dyDescent="0.3">
      <c r="A228" s="293">
        <v>23</v>
      </c>
      <c r="B228" s="70" t="s">
        <v>203</v>
      </c>
      <c r="C228" s="70"/>
      <c r="D228" s="83"/>
      <c r="E228" s="84">
        <v>0</v>
      </c>
      <c r="F228" s="111">
        <v>0</v>
      </c>
      <c r="G228" s="84">
        <f t="shared" si="97"/>
        <v>0</v>
      </c>
      <c r="H228" s="80"/>
      <c r="I228" s="83"/>
      <c r="J228" s="84">
        <f t="shared" si="98"/>
        <v>0</v>
      </c>
      <c r="K228" s="111">
        <f t="shared" si="99"/>
        <v>0</v>
      </c>
      <c r="L228" s="84"/>
      <c r="M228" s="70"/>
      <c r="N228" s="83"/>
      <c r="O228" s="84">
        <v>0</v>
      </c>
      <c r="P228" s="111">
        <v>0</v>
      </c>
      <c r="Q228" s="84">
        <f t="shared" si="100"/>
        <v>0</v>
      </c>
      <c r="R228" s="70"/>
      <c r="S228" s="70"/>
      <c r="T228" s="80">
        <f t="shared" si="101"/>
        <v>0</v>
      </c>
      <c r="U228" s="111"/>
      <c r="V228" s="80"/>
      <c r="W228" s="83"/>
      <c r="X228" s="80"/>
      <c r="Y228" s="83"/>
      <c r="Z228" s="101"/>
    </row>
    <row r="229" spans="1:27" ht="14.4" x14ac:dyDescent="0.3">
      <c r="A229" s="93">
        <v>24</v>
      </c>
      <c r="B229" s="83" t="s">
        <v>108</v>
      </c>
      <c r="C229" s="112"/>
      <c r="D229" s="83"/>
      <c r="E229" s="83">
        <f>'Link in'!G32</f>
        <v>0</v>
      </c>
      <c r="F229" s="111">
        <v>0</v>
      </c>
      <c r="G229" s="84">
        <f t="shared" si="97"/>
        <v>0</v>
      </c>
      <c r="H229" s="112"/>
      <c r="I229" s="83"/>
      <c r="J229" s="84">
        <f t="shared" si="98"/>
        <v>0</v>
      </c>
      <c r="K229" s="111">
        <f t="shared" si="99"/>
        <v>0</v>
      </c>
      <c r="L229" s="112">
        <f>G229</f>
        <v>0</v>
      </c>
      <c r="M229" s="112"/>
      <c r="N229" s="83"/>
      <c r="O229" s="83">
        <v>0</v>
      </c>
      <c r="P229" s="111">
        <v>0</v>
      </c>
      <c r="Q229" s="84">
        <f t="shared" si="100"/>
        <v>0</v>
      </c>
      <c r="R229" s="112"/>
      <c r="S229" s="83"/>
      <c r="T229" s="83">
        <f>O229</f>
        <v>0</v>
      </c>
      <c r="U229" s="95"/>
      <c r="V229" s="112">
        <f>Q229</f>
        <v>0</v>
      </c>
      <c r="W229" s="112"/>
      <c r="X229" s="112">
        <f t="shared" si="95"/>
        <v>0</v>
      </c>
      <c r="Y229" s="83"/>
      <c r="Z229" s="101">
        <f t="shared" si="96"/>
        <v>0</v>
      </c>
      <c r="AA229" s="24"/>
    </row>
    <row r="230" spans="1:27" ht="14.4" x14ac:dyDescent="0.3">
      <c r="A230" s="93">
        <v>25</v>
      </c>
      <c r="B230" s="70" t="s">
        <v>198</v>
      </c>
      <c r="C230" s="122"/>
      <c r="D230" s="70"/>
      <c r="E230" s="70">
        <f>+'Link in'!G28</f>
        <v>0</v>
      </c>
      <c r="F230" s="111">
        <f>+'Link in'!G66</f>
        <v>0</v>
      </c>
      <c r="G230" s="84">
        <f t="shared" ref="G230" si="105">ROUND((E230*F230),0)</f>
        <v>0</v>
      </c>
      <c r="H230" s="122"/>
      <c r="I230" s="83"/>
      <c r="J230" s="83">
        <f t="shared" si="98"/>
        <v>0</v>
      </c>
      <c r="K230" s="111">
        <f t="shared" si="99"/>
        <v>0</v>
      </c>
      <c r="L230" s="84">
        <f>ROUND((J230*K230),0)</f>
        <v>0</v>
      </c>
      <c r="M230" s="122"/>
      <c r="N230" s="83"/>
      <c r="O230" s="83">
        <f>+'Link in'!Q28</f>
        <v>0</v>
      </c>
      <c r="P230" s="133">
        <f>F230</f>
        <v>0</v>
      </c>
      <c r="Q230" s="84">
        <f t="shared" si="100"/>
        <v>0</v>
      </c>
      <c r="R230" s="122"/>
      <c r="S230" s="70"/>
      <c r="T230" s="80">
        <f>O230</f>
        <v>0</v>
      </c>
      <c r="U230" s="111">
        <f>+'Link in'!N66</f>
        <v>0</v>
      </c>
      <c r="V230" s="86">
        <f>ROUND((T230*U230),0)</f>
        <v>0</v>
      </c>
      <c r="W230" s="113"/>
      <c r="X230" s="84"/>
      <c r="Y230" s="83"/>
      <c r="Z230" s="101"/>
    </row>
    <row r="231" spans="1:27" ht="15" thickBot="1" x14ac:dyDescent="0.35">
      <c r="A231" s="93">
        <v>26</v>
      </c>
      <c r="B231" s="70" t="s">
        <v>1</v>
      </c>
      <c r="C231" s="126"/>
      <c r="D231" s="136"/>
      <c r="E231" s="137">
        <f>SUM(E222:E230)</f>
        <v>0</v>
      </c>
      <c r="F231" s="126"/>
      <c r="G231" s="138">
        <f>SUM(G208:G230)</f>
        <v>0</v>
      </c>
      <c r="H231" s="126"/>
      <c r="I231" s="139"/>
      <c r="J231" s="140">
        <f>SUM(J222:J230)</f>
        <v>0</v>
      </c>
      <c r="K231" s="115"/>
      <c r="L231" s="141">
        <f>SUM(L208:L230)</f>
        <v>0</v>
      </c>
      <c r="M231" s="126"/>
      <c r="N231" s="136"/>
      <c r="O231" s="137">
        <f>SUM(O222:O230)</f>
        <v>0</v>
      </c>
      <c r="P231" s="126"/>
      <c r="Q231" s="138">
        <f>SUM(Q208:Q230)</f>
        <v>0</v>
      </c>
      <c r="R231" s="126"/>
      <c r="S231" s="136"/>
      <c r="T231" s="137">
        <f>SUM(T222:T230)</f>
        <v>0</v>
      </c>
      <c r="U231" s="126"/>
      <c r="V231" s="138">
        <f>SUM(V208:V230)</f>
        <v>0</v>
      </c>
      <c r="W231" s="115"/>
      <c r="X231" s="141">
        <f>SUM(X208:X230)</f>
        <v>0</v>
      </c>
      <c r="Y231" s="83"/>
      <c r="Z231" s="125">
        <f t="shared" si="96"/>
        <v>0</v>
      </c>
    </row>
    <row r="232" spans="1:27" ht="15" thickTop="1" x14ac:dyDescent="0.3">
      <c r="A232" s="93"/>
      <c r="B232" s="70"/>
      <c r="C232" s="80"/>
      <c r="D232" s="70"/>
      <c r="E232" s="70"/>
      <c r="F232" s="120"/>
      <c r="G232" s="80"/>
      <c r="H232" s="80"/>
      <c r="I232" s="80"/>
      <c r="J232" s="80"/>
      <c r="K232" s="80"/>
      <c r="L232" s="80"/>
      <c r="M232" s="80"/>
      <c r="N232" s="80"/>
      <c r="O232" s="70"/>
      <c r="P232" s="120"/>
      <c r="Q232" s="80"/>
      <c r="R232" s="80"/>
      <c r="S232" s="70"/>
      <c r="T232" s="70"/>
      <c r="U232" s="120"/>
      <c r="V232" s="80"/>
      <c r="W232" s="83"/>
      <c r="X232" s="84"/>
      <c r="Y232" s="83"/>
      <c r="Z232" s="101"/>
    </row>
    <row r="233" spans="1:27" ht="14.4" x14ac:dyDescent="0.3">
      <c r="A233" s="93"/>
      <c r="B233" s="70"/>
      <c r="C233" s="80"/>
      <c r="D233" s="93"/>
      <c r="E233" s="70"/>
      <c r="F233" s="120"/>
      <c r="G233" s="80"/>
      <c r="H233" s="80"/>
      <c r="I233" s="80"/>
      <c r="J233" s="80"/>
      <c r="K233" s="80"/>
      <c r="L233" s="80"/>
      <c r="M233" s="80"/>
      <c r="N233" s="80"/>
      <c r="O233" s="70"/>
      <c r="P233" s="120"/>
      <c r="Q233" s="80" t="s">
        <v>204</v>
      </c>
      <c r="R233" s="80"/>
      <c r="S233" s="93"/>
      <c r="T233" s="70"/>
      <c r="U233" s="120"/>
      <c r="V233" s="80"/>
      <c r="W233" s="83"/>
      <c r="X233" s="84"/>
      <c r="Y233" s="83"/>
      <c r="Z233" s="101"/>
    </row>
    <row r="234" spans="1:27" ht="14.4" x14ac:dyDescent="0.3">
      <c r="A234" s="93"/>
      <c r="B234" s="70"/>
      <c r="C234" s="70"/>
      <c r="D234" s="70"/>
      <c r="E234" s="70"/>
      <c r="F234" s="142"/>
      <c r="G234" s="70"/>
      <c r="H234" s="70"/>
      <c r="I234" s="70"/>
      <c r="J234" s="70"/>
      <c r="K234" s="70"/>
      <c r="L234" s="70"/>
      <c r="M234" s="70"/>
      <c r="N234" s="70"/>
      <c r="O234" s="70"/>
      <c r="P234" s="142"/>
      <c r="Q234" s="70"/>
      <c r="R234" s="70"/>
      <c r="S234" s="70"/>
      <c r="T234" s="70"/>
      <c r="U234" s="142"/>
      <c r="V234" s="70"/>
      <c r="W234" s="83"/>
      <c r="X234" s="84"/>
      <c r="Y234" s="83"/>
      <c r="Z234" s="101"/>
    </row>
    <row r="235" spans="1:27" ht="14.4" x14ac:dyDescent="0.3">
      <c r="A235" s="93"/>
      <c r="B235" s="70"/>
      <c r="C235" s="70"/>
      <c r="D235" s="70"/>
      <c r="E235" s="70"/>
      <c r="F235" s="142"/>
      <c r="G235" s="70"/>
      <c r="H235" s="70"/>
      <c r="I235" s="70"/>
      <c r="J235" s="70"/>
      <c r="K235" s="70"/>
      <c r="L235" s="70"/>
      <c r="M235" s="70"/>
      <c r="N235" s="70"/>
      <c r="O235" s="70"/>
      <c r="P235" s="142"/>
      <c r="Q235" s="70"/>
      <c r="R235" s="70"/>
      <c r="S235" s="70"/>
      <c r="T235" s="70"/>
      <c r="U235" s="142"/>
      <c r="V235" s="70"/>
      <c r="W235" s="83"/>
      <c r="X235" s="84"/>
      <c r="Y235" s="83"/>
      <c r="Z235" s="101"/>
    </row>
    <row r="236" spans="1:27" ht="14.4" x14ac:dyDescent="0.3">
      <c r="A236" s="323" t="str">
        <f>A196</f>
        <v>Kentucky American Water Company</v>
      </c>
      <c r="B236" s="323"/>
      <c r="C236" s="323"/>
      <c r="D236" s="323"/>
      <c r="E236" s="323"/>
      <c r="F236" s="323"/>
      <c r="G236" s="323"/>
      <c r="H236" s="323"/>
      <c r="I236" s="323"/>
      <c r="J236" s="323"/>
      <c r="K236" s="323"/>
      <c r="L236" s="323"/>
      <c r="M236" s="323"/>
      <c r="N236" s="323"/>
      <c r="O236" s="323"/>
      <c r="P236" s="323"/>
      <c r="Q236" s="323"/>
      <c r="R236" s="323"/>
      <c r="S236" s="323"/>
      <c r="T236" s="323"/>
      <c r="U236" s="323"/>
      <c r="V236" s="323"/>
      <c r="W236" s="323"/>
      <c r="X236" s="323"/>
      <c r="Y236" s="323"/>
      <c r="Z236" s="323"/>
      <c r="AA236" s="19"/>
    </row>
    <row r="237" spans="1:27" ht="14.4" x14ac:dyDescent="0.3">
      <c r="A237" s="323" t="s">
        <v>77</v>
      </c>
      <c r="B237" s="323"/>
      <c r="C237" s="323"/>
      <c r="D237" s="323"/>
      <c r="E237" s="323"/>
      <c r="F237" s="323"/>
      <c r="G237" s="323"/>
      <c r="H237" s="323"/>
      <c r="I237" s="323"/>
      <c r="J237" s="323"/>
      <c r="K237" s="323"/>
      <c r="L237" s="323"/>
      <c r="M237" s="323"/>
      <c r="N237" s="323"/>
      <c r="O237" s="323"/>
      <c r="P237" s="323"/>
      <c r="Q237" s="323"/>
      <c r="R237" s="323"/>
      <c r="S237" s="323"/>
      <c r="T237" s="323"/>
      <c r="U237" s="323"/>
      <c r="V237" s="323"/>
      <c r="W237" s="323"/>
      <c r="X237" s="323"/>
      <c r="Y237" s="323"/>
      <c r="Z237" s="323"/>
      <c r="AA237" s="19"/>
    </row>
    <row r="238" spans="1:27" ht="14.4" x14ac:dyDescent="0.3">
      <c r="A238" s="323" t="str">
        <f>A198</f>
        <v>Case No. 2018-00358</v>
      </c>
      <c r="B238" s="323"/>
      <c r="C238" s="323"/>
      <c r="D238" s="323"/>
      <c r="E238" s="323"/>
      <c r="F238" s="323"/>
      <c r="G238" s="323"/>
      <c r="H238" s="323"/>
      <c r="I238" s="323"/>
      <c r="J238" s="323"/>
      <c r="K238" s="323"/>
      <c r="L238" s="323"/>
      <c r="M238" s="323"/>
      <c r="N238" s="323"/>
      <c r="O238" s="323"/>
      <c r="P238" s="323"/>
      <c r="Q238" s="323"/>
      <c r="R238" s="323"/>
      <c r="S238" s="323"/>
      <c r="T238" s="323"/>
      <c r="U238" s="323"/>
      <c r="V238" s="323"/>
      <c r="W238" s="323"/>
      <c r="X238" s="323"/>
      <c r="Y238" s="323"/>
      <c r="Z238" s="323"/>
      <c r="AA238" s="19"/>
    </row>
    <row r="239" spans="1:27" ht="14.4" x14ac:dyDescent="0.3">
      <c r="A239" s="323" t="str">
        <f>A199</f>
        <v>Base Year for the 12 Months Ended February 28, 2019 and Forecast Year for the 12 Months Ended June 30, 2020</v>
      </c>
      <c r="B239" s="323"/>
      <c r="C239" s="323"/>
      <c r="D239" s="323"/>
      <c r="E239" s="323"/>
      <c r="F239" s="323"/>
      <c r="G239" s="323"/>
      <c r="H239" s="323"/>
      <c r="I239" s="323"/>
      <c r="J239" s="323"/>
      <c r="K239" s="323"/>
      <c r="L239" s="323"/>
      <c r="M239" s="323"/>
      <c r="N239" s="323"/>
      <c r="O239" s="323"/>
      <c r="P239" s="323"/>
      <c r="Q239" s="323"/>
      <c r="R239" s="323"/>
      <c r="S239" s="323"/>
      <c r="T239" s="323"/>
      <c r="U239" s="323"/>
      <c r="V239" s="323"/>
      <c r="W239" s="323"/>
      <c r="X239" s="323"/>
      <c r="Y239" s="323"/>
      <c r="Z239" s="323"/>
      <c r="AA239" s="19"/>
    </row>
    <row r="240" spans="1:27" ht="14.4" x14ac:dyDescent="0.3">
      <c r="A240" s="98" t="str">
        <f>A200</f>
        <v>Witness Responsible:   Melissa Schwarzell</v>
      </c>
      <c r="B240" s="70"/>
      <c r="C240" s="70"/>
      <c r="D240" s="70"/>
      <c r="E240" s="70"/>
      <c r="F240" s="70"/>
      <c r="G240" s="70"/>
      <c r="H240" s="70"/>
      <c r="I240" s="322" t="str">
        <f>"EASTERN ROCKCASTLE (Fire)"</f>
        <v>EASTERN ROCKCASTLE (Fire)</v>
      </c>
      <c r="J240" s="322"/>
      <c r="K240" s="322"/>
      <c r="L240" s="322"/>
      <c r="M240" s="322"/>
      <c r="N240" s="322"/>
      <c r="O240" s="322"/>
      <c r="P240" s="322"/>
      <c r="Q240" s="322"/>
      <c r="R240" s="70"/>
      <c r="S240" s="70"/>
      <c r="T240" s="70"/>
      <c r="U240" s="70"/>
      <c r="V240" s="70"/>
      <c r="W240" s="83"/>
      <c r="X240" s="83"/>
      <c r="Y240" s="83"/>
      <c r="Z240" s="88" t="str">
        <f>Z200</f>
        <v>Exhibit 37, Schedule M-3</v>
      </c>
      <c r="AA240" s="19"/>
    </row>
    <row r="241" spans="1:27" ht="14.4" x14ac:dyDescent="0.3">
      <c r="A241" s="128" t="str">
        <f>A201</f>
        <v/>
      </c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90"/>
      <c r="X241" s="90"/>
      <c r="Y241" s="90"/>
      <c r="Z241" s="130" t="str">
        <f ca="1">Z201</f>
        <v>Revenues\[KAWC 2018 Rate Case - Revenue - E. Rockcastle.xlsx]Sch M</v>
      </c>
      <c r="AA241" s="19"/>
    </row>
    <row r="242" spans="1:27" ht="14.4" x14ac:dyDescent="0.3">
      <c r="A242" s="70"/>
      <c r="B242" s="70"/>
      <c r="C242" s="93"/>
      <c r="D242" s="70"/>
      <c r="E242" s="317" t="s">
        <v>170</v>
      </c>
      <c r="F242" s="317"/>
      <c r="G242" s="317"/>
      <c r="H242" s="93"/>
      <c r="I242" s="95"/>
      <c r="J242" s="324" t="s">
        <v>169</v>
      </c>
      <c r="K242" s="324"/>
      <c r="L242" s="324"/>
      <c r="M242" s="93"/>
      <c r="N242" s="70"/>
      <c r="O242" s="317" t="s">
        <v>120</v>
      </c>
      <c r="P242" s="317"/>
      <c r="Q242" s="317"/>
      <c r="R242" s="93"/>
      <c r="S242" s="70"/>
      <c r="T242" s="317" t="s">
        <v>121</v>
      </c>
      <c r="U242" s="317"/>
      <c r="V242" s="317"/>
      <c r="W242" s="83"/>
      <c r="X242" s="83"/>
      <c r="Y242" s="83"/>
      <c r="Z242" s="83"/>
      <c r="AA242" s="19"/>
    </row>
    <row r="243" spans="1:27" ht="14.4" x14ac:dyDescent="0.3">
      <c r="A243" s="70"/>
      <c r="B243" s="70"/>
      <c r="C243" s="93"/>
      <c r="D243" s="70"/>
      <c r="E243" s="93" t="s">
        <v>64</v>
      </c>
      <c r="F243" s="93"/>
      <c r="G243" s="93"/>
      <c r="H243" s="93"/>
      <c r="I243" s="95"/>
      <c r="J243" s="95" t="s">
        <v>64</v>
      </c>
      <c r="K243" s="95"/>
      <c r="L243" s="95"/>
      <c r="M243" s="93"/>
      <c r="N243" s="93"/>
      <c r="O243" s="93" t="s">
        <v>64</v>
      </c>
      <c r="P243" s="93"/>
      <c r="Q243" s="93"/>
      <c r="R243" s="93"/>
      <c r="S243" s="70"/>
      <c r="T243" s="93" t="s">
        <v>64</v>
      </c>
      <c r="U243" s="93"/>
      <c r="V243" s="93"/>
      <c r="W243" s="95"/>
      <c r="X243" s="95"/>
      <c r="Y243" s="83"/>
      <c r="Z243" s="83"/>
      <c r="AA243" s="19"/>
    </row>
    <row r="244" spans="1:27" ht="14.4" x14ac:dyDescent="0.3">
      <c r="A244" s="70"/>
      <c r="B244" s="93" t="s">
        <v>58</v>
      </c>
      <c r="C244" s="93"/>
      <c r="D244" s="70"/>
      <c r="E244" s="93" t="s">
        <v>65</v>
      </c>
      <c r="F244" s="93" t="s">
        <v>45</v>
      </c>
      <c r="G244" s="93" t="s">
        <v>1</v>
      </c>
      <c r="H244" s="93"/>
      <c r="I244" s="95"/>
      <c r="J244" s="95" t="s">
        <v>65</v>
      </c>
      <c r="K244" s="93" t="s">
        <v>73</v>
      </c>
      <c r="L244" s="95" t="s">
        <v>1</v>
      </c>
      <c r="M244" s="93"/>
      <c r="N244" s="93"/>
      <c r="O244" s="93" t="s">
        <v>65</v>
      </c>
      <c r="P244" s="93" t="s">
        <v>45</v>
      </c>
      <c r="Q244" s="93" t="s">
        <v>1</v>
      </c>
      <c r="R244" s="93"/>
      <c r="S244" s="70"/>
      <c r="T244" s="93" t="s">
        <v>65</v>
      </c>
      <c r="U244" s="93" t="s">
        <v>73</v>
      </c>
      <c r="V244" s="93" t="s">
        <v>1</v>
      </c>
      <c r="W244" s="95"/>
      <c r="X244" s="95" t="s">
        <v>51</v>
      </c>
      <c r="Y244" s="83"/>
      <c r="Z244" s="95" t="s">
        <v>53</v>
      </c>
      <c r="AA244" s="19"/>
    </row>
    <row r="245" spans="1:27" ht="14.4" x14ac:dyDescent="0.3">
      <c r="A245" s="129" t="s">
        <v>0</v>
      </c>
      <c r="B245" s="96" t="s">
        <v>59</v>
      </c>
      <c r="C245" s="93"/>
      <c r="D245" s="70"/>
      <c r="E245" s="96" t="s">
        <v>66</v>
      </c>
      <c r="F245" s="96" t="s">
        <v>46</v>
      </c>
      <c r="G245" s="96" t="s">
        <v>47</v>
      </c>
      <c r="H245" s="93"/>
      <c r="I245" s="95"/>
      <c r="J245" s="97" t="s">
        <v>66</v>
      </c>
      <c r="K245" s="97" t="s">
        <v>46</v>
      </c>
      <c r="L245" s="97" t="s">
        <v>47</v>
      </c>
      <c r="M245" s="93"/>
      <c r="N245" s="93"/>
      <c r="O245" s="96" t="s">
        <v>66</v>
      </c>
      <c r="P245" s="96" t="s">
        <v>46</v>
      </c>
      <c r="Q245" s="96" t="s">
        <v>47</v>
      </c>
      <c r="R245" s="93"/>
      <c r="S245" s="70"/>
      <c r="T245" s="96" t="s">
        <v>66</v>
      </c>
      <c r="U245" s="96" t="s">
        <v>46</v>
      </c>
      <c r="V245" s="96" t="s">
        <v>47</v>
      </c>
      <c r="W245" s="95"/>
      <c r="X245" s="97" t="s">
        <v>52</v>
      </c>
      <c r="Y245" s="83"/>
      <c r="Z245" s="97" t="s">
        <v>52</v>
      </c>
      <c r="AA245" s="19"/>
    </row>
    <row r="246" spans="1:27" ht="14.4" x14ac:dyDescent="0.3">
      <c r="A246" s="93">
        <v>1</v>
      </c>
      <c r="B246" s="98" t="s">
        <v>57</v>
      </c>
      <c r="C246" s="93"/>
      <c r="D246" s="70"/>
      <c r="E246" s="93"/>
      <c r="F246" s="93"/>
      <c r="G246" s="93"/>
      <c r="H246" s="93"/>
      <c r="I246" s="95"/>
      <c r="J246" s="95"/>
      <c r="K246" s="95"/>
      <c r="L246" s="95"/>
      <c r="M246" s="93"/>
      <c r="N246" s="93"/>
      <c r="O246" s="93"/>
      <c r="P246" s="93"/>
      <c r="Q246" s="93"/>
      <c r="R246" s="93"/>
      <c r="S246" s="70"/>
      <c r="T246" s="93"/>
      <c r="U246" s="93"/>
      <c r="V246" s="93"/>
      <c r="W246" s="95"/>
      <c r="X246" s="95"/>
      <c r="Y246" s="83"/>
      <c r="Z246" s="101"/>
      <c r="AA246" s="19"/>
    </row>
    <row r="247" spans="1:27" ht="14.4" x14ac:dyDescent="0.3">
      <c r="A247" s="93">
        <v>2</v>
      </c>
      <c r="B247" s="70" t="s">
        <v>135</v>
      </c>
      <c r="C247" s="86"/>
      <c r="D247" s="81"/>
      <c r="E247" s="84">
        <f>'Link in'!I10</f>
        <v>0</v>
      </c>
      <c r="F247" s="131">
        <v>0</v>
      </c>
      <c r="G247" s="100">
        <f>ROUND((E247*F247),0)</f>
        <v>0</v>
      </c>
      <c r="H247" s="86"/>
      <c r="I247" s="100"/>
      <c r="J247" s="84">
        <f>E247</f>
        <v>0</v>
      </c>
      <c r="K247" s="131">
        <f>U247</f>
        <v>80.12</v>
      </c>
      <c r="L247" s="100">
        <f>ROUND((J247*K247),0)</f>
        <v>0</v>
      </c>
      <c r="M247" s="86"/>
      <c r="N247" s="86"/>
      <c r="O247" s="84">
        <f>'Link in'!S10</f>
        <v>0</v>
      </c>
      <c r="P247" s="131">
        <v>0</v>
      </c>
      <c r="Q247" s="100">
        <f>ROUND((O247*P247),0)</f>
        <v>0</v>
      </c>
      <c r="R247" s="86"/>
      <c r="S247" s="70"/>
      <c r="T247" s="80">
        <f>O247</f>
        <v>0</v>
      </c>
      <c r="U247" s="131">
        <f>'Link in'!L75</f>
        <v>80.12</v>
      </c>
      <c r="V247" s="86">
        <f>ROUND((U247*T247),0)</f>
        <v>0</v>
      </c>
      <c r="W247" s="83"/>
      <c r="X247" s="86">
        <f>+V247-Q247</f>
        <v>0</v>
      </c>
      <c r="Y247" s="85"/>
      <c r="Z247" s="101">
        <f>IF(Q247=0,0,ROUND((X247/Q247),4))</f>
        <v>0</v>
      </c>
      <c r="AA247" s="19"/>
    </row>
    <row r="248" spans="1:27" ht="14.4" x14ac:dyDescent="0.3">
      <c r="A248" s="93">
        <v>3</v>
      </c>
      <c r="B248" s="70" t="s">
        <v>13</v>
      </c>
      <c r="C248" s="80"/>
      <c r="D248" s="81"/>
      <c r="E248" s="84">
        <f>'Link in'!I11</f>
        <v>0</v>
      </c>
      <c r="F248" s="103">
        <v>0</v>
      </c>
      <c r="G248" s="84">
        <f t="shared" ref="G248:G255" si="106">ROUND((E248*F248),0)</f>
        <v>0</v>
      </c>
      <c r="H248" s="80"/>
      <c r="I248" s="84"/>
      <c r="J248" s="84">
        <f t="shared" ref="J248:J255" si="107">E248</f>
        <v>0</v>
      </c>
      <c r="K248" s="103">
        <f t="shared" ref="K248:K255" si="108">U248</f>
        <v>9.16</v>
      </c>
      <c r="L248" s="84">
        <f t="shared" ref="L248:L255" si="109">ROUND((J248*K248),0)</f>
        <v>0</v>
      </c>
      <c r="M248" s="80"/>
      <c r="N248" s="80"/>
      <c r="O248" s="84">
        <f>'Link in'!S11</f>
        <v>0</v>
      </c>
      <c r="P248" s="103">
        <v>0</v>
      </c>
      <c r="Q248" s="84">
        <f t="shared" ref="Q248:Q255" si="110">ROUND((O248*P248),0)</f>
        <v>0</v>
      </c>
      <c r="R248" s="80"/>
      <c r="S248" s="70"/>
      <c r="T248" s="80">
        <f t="shared" ref="T248:T255" si="111">O248</f>
        <v>0</v>
      </c>
      <c r="U248" s="103">
        <f>'Link in'!L76</f>
        <v>9.16</v>
      </c>
      <c r="V248" s="80">
        <f t="shared" ref="V248:V255" si="112">ROUND((U248*T248),0)</f>
        <v>0</v>
      </c>
      <c r="W248" s="100"/>
      <c r="X248" s="80">
        <f t="shared" ref="X248:X255" si="113">+V248-Q248</f>
        <v>0</v>
      </c>
      <c r="Y248" s="85"/>
      <c r="Z248" s="101">
        <f t="shared" ref="Z248:Z255" si="114">IF(Q248=0,0,ROUND((X248/Q248),4))</f>
        <v>0</v>
      </c>
      <c r="AA248" s="19"/>
    </row>
    <row r="249" spans="1:27" ht="14.4" x14ac:dyDescent="0.3">
      <c r="A249" s="93">
        <v>4</v>
      </c>
      <c r="B249" s="70" t="s">
        <v>16</v>
      </c>
      <c r="C249" s="80"/>
      <c r="D249" s="81"/>
      <c r="E249" s="84">
        <f>'Link in'!I12</f>
        <v>0</v>
      </c>
      <c r="F249" s="103">
        <v>0</v>
      </c>
      <c r="G249" s="84">
        <f>ROUND((E249*F249),0)</f>
        <v>0</v>
      </c>
      <c r="H249" s="80"/>
      <c r="I249" s="84"/>
      <c r="J249" s="84">
        <f t="shared" si="107"/>
        <v>0</v>
      </c>
      <c r="K249" s="103">
        <f t="shared" si="108"/>
        <v>36.92</v>
      </c>
      <c r="L249" s="84">
        <f t="shared" si="109"/>
        <v>0</v>
      </c>
      <c r="M249" s="80"/>
      <c r="N249" s="80"/>
      <c r="O249" s="84">
        <f>'Link in'!S12</f>
        <v>0</v>
      </c>
      <c r="P249" s="103">
        <v>0</v>
      </c>
      <c r="Q249" s="84">
        <f t="shared" si="110"/>
        <v>0</v>
      </c>
      <c r="R249" s="80"/>
      <c r="S249" s="70"/>
      <c r="T249" s="80">
        <f t="shared" si="111"/>
        <v>0</v>
      </c>
      <c r="U249" s="103">
        <f>'Link in'!L77</f>
        <v>36.92</v>
      </c>
      <c r="V249" s="80">
        <f t="shared" si="112"/>
        <v>0</v>
      </c>
      <c r="W249" s="84"/>
      <c r="X249" s="80">
        <f t="shared" si="113"/>
        <v>0</v>
      </c>
      <c r="Y249" s="85"/>
      <c r="Z249" s="101">
        <f t="shared" si="114"/>
        <v>0</v>
      </c>
      <c r="AA249" s="19"/>
    </row>
    <row r="250" spans="1:27" ht="14.4" x14ac:dyDescent="0.3">
      <c r="A250" s="93">
        <v>5</v>
      </c>
      <c r="B250" s="70" t="s">
        <v>60</v>
      </c>
      <c r="C250" s="80"/>
      <c r="D250" s="81"/>
      <c r="E250" s="84">
        <f>'Link in'!I13</f>
        <v>0</v>
      </c>
      <c r="F250" s="103">
        <v>0</v>
      </c>
      <c r="G250" s="84">
        <f t="shared" si="106"/>
        <v>0</v>
      </c>
      <c r="H250" s="80"/>
      <c r="I250" s="84"/>
      <c r="J250" s="84">
        <f t="shared" si="107"/>
        <v>0</v>
      </c>
      <c r="K250" s="103">
        <f t="shared" si="108"/>
        <v>83.04</v>
      </c>
      <c r="L250" s="84">
        <f t="shared" si="109"/>
        <v>0</v>
      </c>
      <c r="M250" s="80"/>
      <c r="N250" s="80"/>
      <c r="O250" s="84">
        <f>'Link in'!S13</f>
        <v>0</v>
      </c>
      <c r="P250" s="103">
        <v>0</v>
      </c>
      <c r="Q250" s="84">
        <f t="shared" si="110"/>
        <v>0</v>
      </c>
      <c r="R250" s="80"/>
      <c r="S250" s="70"/>
      <c r="T250" s="80">
        <f t="shared" si="111"/>
        <v>0</v>
      </c>
      <c r="U250" s="103">
        <f>'Link in'!L78</f>
        <v>83.04</v>
      </c>
      <c r="V250" s="80">
        <f t="shared" si="112"/>
        <v>0</v>
      </c>
      <c r="W250" s="100"/>
      <c r="X250" s="80">
        <f t="shared" si="113"/>
        <v>0</v>
      </c>
      <c r="Y250" s="85"/>
      <c r="Z250" s="101">
        <f t="shared" si="114"/>
        <v>0</v>
      </c>
      <c r="AA250" s="19"/>
    </row>
    <row r="251" spans="1:27" ht="14.4" x14ac:dyDescent="0.3">
      <c r="A251" s="93">
        <v>6</v>
      </c>
      <c r="B251" s="70" t="s">
        <v>61</v>
      </c>
      <c r="C251" s="80"/>
      <c r="D251" s="81"/>
      <c r="E251" s="84">
        <f>'Link in'!I14</f>
        <v>0</v>
      </c>
      <c r="F251" s="103">
        <v>0</v>
      </c>
      <c r="G251" s="84">
        <f t="shared" si="106"/>
        <v>0</v>
      </c>
      <c r="H251" s="80"/>
      <c r="I251" s="84"/>
      <c r="J251" s="84">
        <f t="shared" si="107"/>
        <v>0</v>
      </c>
      <c r="K251" s="103">
        <f t="shared" si="108"/>
        <v>147.62</v>
      </c>
      <c r="L251" s="84">
        <f t="shared" si="109"/>
        <v>0</v>
      </c>
      <c r="M251" s="80"/>
      <c r="N251" s="80"/>
      <c r="O251" s="84">
        <f>'Link in'!S14</f>
        <v>0</v>
      </c>
      <c r="P251" s="103">
        <v>0</v>
      </c>
      <c r="Q251" s="84">
        <f t="shared" si="110"/>
        <v>0</v>
      </c>
      <c r="R251" s="80"/>
      <c r="S251" s="70"/>
      <c r="T251" s="80">
        <f t="shared" si="111"/>
        <v>0</v>
      </c>
      <c r="U251" s="103">
        <f>'Link in'!L79</f>
        <v>147.62</v>
      </c>
      <c r="V251" s="80">
        <f t="shared" si="112"/>
        <v>0</v>
      </c>
      <c r="W251" s="84"/>
      <c r="X251" s="80">
        <f t="shared" si="113"/>
        <v>0</v>
      </c>
      <c r="Y251" s="85"/>
      <c r="Z251" s="101">
        <f t="shared" si="114"/>
        <v>0</v>
      </c>
      <c r="AA251" s="19"/>
    </row>
    <row r="252" spans="1:27" ht="14.4" x14ac:dyDescent="0.3">
      <c r="A252" s="93">
        <v>7</v>
      </c>
      <c r="B252" s="70" t="s">
        <v>62</v>
      </c>
      <c r="C252" s="80"/>
      <c r="D252" s="81"/>
      <c r="E252" s="84">
        <f>'Link in'!I15</f>
        <v>0</v>
      </c>
      <c r="F252" s="103">
        <v>0</v>
      </c>
      <c r="G252" s="84">
        <f t="shared" si="106"/>
        <v>0</v>
      </c>
      <c r="H252" s="80"/>
      <c r="I252" s="84"/>
      <c r="J252" s="84">
        <f t="shared" si="107"/>
        <v>0</v>
      </c>
      <c r="K252" s="103">
        <f t="shared" si="108"/>
        <v>230.72</v>
      </c>
      <c r="L252" s="84">
        <f t="shared" si="109"/>
        <v>0</v>
      </c>
      <c r="M252" s="80"/>
      <c r="N252" s="80"/>
      <c r="O252" s="84">
        <f>'Link in'!S15</f>
        <v>0</v>
      </c>
      <c r="P252" s="103">
        <v>0</v>
      </c>
      <c r="Q252" s="84">
        <f t="shared" si="110"/>
        <v>0</v>
      </c>
      <c r="R252" s="80"/>
      <c r="S252" s="70"/>
      <c r="T252" s="80">
        <f t="shared" si="111"/>
        <v>0</v>
      </c>
      <c r="U252" s="103">
        <f>'Link in'!L80</f>
        <v>230.72</v>
      </c>
      <c r="V252" s="80">
        <f t="shared" si="112"/>
        <v>0</v>
      </c>
      <c r="W252" s="100"/>
      <c r="X252" s="80">
        <f t="shared" si="113"/>
        <v>0</v>
      </c>
      <c r="Y252" s="85"/>
      <c r="Z252" s="101">
        <f t="shared" si="114"/>
        <v>0</v>
      </c>
      <c r="AA252" s="19"/>
    </row>
    <row r="253" spans="1:27" ht="14.4" x14ac:dyDescent="0.3">
      <c r="A253" s="93">
        <v>8</v>
      </c>
      <c r="B253" s="70" t="s">
        <v>63</v>
      </c>
      <c r="C253" s="80"/>
      <c r="D253" s="81"/>
      <c r="E253" s="84">
        <f>'Link in'!I16</f>
        <v>0</v>
      </c>
      <c r="F253" s="103">
        <v>0</v>
      </c>
      <c r="G253" s="84">
        <f t="shared" si="106"/>
        <v>0</v>
      </c>
      <c r="H253" s="80"/>
      <c r="I253" s="84"/>
      <c r="J253" s="84">
        <f t="shared" si="107"/>
        <v>0</v>
      </c>
      <c r="K253" s="103">
        <f t="shared" si="108"/>
        <v>332.71</v>
      </c>
      <c r="L253" s="84">
        <f t="shared" si="109"/>
        <v>0</v>
      </c>
      <c r="M253" s="80"/>
      <c r="N253" s="80"/>
      <c r="O253" s="84">
        <f>'Link in'!S16</f>
        <v>0</v>
      </c>
      <c r="P253" s="103">
        <v>0</v>
      </c>
      <c r="Q253" s="84">
        <f t="shared" si="110"/>
        <v>0</v>
      </c>
      <c r="R253" s="80"/>
      <c r="S253" s="70"/>
      <c r="T253" s="80">
        <f t="shared" si="111"/>
        <v>0</v>
      </c>
      <c r="U253" s="103">
        <f>'Link in'!L81</f>
        <v>332.71</v>
      </c>
      <c r="V253" s="80">
        <f t="shared" si="112"/>
        <v>0</v>
      </c>
      <c r="W253" s="84"/>
      <c r="X253" s="80">
        <f t="shared" si="113"/>
        <v>0</v>
      </c>
      <c r="Y253" s="85"/>
      <c r="Z253" s="101">
        <f t="shared" si="114"/>
        <v>0</v>
      </c>
      <c r="AA253" s="19"/>
    </row>
    <row r="254" spans="1:27" ht="14.4" x14ac:dyDescent="0.3">
      <c r="A254" s="93">
        <v>9</v>
      </c>
      <c r="B254" s="70" t="s">
        <v>131</v>
      </c>
      <c r="C254" s="80"/>
      <c r="D254" s="81"/>
      <c r="E254" s="84">
        <f>'Link in'!I17</f>
        <v>0</v>
      </c>
      <c r="F254" s="103">
        <v>0</v>
      </c>
      <c r="G254" s="84">
        <f t="shared" si="106"/>
        <v>0</v>
      </c>
      <c r="H254" s="80"/>
      <c r="I254" s="84"/>
      <c r="J254" s="84">
        <f t="shared" si="107"/>
        <v>0</v>
      </c>
      <c r="K254" s="103">
        <f t="shared" si="108"/>
        <v>479.07</v>
      </c>
      <c r="L254" s="84">
        <f t="shared" si="109"/>
        <v>0</v>
      </c>
      <c r="M254" s="80"/>
      <c r="N254" s="80"/>
      <c r="O254" s="84">
        <f>'Link in'!S17</f>
        <v>0</v>
      </c>
      <c r="P254" s="103">
        <v>0</v>
      </c>
      <c r="Q254" s="84">
        <f t="shared" si="110"/>
        <v>0</v>
      </c>
      <c r="R254" s="80"/>
      <c r="S254" s="70"/>
      <c r="T254" s="80">
        <f t="shared" si="111"/>
        <v>0</v>
      </c>
      <c r="U254" s="103">
        <f>'Link in'!L82</f>
        <v>479.07</v>
      </c>
      <c r="V254" s="80">
        <f t="shared" si="112"/>
        <v>0</v>
      </c>
      <c r="W254" s="100"/>
      <c r="X254" s="80">
        <f t="shared" si="113"/>
        <v>0</v>
      </c>
      <c r="Y254" s="85"/>
      <c r="Z254" s="101">
        <f t="shared" si="114"/>
        <v>0</v>
      </c>
      <c r="AA254" s="19"/>
    </row>
    <row r="255" spans="1:27" ht="14.4" x14ac:dyDescent="0.3">
      <c r="A255" s="93">
        <v>10</v>
      </c>
      <c r="B255" s="70" t="s">
        <v>132</v>
      </c>
      <c r="C255" s="80"/>
      <c r="D255" s="81"/>
      <c r="E255" s="84">
        <f>'Link in'!I18</f>
        <v>0</v>
      </c>
      <c r="F255" s="103">
        <v>0</v>
      </c>
      <c r="G255" s="84">
        <f t="shared" si="106"/>
        <v>0</v>
      </c>
      <c r="H255" s="80"/>
      <c r="I255" s="84"/>
      <c r="J255" s="84">
        <f t="shared" si="107"/>
        <v>0</v>
      </c>
      <c r="K255" s="103">
        <f t="shared" si="108"/>
        <v>590.78</v>
      </c>
      <c r="L255" s="84">
        <f t="shared" si="109"/>
        <v>0</v>
      </c>
      <c r="M255" s="80"/>
      <c r="N255" s="80"/>
      <c r="O255" s="84">
        <f>'Link in'!S18</f>
        <v>0</v>
      </c>
      <c r="P255" s="103">
        <v>0</v>
      </c>
      <c r="Q255" s="84">
        <f t="shared" si="110"/>
        <v>0</v>
      </c>
      <c r="R255" s="80"/>
      <c r="S255" s="70"/>
      <c r="T255" s="80">
        <f t="shared" si="111"/>
        <v>0</v>
      </c>
      <c r="U255" s="103">
        <f>'Link in'!L83</f>
        <v>590.78</v>
      </c>
      <c r="V255" s="80">
        <f t="shared" si="112"/>
        <v>0</v>
      </c>
      <c r="W255" s="84"/>
      <c r="X255" s="80">
        <f t="shared" si="113"/>
        <v>0</v>
      </c>
      <c r="Y255" s="85"/>
      <c r="Z255" s="101">
        <f t="shared" si="114"/>
        <v>0</v>
      </c>
      <c r="AA255" s="19"/>
    </row>
    <row r="256" spans="1:27" ht="14.4" x14ac:dyDescent="0.3">
      <c r="A256" s="93">
        <v>11</v>
      </c>
      <c r="B256" s="93"/>
      <c r="C256" s="80"/>
      <c r="D256" s="70"/>
      <c r="E256" s="84"/>
      <c r="F256" s="103"/>
      <c r="G256" s="84"/>
      <c r="H256" s="80"/>
      <c r="I256" s="84"/>
      <c r="J256" s="84"/>
      <c r="K256" s="103"/>
      <c r="L256" s="84"/>
      <c r="M256" s="80"/>
      <c r="N256" s="80"/>
      <c r="O256" s="84"/>
      <c r="P256" s="103"/>
      <c r="Q256" s="84"/>
      <c r="R256" s="80"/>
      <c r="S256" s="70"/>
      <c r="T256" s="80"/>
      <c r="U256" s="103"/>
      <c r="V256" s="80"/>
      <c r="W256" s="100"/>
      <c r="X256" s="100"/>
      <c r="Y256" s="85"/>
      <c r="Z256" s="101"/>
      <c r="AA256" s="19"/>
    </row>
    <row r="257" spans="1:27" ht="14.4" x14ac:dyDescent="0.3">
      <c r="A257" s="93">
        <v>12</v>
      </c>
      <c r="B257" s="93"/>
      <c r="C257" s="70"/>
      <c r="D257" s="70"/>
      <c r="E257" s="83"/>
      <c r="F257" s="83"/>
      <c r="G257" s="83"/>
      <c r="H257" s="70"/>
      <c r="I257" s="83"/>
      <c r="J257" s="83"/>
      <c r="K257" s="83"/>
      <c r="L257" s="83"/>
      <c r="M257" s="70"/>
      <c r="N257" s="70"/>
      <c r="O257" s="83"/>
      <c r="P257" s="83"/>
      <c r="Q257" s="83"/>
      <c r="R257" s="70"/>
      <c r="S257" s="70"/>
      <c r="T257" s="70"/>
      <c r="U257" s="83"/>
      <c r="V257" s="80"/>
      <c r="W257" s="84"/>
      <c r="X257" s="100"/>
      <c r="Y257" s="85"/>
      <c r="Z257" s="101"/>
      <c r="AA257" s="19"/>
    </row>
    <row r="258" spans="1:27" ht="14.4" x14ac:dyDescent="0.3">
      <c r="A258" s="93">
        <v>13</v>
      </c>
      <c r="B258" s="83" t="s">
        <v>108</v>
      </c>
      <c r="C258" s="84"/>
      <c r="D258" s="85"/>
      <c r="E258" s="83"/>
      <c r="F258" s="111"/>
      <c r="G258" s="112"/>
      <c r="H258" s="112"/>
      <c r="I258" s="112"/>
      <c r="J258" s="83"/>
      <c r="K258" s="111"/>
      <c r="L258" s="112">
        <f>G258</f>
        <v>0</v>
      </c>
      <c r="M258" s="112"/>
      <c r="N258" s="83"/>
      <c r="O258" s="83"/>
      <c r="P258" s="95"/>
      <c r="Q258" s="112"/>
      <c r="R258" s="112"/>
      <c r="S258" s="83"/>
      <c r="T258" s="83"/>
      <c r="U258" s="95"/>
      <c r="V258" s="112">
        <f>Q258</f>
        <v>0</v>
      </c>
      <c r="W258" s="100"/>
      <c r="X258" s="84"/>
      <c r="Y258" s="85"/>
      <c r="Z258" s="101"/>
      <c r="AA258" s="19"/>
    </row>
    <row r="259" spans="1:27" ht="15" thickBot="1" x14ac:dyDescent="0.35">
      <c r="A259" s="93">
        <v>14</v>
      </c>
      <c r="B259" s="70" t="s">
        <v>1</v>
      </c>
      <c r="C259" s="143"/>
      <c r="D259" s="93"/>
      <c r="E259" s="107">
        <f>SUM(E247:E258)</f>
        <v>0</v>
      </c>
      <c r="F259" s="95"/>
      <c r="G259" s="144">
        <f>SUM(G247:G258)</f>
        <v>0</v>
      </c>
      <c r="H259" s="143"/>
      <c r="I259" s="145"/>
      <c r="J259" s="107">
        <f>SUM(J247:J258)</f>
        <v>0</v>
      </c>
      <c r="K259" s="95"/>
      <c r="L259" s="144">
        <f>SUM(L247:L258)</f>
        <v>0</v>
      </c>
      <c r="M259" s="143"/>
      <c r="N259" s="143"/>
      <c r="O259" s="107">
        <f>SUM(O247:O258)</f>
        <v>0</v>
      </c>
      <c r="P259" s="95"/>
      <c r="Q259" s="144">
        <f>SUM(Q247:Q258)</f>
        <v>0</v>
      </c>
      <c r="R259" s="143"/>
      <c r="S259" s="70"/>
      <c r="T259" s="105">
        <f>SUM(T247:T258)</f>
        <v>0</v>
      </c>
      <c r="U259" s="112"/>
      <c r="V259" s="146">
        <f>SUM(V247:V258)</f>
        <v>0</v>
      </c>
      <c r="W259" s="112"/>
      <c r="X259" s="146">
        <f>SUM(X247:X258)</f>
        <v>0</v>
      </c>
      <c r="Y259" s="83"/>
      <c r="Z259" s="125">
        <f>IF(Q259=0,0,ROUND((X259/Q259),4))</f>
        <v>0</v>
      </c>
      <c r="AA259" s="19"/>
    </row>
    <row r="260" spans="1:27" ht="15" thickTop="1" x14ac:dyDescent="0.3">
      <c r="A260" s="93">
        <v>15</v>
      </c>
      <c r="B260" s="70"/>
      <c r="C260" s="80"/>
      <c r="D260" s="70"/>
      <c r="E260" s="84"/>
      <c r="F260" s="111"/>
      <c r="G260" s="84"/>
      <c r="H260" s="80"/>
      <c r="I260" s="84"/>
      <c r="J260" s="84"/>
      <c r="K260" s="111"/>
      <c r="L260" s="84"/>
      <c r="M260" s="80"/>
      <c r="N260" s="80"/>
      <c r="O260" s="84"/>
      <c r="P260" s="111"/>
      <c r="Q260" s="84"/>
      <c r="R260" s="80"/>
      <c r="S260" s="70"/>
      <c r="T260" s="80"/>
      <c r="U260" s="103"/>
      <c r="V260" s="135"/>
      <c r="W260" s="84"/>
      <c r="X260" s="84"/>
      <c r="Y260" s="83"/>
      <c r="Z260" s="101"/>
      <c r="AA260" s="19"/>
    </row>
    <row r="261" spans="1:27" ht="14.4" x14ac:dyDescent="0.3">
      <c r="A261" s="288">
        <v>16</v>
      </c>
      <c r="B261" s="99" t="s">
        <v>40</v>
      </c>
      <c r="C261" s="81"/>
      <c r="D261" s="85"/>
      <c r="E261" s="85"/>
      <c r="F261" s="85"/>
      <c r="G261" s="85"/>
      <c r="H261" s="81"/>
      <c r="I261" s="85"/>
      <c r="J261" s="85"/>
      <c r="K261" s="85"/>
      <c r="L261" s="85"/>
      <c r="M261" s="81"/>
      <c r="N261" s="85"/>
      <c r="O261" s="85"/>
      <c r="P261" s="85"/>
      <c r="Q261" s="85"/>
      <c r="R261" s="81"/>
      <c r="S261" s="81"/>
      <c r="T261" s="81"/>
      <c r="U261" s="85"/>
      <c r="V261" s="81"/>
      <c r="W261" s="85"/>
      <c r="X261" s="84"/>
      <c r="Y261" s="85"/>
      <c r="Z261" s="101"/>
      <c r="AA261" s="19"/>
    </row>
    <row r="262" spans="1:27" ht="14.4" x14ac:dyDescent="0.3">
      <c r="A262" s="288">
        <f>+A261+1</f>
        <v>17</v>
      </c>
      <c r="B262" s="70" t="s">
        <v>41</v>
      </c>
      <c r="C262" s="86"/>
      <c r="D262" s="85"/>
      <c r="E262" s="84">
        <f>+'Link in'!I23</f>
        <v>0</v>
      </c>
      <c r="F262" s="133">
        <v>0</v>
      </c>
      <c r="G262" s="100">
        <f>ROUND((E262*F262),0)</f>
        <v>0</v>
      </c>
      <c r="H262" s="86"/>
      <c r="I262" s="85"/>
      <c r="J262" s="84">
        <f>E262</f>
        <v>0</v>
      </c>
      <c r="K262" s="133">
        <f>U262</f>
        <v>0</v>
      </c>
      <c r="L262" s="100">
        <f>ROUND((J262*K262),0)</f>
        <v>0</v>
      </c>
      <c r="M262" s="86"/>
      <c r="N262" s="85"/>
      <c r="O262" s="84">
        <f>+'Link in'!S23</f>
        <v>0</v>
      </c>
      <c r="P262" s="133">
        <f>F262</f>
        <v>0</v>
      </c>
      <c r="Q262" s="100">
        <f>ROUND((O262*P262),0)</f>
        <v>0</v>
      </c>
      <c r="R262" s="86"/>
      <c r="S262" s="81"/>
      <c r="T262" s="80">
        <f>O262</f>
        <v>0</v>
      </c>
      <c r="U262" s="133">
        <f>+'Link in'!$N98</f>
        <v>0</v>
      </c>
      <c r="V262" s="86">
        <f>ROUND((T262*U262),0)</f>
        <v>0</v>
      </c>
      <c r="W262" s="84"/>
      <c r="X262" s="86">
        <f t="shared" ref="X262" si="115">+V262-Q262</f>
        <v>0</v>
      </c>
      <c r="Y262" s="85"/>
      <c r="Z262" s="101">
        <f t="shared" ref="Z262" si="116">IF(Q262=0,0,ROUND((X262/Q262),4))</f>
        <v>0</v>
      </c>
      <c r="AA262" s="19"/>
    </row>
    <row r="263" spans="1:27" ht="14.4" x14ac:dyDescent="0.3">
      <c r="A263" s="288">
        <f t="shared" ref="A263:A272" si="117">+A262+1</f>
        <v>18</v>
      </c>
      <c r="B263" s="70"/>
      <c r="C263" s="80"/>
      <c r="D263" s="70"/>
      <c r="E263" s="84"/>
      <c r="F263" s="111"/>
      <c r="G263" s="84"/>
      <c r="H263" s="80"/>
      <c r="I263" s="84"/>
      <c r="J263" s="84"/>
      <c r="K263" s="111"/>
      <c r="L263" s="84"/>
      <c r="M263" s="80"/>
      <c r="N263" s="80"/>
      <c r="O263" s="84"/>
      <c r="P263" s="111"/>
      <c r="Q263" s="84"/>
      <c r="R263" s="80"/>
      <c r="S263" s="70"/>
      <c r="T263" s="80"/>
      <c r="U263" s="103"/>
      <c r="V263" s="135"/>
      <c r="W263" s="84"/>
      <c r="X263" s="84"/>
      <c r="Y263" s="83"/>
      <c r="Z263" s="101"/>
      <c r="AA263" s="19"/>
    </row>
    <row r="264" spans="1:27" ht="14.4" x14ac:dyDescent="0.3">
      <c r="A264" s="288">
        <f t="shared" si="117"/>
        <v>19</v>
      </c>
      <c r="B264" s="70"/>
      <c r="C264" s="70"/>
      <c r="D264" s="70"/>
      <c r="E264" s="83"/>
      <c r="F264" s="83"/>
      <c r="G264" s="83"/>
      <c r="H264" s="70"/>
      <c r="I264" s="83"/>
      <c r="J264" s="83"/>
      <c r="K264" s="83"/>
      <c r="L264" s="83"/>
      <c r="M264" s="70"/>
      <c r="N264" s="70"/>
      <c r="O264" s="83"/>
      <c r="P264" s="83"/>
      <c r="Q264" s="83"/>
      <c r="R264" s="70"/>
      <c r="S264" s="70"/>
      <c r="T264" s="70"/>
      <c r="U264" s="83"/>
      <c r="V264" s="70"/>
      <c r="W264" s="83"/>
      <c r="X264" s="83"/>
      <c r="Y264" s="83"/>
      <c r="Z264" s="83"/>
      <c r="AA264" s="19"/>
    </row>
    <row r="265" spans="1:27" ht="14.4" x14ac:dyDescent="0.3">
      <c r="A265" s="288">
        <f t="shared" si="117"/>
        <v>20</v>
      </c>
      <c r="B265" s="98" t="s">
        <v>86</v>
      </c>
      <c r="C265" s="80"/>
      <c r="D265" s="121"/>
      <c r="E265" s="83"/>
      <c r="F265" s="117"/>
      <c r="G265" s="84"/>
      <c r="H265" s="80"/>
      <c r="I265" s="84"/>
      <c r="J265" s="83"/>
      <c r="K265" s="117"/>
      <c r="L265" s="84"/>
      <c r="M265" s="80"/>
      <c r="N265" s="80"/>
      <c r="O265" s="83"/>
      <c r="P265" s="117"/>
      <c r="Q265" s="84"/>
      <c r="R265" s="80"/>
      <c r="S265" s="70"/>
      <c r="T265" s="121"/>
      <c r="U265" s="83"/>
      <c r="V265" s="120"/>
      <c r="W265" s="116"/>
      <c r="X265" s="84"/>
      <c r="Y265" s="83"/>
      <c r="Z265" s="101"/>
      <c r="AA265" s="19"/>
    </row>
    <row r="266" spans="1:27" ht="14.4" x14ac:dyDescent="0.3">
      <c r="A266" s="288">
        <f t="shared" si="117"/>
        <v>21</v>
      </c>
      <c r="B266" s="83" t="s">
        <v>87</v>
      </c>
      <c r="C266" s="80"/>
      <c r="D266" s="70"/>
      <c r="E266" s="83">
        <f>'Link in'!I19</f>
        <v>0</v>
      </c>
      <c r="F266" s="131">
        <v>0</v>
      </c>
      <c r="G266" s="100">
        <f>ROUND((E266*F266),0)</f>
        <v>0</v>
      </c>
      <c r="H266" s="86"/>
      <c r="I266" s="84"/>
      <c r="J266" s="83">
        <f>E266</f>
        <v>0</v>
      </c>
      <c r="K266" s="131">
        <f>U266</f>
        <v>49.16</v>
      </c>
      <c r="L266" s="100">
        <f>ROUND((J266*K266),0)</f>
        <v>0</v>
      </c>
      <c r="M266" s="80"/>
      <c r="N266" s="80"/>
      <c r="O266" s="83">
        <f>'Link in'!S19</f>
        <v>0</v>
      </c>
      <c r="P266" s="131">
        <f>+'[2]Link Out'!K233</f>
        <v>39.9</v>
      </c>
      <c r="Q266" s="100">
        <f>ROUND((O266*P266),0)</f>
        <v>0</v>
      </c>
      <c r="R266" s="80"/>
      <c r="S266" s="70"/>
      <c r="T266" s="83">
        <f>'Link in'!S19</f>
        <v>0</v>
      </c>
      <c r="U266" s="131">
        <f>'Link in'!L86</f>
        <v>49.16</v>
      </c>
      <c r="V266" s="86">
        <f>ROUND((T266*U266),0)</f>
        <v>0</v>
      </c>
      <c r="W266" s="83"/>
      <c r="X266" s="86">
        <f>+V266-Q266</f>
        <v>0</v>
      </c>
      <c r="Y266" s="83"/>
      <c r="Z266" s="101">
        <f>IF(Q266=0,0,ROUND((X266/Q266),4))</f>
        <v>0</v>
      </c>
      <c r="AA266" s="19"/>
    </row>
    <row r="267" spans="1:27" ht="14.4" x14ac:dyDescent="0.3">
      <c r="A267" s="288">
        <f t="shared" si="117"/>
        <v>22</v>
      </c>
      <c r="B267" s="147"/>
      <c r="C267" s="145"/>
      <c r="D267" s="95"/>
      <c r="E267" s="83"/>
      <c r="F267" s="103"/>
      <c r="G267" s="84"/>
      <c r="H267" s="80"/>
      <c r="I267" s="104"/>
      <c r="J267" s="83"/>
      <c r="K267" s="103"/>
      <c r="L267" s="84"/>
      <c r="M267" s="82"/>
      <c r="N267" s="82"/>
      <c r="O267" s="83"/>
      <c r="P267" s="103"/>
      <c r="Q267" s="84"/>
      <c r="R267" s="82"/>
      <c r="S267" s="82"/>
      <c r="T267" s="70"/>
      <c r="U267" s="103"/>
      <c r="V267" s="80"/>
      <c r="W267" s="83"/>
      <c r="X267" s="80"/>
      <c r="Y267" s="83"/>
      <c r="Z267" s="101"/>
      <c r="AA267" s="19"/>
    </row>
    <row r="268" spans="1:27" ht="15" thickBot="1" x14ac:dyDescent="0.35">
      <c r="A268" s="288">
        <f t="shared" si="117"/>
        <v>23</v>
      </c>
      <c r="B268" s="70"/>
      <c r="C268" s="70"/>
      <c r="D268" s="70"/>
      <c r="E268" s="140">
        <f>SUM(E266:E267)</f>
        <v>0</v>
      </c>
      <c r="F268" s="131"/>
      <c r="G268" s="146">
        <f>SUM(G266:G267)</f>
        <v>0</v>
      </c>
      <c r="H268" s="143"/>
      <c r="I268" s="145"/>
      <c r="J268" s="140">
        <f>SUM(J266:J267)</f>
        <v>0</v>
      </c>
      <c r="K268" s="131"/>
      <c r="L268" s="144">
        <f>SUM(L266:L267)</f>
        <v>0</v>
      </c>
      <c r="M268" s="145"/>
      <c r="N268" s="145"/>
      <c r="O268" s="140">
        <f>SUM(O266:O267)</f>
        <v>0</v>
      </c>
      <c r="P268" s="131"/>
      <c r="Q268" s="144">
        <f>SUM(Q266:Q267)</f>
        <v>0</v>
      </c>
      <c r="R268" s="145"/>
      <c r="S268" s="83"/>
      <c r="T268" s="140">
        <f>SUM(T266:T267)</f>
        <v>0</v>
      </c>
      <c r="U268" s="131"/>
      <c r="V268" s="146">
        <f>SUM(V266:V267)</f>
        <v>0</v>
      </c>
      <c r="W268" s="100"/>
      <c r="X268" s="146">
        <f>+V268-Q268</f>
        <v>0</v>
      </c>
      <c r="Y268" s="85"/>
      <c r="Z268" s="125">
        <f>IF(Q268=0,0,ROUND((X268/Q268),4))</f>
        <v>0</v>
      </c>
      <c r="AA268" s="19"/>
    </row>
    <row r="269" spans="1:27" ht="15" thickTop="1" x14ac:dyDescent="0.3">
      <c r="A269" s="288">
        <f t="shared" si="117"/>
        <v>24</v>
      </c>
      <c r="B269" s="70"/>
      <c r="C269" s="70"/>
      <c r="D269" s="70"/>
      <c r="E269" s="70"/>
      <c r="F269" s="70"/>
      <c r="G269" s="70"/>
      <c r="H269" s="70"/>
      <c r="I269" s="83"/>
      <c r="J269" s="83"/>
      <c r="K269" s="83"/>
      <c r="L269" s="83"/>
      <c r="M269" s="70"/>
      <c r="N269" s="70"/>
      <c r="O269" s="83"/>
      <c r="P269" s="83"/>
      <c r="Q269" s="83"/>
      <c r="R269" s="70"/>
      <c r="S269" s="70"/>
      <c r="T269" s="70"/>
      <c r="U269" s="70"/>
      <c r="V269" s="70"/>
      <c r="W269" s="83"/>
      <c r="X269" s="83"/>
      <c r="Y269" s="83"/>
      <c r="Z269" s="83"/>
      <c r="AA269" s="19"/>
    </row>
    <row r="270" spans="1:27" ht="14.4" x14ac:dyDescent="0.3">
      <c r="A270" s="288">
        <f t="shared" si="117"/>
        <v>25</v>
      </c>
      <c r="B270" s="70" t="s">
        <v>108</v>
      </c>
      <c r="C270" s="70"/>
      <c r="D270" s="70"/>
      <c r="E270" s="70">
        <f>+'Link in'!I23+'Link in'!I32</f>
        <v>0</v>
      </c>
      <c r="F270" s="70"/>
      <c r="G270" s="70">
        <f>'Link in'!I34</f>
        <v>0</v>
      </c>
      <c r="H270" s="70"/>
      <c r="I270" s="83"/>
      <c r="J270" s="83"/>
      <c r="K270" s="83"/>
      <c r="L270" s="83">
        <f>+G270</f>
        <v>0</v>
      </c>
      <c r="M270" s="70"/>
      <c r="N270" s="70"/>
      <c r="O270" s="83"/>
      <c r="P270" s="83"/>
      <c r="Q270" s="83">
        <f>+'Link in'!S34</f>
        <v>0</v>
      </c>
      <c r="R270" s="70"/>
      <c r="S270" s="70"/>
      <c r="T270" s="70"/>
      <c r="U270" s="70"/>
      <c r="V270" s="70">
        <f>+Q270</f>
        <v>0</v>
      </c>
      <c r="W270" s="83"/>
      <c r="X270" s="83"/>
      <c r="Y270" s="83"/>
      <c r="Z270" s="83"/>
      <c r="AA270" s="19"/>
    </row>
    <row r="271" spans="1:27" ht="14.4" x14ac:dyDescent="0.3">
      <c r="A271" s="288">
        <f t="shared" si="117"/>
        <v>26</v>
      </c>
      <c r="B271" s="70"/>
      <c r="C271" s="70"/>
      <c r="D271" s="70"/>
      <c r="E271" s="70"/>
      <c r="F271" s="70"/>
      <c r="G271" s="70"/>
      <c r="H271" s="70"/>
      <c r="I271" s="83"/>
      <c r="J271" s="83"/>
      <c r="K271" s="83"/>
      <c r="L271" s="83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83"/>
      <c r="X271" s="83"/>
      <c r="Y271" s="83"/>
      <c r="Z271" s="83"/>
      <c r="AA271" s="19"/>
    </row>
    <row r="272" spans="1:27" ht="15" thickBot="1" x14ac:dyDescent="0.35">
      <c r="A272" s="288">
        <f t="shared" si="117"/>
        <v>27</v>
      </c>
      <c r="B272" s="70" t="s">
        <v>163</v>
      </c>
      <c r="C272" s="70"/>
      <c r="D272" s="70"/>
      <c r="E272" s="70"/>
      <c r="F272" s="70"/>
      <c r="G272" s="138">
        <f>G268+G259+G270+G262</f>
        <v>0</v>
      </c>
      <c r="H272" s="126"/>
      <c r="I272" s="83"/>
      <c r="J272" s="83"/>
      <c r="K272" s="83"/>
      <c r="L272" s="138">
        <f>L268+L259+L270+L262</f>
        <v>0</v>
      </c>
      <c r="M272" s="70"/>
      <c r="N272" s="70"/>
      <c r="O272" s="70"/>
      <c r="P272" s="70"/>
      <c r="Q272" s="138">
        <f>Q268+Q259+Q270+Q262</f>
        <v>0</v>
      </c>
      <c r="R272" s="70"/>
      <c r="S272" s="70"/>
      <c r="T272" s="70"/>
      <c r="U272" s="70"/>
      <c r="V272" s="138">
        <f>V268+V259+V270+V262</f>
        <v>0</v>
      </c>
      <c r="W272" s="83"/>
      <c r="X272" s="138">
        <f>X268+X259+X270+X262</f>
        <v>0</v>
      </c>
      <c r="Y272" s="83"/>
      <c r="Z272" s="125">
        <f>IF(Q272=0,0,ROUND((X272/Q272),4))</f>
        <v>0</v>
      </c>
      <c r="AA272" s="19"/>
    </row>
    <row r="273" spans="1:27" ht="15" thickTop="1" x14ac:dyDescent="0.3">
      <c r="A273" s="93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83"/>
      <c r="X273" s="83"/>
      <c r="Y273" s="83"/>
      <c r="Z273" s="83"/>
      <c r="AA273" s="19"/>
    </row>
    <row r="274" spans="1:27" ht="14.4" x14ac:dyDescent="0.3">
      <c r="A274" s="93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83"/>
      <c r="X274" s="83"/>
      <c r="Y274" s="83"/>
      <c r="Z274" s="83"/>
      <c r="AA274" s="19"/>
    </row>
    <row r="275" spans="1:27" ht="14.4" x14ac:dyDescent="0.3">
      <c r="A275" s="93"/>
      <c r="B275" s="70"/>
      <c r="C275" s="70"/>
      <c r="D275" s="70"/>
      <c r="E275" s="70"/>
      <c r="F275" s="70"/>
      <c r="G275" s="148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83"/>
      <c r="X275" s="83"/>
      <c r="Y275" s="83"/>
      <c r="Z275" s="83"/>
      <c r="AA275" s="19"/>
    </row>
    <row r="276" spans="1:27" ht="14.4" x14ac:dyDescent="0.3">
      <c r="A276" s="93"/>
      <c r="B276" s="70"/>
      <c r="C276" s="122"/>
      <c r="D276" s="122"/>
      <c r="E276" s="70"/>
      <c r="F276" s="122"/>
      <c r="G276" s="122"/>
      <c r="H276" s="122"/>
      <c r="I276" s="122"/>
      <c r="J276" s="122"/>
      <c r="K276" s="122"/>
      <c r="L276" s="122"/>
      <c r="M276" s="122"/>
      <c r="N276" s="122"/>
      <c r="O276" s="70"/>
      <c r="P276" s="122"/>
      <c r="Q276" s="122"/>
      <c r="R276" s="122"/>
      <c r="S276" s="122"/>
      <c r="T276" s="99"/>
      <c r="U276" s="99"/>
      <c r="V276" s="99"/>
      <c r="W276" s="124"/>
      <c r="X276" s="124"/>
      <c r="Y276" s="95"/>
      <c r="Z276" s="83"/>
      <c r="AA276" s="19"/>
    </row>
    <row r="277" spans="1:27" ht="14.4" x14ac:dyDescent="0.3">
      <c r="A277" s="93"/>
      <c r="B277" s="70"/>
      <c r="C277" s="126"/>
      <c r="D277" s="121"/>
      <c r="E277" s="70"/>
      <c r="F277" s="127"/>
      <c r="G277" s="126"/>
      <c r="H277" s="126"/>
      <c r="I277" s="126"/>
      <c r="J277" s="126"/>
      <c r="K277" s="126"/>
      <c r="L277" s="126"/>
      <c r="M277" s="126"/>
      <c r="N277" s="126"/>
      <c r="O277" s="70"/>
      <c r="P277" s="127"/>
      <c r="Q277" s="126"/>
      <c r="R277" s="126"/>
      <c r="S277" s="126"/>
      <c r="T277" s="121"/>
      <c r="U277" s="127"/>
      <c r="V277" s="121"/>
      <c r="W277" s="116"/>
      <c r="X277" s="84"/>
      <c r="Y277" s="116"/>
      <c r="Z277" s="101"/>
      <c r="AA277" s="19"/>
    </row>
    <row r="278" spans="1:27" ht="14.4" x14ac:dyDescent="0.3">
      <c r="A278" s="93"/>
      <c r="B278" s="70"/>
      <c r="C278" s="126"/>
      <c r="D278" s="121"/>
      <c r="E278" s="70"/>
      <c r="F278" s="127"/>
      <c r="G278" s="126"/>
      <c r="H278" s="126"/>
      <c r="I278" s="126"/>
      <c r="J278" s="126"/>
      <c r="K278" s="126"/>
      <c r="L278" s="126"/>
      <c r="M278" s="126"/>
      <c r="N278" s="126"/>
      <c r="O278" s="70"/>
      <c r="P278" s="127"/>
      <c r="Q278" s="126"/>
      <c r="R278" s="126"/>
      <c r="S278" s="126"/>
      <c r="T278" s="121"/>
      <c r="U278" s="127"/>
      <c r="V278" s="121"/>
      <c r="W278" s="83"/>
      <c r="X278" s="83"/>
      <c r="Y278" s="83"/>
      <c r="Z278" s="83"/>
      <c r="AA278" s="19"/>
    </row>
    <row r="279" spans="1:27" ht="14.4" x14ac:dyDescent="0.3">
      <c r="A279" s="325" t="str">
        <f>A236</f>
        <v>Kentucky American Water Company</v>
      </c>
      <c r="B279" s="325"/>
      <c r="C279" s="325"/>
      <c r="D279" s="325"/>
      <c r="E279" s="325"/>
      <c r="F279" s="325"/>
      <c r="G279" s="325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325"/>
      <c r="U279" s="325"/>
      <c r="V279" s="325"/>
      <c r="W279" s="325"/>
      <c r="X279" s="325"/>
      <c r="Y279" s="325"/>
      <c r="Z279" s="325"/>
      <c r="AA279" s="25"/>
    </row>
    <row r="280" spans="1:27" ht="14.4" x14ac:dyDescent="0.3">
      <c r="A280" s="325" t="s">
        <v>77</v>
      </c>
      <c r="B280" s="325"/>
      <c r="C280" s="325"/>
      <c r="D280" s="325"/>
      <c r="E280" s="325"/>
      <c r="F280" s="325"/>
      <c r="G280" s="325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325"/>
      <c r="U280" s="325"/>
      <c r="V280" s="325"/>
      <c r="W280" s="325"/>
      <c r="X280" s="325"/>
      <c r="Y280" s="325"/>
      <c r="Z280" s="325"/>
      <c r="AA280" s="71"/>
    </row>
    <row r="281" spans="1:27" ht="14.4" x14ac:dyDescent="0.3">
      <c r="A281" s="325" t="str">
        <f>A238</f>
        <v>Case No. 2018-00358</v>
      </c>
      <c r="B281" s="325"/>
      <c r="C281" s="325"/>
      <c r="D281" s="325"/>
      <c r="E281" s="325"/>
      <c r="F281" s="325"/>
      <c r="G281" s="325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325"/>
      <c r="U281" s="325"/>
      <c r="V281" s="325"/>
      <c r="W281" s="325"/>
      <c r="X281" s="325"/>
      <c r="Y281" s="325"/>
      <c r="Z281" s="325"/>
      <c r="AA281" s="71"/>
    </row>
    <row r="282" spans="1:27" ht="14.4" x14ac:dyDescent="0.3">
      <c r="A282" s="325" t="str">
        <f>A239</f>
        <v>Base Year for the 12 Months Ended February 28, 2019 and Forecast Year for the 12 Months Ended June 30, 2020</v>
      </c>
      <c r="B282" s="325"/>
      <c r="C282" s="325"/>
      <c r="D282" s="325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5"/>
      <c r="AA282" s="71"/>
    </row>
    <row r="283" spans="1:27" ht="14.4" x14ac:dyDescent="0.3">
      <c r="A283" s="98" t="str">
        <f>A240</f>
        <v>Witness Responsible:   Melissa Schwarzell</v>
      </c>
      <c r="B283" s="70"/>
      <c r="C283" s="70"/>
      <c r="D283" s="70"/>
      <c r="E283" s="70"/>
      <c r="F283" s="70"/>
      <c r="G283" s="70"/>
      <c r="H283" s="70"/>
      <c r="I283" s="322" t="str">
        <f>"EASTERN ROCKCASTLE ("&amp;LEFT(B289,SEARCH(":",B289,1)-1)&amp;")"</f>
        <v>EASTERN ROCKCASTLE (Miscellaneous)</v>
      </c>
      <c r="J283" s="322"/>
      <c r="K283" s="322"/>
      <c r="L283" s="322"/>
      <c r="M283" s="322"/>
      <c r="N283" s="322"/>
      <c r="O283" s="322"/>
      <c r="P283" s="322"/>
      <c r="Q283" s="322"/>
      <c r="R283" s="70"/>
      <c r="S283" s="70"/>
      <c r="T283" s="70"/>
      <c r="U283" s="70"/>
      <c r="V283" s="70"/>
      <c r="W283" s="83"/>
      <c r="X283" s="83"/>
      <c r="Y283" s="83"/>
      <c r="Z283" s="88" t="str">
        <f>Z240</f>
        <v>Exhibit 37, Schedule M-3</v>
      </c>
      <c r="AA283" s="71"/>
    </row>
    <row r="284" spans="1:27" ht="14.4" x14ac:dyDescent="0.3">
      <c r="A284" s="128" t="str">
        <f>A241</f>
        <v/>
      </c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90"/>
      <c r="X284" s="90"/>
      <c r="Y284" s="90"/>
      <c r="Z284" s="130" t="str">
        <f ca="1">Z241</f>
        <v>Revenues\[KAWC 2018 Rate Case - Revenue - E. Rockcastle.xlsx]Sch M</v>
      </c>
      <c r="AA284" s="71"/>
    </row>
    <row r="285" spans="1:27" ht="14.4" x14ac:dyDescent="0.3">
      <c r="A285" s="70"/>
      <c r="B285" s="70"/>
      <c r="C285" s="93"/>
      <c r="D285" s="317" t="s">
        <v>119</v>
      </c>
      <c r="E285" s="317" t="s">
        <v>97</v>
      </c>
      <c r="F285" s="317"/>
      <c r="G285" s="317"/>
      <c r="H285" s="93"/>
      <c r="I285" s="324" t="s">
        <v>119</v>
      </c>
      <c r="J285" s="324" t="s">
        <v>97</v>
      </c>
      <c r="K285" s="324"/>
      <c r="L285" s="324"/>
      <c r="M285" s="93"/>
      <c r="N285" s="317" t="s">
        <v>120</v>
      </c>
      <c r="O285" s="317" t="s">
        <v>98</v>
      </c>
      <c r="P285" s="317"/>
      <c r="Q285" s="317"/>
      <c r="R285" s="93"/>
      <c r="S285" s="317" t="s">
        <v>121</v>
      </c>
      <c r="T285" s="317" t="s">
        <v>99</v>
      </c>
      <c r="U285" s="317"/>
      <c r="V285" s="317"/>
      <c r="W285" s="94"/>
      <c r="X285" s="94"/>
      <c r="Y285" s="83"/>
      <c r="Z285" s="83"/>
      <c r="AA285" s="71"/>
    </row>
    <row r="286" spans="1:27" ht="14.4" x14ac:dyDescent="0.3">
      <c r="A286" s="70"/>
      <c r="B286" s="70"/>
      <c r="C286" s="93"/>
      <c r="D286" s="93" t="s">
        <v>27</v>
      </c>
      <c r="E286" s="93"/>
      <c r="F286" s="93"/>
      <c r="G286" s="93"/>
      <c r="H286" s="93"/>
      <c r="I286" s="95" t="s">
        <v>27</v>
      </c>
      <c r="J286" s="95"/>
      <c r="K286" s="95"/>
      <c r="L286" s="95"/>
      <c r="M286" s="93"/>
      <c r="N286" s="93" t="s">
        <v>27</v>
      </c>
      <c r="O286" s="93"/>
      <c r="P286" s="93"/>
      <c r="Q286" s="93"/>
      <c r="R286" s="93"/>
      <c r="S286" s="93" t="s">
        <v>27</v>
      </c>
      <c r="T286" s="93"/>
      <c r="U286" s="93"/>
      <c r="V286" s="93"/>
      <c r="W286" s="95"/>
      <c r="X286" s="95"/>
      <c r="Y286" s="83"/>
      <c r="Z286" s="83"/>
      <c r="AA286" s="71"/>
    </row>
    <row r="287" spans="1:27" ht="14.4" x14ac:dyDescent="0.3">
      <c r="A287" s="70"/>
      <c r="B287" s="93" t="s">
        <v>24</v>
      </c>
      <c r="C287" s="93"/>
      <c r="D287" s="93" t="s">
        <v>28</v>
      </c>
      <c r="E287" s="93" t="s">
        <v>39</v>
      </c>
      <c r="F287" s="93" t="s">
        <v>45</v>
      </c>
      <c r="G287" s="93" t="s">
        <v>1</v>
      </c>
      <c r="H287" s="93"/>
      <c r="I287" s="95" t="s">
        <v>28</v>
      </c>
      <c r="J287" s="95" t="s">
        <v>39</v>
      </c>
      <c r="K287" s="95" t="s">
        <v>45</v>
      </c>
      <c r="L287" s="95" t="s">
        <v>1</v>
      </c>
      <c r="M287" s="93"/>
      <c r="N287" s="93" t="s">
        <v>28</v>
      </c>
      <c r="O287" s="93" t="s">
        <v>39</v>
      </c>
      <c r="P287" s="93" t="s">
        <v>45</v>
      </c>
      <c r="Q287" s="93" t="s">
        <v>1</v>
      </c>
      <c r="R287" s="93"/>
      <c r="S287" s="93" t="s">
        <v>28</v>
      </c>
      <c r="T287" s="93" t="s">
        <v>39</v>
      </c>
      <c r="U287" s="93" t="s">
        <v>73</v>
      </c>
      <c r="V287" s="93" t="s">
        <v>1</v>
      </c>
      <c r="W287" s="95"/>
      <c r="X287" s="95" t="s">
        <v>51</v>
      </c>
      <c r="Y287" s="83"/>
      <c r="Z287" s="95" t="s">
        <v>53</v>
      </c>
      <c r="AA287" s="71"/>
    </row>
    <row r="288" spans="1:27" ht="14.4" x14ac:dyDescent="0.3">
      <c r="A288" s="96" t="s">
        <v>0</v>
      </c>
      <c r="B288" s="96" t="s">
        <v>2</v>
      </c>
      <c r="C288" s="93"/>
      <c r="D288" s="96" t="s">
        <v>29</v>
      </c>
      <c r="E288" s="96">
        <f>E246</f>
        <v>0</v>
      </c>
      <c r="F288" s="96" t="s">
        <v>46</v>
      </c>
      <c r="G288" s="96" t="s">
        <v>47</v>
      </c>
      <c r="H288" s="93"/>
      <c r="I288" s="97" t="s">
        <v>29</v>
      </c>
      <c r="J288" s="97">
        <f>J246</f>
        <v>0</v>
      </c>
      <c r="K288" s="97" t="s">
        <v>46</v>
      </c>
      <c r="L288" s="97" t="s">
        <v>47</v>
      </c>
      <c r="M288" s="93"/>
      <c r="N288" s="96" t="s">
        <v>29</v>
      </c>
      <c r="O288" s="96">
        <f>E288</f>
        <v>0</v>
      </c>
      <c r="P288" s="96" t="s">
        <v>46</v>
      </c>
      <c r="Q288" s="96" t="s">
        <v>47</v>
      </c>
      <c r="R288" s="93"/>
      <c r="S288" s="96" t="s">
        <v>29</v>
      </c>
      <c r="T288" s="96">
        <f>O288</f>
        <v>0</v>
      </c>
      <c r="U288" s="96" t="s">
        <v>46</v>
      </c>
      <c r="V288" s="96" t="s">
        <v>47</v>
      </c>
      <c r="W288" s="95"/>
      <c r="X288" s="97" t="s">
        <v>52</v>
      </c>
      <c r="Y288" s="83"/>
      <c r="Z288" s="97" t="s">
        <v>52</v>
      </c>
      <c r="AA288" s="71"/>
    </row>
    <row r="289" spans="1:27" ht="14.4" x14ac:dyDescent="0.3">
      <c r="A289" s="93">
        <v>1</v>
      </c>
      <c r="B289" s="98" t="s">
        <v>149</v>
      </c>
      <c r="C289" s="93"/>
      <c r="D289" s="70"/>
      <c r="E289" s="93"/>
      <c r="F289" s="93"/>
      <c r="G289" s="93"/>
      <c r="H289" s="93"/>
      <c r="I289" s="95"/>
      <c r="J289" s="95"/>
      <c r="K289" s="95"/>
      <c r="L289" s="95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5"/>
      <c r="X289" s="95"/>
      <c r="Y289" s="83"/>
      <c r="Z289" s="95"/>
      <c r="AA289" s="71"/>
    </row>
    <row r="290" spans="1:27" ht="14.4" x14ac:dyDescent="0.3">
      <c r="A290" s="93">
        <v>2</v>
      </c>
      <c r="B290" s="99" t="s">
        <v>26</v>
      </c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83"/>
      <c r="X290" s="83"/>
      <c r="Y290" s="83"/>
      <c r="Z290" s="83"/>
      <c r="AA290" s="71"/>
    </row>
    <row r="291" spans="1:27" ht="14.4" x14ac:dyDescent="0.3">
      <c r="A291" s="93">
        <v>3</v>
      </c>
      <c r="B291" s="70" t="s">
        <v>30</v>
      </c>
      <c r="C291" s="86"/>
      <c r="D291" s="84">
        <f>'Link in'!H10</f>
        <v>0</v>
      </c>
      <c r="E291" s="85"/>
      <c r="F291" s="131">
        <v>0</v>
      </c>
      <c r="G291" s="86">
        <f>ROUND((D291*F291),0)</f>
        <v>0</v>
      </c>
      <c r="H291" s="86"/>
      <c r="I291" s="84">
        <f>D291</f>
        <v>0</v>
      </c>
      <c r="J291" s="85"/>
      <c r="K291" s="131">
        <f>U291</f>
        <v>0</v>
      </c>
      <c r="L291" s="100">
        <f>ROUND((I291*K291),0)</f>
        <v>0</v>
      </c>
      <c r="M291" s="86"/>
      <c r="N291" s="84">
        <f>'Link in'!R10</f>
        <v>0</v>
      </c>
      <c r="O291" s="85"/>
      <c r="P291" s="131">
        <f>F291</f>
        <v>0</v>
      </c>
      <c r="Q291" s="100">
        <f>ROUND((N291*P291),0)</f>
        <v>0</v>
      </c>
      <c r="R291" s="86"/>
      <c r="S291" s="80">
        <f>N291</f>
        <v>0</v>
      </c>
      <c r="T291" s="81"/>
      <c r="U291" s="131">
        <f>P291</f>
        <v>0</v>
      </c>
      <c r="V291" s="86">
        <f>ROUND((S291*U291),0)</f>
        <v>0</v>
      </c>
      <c r="W291" s="100"/>
      <c r="X291" s="86">
        <f>+V291-Q291</f>
        <v>0</v>
      </c>
      <c r="Y291" s="85"/>
      <c r="Z291" s="101">
        <f t="shared" ref="Z291:Z300" si="118">IF(Q291=0,0,ROUND((X291/Q291),4))</f>
        <v>0</v>
      </c>
      <c r="AA291" s="71"/>
    </row>
    <row r="292" spans="1:27" ht="14.4" x14ac:dyDescent="0.3">
      <c r="A292" s="93">
        <v>4</v>
      </c>
      <c r="B292" s="70" t="s">
        <v>31</v>
      </c>
      <c r="C292" s="80"/>
      <c r="D292" s="84">
        <f>'Link in'!H11</f>
        <v>0</v>
      </c>
      <c r="E292" s="85"/>
      <c r="F292" s="103">
        <v>0</v>
      </c>
      <c r="G292" s="80">
        <f t="shared" ref="G292:G299" si="119">ROUND((D292*F292),0)</f>
        <v>0</v>
      </c>
      <c r="H292" s="80"/>
      <c r="I292" s="84">
        <f t="shared" ref="I292:I299" si="120">D292</f>
        <v>0</v>
      </c>
      <c r="J292" s="85"/>
      <c r="K292" s="103">
        <f t="shared" ref="K292:K299" si="121">U292</f>
        <v>0</v>
      </c>
      <c r="L292" s="84">
        <f t="shared" ref="L292:L299" si="122">ROUND((I292*K292),0)</f>
        <v>0</v>
      </c>
      <c r="M292" s="80"/>
      <c r="N292" s="84">
        <f>'Link in'!R11</f>
        <v>0</v>
      </c>
      <c r="O292" s="85"/>
      <c r="P292" s="103">
        <f t="shared" ref="P292:P299" si="123">F292</f>
        <v>0</v>
      </c>
      <c r="Q292" s="84">
        <f t="shared" ref="Q292:Q299" si="124">ROUND((N292*P292),0)</f>
        <v>0</v>
      </c>
      <c r="R292" s="80"/>
      <c r="S292" s="80">
        <f t="shared" ref="S292:S299" si="125">N292</f>
        <v>0</v>
      </c>
      <c r="T292" s="81"/>
      <c r="U292" s="103">
        <f>P292</f>
        <v>0</v>
      </c>
      <c r="V292" s="80">
        <f t="shared" ref="V292:V299" si="126">ROUND((S292*U292),0)</f>
        <v>0</v>
      </c>
      <c r="W292" s="84"/>
      <c r="X292" s="80">
        <f t="shared" ref="X292:X300" si="127">+V292-Q292</f>
        <v>0</v>
      </c>
      <c r="Y292" s="85"/>
      <c r="Z292" s="101">
        <f t="shared" si="118"/>
        <v>0</v>
      </c>
      <c r="AA292" s="71"/>
    </row>
    <row r="293" spans="1:27" ht="14.4" x14ac:dyDescent="0.3">
      <c r="A293" s="93">
        <v>5</v>
      </c>
      <c r="B293" s="70" t="s">
        <v>32</v>
      </c>
      <c r="C293" s="80"/>
      <c r="D293" s="84">
        <f>'Link in'!H12</f>
        <v>0</v>
      </c>
      <c r="E293" s="85"/>
      <c r="F293" s="103">
        <v>0</v>
      </c>
      <c r="G293" s="80">
        <f t="shared" si="119"/>
        <v>0</v>
      </c>
      <c r="H293" s="80"/>
      <c r="I293" s="84">
        <f t="shared" si="120"/>
        <v>0</v>
      </c>
      <c r="J293" s="85"/>
      <c r="K293" s="103">
        <f t="shared" si="121"/>
        <v>0</v>
      </c>
      <c r="L293" s="84">
        <f t="shared" si="122"/>
        <v>0</v>
      </c>
      <c r="M293" s="80"/>
      <c r="N293" s="84">
        <f>'Link in'!R12</f>
        <v>0</v>
      </c>
      <c r="O293" s="85"/>
      <c r="P293" s="103">
        <f t="shared" si="123"/>
        <v>0</v>
      </c>
      <c r="Q293" s="84">
        <f t="shared" si="124"/>
        <v>0</v>
      </c>
      <c r="R293" s="80"/>
      <c r="S293" s="80">
        <f t="shared" si="125"/>
        <v>0</v>
      </c>
      <c r="T293" s="81"/>
      <c r="U293" s="103">
        <f t="shared" ref="U293:U299" si="128">P293</f>
        <v>0</v>
      </c>
      <c r="V293" s="80">
        <f t="shared" si="126"/>
        <v>0</v>
      </c>
      <c r="W293" s="84"/>
      <c r="X293" s="80">
        <f t="shared" si="127"/>
        <v>0</v>
      </c>
      <c r="Y293" s="85"/>
      <c r="Z293" s="101">
        <f t="shared" si="118"/>
        <v>0</v>
      </c>
      <c r="AA293" s="71"/>
    </row>
    <row r="294" spans="1:27" ht="14.4" x14ac:dyDescent="0.3">
      <c r="A294" s="93">
        <v>6</v>
      </c>
      <c r="B294" s="70" t="s">
        <v>33</v>
      </c>
      <c r="C294" s="80"/>
      <c r="D294" s="84">
        <f>'Link in'!H13</f>
        <v>0</v>
      </c>
      <c r="E294" s="85"/>
      <c r="F294" s="103">
        <v>0</v>
      </c>
      <c r="G294" s="80">
        <f t="shared" si="119"/>
        <v>0</v>
      </c>
      <c r="H294" s="80"/>
      <c r="I294" s="84">
        <f t="shared" si="120"/>
        <v>0</v>
      </c>
      <c r="J294" s="85"/>
      <c r="K294" s="103">
        <f t="shared" si="121"/>
        <v>0</v>
      </c>
      <c r="L294" s="84">
        <f t="shared" si="122"/>
        <v>0</v>
      </c>
      <c r="M294" s="80"/>
      <c r="N294" s="84">
        <f>'Link in'!R13</f>
        <v>0</v>
      </c>
      <c r="O294" s="85"/>
      <c r="P294" s="103">
        <f t="shared" si="123"/>
        <v>0</v>
      </c>
      <c r="Q294" s="84">
        <f t="shared" si="124"/>
        <v>0</v>
      </c>
      <c r="R294" s="80"/>
      <c r="S294" s="80">
        <f t="shared" si="125"/>
        <v>0</v>
      </c>
      <c r="T294" s="81"/>
      <c r="U294" s="103">
        <f t="shared" si="128"/>
        <v>0</v>
      </c>
      <c r="V294" s="80">
        <f t="shared" si="126"/>
        <v>0</v>
      </c>
      <c r="W294" s="84"/>
      <c r="X294" s="80">
        <f t="shared" si="127"/>
        <v>0</v>
      </c>
      <c r="Y294" s="85"/>
      <c r="Z294" s="101">
        <f t="shared" si="118"/>
        <v>0</v>
      </c>
      <c r="AA294" s="71"/>
    </row>
    <row r="295" spans="1:27" ht="14.4" x14ac:dyDescent="0.3">
      <c r="A295" s="93">
        <v>7</v>
      </c>
      <c r="B295" s="70" t="s">
        <v>34</v>
      </c>
      <c r="C295" s="80"/>
      <c r="D295" s="84">
        <f>'Link in'!H14</f>
        <v>0</v>
      </c>
      <c r="E295" s="85"/>
      <c r="F295" s="103">
        <v>0</v>
      </c>
      <c r="G295" s="80">
        <f t="shared" si="119"/>
        <v>0</v>
      </c>
      <c r="H295" s="80"/>
      <c r="I295" s="84">
        <f t="shared" si="120"/>
        <v>0</v>
      </c>
      <c r="J295" s="85"/>
      <c r="K295" s="103">
        <f t="shared" si="121"/>
        <v>0</v>
      </c>
      <c r="L295" s="84">
        <f t="shared" si="122"/>
        <v>0</v>
      </c>
      <c r="M295" s="80"/>
      <c r="N295" s="84">
        <f>'Link in'!R14</f>
        <v>0</v>
      </c>
      <c r="O295" s="85"/>
      <c r="P295" s="103">
        <f t="shared" si="123"/>
        <v>0</v>
      </c>
      <c r="Q295" s="84">
        <f t="shared" si="124"/>
        <v>0</v>
      </c>
      <c r="R295" s="80"/>
      <c r="S295" s="80">
        <f t="shared" si="125"/>
        <v>0</v>
      </c>
      <c r="T295" s="81"/>
      <c r="U295" s="103">
        <f t="shared" si="128"/>
        <v>0</v>
      </c>
      <c r="V295" s="80">
        <f t="shared" si="126"/>
        <v>0</v>
      </c>
      <c r="W295" s="84"/>
      <c r="X295" s="80">
        <f t="shared" si="127"/>
        <v>0</v>
      </c>
      <c r="Y295" s="85"/>
      <c r="Z295" s="101">
        <f t="shared" si="118"/>
        <v>0</v>
      </c>
      <c r="AA295" s="71"/>
    </row>
    <row r="296" spans="1:27" ht="14.4" x14ac:dyDescent="0.3">
      <c r="A296" s="93">
        <v>8</v>
      </c>
      <c r="B296" s="70" t="s">
        <v>35</v>
      </c>
      <c r="C296" s="80"/>
      <c r="D296" s="84">
        <f>'Link in'!H15</f>
        <v>0</v>
      </c>
      <c r="E296" s="85"/>
      <c r="F296" s="103">
        <v>0</v>
      </c>
      <c r="G296" s="80">
        <f t="shared" si="119"/>
        <v>0</v>
      </c>
      <c r="H296" s="80"/>
      <c r="I296" s="84">
        <f t="shared" si="120"/>
        <v>0</v>
      </c>
      <c r="J296" s="85"/>
      <c r="K296" s="103">
        <f t="shared" si="121"/>
        <v>0</v>
      </c>
      <c r="L296" s="84">
        <f t="shared" si="122"/>
        <v>0</v>
      </c>
      <c r="M296" s="80"/>
      <c r="N296" s="84">
        <f>'Link in'!R15</f>
        <v>0</v>
      </c>
      <c r="O296" s="85"/>
      <c r="P296" s="103">
        <f t="shared" si="123"/>
        <v>0</v>
      </c>
      <c r="Q296" s="84">
        <f t="shared" si="124"/>
        <v>0</v>
      </c>
      <c r="R296" s="80"/>
      <c r="S296" s="80">
        <f t="shared" si="125"/>
        <v>0</v>
      </c>
      <c r="T296" s="81"/>
      <c r="U296" s="103">
        <f>P296</f>
        <v>0</v>
      </c>
      <c r="V296" s="80">
        <f t="shared" si="126"/>
        <v>0</v>
      </c>
      <c r="W296" s="84"/>
      <c r="X296" s="80">
        <f t="shared" si="127"/>
        <v>0</v>
      </c>
      <c r="Y296" s="85"/>
      <c r="Z296" s="101">
        <f t="shared" si="118"/>
        <v>0</v>
      </c>
      <c r="AA296" s="71"/>
    </row>
    <row r="297" spans="1:27" ht="14.4" x14ac:dyDescent="0.3">
      <c r="A297" s="93">
        <v>9</v>
      </c>
      <c r="B297" s="70" t="s">
        <v>36</v>
      </c>
      <c r="C297" s="80"/>
      <c r="D297" s="84">
        <f>'Link in'!H16</f>
        <v>0</v>
      </c>
      <c r="E297" s="85"/>
      <c r="F297" s="103">
        <v>0</v>
      </c>
      <c r="G297" s="80">
        <f t="shared" si="119"/>
        <v>0</v>
      </c>
      <c r="H297" s="80"/>
      <c r="I297" s="84">
        <f t="shared" si="120"/>
        <v>0</v>
      </c>
      <c r="J297" s="85"/>
      <c r="K297" s="103">
        <f>U297</f>
        <v>0</v>
      </c>
      <c r="L297" s="84">
        <f t="shared" si="122"/>
        <v>0</v>
      </c>
      <c r="M297" s="80"/>
      <c r="N297" s="84">
        <f>'Link in'!R16</f>
        <v>0</v>
      </c>
      <c r="O297" s="85"/>
      <c r="P297" s="103">
        <f t="shared" si="123"/>
        <v>0</v>
      </c>
      <c r="Q297" s="84">
        <f t="shared" si="124"/>
        <v>0</v>
      </c>
      <c r="R297" s="80"/>
      <c r="S297" s="80">
        <f t="shared" si="125"/>
        <v>0</v>
      </c>
      <c r="T297" s="81"/>
      <c r="U297" s="103">
        <f t="shared" si="128"/>
        <v>0</v>
      </c>
      <c r="V297" s="80">
        <f t="shared" si="126"/>
        <v>0</v>
      </c>
      <c r="W297" s="84"/>
      <c r="X297" s="80">
        <f t="shared" si="127"/>
        <v>0</v>
      </c>
      <c r="Y297" s="85"/>
      <c r="Z297" s="101">
        <f t="shared" si="118"/>
        <v>0</v>
      </c>
      <c r="AA297" s="71"/>
    </row>
    <row r="298" spans="1:27" ht="14.4" x14ac:dyDescent="0.3">
      <c r="A298" s="93">
        <v>10</v>
      </c>
      <c r="B298" s="70" t="s">
        <v>37</v>
      </c>
      <c r="C298" s="80"/>
      <c r="D298" s="84">
        <f>'Link in'!H17</f>
        <v>0</v>
      </c>
      <c r="E298" s="85"/>
      <c r="F298" s="103">
        <v>0</v>
      </c>
      <c r="G298" s="80">
        <f t="shared" si="119"/>
        <v>0</v>
      </c>
      <c r="H298" s="80"/>
      <c r="I298" s="84">
        <f t="shared" si="120"/>
        <v>0</v>
      </c>
      <c r="J298" s="85"/>
      <c r="K298" s="103">
        <f t="shared" si="121"/>
        <v>0</v>
      </c>
      <c r="L298" s="84">
        <f t="shared" si="122"/>
        <v>0</v>
      </c>
      <c r="M298" s="80"/>
      <c r="N298" s="84">
        <f>'Link in'!R17</f>
        <v>0</v>
      </c>
      <c r="O298" s="85"/>
      <c r="P298" s="103">
        <f t="shared" si="123"/>
        <v>0</v>
      </c>
      <c r="Q298" s="84">
        <f t="shared" si="124"/>
        <v>0</v>
      </c>
      <c r="R298" s="80"/>
      <c r="S298" s="80">
        <f t="shared" si="125"/>
        <v>0</v>
      </c>
      <c r="T298" s="81"/>
      <c r="U298" s="103">
        <f t="shared" si="128"/>
        <v>0</v>
      </c>
      <c r="V298" s="80">
        <f t="shared" si="126"/>
        <v>0</v>
      </c>
      <c r="W298" s="84"/>
      <c r="X298" s="80">
        <f t="shared" si="127"/>
        <v>0</v>
      </c>
      <c r="Y298" s="85"/>
      <c r="Z298" s="101">
        <f t="shared" si="118"/>
        <v>0</v>
      </c>
      <c r="AA298" s="71"/>
    </row>
    <row r="299" spans="1:27" ht="14.4" x14ac:dyDescent="0.3">
      <c r="A299" s="93">
        <v>11</v>
      </c>
      <c r="B299" s="70" t="s">
        <v>38</v>
      </c>
      <c r="C299" s="80"/>
      <c r="D299" s="84">
        <f>'Link in'!H18</f>
        <v>0</v>
      </c>
      <c r="E299" s="85"/>
      <c r="F299" s="103">
        <v>0</v>
      </c>
      <c r="G299" s="80">
        <f t="shared" si="119"/>
        <v>0</v>
      </c>
      <c r="H299" s="80"/>
      <c r="I299" s="84">
        <f t="shared" si="120"/>
        <v>0</v>
      </c>
      <c r="J299" s="85"/>
      <c r="K299" s="103">
        <f t="shared" si="121"/>
        <v>0</v>
      </c>
      <c r="L299" s="84">
        <f t="shared" si="122"/>
        <v>0</v>
      </c>
      <c r="M299" s="80"/>
      <c r="N299" s="84">
        <f>'Link in'!R18</f>
        <v>0</v>
      </c>
      <c r="O299" s="85"/>
      <c r="P299" s="103">
        <f t="shared" si="123"/>
        <v>0</v>
      </c>
      <c r="Q299" s="84">
        <f t="shared" si="124"/>
        <v>0</v>
      </c>
      <c r="R299" s="80"/>
      <c r="S299" s="80">
        <f t="shared" si="125"/>
        <v>0</v>
      </c>
      <c r="T299" s="81"/>
      <c r="U299" s="103">
        <f t="shared" si="128"/>
        <v>0</v>
      </c>
      <c r="V299" s="80">
        <f t="shared" si="126"/>
        <v>0</v>
      </c>
      <c r="W299" s="84"/>
      <c r="X299" s="80">
        <f t="shared" si="127"/>
        <v>0</v>
      </c>
      <c r="Y299" s="85"/>
      <c r="Z299" s="101">
        <f t="shared" si="118"/>
        <v>0</v>
      </c>
      <c r="AA299" s="71"/>
    </row>
    <row r="300" spans="1:27" ht="14.4" x14ac:dyDescent="0.3">
      <c r="A300" s="93">
        <v>12</v>
      </c>
      <c r="B300" s="70" t="s">
        <v>113</v>
      </c>
      <c r="C300" s="80"/>
      <c r="D300" s="84"/>
      <c r="E300" s="85"/>
      <c r="F300" s="103"/>
      <c r="G300" s="80"/>
      <c r="H300" s="80"/>
      <c r="I300" s="84"/>
      <c r="J300" s="85"/>
      <c r="K300" s="103"/>
      <c r="L300" s="84"/>
      <c r="M300" s="80"/>
      <c r="N300" s="84"/>
      <c r="O300" s="85"/>
      <c r="P300" s="103"/>
      <c r="Q300" s="103"/>
      <c r="R300" s="80"/>
      <c r="S300" s="80"/>
      <c r="T300" s="81"/>
      <c r="U300" s="103"/>
      <c r="V300" s="80"/>
      <c r="W300" s="84"/>
      <c r="X300" s="80">
        <f t="shared" si="127"/>
        <v>0</v>
      </c>
      <c r="Y300" s="85"/>
      <c r="Z300" s="101">
        <f t="shared" si="118"/>
        <v>0</v>
      </c>
      <c r="AA300" s="71"/>
    </row>
    <row r="301" spans="1:27" ht="14.4" x14ac:dyDescent="0.3">
      <c r="A301" s="93">
        <v>13</v>
      </c>
      <c r="B301" s="70"/>
      <c r="C301" s="80"/>
      <c r="D301" s="84"/>
      <c r="E301" s="85"/>
      <c r="F301" s="103"/>
      <c r="G301" s="80"/>
      <c r="H301" s="80"/>
      <c r="I301" s="84"/>
      <c r="J301" s="85"/>
      <c r="K301" s="103"/>
      <c r="L301" s="84"/>
      <c r="M301" s="80"/>
      <c r="N301" s="84"/>
      <c r="O301" s="85"/>
      <c r="P301" s="103"/>
      <c r="Q301" s="103"/>
      <c r="R301" s="80"/>
      <c r="S301" s="80"/>
      <c r="T301" s="81"/>
      <c r="U301" s="103"/>
      <c r="V301" s="80"/>
      <c r="W301" s="84"/>
      <c r="X301" s="100"/>
      <c r="Y301" s="85"/>
      <c r="Z301" s="101"/>
      <c r="AA301" s="71"/>
    </row>
    <row r="302" spans="1:27" ht="14.4" x14ac:dyDescent="0.3">
      <c r="A302" s="93">
        <v>14</v>
      </c>
      <c r="B302" s="70"/>
      <c r="C302" s="81"/>
      <c r="D302" s="85"/>
      <c r="E302" s="85"/>
      <c r="F302" s="85"/>
      <c r="G302" s="81"/>
      <c r="H302" s="81"/>
      <c r="I302" s="85"/>
      <c r="J302" s="85"/>
      <c r="K302" s="85"/>
      <c r="L302" s="85"/>
      <c r="M302" s="81"/>
      <c r="N302" s="85"/>
      <c r="O302" s="85"/>
      <c r="P302" s="85"/>
      <c r="Q302" s="85"/>
      <c r="R302" s="81"/>
      <c r="S302" s="81"/>
      <c r="T302" s="81"/>
      <c r="U302" s="85"/>
      <c r="V302" s="81"/>
      <c r="W302" s="85"/>
      <c r="X302" s="84"/>
      <c r="Y302" s="85"/>
      <c r="Z302" s="101"/>
      <c r="AA302" s="71"/>
    </row>
    <row r="303" spans="1:27" ht="14.4" x14ac:dyDescent="0.3">
      <c r="A303" s="93">
        <v>15</v>
      </c>
      <c r="B303" s="70"/>
      <c r="C303" s="70"/>
      <c r="D303" s="83"/>
      <c r="E303" s="83"/>
      <c r="F303" s="85"/>
      <c r="G303" s="70"/>
      <c r="H303" s="70"/>
      <c r="I303" s="83"/>
      <c r="J303" s="83"/>
      <c r="K303" s="85"/>
      <c r="L303" s="83"/>
      <c r="M303" s="70"/>
      <c r="N303" s="83"/>
      <c r="O303" s="83"/>
      <c r="P303" s="83"/>
      <c r="Q303" s="83"/>
      <c r="R303" s="70"/>
      <c r="S303" s="70"/>
      <c r="T303" s="70"/>
      <c r="U303" s="83"/>
      <c r="V303" s="70"/>
      <c r="W303" s="83"/>
      <c r="X303" s="83"/>
      <c r="Y303" s="83"/>
      <c r="Z303" s="83"/>
      <c r="AA303" s="71"/>
    </row>
    <row r="304" spans="1:27" ht="14.4" x14ac:dyDescent="0.3">
      <c r="A304" s="93">
        <v>16</v>
      </c>
      <c r="B304" s="99" t="s">
        <v>40</v>
      </c>
      <c r="C304" s="81"/>
      <c r="D304" s="85"/>
      <c r="E304" s="85"/>
      <c r="F304" s="85"/>
      <c r="G304" s="81"/>
      <c r="H304" s="81"/>
      <c r="I304" s="85"/>
      <c r="J304" s="85"/>
      <c r="K304" s="85"/>
      <c r="L304" s="85"/>
      <c r="M304" s="81"/>
      <c r="N304" s="85"/>
      <c r="O304" s="85"/>
      <c r="P304" s="85"/>
      <c r="Q304" s="85"/>
      <c r="R304" s="81"/>
      <c r="S304" s="81"/>
      <c r="T304" s="81"/>
      <c r="U304" s="85"/>
      <c r="V304" s="81"/>
      <c r="W304" s="85"/>
      <c r="X304" s="84"/>
      <c r="Y304" s="85"/>
      <c r="Z304" s="101"/>
      <c r="AA304" s="71"/>
    </row>
    <row r="305" spans="1:27" ht="14.4" x14ac:dyDescent="0.3">
      <c r="A305" s="93">
        <v>17</v>
      </c>
      <c r="B305" s="70" t="s">
        <v>41</v>
      </c>
      <c r="C305" s="86"/>
      <c r="D305" s="85"/>
      <c r="E305" s="84">
        <f>'Link in'!H23</f>
        <v>0</v>
      </c>
      <c r="F305" s="133">
        <f>+'[2]Link Out'!E264</f>
        <v>4.2975187974351181</v>
      </c>
      <c r="G305" s="86">
        <f>ROUND((E305*F305),0)</f>
        <v>0</v>
      </c>
      <c r="H305" s="86"/>
      <c r="I305" s="85"/>
      <c r="J305" s="84">
        <f>E305</f>
        <v>0</v>
      </c>
      <c r="K305" s="133">
        <f>U305</f>
        <v>0</v>
      </c>
      <c r="L305" s="100">
        <f>ROUND((J305*K305),0)</f>
        <v>0</v>
      </c>
      <c r="M305" s="86"/>
      <c r="N305" s="85"/>
      <c r="O305" s="84">
        <f>'Link in'!R23</f>
        <v>0</v>
      </c>
      <c r="P305" s="133">
        <v>0</v>
      </c>
      <c r="Q305" s="100">
        <f>ROUND((O305*P305),0)</f>
        <v>0</v>
      </c>
      <c r="R305" s="86"/>
      <c r="S305" s="81"/>
      <c r="T305" s="80">
        <f>O305</f>
        <v>0</v>
      </c>
      <c r="U305" s="133">
        <f>P305</f>
        <v>0</v>
      </c>
      <c r="V305" s="86">
        <f>ROUND((T305*U305),0)</f>
        <v>0</v>
      </c>
      <c r="W305" s="84"/>
      <c r="X305" s="86">
        <f t="shared" ref="X305:X311" si="129">+V305-Q305</f>
        <v>0</v>
      </c>
      <c r="Y305" s="85"/>
      <c r="Z305" s="101">
        <f t="shared" ref="Z305:Z311" si="130">IF(Q305=0,0,ROUND((X305/Q305),4))</f>
        <v>0</v>
      </c>
      <c r="AA305" s="71"/>
    </row>
    <row r="306" spans="1:27" ht="14.4" x14ac:dyDescent="0.3">
      <c r="A306" s="93">
        <v>18</v>
      </c>
      <c r="B306" s="70" t="s">
        <v>42</v>
      </c>
      <c r="C306" s="80"/>
      <c r="D306" s="83"/>
      <c r="E306" s="84">
        <f>'Link in'!H24</f>
        <v>0</v>
      </c>
      <c r="F306" s="111">
        <v>0</v>
      </c>
      <c r="G306" s="80">
        <f>ROUND((E306*F306),0)</f>
        <v>0</v>
      </c>
      <c r="H306" s="80"/>
      <c r="I306" s="83"/>
      <c r="J306" s="84">
        <f t="shared" ref="J306:J311" si="131">E306</f>
        <v>0</v>
      </c>
      <c r="K306" s="111">
        <f t="shared" ref="K306:K310" si="132">U306</f>
        <v>0</v>
      </c>
      <c r="L306" s="84">
        <f>ROUND((J306*K306),0)</f>
        <v>0</v>
      </c>
      <c r="M306" s="80"/>
      <c r="N306" s="83"/>
      <c r="O306" s="84">
        <f>'Link in'!R24</f>
        <v>0</v>
      </c>
      <c r="P306" s="111">
        <f t="shared" ref="P306:P310" si="133">F306</f>
        <v>0</v>
      </c>
      <c r="Q306" s="84">
        <f>ROUND((O306*P306),0)</f>
        <v>0</v>
      </c>
      <c r="R306" s="80"/>
      <c r="S306" s="70"/>
      <c r="T306" s="80">
        <f t="shared" ref="T306:T310" si="134">O306</f>
        <v>0</v>
      </c>
      <c r="U306" s="111">
        <f>P306</f>
        <v>0</v>
      </c>
      <c r="V306" s="80">
        <f>ROUND((T306*U306),0)</f>
        <v>0</v>
      </c>
      <c r="W306" s="84"/>
      <c r="X306" s="80">
        <f t="shared" si="129"/>
        <v>0</v>
      </c>
      <c r="Y306" s="83"/>
      <c r="Z306" s="101">
        <f t="shared" si="130"/>
        <v>0</v>
      </c>
      <c r="AA306" s="71"/>
    </row>
    <row r="307" spans="1:27" ht="14.4" x14ac:dyDescent="0.3">
      <c r="A307" s="93">
        <v>19</v>
      </c>
      <c r="B307" s="70" t="s">
        <v>43</v>
      </c>
      <c r="C307" s="80"/>
      <c r="D307" s="83"/>
      <c r="E307" s="84">
        <f>'Link in'!H25</f>
        <v>0</v>
      </c>
      <c r="F307" s="111">
        <v>0</v>
      </c>
      <c r="G307" s="80">
        <f>ROUND((E307*F307),0)</f>
        <v>0</v>
      </c>
      <c r="H307" s="80"/>
      <c r="I307" s="83"/>
      <c r="J307" s="84">
        <f t="shared" si="131"/>
        <v>0</v>
      </c>
      <c r="K307" s="111">
        <f t="shared" si="132"/>
        <v>0</v>
      </c>
      <c r="L307" s="84">
        <f>ROUND((J307*K307),0)</f>
        <v>0</v>
      </c>
      <c r="M307" s="80"/>
      <c r="N307" s="83"/>
      <c r="O307" s="84">
        <f>'Link in'!R25</f>
        <v>0</v>
      </c>
      <c r="P307" s="111">
        <f t="shared" si="133"/>
        <v>0</v>
      </c>
      <c r="Q307" s="84">
        <f>ROUND((O307*P307),0)</f>
        <v>0</v>
      </c>
      <c r="R307" s="80"/>
      <c r="S307" s="70"/>
      <c r="T307" s="80">
        <f t="shared" si="134"/>
        <v>0</v>
      </c>
      <c r="U307" s="111">
        <f t="shared" ref="U307:U310" si="135">P307</f>
        <v>0</v>
      </c>
      <c r="V307" s="80">
        <f>ROUND((T307*U307),0)</f>
        <v>0</v>
      </c>
      <c r="W307" s="84"/>
      <c r="X307" s="80">
        <f t="shared" si="129"/>
        <v>0</v>
      </c>
      <c r="Y307" s="83"/>
      <c r="Z307" s="101">
        <f t="shared" si="130"/>
        <v>0</v>
      </c>
      <c r="AA307" s="71"/>
    </row>
    <row r="308" spans="1:27" ht="14.4" x14ac:dyDescent="0.3">
      <c r="A308" s="93">
        <v>20</v>
      </c>
      <c r="B308" s="70" t="s">
        <v>44</v>
      </c>
      <c r="C308" s="80"/>
      <c r="D308" s="83"/>
      <c r="E308" s="84">
        <f>'Link in'!H26</f>
        <v>0</v>
      </c>
      <c r="F308" s="111">
        <v>0</v>
      </c>
      <c r="G308" s="80">
        <f>ROUND((E308*F308),0)</f>
        <v>0</v>
      </c>
      <c r="H308" s="80"/>
      <c r="I308" s="83"/>
      <c r="J308" s="84">
        <f t="shared" si="131"/>
        <v>0</v>
      </c>
      <c r="K308" s="111">
        <f t="shared" si="132"/>
        <v>0</v>
      </c>
      <c r="L308" s="84">
        <f>ROUND((J308*K308),0)</f>
        <v>0</v>
      </c>
      <c r="M308" s="80"/>
      <c r="N308" s="83"/>
      <c r="O308" s="84">
        <f>'Link in'!R26</f>
        <v>0</v>
      </c>
      <c r="P308" s="111">
        <f t="shared" si="133"/>
        <v>0</v>
      </c>
      <c r="Q308" s="84">
        <f>ROUND((O308*P308),0)</f>
        <v>0</v>
      </c>
      <c r="R308" s="80"/>
      <c r="S308" s="70"/>
      <c r="T308" s="80">
        <f t="shared" si="134"/>
        <v>0</v>
      </c>
      <c r="U308" s="111">
        <f t="shared" si="135"/>
        <v>0</v>
      </c>
      <c r="V308" s="80">
        <f>ROUND((T308*U308),0)</f>
        <v>0</v>
      </c>
      <c r="W308" s="84"/>
      <c r="X308" s="80">
        <f t="shared" si="129"/>
        <v>0</v>
      </c>
      <c r="Y308" s="83"/>
      <c r="Z308" s="101">
        <f t="shared" si="130"/>
        <v>0</v>
      </c>
      <c r="AA308" s="71"/>
    </row>
    <row r="309" spans="1:27" ht="14.4" x14ac:dyDescent="0.3">
      <c r="A309" s="93">
        <v>21</v>
      </c>
      <c r="B309" s="70" t="s">
        <v>96</v>
      </c>
      <c r="C309" s="70"/>
      <c r="D309" s="83"/>
      <c r="E309" s="84">
        <f>'Link in'!H27</f>
        <v>0</v>
      </c>
      <c r="F309" s="111">
        <v>0</v>
      </c>
      <c r="G309" s="80">
        <f t="shared" ref="G309:G310" si="136">ROUND((E309*F309),0)</f>
        <v>0</v>
      </c>
      <c r="H309" s="80"/>
      <c r="I309" s="83"/>
      <c r="J309" s="84">
        <f t="shared" si="131"/>
        <v>0</v>
      </c>
      <c r="K309" s="111">
        <f t="shared" si="132"/>
        <v>0</v>
      </c>
      <c r="L309" s="84">
        <f t="shared" ref="L309:L310" si="137">ROUND((J309*K309),0)</f>
        <v>0</v>
      </c>
      <c r="M309" s="70"/>
      <c r="N309" s="83"/>
      <c r="O309" s="84">
        <f>'Link in'!R27</f>
        <v>0</v>
      </c>
      <c r="P309" s="111">
        <f t="shared" si="133"/>
        <v>0</v>
      </c>
      <c r="Q309" s="84">
        <f t="shared" ref="Q309:Q310" si="138">ROUND((O309*P309),0)</f>
        <v>0</v>
      </c>
      <c r="R309" s="70"/>
      <c r="S309" s="70"/>
      <c r="T309" s="80">
        <f t="shared" si="134"/>
        <v>0</v>
      </c>
      <c r="U309" s="111">
        <f t="shared" si="135"/>
        <v>0</v>
      </c>
      <c r="V309" s="80">
        <f t="shared" ref="V309:V310" si="139">ROUND((T309*U309),0)</f>
        <v>0</v>
      </c>
      <c r="W309" s="83"/>
      <c r="X309" s="80">
        <f t="shared" si="129"/>
        <v>0</v>
      </c>
      <c r="Y309" s="83"/>
      <c r="Z309" s="101">
        <f t="shared" si="130"/>
        <v>0</v>
      </c>
      <c r="AA309" s="71"/>
    </row>
    <row r="310" spans="1:27" ht="14.4" x14ac:dyDescent="0.3">
      <c r="A310" s="93">
        <v>22</v>
      </c>
      <c r="B310" s="70" t="s">
        <v>101</v>
      </c>
      <c r="C310" s="70"/>
      <c r="D310" s="83"/>
      <c r="E310" s="84">
        <f>'Link in'!H28</f>
        <v>0</v>
      </c>
      <c r="F310" s="111">
        <v>0</v>
      </c>
      <c r="G310" s="80">
        <f t="shared" si="136"/>
        <v>0</v>
      </c>
      <c r="H310" s="80"/>
      <c r="I310" s="83"/>
      <c r="J310" s="84">
        <f t="shared" si="131"/>
        <v>0</v>
      </c>
      <c r="K310" s="111">
        <f t="shared" si="132"/>
        <v>0</v>
      </c>
      <c r="L310" s="84">
        <f t="shared" si="137"/>
        <v>0</v>
      </c>
      <c r="M310" s="70"/>
      <c r="N310" s="83"/>
      <c r="O310" s="84">
        <f>'Link in'!R28</f>
        <v>0</v>
      </c>
      <c r="P310" s="111">
        <f t="shared" si="133"/>
        <v>0</v>
      </c>
      <c r="Q310" s="84">
        <f t="shared" si="138"/>
        <v>0</v>
      </c>
      <c r="R310" s="70"/>
      <c r="S310" s="70"/>
      <c r="T310" s="80">
        <f t="shared" si="134"/>
        <v>0</v>
      </c>
      <c r="U310" s="111">
        <f t="shared" si="135"/>
        <v>0</v>
      </c>
      <c r="V310" s="80">
        <f t="shared" si="139"/>
        <v>0</v>
      </c>
      <c r="W310" s="83"/>
      <c r="X310" s="80">
        <f t="shared" si="129"/>
        <v>0</v>
      </c>
      <c r="Y310" s="83"/>
      <c r="Z310" s="101">
        <f t="shared" si="130"/>
        <v>0</v>
      </c>
      <c r="AA310" s="71"/>
    </row>
    <row r="311" spans="1:27" ht="14.4" x14ac:dyDescent="0.3">
      <c r="A311" s="93">
        <v>23</v>
      </c>
      <c r="B311" s="83" t="s">
        <v>108</v>
      </c>
      <c r="C311" s="112"/>
      <c r="D311" s="83"/>
      <c r="E311" s="83">
        <f>'Link in'!H32</f>
        <v>0</v>
      </c>
      <c r="F311" s="111"/>
      <c r="G311" s="112">
        <f>+'Link in'!H34+165</f>
        <v>165</v>
      </c>
      <c r="H311" s="112"/>
      <c r="I311" s="83"/>
      <c r="J311" s="84">
        <f t="shared" si="131"/>
        <v>0</v>
      </c>
      <c r="K311" s="133"/>
      <c r="L311" s="112">
        <f>G311</f>
        <v>165</v>
      </c>
      <c r="M311" s="112"/>
      <c r="N311" s="83"/>
      <c r="O311" s="83">
        <f>'Link in'!R32</f>
        <v>0</v>
      </c>
      <c r="P311" s="95"/>
      <c r="Q311" s="112">
        <f>'Link in'!R34</f>
        <v>0</v>
      </c>
      <c r="R311" s="112"/>
      <c r="S311" s="83"/>
      <c r="T311" s="83">
        <f>O311</f>
        <v>0</v>
      </c>
      <c r="U311" s="95"/>
      <c r="V311" s="112">
        <f>Q311</f>
        <v>0</v>
      </c>
      <c r="W311" s="112"/>
      <c r="X311" s="112">
        <f t="shared" si="129"/>
        <v>0</v>
      </c>
      <c r="Y311" s="83"/>
      <c r="Z311" s="101">
        <f t="shared" si="130"/>
        <v>0</v>
      </c>
      <c r="AA311" s="71"/>
    </row>
    <row r="312" spans="1:27" ht="14.4" x14ac:dyDescent="0.3">
      <c r="A312" s="93">
        <v>24</v>
      </c>
      <c r="B312" s="70"/>
      <c r="C312" s="122"/>
      <c r="D312" s="83"/>
      <c r="E312" s="83"/>
      <c r="F312" s="113"/>
      <c r="G312" s="122"/>
      <c r="H312" s="122"/>
      <c r="I312" s="83"/>
      <c r="J312" s="83"/>
      <c r="K312" s="113"/>
      <c r="L312" s="113"/>
      <c r="M312" s="122"/>
      <c r="N312" s="83"/>
      <c r="O312" s="83"/>
      <c r="P312" s="113"/>
      <c r="Q312" s="113"/>
      <c r="R312" s="122"/>
      <c r="S312" s="70"/>
      <c r="T312" s="70"/>
      <c r="U312" s="122"/>
      <c r="V312" s="122"/>
      <c r="W312" s="113"/>
      <c r="X312" s="84"/>
      <c r="Y312" s="83"/>
      <c r="Z312" s="101"/>
      <c r="AA312" s="71"/>
    </row>
    <row r="313" spans="1:27" ht="15" thickBot="1" x14ac:dyDescent="0.35">
      <c r="A313" s="93">
        <v>25</v>
      </c>
      <c r="B313" s="70" t="s">
        <v>1</v>
      </c>
      <c r="C313" s="126"/>
      <c r="D313" s="136"/>
      <c r="E313" s="137">
        <f>SUM(E305:E312)</f>
        <v>0</v>
      </c>
      <c r="F313" s="126"/>
      <c r="G313" s="138">
        <f>SUM(G291:G312)</f>
        <v>165</v>
      </c>
      <c r="H313" s="126"/>
      <c r="I313" s="139"/>
      <c r="J313" s="140">
        <f>SUM(J305:J312)</f>
        <v>0</v>
      </c>
      <c r="K313" s="115"/>
      <c r="L313" s="141">
        <f>SUM(L291:L312)</f>
        <v>165</v>
      </c>
      <c r="M313" s="126"/>
      <c r="N313" s="139"/>
      <c r="O313" s="140">
        <f>SUM(O305:O312)</f>
        <v>0</v>
      </c>
      <c r="P313" s="115"/>
      <c r="Q313" s="141">
        <f>SUM(Q291:Q312)</f>
        <v>0</v>
      </c>
      <c r="R313" s="126"/>
      <c r="S313" s="136"/>
      <c r="T313" s="137">
        <f>SUM(T305:T312)</f>
        <v>0</v>
      </c>
      <c r="U313" s="126"/>
      <c r="V313" s="138">
        <f>SUM(V291:V312)</f>
        <v>0</v>
      </c>
      <c r="W313" s="115"/>
      <c r="X313" s="141">
        <f>SUM(X291:X312)</f>
        <v>0</v>
      </c>
      <c r="Y313" s="83"/>
      <c r="Z313" s="125">
        <f t="shared" ref="Z313" si="140">IF(Q313=0,0,ROUND((X313/Q313),4))</f>
        <v>0</v>
      </c>
      <c r="AA313" s="71"/>
    </row>
    <row r="314" spans="1:27" ht="15" thickTop="1" x14ac:dyDescent="0.3">
      <c r="A314" s="93"/>
      <c r="B314" s="70"/>
      <c r="C314" s="80"/>
      <c r="D314" s="70"/>
      <c r="E314" s="70"/>
      <c r="F314" s="120"/>
      <c r="G314" s="80"/>
      <c r="H314" s="80"/>
      <c r="I314" s="80"/>
      <c r="J314" s="80"/>
      <c r="K314" s="80"/>
      <c r="L314" s="80"/>
      <c r="M314" s="80"/>
      <c r="N314" s="80"/>
      <c r="O314" s="70"/>
      <c r="P314" s="120"/>
      <c r="Q314" s="80"/>
      <c r="R314" s="80"/>
      <c r="S314" s="70"/>
      <c r="T314" s="70"/>
      <c r="U314" s="120"/>
      <c r="V314" s="80"/>
      <c r="W314" s="83"/>
      <c r="X314" s="84"/>
      <c r="Y314" s="83"/>
      <c r="Z314" s="101"/>
      <c r="AA314" s="71"/>
    </row>
    <row r="315" spans="1:27" x14ac:dyDescent="0.3">
      <c r="A315" s="20"/>
      <c r="B315" s="19"/>
      <c r="C315" s="21"/>
      <c r="D315" s="20"/>
      <c r="E315" s="19"/>
      <c r="F315" s="22"/>
      <c r="G315" s="21"/>
      <c r="H315" s="21"/>
      <c r="I315" s="21"/>
      <c r="J315" s="21"/>
      <c r="K315" s="21"/>
      <c r="L315" s="21"/>
      <c r="M315" s="21"/>
      <c r="N315" s="21"/>
      <c r="O315" s="19"/>
      <c r="P315" s="22"/>
      <c r="Q315" s="21"/>
      <c r="R315" s="21"/>
      <c r="S315" s="20"/>
      <c r="T315" s="19"/>
      <c r="U315" s="22"/>
      <c r="V315" s="21"/>
      <c r="X315" s="26"/>
      <c r="Z315" s="77"/>
      <c r="AA315" s="71"/>
    </row>
    <row r="316" spans="1:27" x14ac:dyDescent="0.3">
      <c r="A316" s="20"/>
      <c r="B316" s="19"/>
      <c r="C316" s="19"/>
      <c r="D316" s="19"/>
      <c r="E316" s="19"/>
      <c r="F316" s="23"/>
      <c r="G316" s="19"/>
      <c r="H316" s="19"/>
      <c r="I316" s="19"/>
      <c r="J316" s="19"/>
      <c r="K316" s="19"/>
      <c r="L316" s="19"/>
      <c r="M316" s="19"/>
      <c r="N316" s="19"/>
      <c r="O316" s="19"/>
      <c r="P316" s="23"/>
      <c r="Q316" s="19"/>
      <c r="R316" s="19"/>
      <c r="S316" s="19"/>
      <c r="T316" s="19"/>
      <c r="U316" s="23"/>
      <c r="V316" s="19"/>
      <c r="X316" s="26"/>
      <c r="Z316" s="77"/>
      <c r="AA316" s="71"/>
    </row>
    <row r="317" spans="1:27" x14ac:dyDescent="0.3">
      <c r="A317" s="20"/>
      <c r="B317" s="19"/>
      <c r="C317" s="19"/>
      <c r="D317" s="19"/>
      <c r="E317" s="19"/>
      <c r="F317" s="23"/>
      <c r="G317" s="19"/>
      <c r="H317" s="19"/>
      <c r="I317" s="19"/>
      <c r="J317" s="19"/>
      <c r="K317" s="19"/>
      <c r="L317" s="19"/>
      <c r="M317" s="19"/>
      <c r="N317" s="19"/>
      <c r="O317" s="19"/>
      <c r="P317" s="23"/>
      <c r="Q317" s="19"/>
      <c r="R317" s="19"/>
      <c r="S317" s="19"/>
      <c r="T317" s="19"/>
      <c r="U317" s="23"/>
      <c r="V317" s="19"/>
      <c r="X317" s="26"/>
      <c r="Z317" s="77"/>
      <c r="AA317" s="71"/>
    </row>
    <row r="318" spans="1:27" x14ac:dyDescent="0.3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AA318" s="71"/>
    </row>
    <row r="319" spans="1:27" x14ac:dyDescent="0.3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AA319" s="71"/>
    </row>
  </sheetData>
  <mergeCells count="72">
    <mergeCell ref="A1:Z1"/>
    <mergeCell ref="A2:Z2"/>
    <mergeCell ref="A3:Z3"/>
    <mergeCell ref="A4:Z4"/>
    <mergeCell ref="A40:Z40"/>
    <mergeCell ref="E7:G7"/>
    <mergeCell ref="O7:Q7"/>
    <mergeCell ref="T7:V7"/>
    <mergeCell ref="J7:L7"/>
    <mergeCell ref="I5:Q5"/>
    <mergeCell ref="A81:Z81"/>
    <mergeCell ref="A82:Z82"/>
    <mergeCell ref="I85:L85"/>
    <mergeCell ref="A41:Z41"/>
    <mergeCell ref="A42:Z42"/>
    <mergeCell ref="A43:Z43"/>
    <mergeCell ref="A79:Z79"/>
    <mergeCell ref="A80:Z80"/>
    <mergeCell ref="D46:G46"/>
    <mergeCell ref="N46:Q46"/>
    <mergeCell ref="S46:V46"/>
    <mergeCell ref="I46:L46"/>
    <mergeCell ref="I44:Q44"/>
    <mergeCell ref="I83:Q83"/>
    <mergeCell ref="A196:Z196"/>
    <mergeCell ref="A197:Z197"/>
    <mergeCell ref="A198:Z198"/>
    <mergeCell ref="D85:G85"/>
    <mergeCell ref="N85:Q85"/>
    <mergeCell ref="S85:V85"/>
    <mergeCell ref="N124:Q124"/>
    <mergeCell ref="S124:V124"/>
    <mergeCell ref="A118:Z118"/>
    <mergeCell ref="S163:V163"/>
    <mergeCell ref="N163:Q163"/>
    <mergeCell ref="I163:L163"/>
    <mergeCell ref="D163:G163"/>
    <mergeCell ref="A160:Z160"/>
    <mergeCell ref="A159:Z159"/>
    <mergeCell ref="A158:Z158"/>
    <mergeCell ref="D285:G285"/>
    <mergeCell ref="N285:Q285"/>
    <mergeCell ref="S285:V285"/>
    <mergeCell ref="I285:L285"/>
    <mergeCell ref="A199:Z199"/>
    <mergeCell ref="A237:Z237"/>
    <mergeCell ref="A238:Z238"/>
    <mergeCell ref="A239:Z239"/>
    <mergeCell ref="A236:Z236"/>
    <mergeCell ref="T242:V242"/>
    <mergeCell ref="E242:G242"/>
    <mergeCell ref="O242:Q242"/>
    <mergeCell ref="D202:G202"/>
    <mergeCell ref="N202:Q202"/>
    <mergeCell ref="S202:V202"/>
    <mergeCell ref="I202:L202"/>
    <mergeCell ref="I161:Q161"/>
    <mergeCell ref="I200:Q200"/>
    <mergeCell ref="I240:Q240"/>
    <mergeCell ref="I283:Q283"/>
    <mergeCell ref="A119:Z119"/>
    <mergeCell ref="A157:Z157"/>
    <mergeCell ref="I124:L124"/>
    <mergeCell ref="D124:G124"/>
    <mergeCell ref="A121:Z121"/>
    <mergeCell ref="A120:Z120"/>
    <mergeCell ref="I122:Q122"/>
    <mergeCell ref="A279:Z279"/>
    <mergeCell ref="A280:Z280"/>
    <mergeCell ref="A281:Z281"/>
    <mergeCell ref="A282:Z282"/>
    <mergeCell ref="J242:L242"/>
  </mergeCells>
  <phoneticPr fontId="0" type="noConversion"/>
  <printOptions horizontalCentered="1"/>
  <pageMargins left="0.5" right="0.5" top="0.75" bottom="0.75" header="0.5" footer="0.25"/>
  <pageSetup scale="50" orientation="landscape" r:id="rId1"/>
  <headerFooter alignWithMargins="0"/>
  <rowBreaks count="7" manualBreakCount="7">
    <brk id="39" max="25" man="1"/>
    <brk id="78" max="25" man="1"/>
    <brk id="117" max="25" man="1"/>
    <brk id="156" max="25" man="1"/>
    <brk id="195" max="25" man="1"/>
    <brk id="235" max="25" man="1"/>
    <brk id="278" max="25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zoomScaleNormal="100" workbookViewId="0"/>
  </sheetViews>
  <sheetFormatPr defaultColWidth="9.109375" defaultRowHeight="14.4" x14ac:dyDescent="0.3"/>
  <cols>
    <col min="1" max="1" width="18.5546875" style="36" customWidth="1"/>
    <col min="2" max="2" width="2.5546875" style="36" customWidth="1"/>
    <col min="3" max="3" width="18.5546875" style="36" customWidth="1"/>
    <col min="4" max="4" width="2.5546875" style="36" customWidth="1"/>
    <col min="5" max="5" width="18.5546875" style="36" customWidth="1"/>
    <col min="6" max="6" width="2.5546875" style="36" customWidth="1"/>
    <col min="7" max="7" width="18.5546875" style="36" customWidth="1"/>
    <col min="8" max="8" width="2.5546875" style="36" customWidth="1"/>
    <col min="9" max="9" width="18.5546875" style="36" customWidth="1"/>
    <col min="10" max="13" width="13.44140625" style="36" customWidth="1"/>
    <col min="14" max="14" width="9.109375" style="36"/>
    <col min="15" max="16" width="0" style="36" hidden="1" customWidth="1"/>
    <col min="17" max="16384" width="9.109375" style="36"/>
  </cols>
  <sheetData>
    <row r="1" spans="1:24" x14ac:dyDescent="0.3">
      <c r="G1" s="72"/>
      <c r="H1" s="72"/>
      <c r="I1" s="73"/>
    </row>
    <row r="2" spans="1:24" x14ac:dyDescent="0.3">
      <c r="A2" s="74"/>
      <c r="G2" s="72"/>
      <c r="H2" s="72"/>
    </row>
    <row r="3" spans="1:24" x14ac:dyDescent="0.3">
      <c r="A3" s="74"/>
      <c r="G3" s="72"/>
      <c r="H3" s="72"/>
    </row>
    <row r="4" spans="1:24" x14ac:dyDescent="0.3">
      <c r="G4" s="72"/>
      <c r="H4" s="72"/>
      <c r="I4" s="72"/>
    </row>
    <row r="5" spans="1:24" x14ac:dyDescent="0.3">
      <c r="A5" s="326" t="str">
        <f>'Link in'!A1</f>
        <v>Kentucky American Water Company</v>
      </c>
      <c r="B5" s="326"/>
      <c r="C5" s="326"/>
      <c r="D5" s="326"/>
      <c r="E5" s="326"/>
      <c r="F5" s="326"/>
      <c r="G5" s="326"/>
      <c r="H5" s="326"/>
      <c r="I5" s="326"/>
      <c r="J5" s="37"/>
      <c r="K5" s="37"/>
      <c r="L5" s="37"/>
      <c r="M5" s="37"/>
      <c r="N5" s="38"/>
      <c r="O5" s="38"/>
      <c r="P5" s="38"/>
      <c r="Q5" s="38"/>
      <c r="S5" s="38"/>
      <c r="T5" s="38"/>
      <c r="U5" s="38"/>
      <c r="V5" s="38"/>
      <c r="W5" s="38"/>
      <c r="X5" s="38"/>
    </row>
    <row r="6" spans="1:24" x14ac:dyDescent="0.3">
      <c r="A6" s="326" t="str">
        <f>'Link in'!A2</f>
        <v>Case No. 2018-00358</v>
      </c>
      <c r="B6" s="326"/>
      <c r="C6" s="326"/>
      <c r="D6" s="326"/>
      <c r="E6" s="326"/>
      <c r="F6" s="326"/>
      <c r="G6" s="326"/>
      <c r="H6" s="326"/>
      <c r="I6" s="326"/>
      <c r="J6" s="37"/>
      <c r="K6" s="37"/>
      <c r="L6" s="37"/>
      <c r="M6" s="37"/>
      <c r="N6" s="38"/>
      <c r="O6" s="39"/>
      <c r="P6" s="39"/>
      <c r="Q6" s="40"/>
      <c r="S6" s="38"/>
      <c r="T6" s="38"/>
      <c r="U6" s="38"/>
      <c r="V6" s="38"/>
      <c r="W6" s="38"/>
      <c r="X6" s="38"/>
    </row>
    <row r="7" spans="1:24" x14ac:dyDescent="0.3">
      <c r="A7" s="326" t="str">
        <f>'Link in'!A92</f>
        <v>Forecast Year for the 12 Months Ended June 30, 2020</v>
      </c>
      <c r="B7" s="326"/>
      <c r="C7" s="326"/>
      <c r="D7" s="326"/>
      <c r="E7" s="326"/>
      <c r="F7" s="326"/>
      <c r="G7" s="326"/>
      <c r="H7" s="326"/>
      <c r="I7" s="326"/>
      <c r="J7" s="37"/>
      <c r="K7" s="37"/>
      <c r="L7" s="37"/>
      <c r="M7" s="37"/>
      <c r="N7" s="38"/>
      <c r="O7" s="39"/>
      <c r="P7" s="39"/>
      <c r="Q7" s="40"/>
      <c r="S7" s="38"/>
      <c r="T7" s="38"/>
      <c r="U7" s="38"/>
      <c r="V7" s="38"/>
      <c r="W7" s="38"/>
      <c r="X7" s="38"/>
    </row>
    <row r="8" spans="1:24" ht="30.9" customHeight="1" x14ac:dyDescent="0.3">
      <c r="A8" s="327" t="s">
        <v>206</v>
      </c>
      <c r="B8" s="326"/>
      <c r="C8" s="326"/>
      <c r="D8" s="326"/>
      <c r="E8" s="326"/>
      <c r="F8" s="326"/>
      <c r="G8" s="326"/>
      <c r="H8" s="326"/>
      <c r="I8" s="326"/>
      <c r="J8" s="37"/>
      <c r="K8" s="37"/>
      <c r="L8" s="37"/>
      <c r="M8" s="37"/>
      <c r="N8" s="38"/>
      <c r="O8" s="41"/>
      <c r="P8" s="41"/>
      <c r="Q8" s="40"/>
      <c r="S8" s="38"/>
      <c r="T8" s="38"/>
      <c r="U8" s="38"/>
      <c r="V8" s="38"/>
      <c r="W8" s="38"/>
      <c r="X8" s="38"/>
    </row>
    <row r="9" spans="1:24" x14ac:dyDescent="0.3">
      <c r="A9" s="326" t="s">
        <v>125</v>
      </c>
      <c r="B9" s="326"/>
      <c r="C9" s="326"/>
      <c r="D9" s="326"/>
      <c r="E9" s="326"/>
      <c r="F9" s="326"/>
      <c r="G9" s="326"/>
      <c r="H9" s="326"/>
      <c r="I9" s="326"/>
      <c r="J9" s="37"/>
      <c r="K9" s="37"/>
      <c r="L9" s="37"/>
      <c r="M9" s="37"/>
      <c r="N9" s="38"/>
      <c r="O9" s="41"/>
      <c r="P9" s="41"/>
      <c r="Q9" s="40"/>
      <c r="R9" s="39"/>
      <c r="S9" s="38"/>
      <c r="T9" s="38"/>
      <c r="U9" s="38"/>
      <c r="V9" s="38"/>
      <c r="W9" s="38"/>
      <c r="X9" s="38"/>
    </row>
    <row r="10" spans="1:24" x14ac:dyDescent="0.3">
      <c r="J10" s="37"/>
      <c r="K10" s="37"/>
      <c r="L10" s="37"/>
      <c r="M10" s="37"/>
      <c r="N10" s="38"/>
      <c r="O10" s="41"/>
      <c r="P10" s="41"/>
      <c r="Q10" s="40"/>
      <c r="R10" s="39"/>
      <c r="S10" s="38"/>
      <c r="T10" s="38"/>
      <c r="U10" s="38"/>
      <c r="V10" s="38"/>
      <c r="W10" s="38"/>
      <c r="X10" s="38"/>
    </row>
    <row r="11" spans="1:24" x14ac:dyDescent="0.3">
      <c r="A11" s="76" t="str">
        <f>'Link in'!A178</f>
        <v>Witness Responsible:   Melissa Schwarzell</v>
      </c>
      <c r="B11" s="76"/>
      <c r="C11" s="76"/>
      <c r="D11" s="76"/>
      <c r="E11" s="76"/>
      <c r="F11" s="76"/>
      <c r="G11" s="76"/>
      <c r="H11" s="76"/>
      <c r="I11" s="75" t="s">
        <v>182</v>
      </c>
      <c r="J11" s="37"/>
      <c r="K11" s="37"/>
      <c r="L11" s="37"/>
      <c r="M11" s="37"/>
      <c r="N11" s="38"/>
      <c r="O11" s="41"/>
      <c r="P11" s="41"/>
      <c r="Q11" s="40"/>
      <c r="R11" s="39"/>
      <c r="S11" s="38"/>
      <c r="T11" s="38"/>
      <c r="U11" s="38"/>
      <c r="V11" s="38"/>
      <c r="W11" s="38"/>
      <c r="X11" s="38"/>
    </row>
    <row r="12" spans="1:24" x14ac:dyDescent="0.3">
      <c r="A12" s="76" t="str">
        <f>'Link in'!$A$95</f>
        <v/>
      </c>
      <c r="B12" s="76"/>
      <c r="C12" s="76"/>
      <c r="D12" s="76"/>
      <c r="E12" s="76"/>
      <c r="F12" s="76"/>
      <c r="G12" s="76"/>
      <c r="H12" s="76"/>
      <c r="I12" s="79" t="str">
        <f ca="1">RIGHT(CELL("filename",$A$1),LEN(CELL("filename",$A$1))-SEARCH("\Revenues",CELL("filename",$A$1),1))</f>
        <v>Revenues\[KAWC 2018 Rate Case - Revenue - E. Rockcastle.xlsx]Sch N</v>
      </c>
      <c r="J12" s="37"/>
      <c r="K12" s="37"/>
      <c r="L12" s="37"/>
      <c r="M12" s="37"/>
      <c r="N12" s="38"/>
      <c r="O12" s="41"/>
      <c r="P12" s="41"/>
      <c r="Q12" s="40"/>
      <c r="R12" s="39"/>
      <c r="S12" s="38"/>
      <c r="T12" s="38"/>
      <c r="U12" s="38"/>
      <c r="V12" s="38"/>
      <c r="W12" s="38"/>
      <c r="X12" s="38"/>
    </row>
    <row r="13" spans="1:24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1"/>
      <c r="P13" s="41"/>
      <c r="Q13" s="40"/>
      <c r="R13" s="57"/>
      <c r="S13" s="54"/>
      <c r="T13" s="54"/>
      <c r="U13" s="54"/>
      <c r="V13" s="54"/>
      <c r="W13" s="54"/>
      <c r="X13" s="38"/>
    </row>
    <row r="14" spans="1:24" x14ac:dyDescent="0.3">
      <c r="A14" s="43" t="s">
        <v>18</v>
      </c>
      <c r="B14" s="42"/>
      <c r="C14" s="44" t="s">
        <v>79</v>
      </c>
      <c r="D14" s="44"/>
      <c r="E14" s="44" t="s">
        <v>73</v>
      </c>
      <c r="F14" s="44"/>
      <c r="G14" s="44"/>
      <c r="H14" s="44"/>
      <c r="I14" s="44" t="s">
        <v>53</v>
      </c>
      <c r="J14" s="42"/>
      <c r="K14" s="42"/>
      <c r="L14" s="42"/>
      <c r="M14" s="42"/>
      <c r="N14" s="38"/>
      <c r="O14" s="41"/>
      <c r="P14" s="41"/>
      <c r="Q14" s="40"/>
      <c r="R14" s="58"/>
      <c r="S14" s="59"/>
      <c r="T14" s="59"/>
      <c r="U14" s="59"/>
      <c r="V14" s="59"/>
      <c r="W14" s="54"/>
      <c r="X14" s="38"/>
    </row>
    <row r="15" spans="1:24" x14ac:dyDescent="0.3">
      <c r="A15" s="45" t="s">
        <v>128</v>
      </c>
      <c r="B15" s="42"/>
      <c r="C15" s="45" t="s">
        <v>46</v>
      </c>
      <c r="D15" s="44"/>
      <c r="E15" s="45" t="s">
        <v>46</v>
      </c>
      <c r="F15" s="44"/>
      <c r="G15" s="45" t="s">
        <v>126</v>
      </c>
      <c r="H15" s="44"/>
      <c r="I15" s="45" t="s">
        <v>126</v>
      </c>
      <c r="J15" s="46"/>
      <c r="K15" s="46"/>
      <c r="L15" s="46"/>
      <c r="M15" s="46"/>
      <c r="N15" s="38"/>
      <c r="O15" s="311" t="s">
        <v>195</v>
      </c>
      <c r="P15" s="311" t="s">
        <v>196</v>
      </c>
      <c r="Q15" s="40"/>
      <c r="R15" s="54"/>
      <c r="S15" s="54"/>
      <c r="T15" s="54"/>
      <c r="U15" s="54"/>
      <c r="V15" s="54"/>
      <c r="W15" s="54"/>
      <c r="X15" s="38"/>
    </row>
    <row r="16" spans="1:24" x14ac:dyDescent="0.3">
      <c r="A16" s="47">
        <v>0</v>
      </c>
      <c r="B16" s="42"/>
      <c r="C16" s="60">
        <f>'Sch M'!P52</f>
        <v>28.28</v>
      </c>
      <c r="D16" s="48"/>
      <c r="E16" s="60">
        <f>'Sch M'!U52</f>
        <v>15</v>
      </c>
      <c r="F16" s="48"/>
      <c r="G16" s="60">
        <f>+E16-C16</f>
        <v>-13.280000000000001</v>
      </c>
      <c r="H16" s="42"/>
      <c r="I16" s="49">
        <f>+G16/C16</f>
        <v>-0.46958981612446959</v>
      </c>
      <c r="J16" s="49"/>
      <c r="K16" s="49"/>
      <c r="L16" s="49"/>
      <c r="M16" s="49"/>
      <c r="N16" s="38"/>
      <c r="O16" s="38">
        <v>0</v>
      </c>
      <c r="P16" s="50"/>
      <c r="Q16" s="38"/>
      <c r="R16" s="54"/>
      <c r="S16" s="54"/>
      <c r="T16" s="54"/>
      <c r="U16" s="54"/>
      <c r="V16" s="54"/>
      <c r="W16" s="54"/>
      <c r="X16" s="38"/>
    </row>
    <row r="17" spans="1:24" x14ac:dyDescent="0.3">
      <c r="A17" s="51">
        <v>1</v>
      </c>
      <c r="B17" s="38"/>
      <c r="C17" s="52">
        <f>ROUND($C$16+(O17*'Sch M'!$P$66)+(P17*'Sch M'!$P$67),2)</f>
        <v>28.28</v>
      </c>
      <c r="D17" s="52"/>
      <c r="E17" s="52">
        <f>ROUND($E$16+(A16*'Sch M'!$U$66),2)</f>
        <v>15</v>
      </c>
      <c r="F17" s="52"/>
      <c r="G17" s="53">
        <f t="shared" ref="G17:G36" si="0">+E17-C17</f>
        <v>-13.280000000000001</v>
      </c>
      <c r="H17" s="42"/>
      <c r="I17" s="49">
        <f t="shared" ref="I17:I36" si="1">+G17/C17</f>
        <v>-0.46958981612446959</v>
      </c>
      <c r="J17" s="49"/>
      <c r="K17" s="49"/>
      <c r="L17" s="49"/>
      <c r="M17" s="49"/>
      <c r="N17" s="38"/>
      <c r="O17" s="38">
        <v>1</v>
      </c>
      <c r="P17" s="38">
        <f>+A17-O17</f>
        <v>0</v>
      </c>
      <c r="Q17" s="38"/>
      <c r="R17" s="38"/>
      <c r="S17" s="38"/>
      <c r="T17" s="38"/>
      <c r="U17" s="38"/>
      <c r="V17" s="38"/>
      <c r="W17" s="38"/>
      <c r="X17" s="38"/>
    </row>
    <row r="18" spans="1:24" x14ac:dyDescent="0.3">
      <c r="A18" s="51">
        <v>2</v>
      </c>
      <c r="B18" s="38"/>
      <c r="C18" s="52">
        <f>ROUND($C$16+(O18*'Sch M'!$P$66)+(P18*'Sch M'!$P$67),2)</f>
        <v>28.28</v>
      </c>
      <c r="D18" s="52"/>
      <c r="E18" s="52">
        <f>ROUND($E$16+(A17*'Sch M'!$U$66),2)</f>
        <v>21.36</v>
      </c>
      <c r="F18" s="52"/>
      <c r="G18" s="53">
        <f t="shared" si="0"/>
        <v>-6.9200000000000017</v>
      </c>
      <c r="H18" s="42"/>
      <c r="I18" s="49">
        <f t="shared" si="1"/>
        <v>-0.24469589816124473</v>
      </c>
      <c r="J18" s="49"/>
      <c r="K18" s="49"/>
      <c r="L18" s="49"/>
      <c r="M18" s="49"/>
      <c r="N18" s="38"/>
      <c r="O18" s="38">
        <v>2</v>
      </c>
      <c r="P18" s="38">
        <f t="shared" ref="P18:P36" si="2">+A18-O18</f>
        <v>0</v>
      </c>
      <c r="Q18" s="38"/>
      <c r="R18" s="38"/>
      <c r="S18" s="38"/>
      <c r="T18" s="38"/>
      <c r="U18" s="38"/>
      <c r="V18" s="38"/>
      <c r="W18" s="38"/>
      <c r="X18" s="38"/>
    </row>
    <row r="19" spans="1:24" x14ac:dyDescent="0.3">
      <c r="A19" s="51">
        <v>3</v>
      </c>
      <c r="B19" s="38"/>
      <c r="C19" s="52">
        <f>ROUND($C$16+(O19*'Sch M'!$P$66)+(P19*'Sch M'!$P$67),2)</f>
        <v>39.81</v>
      </c>
      <c r="D19" s="52"/>
      <c r="E19" s="52">
        <f>ROUND($E$16+(A18*'Sch M'!$U$66),2)</f>
        <v>27.73</v>
      </c>
      <c r="F19" s="52"/>
      <c r="G19" s="53">
        <f t="shared" si="0"/>
        <v>-12.080000000000002</v>
      </c>
      <c r="H19" s="42"/>
      <c r="I19" s="49">
        <f t="shared" si="1"/>
        <v>-0.30344134639537806</v>
      </c>
      <c r="J19" s="49"/>
      <c r="K19" s="49"/>
      <c r="L19" s="49"/>
      <c r="M19" s="49"/>
      <c r="N19" s="38"/>
      <c r="O19" s="38">
        <v>2</v>
      </c>
      <c r="P19" s="38">
        <f t="shared" si="2"/>
        <v>1</v>
      </c>
      <c r="Q19" s="38"/>
      <c r="R19" s="38"/>
      <c r="S19" s="38"/>
      <c r="T19" s="38"/>
      <c r="U19" s="38"/>
      <c r="V19" s="38"/>
      <c r="W19" s="38"/>
      <c r="X19" s="38"/>
    </row>
    <row r="20" spans="1:24" x14ac:dyDescent="0.3">
      <c r="A20" s="47">
        <v>4</v>
      </c>
      <c r="B20" s="54"/>
      <c r="C20" s="52">
        <f>ROUND($C$16+(O20*'Sch M'!$P$66)+(P20*'Sch M'!$P$67),2)</f>
        <v>51.34</v>
      </c>
      <c r="D20" s="55"/>
      <c r="E20" s="52">
        <f>ROUND($E$16+(A19*'Sch M'!$U$66),2)</f>
        <v>34.090000000000003</v>
      </c>
      <c r="F20" s="55"/>
      <c r="G20" s="53">
        <f>+E20-C20</f>
        <v>-17.25</v>
      </c>
      <c r="H20" s="46"/>
      <c r="I20" s="49">
        <f>+G20/C20</f>
        <v>-0.33599532528243081</v>
      </c>
      <c r="J20" s="49"/>
      <c r="K20" s="49"/>
      <c r="L20" s="49"/>
      <c r="M20" s="49"/>
      <c r="N20" s="54"/>
      <c r="O20" s="38">
        <v>2</v>
      </c>
      <c r="P20" s="38">
        <f t="shared" si="2"/>
        <v>2</v>
      </c>
      <c r="Q20" s="38"/>
      <c r="R20" s="38"/>
      <c r="S20" s="38"/>
      <c r="T20" s="38"/>
      <c r="U20" s="38"/>
      <c r="V20" s="38"/>
      <c r="W20" s="38"/>
      <c r="X20" s="38"/>
    </row>
    <row r="21" spans="1:24" x14ac:dyDescent="0.3">
      <c r="A21" s="47">
        <v>5</v>
      </c>
      <c r="B21" s="54"/>
      <c r="C21" s="52">
        <f>ROUND($C$16+(O21*'Sch M'!$P$66)+(P21*'Sch M'!$P$67),2)</f>
        <v>62.87</v>
      </c>
      <c r="D21" s="55"/>
      <c r="E21" s="52">
        <f>ROUND($E$16+(A20*'Sch M'!$U$66),2)</f>
        <v>40.46</v>
      </c>
      <c r="F21" s="55"/>
      <c r="G21" s="53">
        <f t="shared" si="0"/>
        <v>-22.409999999999997</v>
      </c>
      <c r="H21" s="46"/>
      <c r="I21" s="49">
        <f t="shared" si="1"/>
        <v>-0.35644981708286938</v>
      </c>
      <c r="J21" s="49"/>
      <c r="K21" s="49"/>
      <c r="L21" s="49"/>
      <c r="M21" s="49"/>
      <c r="N21" s="54"/>
      <c r="O21" s="38">
        <v>2</v>
      </c>
      <c r="P21" s="38">
        <f t="shared" si="2"/>
        <v>3</v>
      </c>
      <c r="Q21" s="38"/>
      <c r="R21" s="38"/>
      <c r="S21" s="38"/>
      <c r="T21" s="38"/>
      <c r="U21" s="38"/>
      <c r="V21" s="38"/>
      <c r="W21" s="38"/>
      <c r="X21" s="38"/>
    </row>
    <row r="22" spans="1:24" x14ac:dyDescent="0.3">
      <c r="A22" s="47">
        <v>6</v>
      </c>
      <c r="B22" s="54"/>
      <c r="C22" s="52">
        <f>ROUND($C$16+(O22*'Sch M'!$P$66)+(P22*'Sch M'!$P$67),2)</f>
        <v>74.400000000000006</v>
      </c>
      <c r="D22" s="55"/>
      <c r="E22" s="52">
        <f>ROUND($E$16+(A21*'Sch M'!$U$66),2)</f>
        <v>46.82</v>
      </c>
      <c r="F22" s="55"/>
      <c r="G22" s="53">
        <f t="shared" si="0"/>
        <v>-27.580000000000005</v>
      </c>
      <c r="H22" s="46"/>
      <c r="I22" s="49">
        <f t="shared" si="1"/>
        <v>-0.37069892473118282</v>
      </c>
      <c r="J22" s="49"/>
      <c r="K22" s="49"/>
      <c r="L22" s="49"/>
      <c r="M22" s="49"/>
      <c r="N22" s="54"/>
      <c r="O22" s="38">
        <v>2</v>
      </c>
      <c r="P22" s="38">
        <f t="shared" si="2"/>
        <v>4</v>
      </c>
      <c r="Q22" s="38"/>
      <c r="R22" s="38"/>
      <c r="S22" s="38"/>
      <c r="T22" s="38"/>
      <c r="U22" s="38"/>
      <c r="V22" s="38"/>
      <c r="W22" s="38"/>
      <c r="X22" s="38"/>
    </row>
    <row r="23" spans="1:24" x14ac:dyDescent="0.3">
      <c r="A23" s="47">
        <v>7</v>
      </c>
      <c r="B23" s="54"/>
      <c r="C23" s="52">
        <f>ROUND($C$16+(O23*'Sch M'!$P$66)+(P23*'Sch M'!$P$67),2)</f>
        <v>85.93</v>
      </c>
      <c r="D23" s="55"/>
      <c r="E23" s="52">
        <f>ROUND($E$16+(A22*'Sch M'!$U$66),2)</f>
        <v>53.18</v>
      </c>
      <c r="F23" s="55"/>
      <c r="G23" s="53">
        <f t="shared" si="0"/>
        <v>-32.750000000000007</v>
      </c>
      <c r="H23" s="46"/>
      <c r="I23" s="49">
        <f t="shared" si="1"/>
        <v>-0.38112417083672762</v>
      </c>
      <c r="J23" s="49"/>
      <c r="K23" s="49"/>
      <c r="L23" s="49"/>
      <c r="M23" s="49"/>
      <c r="N23" s="54"/>
      <c r="O23" s="38">
        <v>2</v>
      </c>
      <c r="P23" s="38">
        <f t="shared" si="2"/>
        <v>5</v>
      </c>
      <c r="Q23" s="38"/>
      <c r="R23" s="38"/>
      <c r="S23" s="38"/>
      <c r="T23" s="38"/>
      <c r="U23" s="38"/>
      <c r="V23" s="38"/>
      <c r="W23" s="38"/>
      <c r="X23" s="38"/>
    </row>
    <row r="24" spans="1:24" x14ac:dyDescent="0.3">
      <c r="A24" s="47">
        <v>8</v>
      </c>
      <c r="B24" s="54"/>
      <c r="C24" s="52">
        <f>ROUND($C$16+(O24*'Sch M'!$P$66)+(P24*'Sch M'!$P$67),2)</f>
        <v>97.46</v>
      </c>
      <c r="D24" s="55"/>
      <c r="E24" s="52">
        <f>ROUND($E$16+(A23*'Sch M'!$U$66),2)</f>
        <v>59.55</v>
      </c>
      <c r="F24" s="55"/>
      <c r="G24" s="53">
        <f t="shared" si="0"/>
        <v>-37.909999999999997</v>
      </c>
      <c r="H24" s="46"/>
      <c r="I24" s="49">
        <f t="shared" si="1"/>
        <v>-0.38898009439770159</v>
      </c>
      <c r="J24" s="49"/>
      <c r="K24" s="49"/>
      <c r="L24" s="49"/>
      <c r="M24" s="49"/>
      <c r="N24" s="54"/>
      <c r="O24" s="38">
        <v>2</v>
      </c>
      <c r="P24" s="38">
        <f t="shared" si="2"/>
        <v>6</v>
      </c>
      <c r="Q24" s="38"/>
      <c r="R24" s="38"/>
      <c r="S24" s="38"/>
      <c r="T24" s="38"/>
      <c r="U24" s="38"/>
      <c r="V24" s="38"/>
      <c r="W24" s="38"/>
      <c r="X24" s="38"/>
    </row>
    <row r="25" spans="1:24" x14ac:dyDescent="0.3">
      <c r="A25" s="47">
        <v>9</v>
      </c>
      <c r="B25" s="54"/>
      <c r="C25" s="52">
        <f>ROUND($C$16+(O25*'Sch M'!$P$66)+(P25*'Sch M'!$P$67),2)</f>
        <v>108.99</v>
      </c>
      <c r="D25" s="55"/>
      <c r="E25" s="52">
        <f>ROUND($E$16+(A24*'Sch M'!$U$66),2)</f>
        <v>65.91</v>
      </c>
      <c r="F25" s="55"/>
      <c r="G25" s="53">
        <f t="shared" si="0"/>
        <v>-43.08</v>
      </c>
      <c r="H25" s="46"/>
      <c r="I25" s="49">
        <f t="shared" si="1"/>
        <v>-0.39526562069914672</v>
      </c>
      <c r="J25" s="49"/>
      <c r="K25" s="49"/>
      <c r="L25" s="49"/>
      <c r="M25" s="49"/>
      <c r="N25" s="54"/>
      <c r="O25" s="38">
        <v>2</v>
      </c>
      <c r="P25" s="38">
        <f t="shared" si="2"/>
        <v>7</v>
      </c>
      <c r="Q25" s="38"/>
      <c r="R25" s="38"/>
      <c r="S25" s="38"/>
      <c r="T25" s="38"/>
      <c r="U25" s="38"/>
      <c r="V25" s="38"/>
      <c r="W25" s="38"/>
      <c r="X25" s="38"/>
    </row>
    <row r="26" spans="1:24" x14ac:dyDescent="0.3">
      <c r="A26" s="51">
        <v>10</v>
      </c>
      <c r="B26" s="38"/>
      <c r="C26" s="52">
        <f>ROUND($C$16+(O26*'Sch M'!$P$66)+(P26*'Sch M'!$P$67),2)</f>
        <v>120.52</v>
      </c>
      <c r="D26" s="52"/>
      <c r="E26" s="52">
        <f>ROUND($E$16+(A25*'Sch M'!$U$66),2)</f>
        <v>72.28</v>
      </c>
      <c r="F26" s="52"/>
      <c r="G26" s="53">
        <f t="shared" si="0"/>
        <v>-48.239999999999995</v>
      </c>
      <c r="H26" s="42"/>
      <c r="I26" s="49">
        <f t="shared" si="1"/>
        <v>-0.40026551609691335</v>
      </c>
      <c r="J26" s="49"/>
      <c r="K26" s="49"/>
      <c r="L26" s="49"/>
      <c r="M26" s="49"/>
      <c r="N26" s="38"/>
      <c r="O26" s="38">
        <v>2</v>
      </c>
      <c r="P26" s="38">
        <f t="shared" si="2"/>
        <v>8</v>
      </c>
      <c r="Q26" s="38"/>
      <c r="R26" s="38"/>
      <c r="S26" s="38"/>
      <c r="T26" s="38"/>
      <c r="U26" s="38"/>
      <c r="V26" s="38"/>
      <c r="W26" s="38"/>
      <c r="X26" s="38"/>
    </row>
    <row r="27" spans="1:24" x14ac:dyDescent="0.3">
      <c r="A27" s="51">
        <v>15</v>
      </c>
      <c r="B27" s="38"/>
      <c r="C27" s="52">
        <f>ROUND($C$16+(O27*'Sch M'!$P$66)+(P27*'Sch M'!$P$67),2)</f>
        <v>178.17</v>
      </c>
      <c r="D27" s="52"/>
      <c r="E27" s="52">
        <f>ROUND($E$16+(A26*'Sch M'!$U$66),2)</f>
        <v>78.64</v>
      </c>
      <c r="F27" s="52"/>
      <c r="G27" s="53">
        <f t="shared" si="0"/>
        <v>-99.529999999999987</v>
      </c>
      <c r="H27" s="42"/>
      <c r="I27" s="49">
        <f t="shared" si="1"/>
        <v>-0.55862378627153841</v>
      </c>
      <c r="J27" s="49"/>
      <c r="K27" s="49"/>
      <c r="L27" s="49"/>
      <c r="M27" s="49"/>
      <c r="N27" s="38"/>
      <c r="O27" s="38">
        <v>2</v>
      </c>
      <c r="P27" s="38">
        <f t="shared" si="2"/>
        <v>13</v>
      </c>
      <c r="Q27" s="38"/>
      <c r="R27" s="38"/>
      <c r="S27" s="38"/>
      <c r="T27" s="38"/>
      <c r="U27" s="38"/>
      <c r="V27" s="38"/>
      <c r="W27" s="38"/>
      <c r="X27" s="38"/>
    </row>
    <row r="28" spans="1:24" x14ac:dyDescent="0.3">
      <c r="A28" s="51">
        <v>20</v>
      </c>
      <c r="B28" s="38"/>
      <c r="C28" s="52">
        <f>ROUND($C$16+(O28*'Sch M'!$P$66)+(P28*'Sch M'!$P$67),2)</f>
        <v>235.82</v>
      </c>
      <c r="D28" s="52"/>
      <c r="E28" s="52">
        <f>ROUND($E$16+(A27*'Sch M'!$U$66),2)</f>
        <v>110.46</v>
      </c>
      <c r="F28" s="52"/>
      <c r="G28" s="53">
        <f t="shared" si="0"/>
        <v>-125.36</v>
      </c>
      <c r="H28" s="42"/>
      <c r="I28" s="49">
        <f t="shared" si="1"/>
        <v>-0.53159189212110936</v>
      </c>
      <c r="J28" s="49"/>
      <c r="K28" s="49"/>
      <c r="L28" s="49"/>
      <c r="M28" s="49"/>
      <c r="N28" s="38"/>
      <c r="O28" s="38">
        <v>2</v>
      </c>
      <c r="P28" s="38">
        <f t="shared" si="2"/>
        <v>18</v>
      </c>
      <c r="Q28" s="38"/>
      <c r="R28" s="38"/>
      <c r="S28" s="38"/>
      <c r="T28" s="38"/>
      <c r="U28" s="38"/>
      <c r="V28" s="38"/>
      <c r="W28" s="38"/>
      <c r="X28" s="38"/>
    </row>
    <row r="29" spans="1:24" x14ac:dyDescent="0.3">
      <c r="A29" s="51">
        <v>25</v>
      </c>
      <c r="B29" s="38"/>
      <c r="C29" s="52">
        <f>ROUND($C$16+(O29*'Sch M'!$P$66)+(P29*'Sch M'!$P$67),2)</f>
        <v>293.47000000000003</v>
      </c>
      <c r="D29" s="52"/>
      <c r="E29" s="52">
        <f>ROUND($E$16+(A28*'Sch M'!$U$66),2)</f>
        <v>142.28</v>
      </c>
      <c r="F29" s="52"/>
      <c r="G29" s="53">
        <f t="shared" si="0"/>
        <v>-151.19000000000003</v>
      </c>
      <c r="H29" s="42"/>
      <c r="I29" s="49">
        <f t="shared" si="1"/>
        <v>-0.51518042730091662</v>
      </c>
      <c r="J29" s="49"/>
      <c r="K29" s="49"/>
      <c r="L29" s="49"/>
      <c r="M29" s="49"/>
      <c r="N29" s="38"/>
      <c r="O29" s="38">
        <v>2</v>
      </c>
      <c r="P29" s="38">
        <f t="shared" si="2"/>
        <v>23</v>
      </c>
      <c r="Q29" s="38"/>
      <c r="R29" s="38"/>
      <c r="S29" s="38"/>
      <c r="T29" s="38"/>
      <c r="U29" s="38"/>
      <c r="V29" s="38"/>
      <c r="W29" s="38"/>
      <c r="X29" s="38"/>
    </row>
    <row r="30" spans="1:24" x14ac:dyDescent="0.3">
      <c r="A30" s="51">
        <v>30</v>
      </c>
      <c r="B30" s="38"/>
      <c r="C30" s="52">
        <f>ROUND($C$16+(O30*'Sch M'!$P$66)+(P30*'Sch M'!$P$67),2)</f>
        <v>351.12</v>
      </c>
      <c r="D30" s="52"/>
      <c r="E30" s="52">
        <f>ROUND($E$16+(A29*'Sch M'!$U$66),2)</f>
        <v>174.1</v>
      </c>
      <c r="F30" s="52"/>
      <c r="G30" s="53">
        <f t="shared" si="0"/>
        <v>-177.02</v>
      </c>
      <c r="H30" s="42"/>
      <c r="I30" s="49">
        <f t="shared" si="1"/>
        <v>-0.50415812257917525</v>
      </c>
      <c r="J30" s="49"/>
      <c r="K30" s="49"/>
      <c r="L30" s="49"/>
      <c r="M30" s="49"/>
      <c r="N30" s="38"/>
      <c r="O30" s="38">
        <v>2</v>
      </c>
      <c r="P30" s="38">
        <f t="shared" si="2"/>
        <v>28</v>
      </c>
      <c r="Q30" s="38"/>
      <c r="R30" s="38"/>
      <c r="S30" s="38"/>
      <c r="T30" s="38"/>
      <c r="U30" s="38"/>
      <c r="V30" s="38"/>
      <c r="W30" s="38"/>
      <c r="X30" s="38"/>
    </row>
    <row r="31" spans="1:24" x14ac:dyDescent="0.3">
      <c r="A31" s="51">
        <v>35</v>
      </c>
      <c r="B31" s="38"/>
      <c r="C31" s="52">
        <f>ROUND($C$16+(O31*'Sch M'!$P$66)+(P31*'Sch M'!$P$67),2)</f>
        <v>408.77</v>
      </c>
      <c r="D31" s="52"/>
      <c r="E31" s="52">
        <f>ROUND($E$16+(A30*'Sch M'!$U$66),2)</f>
        <v>205.92</v>
      </c>
      <c r="F31" s="52"/>
      <c r="G31" s="53">
        <f t="shared" si="0"/>
        <v>-202.85</v>
      </c>
      <c r="H31" s="42"/>
      <c r="I31" s="49">
        <f t="shared" si="1"/>
        <v>-0.49624483205714703</v>
      </c>
      <c r="J31" s="49"/>
      <c r="K31" s="49"/>
      <c r="L31" s="49"/>
      <c r="M31" s="49"/>
      <c r="N31" s="38"/>
      <c r="O31" s="38">
        <v>2</v>
      </c>
      <c r="P31" s="38">
        <f t="shared" si="2"/>
        <v>33</v>
      </c>
      <c r="Q31" s="38"/>
      <c r="R31" s="38"/>
      <c r="S31" s="38"/>
      <c r="T31" s="38"/>
      <c r="U31" s="38"/>
      <c r="V31" s="38"/>
      <c r="W31" s="38"/>
      <c r="X31" s="38"/>
    </row>
    <row r="32" spans="1:24" x14ac:dyDescent="0.3">
      <c r="A32" s="51">
        <v>40</v>
      </c>
      <c r="B32" s="38"/>
      <c r="C32" s="52">
        <f>ROUND($C$16+(O32*'Sch M'!$P$66)+(P32*'Sch M'!$P$67),2)</f>
        <v>466.42</v>
      </c>
      <c r="D32" s="52"/>
      <c r="E32" s="52">
        <f>ROUND($E$16+(A31*'Sch M'!$U$66),2)</f>
        <v>237.74</v>
      </c>
      <c r="F32" s="52"/>
      <c r="G32" s="53">
        <f t="shared" si="0"/>
        <v>-228.68</v>
      </c>
      <c r="H32" s="42"/>
      <c r="I32" s="49">
        <f t="shared" si="1"/>
        <v>-0.49028772351099864</v>
      </c>
      <c r="J32" s="49"/>
      <c r="K32" s="49"/>
      <c r="L32" s="49"/>
      <c r="M32" s="49"/>
      <c r="N32" s="38"/>
      <c r="O32" s="38">
        <v>2</v>
      </c>
      <c r="P32" s="38">
        <f t="shared" si="2"/>
        <v>38</v>
      </c>
      <c r="Q32" s="38"/>
      <c r="R32" s="38"/>
      <c r="S32" s="38"/>
      <c r="T32" s="38"/>
      <c r="U32" s="38"/>
      <c r="V32" s="38"/>
      <c r="W32" s="38"/>
      <c r="X32" s="38"/>
    </row>
    <row r="33" spans="1:24" x14ac:dyDescent="0.3">
      <c r="A33" s="51">
        <v>45</v>
      </c>
      <c r="B33" s="38"/>
      <c r="C33" s="52">
        <f>ROUND($C$16+(O33*'Sch M'!$P$66)+(P33*'Sch M'!$P$67),2)</f>
        <v>524.07000000000005</v>
      </c>
      <c r="D33" s="52"/>
      <c r="E33" s="52">
        <f>ROUND($E$16+(A32*'Sch M'!$U$66),2)</f>
        <v>269.56</v>
      </c>
      <c r="F33" s="52"/>
      <c r="G33" s="53">
        <f t="shared" si="0"/>
        <v>-254.51000000000005</v>
      </c>
      <c r="H33" s="42"/>
      <c r="I33" s="49">
        <f t="shared" si="1"/>
        <v>-0.48564123113324559</v>
      </c>
      <c r="J33" s="49"/>
      <c r="K33" s="49"/>
      <c r="L33" s="49"/>
      <c r="M33" s="49"/>
      <c r="N33" s="38"/>
      <c r="O33" s="38">
        <v>2</v>
      </c>
      <c r="P33" s="38">
        <f t="shared" si="2"/>
        <v>43</v>
      </c>
      <c r="Q33" s="38"/>
      <c r="R33" s="38"/>
      <c r="S33" s="38"/>
      <c r="T33" s="38"/>
      <c r="U33" s="38"/>
      <c r="V33" s="38"/>
      <c r="W33" s="38"/>
      <c r="X33" s="38"/>
    </row>
    <row r="34" spans="1:24" x14ac:dyDescent="0.3">
      <c r="A34" s="51">
        <v>50</v>
      </c>
      <c r="B34" s="38"/>
      <c r="C34" s="52">
        <f>ROUND($C$16+(O34*'Sch M'!$P$66)+(P34*'Sch M'!$P$67),2)</f>
        <v>581.72</v>
      </c>
      <c r="D34" s="52"/>
      <c r="E34" s="52">
        <f>ROUND($E$16+(A33*'Sch M'!$U$66),2)</f>
        <v>301.38</v>
      </c>
      <c r="F34" s="52"/>
      <c r="G34" s="53">
        <f t="shared" si="0"/>
        <v>-280.34000000000003</v>
      </c>
      <c r="H34" s="42"/>
      <c r="I34" s="49">
        <f t="shared" si="1"/>
        <v>-0.48191569827408376</v>
      </c>
      <c r="J34" s="49"/>
      <c r="K34" s="49"/>
      <c r="L34" s="49"/>
      <c r="M34" s="49"/>
      <c r="N34" s="38"/>
      <c r="O34" s="38">
        <v>2</v>
      </c>
      <c r="P34" s="38">
        <f t="shared" si="2"/>
        <v>48</v>
      </c>
      <c r="Q34" s="38"/>
      <c r="R34" s="38"/>
      <c r="S34" s="38"/>
      <c r="T34" s="38"/>
      <c r="U34" s="38"/>
      <c r="V34" s="38"/>
      <c r="W34" s="38"/>
      <c r="X34" s="38"/>
    </row>
    <row r="35" spans="1:24" x14ac:dyDescent="0.3">
      <c r="A35" s="51">
        <v>75</v>
      </c>
      <c r="B35" s="38"/>
      <c r="C35" s="52">
        <f>ROUND($C$16+(O35*'Sch M'!$P$66)+(P35*'Sch M'!$P$67),2)</f>
        <v>869.97</v>
      </c>
      <c r="D35" s="52"/>
      <c r="E35" s="52">
        <f>ROUND($E$16+(A34*'Sch M'!$U$66),2)</f>
        <v>333.2</v>
      </c>
      <c r="F35" s="52"/>
      <c r="G35" s="53">
        <f t="shared" si="0"/>
        <v>-536.77</v>
      </c>
      <c r="H35" s="42"/>
      <c r="I35" s="49">
        <f t="shared" si="1"/>
        <v>-0.61699828729726314</v>
      </c>
      <c r="J35" s="49"/>
      <c r="K35" s="49"/>
      <c r="L35" s="49"/>
      <c r="M35" s="49"/>
      <c r="N35" s="38"/>
      <c r="O35" s="38">
        <v>2</v>
      </c>
      <c r="P35" s="38">
        <f t="shared" si="2"/>
        <v>73</v>
      </c>
      <c r="Q35" s="38"/>
      <c r="R35" s="38"/>
      <c r="S35" s="38"/>
      <c r="T35" s="38"/>
      <c r="U35" s="38"/>
      <c r="V35" s="38"/>
      <c r="W35" s="38"/>
      <c r="X35" s="38"/>
    </row>
    <row r="36" spans="1:24" x14ac:dyDescent="0.3">
      <c r="A36" s="51">
        <v>100</v>
      </c>
      <c r="B36" s="38"/>
      <c r="C36" s="52">
        <f>ROUND($C$16+(O36*'Sch M'!$P$66)+(P36*'Sch M'!$P$67),2)</f>
        <v>1158.22</v>
      </c>
      <c r="D36" s="52"/>
      <c r="E36" s="52">
        <f>ROUND($E$16+(A35*'Sch M'!$U$66),2)</f>
        <v>492.3</v>
      </c>
      <c r="F36" s="52"/>
      <c r="G36" s="53">
        <f t="shared" si="0"/>
        <v>-665.92000000000007</v>
      </c>
      <c r="H36" s="42"/>
      <c r="I36" s="49">
        <f t="shared" si="1"/>
        <v>-0.574951218248692</v>
      </c>
      <c r="J36" s="49"/>
      <c r="K36" s="49"/>
      <c r="L36" s="49"/>
      <c r="M36" s="49"/>
      <c r="N36" s="38"/>
      <c r="O36" s="38">
        <v>2</v>
      </c>
      <c r="P36" s="38">
        <f t="shared" si="2"/>
        <v>98</v>
      </c>
      <c r="Q36" s="38"/>
      <c r="R36" s="38"/>
      <c r="S36" s="38"/>
      <c r="T36" s="38"/>
      <c r="U36" s="38"/>
      <c r="V36" s="38"/>
      <c r="W36" s="38"/>
      <c r="X36" s="38"/>
    </row>
    <row r="37" spans="1:24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x14ac:dyDescent="0.3">
      <c r="A38" s="38" t="s">
        <v>127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hidden="1" x14ac:dyDescent="0.3">
      <c r="A39" s="308">
        <v>2</v>
      </c>
      <c r="B39" s="38"/>
      <c r="C39" s="52">
        <f>ROUND($C$16+(A39*'Sch M'!$F$66),2)</f>
        <v>28.28</v>
      </c>
      <c r="E39" s="52">
        <f>ROUND($E$16+(A39*'Sch M'!$U$66),2)</f>
        <v>27.73</v>
      </c>
      <c r="G39" s="53">
        <f t="shared" ref="G39:G40" si="3">+E39-C39</f>
        <v>-0.55000000000000071</v>
      </c>
      <c r="H39" s="42"/>
      <c r="I39" s="49">
        <f t="shared" ref="I39:I40" si="4">+G39/C39</f>
        <v>-1.9448373408769471E-2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hidden="1" x14ac:dyDescent="0.3">
      <c r="A40" s="308">
        <f>+A41-A39</f>
        <v>0.65420335253283968</v>
      </c>
      <c r="C40" s="52">
        <f>ROUND((A40*'Sch M'!$F$67),2)</f>
        <v>7.54</v>
      </c>
      <c r="E40" s="52">
        <f>ROUND((A40*'Sch M'!$U$66),2)</f>
        <v>4.16</v>
      </c>
      <c r="G40" s="53">
        <f t="shared" si="3"/>
        <v>-3.38</v>
      </c>
      <c r="H40" s="42"/>
      <c r="I40" s="49">
        <f t="shared" si="4"/>
        <v>-0.44827586206896552</v>
      </c>
    </row>
    <row r="41" spans="1:24" x14ac:dyDescent="0.3">
      <c r="A41" s="308">
        <f>+'Link in'!M29/'Link in'!M21</f>
        <v>2.6542033525328397</v>
      </c>
      <c r="C41" s="55">
        <f>+C39+C40</f>
        <v>35.82</v>
      </c>
      <c r="D41" s="56"/>
      <c r="E41" s="55">
        <f>+E39+E40</f>
        <v>31.89</v>
      </c>
      <c r="F41" s="56"/>
      <c r="G41" s="53">
        <f>+E41-C41</f>
        <v>-3.9299999999999997</v>
      </c>
      <c r="H41" s="42"/>
      <c r="I41" s="49">
        <f>+G41/C41</f>
        <v>-0.10971524288107201</v>
      </c>
      <c r="J41" s="72"/>
    </row>
    <row r="42" spans="1:24" x14ac:dyDescent="0.3">
      <c r="G42" s="72"/>
      <c r="H42" s="72"/>
      <c r="I42" s="73"/>
      <c r="J42" s="72"/>
    </row>
    <row r="43" spans="1:24" x14ac:dyDescent="0.3">
      <c r="A43" s="74"/>
      <c r="G43" s="72"/>
      <c r="H43" s="72"/>
      <c r="J43" s="72"/>
    </row>
    <row r="44" spans="1:24" x14ac:dyDescent="0.3">
      <c r="A44" s="74"/>
      <c r="G44" s="72"/>
      <c r="H44" s="72"/>
      <c r="J44" s="72"/>
    </row>
    <row r="45" spans="1:24" x14ac:dyDescent="0.3">
      <c r="G45" s="72"/>
      <c r="H45" s="72"/>
      <c r="I45" s="72"/>
      <c r="J45" s="72"/>
    </row>
    <row r="46" spans="1:24" x14ac:dyDescent="0.3">
      <c r="A46" s="326" t="str">
        <f>A5</f>
        <v>Kentucky American Water Company</v>
      </c>
      <c r="B46" s="326"/>
      <c r="C46" s="326"/>
      <c r="D46" s="326"/>
      <c r="E46" s="326"/>
      <c r="F46" s="326"/>
      <c r="G46" s="326"/>
      <c r="H46" s="326"/>
      <c r="I46" s="326"/>
    </row>
    <row r="47" spans="1:24" x14ac:dyDescent="0.3">
      <c r="A47" s="326" t="str">
        <f>A6</f>
        <v>Case No. 2018-00358</v>
      </c>
      <c r="B47" s="326"/>
      <c r="C47" s="326"/>
      <c r="D47" s="326"/>
      <c r="E47" s="326"/>
      <c r="F47" s="326"/>
      <c r="G47" s="326"/>
      <c r="H47" s="326"/>
      <c r="I47" s="326"/>
    </row>
    <row r="48" spans="1:24" x14ac:dyDescent="0.3">
      <c r="A48" s="326" t="str">
        <f>A7</f>
        <v>Forecast Year for the 12 Months Ended June 30, 2020</v>
      </c>
      <c r="B48" s="326"/>
      <c r="C48" s="326"/>
      <c r="D48" s="326"/>
      <c r="E48" s="326"/>
      <c r="F48" s="326"/>
      <c r="G48" s="326"/>
      <c r="H48" s="326"/>
      <c r="I48" s="326"/>
    </row>
    <row r="49" spans="1:16" ht="28.5" customHeight="1" x14ac:dyDescent="0.3">
      <c r="A49" s="327" t="s">
        <v>206</v>
      </c>
      <c r="B49" s="326"/>
      <c r="C49" s="326"/>
      <c r="D49" s="326"/>
      <c r="E49" s="326"/>
      <c r="F49" s="326"/>
      <c r="G49" s="326"/>
      <c r="H49" s="326"/>
      <c r="I49" s="326"/>
    </row>
    <row r="50" spans="1:16" x14ac:dyDescent="0.3">
      <c r="A50" s="326" t="s">
        <v>129</v>
      </c>
      <c r="B50" s="326"/>
      <c r="C50" s="326"/>
      <c r="D50" s="326"/>
      <c r="E50" s="326"/>
      <c r="F50" s="326"/>
      <c r="G50" s="326"/>
      <c r="H50" s="326"/>
      <c r="I50" s="326"/>
    </row>
    <row r="52" spans="1:16" x14ac:dyDescent="0.3">
      <c r="A52" s="76" t="str">
        <f>A11</f>
        <v>Witness Responsible:   Melissa Schwarzell</v>
      </c>
      <c r="B52" s="76"/>
      <c r="C52" s="76"/>
      <c r="D52" s="76"/>
      <c r="E52" s="76"/>
      <c r="F52" s="76"/>
      <c r="G52" s="76"/>
      <c r="H52" s="76"/>
      <c r="I52" s="75" t="s">
        <v>182</v>
      </c>
    </row>
    <row r="53" spans="1:16" x14ac:dyDescent="0.3">
      <c r="A53" s="76" t="str">
        <f>'Link in'!$A$95</f>
        <v/>
      </c>
      <c r="B53" s="42"/>
      <c r="C53" s="42"/>
      <c r="D53" s="42"/>
      <c r="E53" s="42"/>
      <c r="F53" s="42"/>
      <c r="G53" s="42"/>
      <c r="H53" s="42"/>
      <c r="I53" s="79" t="str">
        <f ca="1">RIGHT(CELL("filename",$A$1),LEN(CELL("filename",$A$1))-SEARCH("\Revenues",CELL("filename",$A$1),1))</f>
        <v>Revenues\[KAWC 2018 Rate Case - Revenue - E. Rockcastle.xlsx]Sch N</v>
      </c>
    </row>
    <row r="54" spans="1:16" x14ac:dyDescent="0.3">
      <c r="A54" s="38"/>
      <c r="B54" s="38"/>
      <c r="C54" s="38"/>
      <c r="D54" s="38"/>
      <c r="E54" s="38"/>
      <c r="F54" s="38"/>
      <c r="G54" s="38"/>
      <c r="H54" s="38"/>
      <c r="I54" s="38"/>
    </row>
    <row r="55" spans="1:16" x14ac:dyDescent="0.3">
      <c r="A55" s="43" t="s">
        <v>18</v>
      </c>
      <c r="B55" s="42"/>
      <c r="C55" s="44" t="s">
        <v>79</v>
      </c>
      <c r="D55" s="44"/>
      <c r="E55" s="44" t="s">
        <v>73</v>
      </c>
      <c r="F55" s="44"/>
      <c r="G55" s="44"/>
      <c r="H55" s="44"/>
      <c r="I55" s="44" t="s">
        <v>53</v>
      </c>
    </row>
    <row r="56" spans="1:16" x14ac:dyDescent="0.3">
      <c r="A56" s="45" t="s">
        <v>128</v>
      </c>
      <c r="B56" s="42"/>
      <c r="C56" s="45" t="s">
        <v>46</v>
      </c>
      <c r="D56" s="44"/>
      <c r="E56" s="45" t="s">
        <v>46</v>
      </c>
      <c r="F56" s="44"/>
      <c r="G56" s="45" t="s">
        <v>126</v>
      </c>
      <c r="H56" s="44"/>
      <c r="I56" s="45" t="s">
        <v>126</v>
      </c>
      <c r="O56" s="311" t="s">
        <v>195</v>
      </c>
      <c r="P56" s="311" t="s">
        <v>196</v>
      </c>
    </row>
    <row r="57" spans="1:16" x14ac:dyDescent="0.3">
      <c r="A57" s="47">
        <v>0</v>
      </c>
      <c r="B57" s="42"/>
      <c r="C57" s="60">
        <f>'Sch M'!P91</f>
        <v>28.28</v>
      </c>
      <c r="D57" s="48"/>
      <c r="E57" s="60">
        <f>'Sch M'!U91</f>
        <v>15</v>
      </c>
      <c r="F57" s="48"/>
      <c r="G57" s="60">
        <f>+E57-C57</f>
        <v>-13.280000000000001</v>
      </c>
      <c r="H57" s="42"/>
      <c r="I57" s="49">
        <f>+G57/C57</f>
        <v>-0.46958981612446959</v>
      </c>
      <c r="O57" s="38">
        <v>0</v>
      </c>
      <c r="P57" s="50"/>
    </row>
    <row r="58" spans="1:16" x14ac:dyDescent="0.3">
      <c r="A58" s="51">
        <v>1</v>
      </c>
      <c r="B58" s="38"/>
      <c r="C58" s="52">
        <f>ROUND($C$57+(O58*'Sch M'!$P$105)+(P58*'Sch M'!$P$106),2)</f>
        <v>28.28</v>
      </c>
      <c r="D58" s="52"/>
      <c r="E58" s="52">
        <f>ROUND($E$57+(A58*'Sch M'!$U$105),2)</f>
        <v>20.71</v>
      </c>
      <c r="F58" s="52"/>
      <c r="G58" s="53">
        <f t="shared" ref="G58:G78" si="5">+E58-C58</f>
        <v>-7.57</v>
      </c>
      <c r="H58" s="42"/>
      <c r="I58" s="49">
        <f t="shared" ref="I58:I78" si="6">+G58/C58</f>
        <v>-0.26768033946251768</v>
      </c>
      <c r="O58" s="38">
        <v>1</v>
      </c>
      <c r="P58" s="38">
        <f>+A58-O58</f>
        <v>0</v>
      </c>
    </row>
    <row r="59" spans="1:16" x14ac:dyDescent="0.3">
      <c r="A59" s="51">
        <v>2</v>
      </c>
      <c r="B59" s="38"/>
      <c r="C59" s="52">
        <f>ROUND($C$57+(O59*'Sch M'!$P$105)+(P59*'Sch M'!$P$106),2)</f>
        <v>28.28</v>
      </c>
      <c r="D59" s="52"/>
      <c r="E59" s="52">
        <f>ROUND($E$57+(A59*'Sch M'!$U$105),2)</f>
        <v>26.42</v>
      </c>
      <c r="F59" s="52"/>
      <c r="G59" s="53">
        <f t="shared" si="5"/>
        <v>-1.8599999999999994</v>
      </c>
      <c r="H59" s="42"/>
      <c r="I59" s="49">
        <f t="shared" si="6"/>
        <v>-6.5770862800565752E-2</v>
      </c>
      <c r="O59" s="38">
        <v>2</v>
      </c>
      <c r="P59" s="38">
        <f t="shared" ref="P59:P77" si="7">+A59-O59</f>
        <v>0</v>
      </c>
    </row>
    <row r="60" spans="1:16" x14ac:dyDescent="0.3">
      <c r="A60" s="51">
        <v>3</v>
      </c>
      <c r="B60" s="38"/>
      <c r="C60" s="52">
        <f>ROUND($C$57+(O60*'Sch M'!$P$105)+(P60*'Sch M'!$P$106),2)</f>
        <v>39.81</v>
      </c>
      <c r="D60" s="52"/>
      <c r="E60" s="52">
        <f>ROUND($E$57+(A60*'Sch M'!$U$105),2)</f>
        <v>32.14</v>
      </c>
      <c r="F60" s="52"/>
      <c r="G60" s="53">
        <f t="shared" si="5"/>
        <v>-7.6700000000000017</v>
      </c>
      <c r="H60" s="42"/>
      <c r="I60" s="49">
        <f t="shared" si="6"/>
        <v>-0.19266515950766142</v>
      </c>
      <c r="O60" s="38">
        <v>2</v>
      </c>
      <c r="P60" s="38">
        <f t="shared" si="7"/>
        <v>1</v>
      </c>
    </row>
    <row r="61" spans="1:16" x14ac:dyDescent="0.3">
      <c r="A61" s="47">
        <v>4</v>
      </c>
      <c r="B61" s="54"/>
      <c r="C61" s="52">
        <f>ROUND($C$57+(O61*'Sch M'!$P$105)+(P61*'Sch M'!$P$106),2)</f>
        <v>51.34</v>
      </c>
      <c r="D61" s="55"/>
      <c r="E61" s="52">
        <f>ROUND($E$57+(A61*'Sch M'!$U$105),2)</f>
        <v>37.85</v>
      </c>
      <c r="F61" s="55"/>
      <c r="G61" s="53">
        <f t="shared" si="5"/>
        <v>-13.490000000000002</v>
      </c>
      <c r="H61" s="46"/>
      <c r="I61" s="49">
        <f t="shared" si="6"/>
        <v>-0.26275808336579665</v>
      </c>
      <c r="O61" s="38">
        <v>2</v>
      </c>
      <c r="P61" s="38">
        <f t="shared" si="7"/>
        <v>2</v>
      </c>
    </row>
    <row r="62" spans="1:16" x14ac:dyDescent="0.3">
      <c r="A62" s="47">
        <v>4.5</v>
      </c>
      <c r="B62" s="54"/>
      <c r="C62" s="52">
        <f>ROUND($C$57+(O62*'Sch M'!$P$105)+(P62*'Sch M'!$P$106),2)</f>
        <v>57.11</v>
      </c>
      <c r="D62" s="55"/>
      <c r="E62" s="52">
        <f>ROUND($E$57+(A62*'Sch M'!$U$105),2)</f>
        <v>40.700000000000003</v>
      </c>
      <c r="F62" s="55"/>
      <c r="G62" s="53">
        <f t="shared" si="5"/>
        <v>-16.409999999999997</v>
      </c>
      <c r="H62" s="46"/>
      <c r="I62" s="49">
        <f t="shared" si="6"/>
        <v>-0.28734022062686038</v>
      </c>
      <c r="O62" s="38">
        <v>2</v>
      </c>
      <c r="P62" s="38">
        <f t="shared" si="7"/>
        <v>2.5</v>
      </c>
    </row>
    <row r="63" spans="1:16" x14ac:dyDescent="0.3">
      <c r="A63" s="47">
        <v>5</v>
      </c>
      <c r="B63" s="54"/>
      <c r="C63" s="52">
        <f>ROUND($C$57+(O63*'Sch M'!$P$105)+(P63*'Sch M'!$P$106),2)</f>
        <v>62.87</v>
      </c>
      <c r="D63" s="55"/>
      <c r="E63" s="52">
        <f>ROUND($E$57+(A63*'Sch M'!$U$105),2)</f>
        <v>43.56</v>
      </c>
      <c r="F63" s="55"/>
      <c r="G63" s="53">
        <f t="shared" si="5"/>
        <v>-19.309999999999995</v>
      </c>
      <c r="H63" s="46"/>
      <c r="I63" s="49">
        <f t="shared" si="6"/>
        <v>-0.30714172101161119</v>
      </c>
      <c r="O63" s="38">
        <v>2</v>
      </c>
      <c r="P63" s="38">
        <f t="shared" si="7"/>
        <v>3</v>
      </c>
    </row>
    <row r="64" spans="1:16" x14ac:dyDescent="0.3">
      <c r="A64" s="47">
        <v>6</v>
      </c>
      <c r="B64" s="54"/>
      <c r="C64" s="52">
        <f>ROUND($C$57+(O64*'Sch M'!$P$105)+(P64*'Sch M'!$P$106),2)</f>
        <v>74.400000000000006</v>
      </c>
      <c r="D64" s="55"/>
      <c r="E64" s="52">
        <f>ROUND($E$57+(A64*'Sch M'!$U$105),2)</f>
        <v>49.27</v>
      </c>
      <c r="F64" s="55"/>
      <c r="G64" s="53">
        <f t="shared" si="5"/>
        <v>-25.130000000000003</v>
      </c>
      <c r="H64" s="46"/>
      <c r="I64" s="49">
        <f t="shared" si="6"/>
        <v>-0.33776881720430108</v>
      </c>
      <c r="O64" s="38">
        <v>2</v>
      </c>
      <c r="P64" s="38">
        <f t="shared" si="7"/>
        <v>4</v>
      </c>
    </row>
    <row r="65" spans="1:16" x14ac:dyDescent="0.3">
      <c r="A65" s="47">
        <v>7</v>
      </c>
      <c r="B65" s="54"/>
      <c r="C65" s="52">
        <f>ROUND($C$57+(O65*'Sch M'!$P$105)+(P65*'Sch M'!$P$106),2)</f>
        <v>85.93</v>
      </c>
      <c r="D65" s="55"/>
      <c r="E65" s="52">
        <f>ROUND($E$57+(A65*'Sch M'!$U$105),2)</f>
        <v>54.98</v>
      </c>
      <c r="F65" s="55"/>
      <c r="G65" s="53">
        <f t="shared" si="5"/>
        <v>-30.95000000000001</v>
      </c>
      <c r="H65" s="46"/>
      <c r="I65" s="49">
        <f t="shared" si="6"/>
        <v>-0.36017688816478538</v>
      </c>
      <c r="O65" s="38">
        <v>2</v>
      </c>
      <c r="P65" s="38">
        <f t="shared" si="7"/>
        <v>5</v>
      </c>
    </row>
    <row r="66" spans="1:16" x14ac:dyDescent="0.3">
      <c r="A66" s="47">
        <v>8</v>
      </c>
      <c r="B66" s="54"/>
      <c r="C66" s="52">
        <f>ROUND($C$57+(O66*'Sch M'!$P$105)+(P66*'Sch M'!$P$106),2)</f>
        <v>97.46</v>
      </c>
      <c r="D66" s="55"/>
      <c r="E66" s="52">
        <f>ROUND($E$57+(A66*'Sch M'!$U$105),2)</f>
        <v>60.7</v>
      </c>
      <c r="F66" s="55"/>
      <c r="G66" s="53">
        <f t="shared" si="5"/>
        <v>-36.759999999999991</v>
      </c>
      <c r="H66" s="46"/>
      <c r="I66" s="49">
        <f t="shared" si="6"/>
        <v>-0.3771803816950543</v>
      </c>
      <c r="O66" s="38">
        <v>2</v>
      </c>
      <c r="P66" s="38">
        <f t="shared" si="7"/>
        <v>6</v>
      </c>
    </row>
    <row r="67" spans="1:16" x14ac:dyDescent="0.3">
      <c r="A67" s="47">
        <v>9</v>
      </c>
      <c r="B67" s="54"/>
      <c r="C67" s="52">
        <f>ROUND($C$57+(O67*'Sch M'!$P$105)+(P67*'Sch M'!$P$106),2)</f>
        <v>108.99</v>
      </c>
      <c r="D67" s="55"/>
      <c r="E67" s="52">
        <f>ROUND($E$57+(A67*'Sch M'!$U$105),2)</f>
        <v>66.41</v>
      </c>
      <c r="F67" s="55"/>
      <c r="G67" s="53">
        <f t="shared" si="5"/>
        <v>-42.58</v>
      </c>
      <c r="H67" s="46"/>
      <c r="I67" s="49">
        <f t="shared" si="6"/>
        <v>-0.39067804385723459</v>
      </c>
      <c r="O67" s="38">
        <v>2</v>
      </c>
      <c r="P67" s="38">
        <f t="shared" si="7"/>
        <v>7</v>
      </c>
    </row>
    <row r="68" spans="1:16" x14ac:dyDescent="0.3">
      <c r="A68" s="51">
        <v>10</v>
      </c>
      <c r="B68" s="38"/>
      <c r="C68" s="52">
        <f>ROUND($C$57+(O68*'Sch M'!$P$105)+(P68*'Sch M'!$P$106),2)</f>
        <v>120.52</v>
      </c>
      <c r="D68" s="52"/>
      <c r="E68" s="52">
        <f>ROUND($E$57+(A68*'Sch M'!$U$105),2)</f>
        <v>72.12</v>
      </c>
      <c r="F68" s="52"/>
      <c r="G68" s="53">
        <f t="shared" si="5"/>
        <v>-48.399999999999991</v>
      </c>
      <c r="H68" s="42"/>
      <c r="I68" s="49">
        <f t="shared" si="6"/>
        <v>-0.40159309658148018</v>
      </c>
      <c r="O68" s="38">
        <v>2</v>
      </c>
      <c r="P68" s="38">
        <f t="shared" si="7"/>
        <v>8</v>
      </c>
    </row>
    <row r="69" spans="1:16" x14ac:dyDescent="0.3">
      <c r="A69" s="51">
        <v>15</v>
      </c>
      <c r="B69" s="38"/>
      <c r="C69" s="52">
        <f>ROUND($C$57+(O69*'Sch M'!$P$105)+(P69*'Sch M'!$P$106),2)</f>
        <v>178.17</v>
      </c>
      <c r="D69" s="52"/>
      <c r="E69" s="52">
        <f>ROUND($E$57+(A69*'Sch M'!$U$105),2)</f>
        <v>100.68</v>
      </c>
      <c r="F69" s="52"/>
      <c r="G69" s="53">
        <f t="shared" si="5"/>
        <v>-77.489999999999981</v>
      </c>
      <c r="H69" s="42"/>
      <c r="I69" s="49">
        <f t="shared" si="6"/>
        <v>-0.43492170399057073</v>
      </c>
      <c r="O69" s="38">
        <v>2</v>
      </c>
      <c r="P69" s="38">
        <f t="shared" si="7"/>
        <v>13</v>
      </c>
    </row>
    <row r="70" spans="1:16" x14ac:dyDescent="0.3">
      <c r="A70" s="51">
        <v>20</v>
      </c>
      <c r="B70" s="38"/>
      <c r="C70" s="52">
        <f>ROUND($C$57+(O70*'Sch M'!$P$105)+(P70*'Sch M'!$P$106),2)</f>
        <v>235.82</v>
      </c>
      <c r="D70" s="52"/>
      <c r="E70" s="52">
        <f>ROUND($E$57+(A70*'Sch M'!$U$105),2)</f>
        <v>129.24</v>
      </c>
      <c r="F70" s="52"/>
      <c r="G70" s="53">
        <f t="shared" si="5"/>
        <v>-106.57999999999998</v>
      </c>
      <c r="H70" s="42"/>
      <c r="I70" s="49">
        <f t="shared" si="6"/>
        <v>-0.45195488084131957</v>
      </c>
      <c r="O70" s="38">
        <v>2</v>
      </c>
      <c r="P70" s="38">
        <f t="shared" si="7"/>
        <v>18</v>
      </c>
    </row>
    <row r="71" spans="1:16" x14ac:dyDescent="0.3">
      <c r="A71" s="51">
        <v>25</v>
      </c>
      <c r="B71" s="38"/>
      <c r="C71" s="52">
        <f>ROUND($C$57+(O71*'Sch M'!$P$105)+(P71*'Sch M'!$P$106),2)</f>
        <v>293.47000000000003</v>
      </c>
      <c r="D71" s="52"/>
      <c r="E71" s="52">
        <f>ROUND($E$57+(A71*'Sch M'!$U$105),2)</f>
        <v>157.80000000000001</v>
      </c>
      <c r="F71" s="52"/>
      <c r="G71" s="53">
        <f t="shared" si="5"/>
        <v>-135.67000000000002</v>
      </c>
      <c r="H71" s="42"/>
      <c r="I71" s="49">
        <f t="shared" si="6"/>
        <v>-0.46229597573857634</v>
      </c>
      <c r="O71" s="38">
        <v>2</v>
      </c>
      <c r="P71" s="38">
        <f t="shared" si="7"/>
        <v>23</v>
      </c>
    </row>
    <row r="72" spans="1:16" x14ac:dyDescent="0.3">
      <c r="A72" s="51">
        <v>32.200000000000003</v>
      </c>
      <c r="B72" s="38"/>
      <c r="C72" s="52">
        <f>ROUND($C$57+(O72*'Sch M'!$P$105)+(P72*'Sch M'!$P$106),2)</f>
        <v>376.49</v>
      </c>
      <c r="D72" s="52"/>
      <c r="E72" s="52">
        <f>ROUND($E$57+(A72*'Sch M'!$U$105),2)</f>
        <v>198.93</v>
      </c>
      <c r="F72" s="52"/>
      <c r="G72" s="53">
        <f t="shared" si="5"/>
        <v>-177.56</v>
      </c>
      <c r="H72" s="42"/>
      <c r="I72" s="49">
        <f t="shared" si="6"/>
        <v>-0.47161943212303115</v>
      </c>
      <c r="O72" s="38">
        <v>2</v>
      </c>
      <c r="P72" s="38">
        <f t="shared" si="7"/>
        <v>30.200000000000003</v>
      </c>
    </row>
    <row r="73" spans="1:16" x14ac:dyDescent="0.3">
      <c r="A73" s="51">
        <v>35</v>
      </c>
      <c r="B73" s="38"/>
      <c r="C73" s="52">
        <f>ROUND($C$57+(O73*'Sch M'!$P$105)+(P73*'Sch M'!$P$106),2)</f>
        <v>408.77</v>
      </c>
      <c r="D73" s="52"/>
      <c r="E73" s="52">
        <f>ROUND($E$57+(A73*'Sch M'!$U$105),2)</f>
        <v>214.92</v>
      </c>
      <c r="F73" s="52"/>
      <c r="G73" s="53">
        <f t="shared" si="5"/>
        <v>-193.85</v>
      </c>
      <c r="H73" s="42"/>
      <c r="I73" s="49">
        <f t="shared" si="6"/>
        <v>-0.47422756073097344</v>
      </c>
      <c r="O73" s="38">
        <v>2</v>
      </c>
      <c r="P73" s="38">
        <f t="shared" si="7"/>
        <v>33</v>
      </c>
    </row>
    <row r="74" spans="1:16" x14ac:dyDescent="0.3">
      <c r="A74" s="47">
        <v>36</v>
      </c>
      <c r="B74" s="54"/>
      <c r="C74" s="52">
        <f>ROUND($C$57+(O74*'Sch M'!$P$105)+(P74*'Sch M'!$P$106),2)</f>
        <v>420.3</v>
      </c>
      <c r="D74" s="55"/>
      <c r="E74" s="52">
        <f>ROUND($E$57+(A74*'Sch M'!$U$105),2)</f>
        <v>220.63</v>
      </c>
      <c r="F74" s="55"/>
      <c r="G74" s="53">
        <f t="shared" si="5"/>
        <v>-199.67000000000002</v>
      </c>
      <c r="H74" s="46"/>
      <c r="I74" s="49">
        <f t="shared" si="6"/>
        <v>-0.47506542945515112</v>
      </c>
      <c r="O74" s="38">
        <v>2</v>
      </c>
      <c r="P74" s="38">
        <f t="shared" si="7"/>
        <v>34</v>
      </c>
    </row>
    <row r="75" spans="1:16" x14ac:dyDescent="0.3">
      <c r="A75" s="51">
        <v>40</v>
      </c>
      <c r="B75" s="38"/>
      <c r="C75" s="52">
        <f>ROUND($C$57+(O75*'Sch M'!$P$105)+(P75*'Sch M'!$P$106),2)</f>
        <v>466.42</v>
      </c>
      <c r="D75" s="52"/>
      <c r="E75" s="52">
        <f>ROUND($E$57+(A75*'Sch M'!$U$105),2)</f>
        <v>243.48</v>
      </c>
      <c r="F75" s="52"/>
      <c r="G75" s="53">
        <f t="shared" si="5"/>
        <v>-222.94000000000003</v>
      </c>
      <c r="H75" s="42"/>
      <c r="I75" s="49">
        <f t="shared" si="6"/>
        <v>-0.4779812186441405</v>
      </c>
      <c r="O75" s="38">
        <v>2</v>
      </c>
      <c r="P75" s="38">
        <f t="shared" si="7"/>
        <v>38</v>
      </c>
    </row>
    <row r="76" spans="1:16" x14ac:dyDescent="0.3">
      <c r="A76" s="51">
        <v>50</v>
      </c>
      <c r="B76" s="38"/>
      <c r="C76" s="52">
        <f>ROUND($C$57+(O76*'Sch M'!$P$105)+(P76*'Sch M'!$P$106),2)</f>
        <v>581.72</v>
      </c>
      <c r="D76" s="52"/>
      <c r="E76" s="52">
        <f>ROUND($E$57+(A76*'Sch M'!$U$105),2)</f>
        <v>300.60000000000002</v>
      </c>
      <c r="F76" s="52"/>
      <c r="G76" s="53">
        <f t="shared" si="5"/>
        <v>-281.12</v>
      </c>
      <c r="H76" s="42"/>
      <c r="I76" s="49">
        <f t="shared" si="6"/>
        <v>-0.48325654954273534</v>
      </c>
      <c r="O76" s="38">
        <v>2</v>
      </c>
      <c r="P76" s="38">
        <f t="shared" si="7"/>
        <v>48</v>
      </c>
    </row>
    <row r="77" spans="1:16" x14ac:dyDescent="0.3">
      <c r="A77" s="51">
        <v>75</v>
      </c>
      <c r="B77" s="38"/>
      <c r="C77" s="52">
        <f>ROUND($C$57+(O77*'Sch M'!$P$105)+(P77*'Sch M'!$P$106),2)</f>
        <v>869.97</v>
      </c>
      <c r="D77" s="52"/>
      <c r="E77" s="52">
        <f>ROUND($E$57+(A77*'Sch M'!$U$105),2)</f>
        <v>443.4</v>
      </c>
      <c r="F77" s="52"/>
      <c r="G77" s="53">
        <f t="shared" si="5"/>
        <v>-426.57000000000005</v>
      </c>
      <c r="H77" s="42"/>
      <c r="I77" s="49">
        <f t="shared" si="6"/>
        <v>-0.49032725266388499</v>
      </c>
      <c r="O77" s="38">
        <v>2</v>
      </c>
      <c r="P77" s="38">
        <f t="shared" si="7"/>
        <v>73</v>
      </c>
    </row>
    <row r="78" spans="1:16" x14ac:dyDescent="0.3">
      <c r="A78" s="51">
        <v>100</v>
      </c>
      <c r="B78" s="38"/>
      <c r="C78" s="52">
        <f>ROUND($C$57+(O78*'Sch M'!$P$105)+(P78*'Sch M'!$P$106),2)</f>
        <v>1158.22</v>
      </c>
      <c r="D78" s="52"/>
      <c r="E78" s="52">
        <f>ROUND($E$57+(A78*'Sch M'!$U$105),2)</f>
        <v>586.20000000000005</v>
      </c>
      <c r="F78" s="52"/>
      <c r="G78" s="53">
        <f t="shared" si="5"/>
        <v>-572.02</v>
      </c>
      <c r="H78" s="42"/>
      <c r="I78" s="49">
        <f t="shared" si="6"/>
        <v>-0.4938785377562121</v>
      </c>
      <c r="O78" s="38">
        <v>2</v>
      </c>
      <c r="P78" s="38">
        <f t="shared" ref="P78" si="8">+A78-O78</f>
        <v>98</v>
      </c>
    </row>
    <row r="79" spans="1:16" x14ac:dyDescent="0.3">
      <c r="A79" s="38"/>
      <c r="B79" s="38"/>
      <c r="C79" s="38"/>
      <c r="D79" s="38"/>
      <c r="E79" s="38"/>
      <c r="F79" s="38"/>
      <c r="G79" s="38"/>
      <c r="H79" s="38"/>
      <c r="I79" s="38"/>
    </row>
    <row r="80" spans="1:16" x14ac:dyDescent="0.3">
      <c r="A80" s="38" t="s">
        <v>127</v>
      </c>
      <c r="B80" s="38"/>
      <c r="C80" s="38"/>
      <c r="D80" s="38"/>
      <c r="E80" s="38"/>
      <c r="F80" s="38"/>
      <c r="G80" s="38"/>
      <c r="H80" s="38"/>
      <c r="I80" s="38"/>
    </row>
    <row r="81" spans="1:9" hidden="1" x14ac:dyDescent="0.3">
      <c r="A81" s="308">
        <v>2</v>
      </c>
      <c r="C81" s="36">
        <f>ROUND($C$57+(A81*'Sch M'!$F$105),2)</f>
        <v>28.28</v>
      </c>
      <c r="E81" s="36">
        <f>ROUND($E$57+(A81*'Sch M'!$U$105),2)</f>
        <v>26.42</v>
      </c>
      <c r="G81" s="53">
        <f t="shared" ref="G81:G82" si="9">+E81-C81</f>
        <v>-1.8599999999999994</v>
      </c>
      <c r="H81" s="42"/>
      <c r="I81" s="49">
        <f t="shared" ref="I81:I82" si="10">+G81/C81</f>
        <v>-6.5770862800565752E-2</v>
      </c>
    </row>
    <row r="82" spans="1:9" hidden="1" x14ac:dyDescent="0.3">
      <c r="A82" s="308">
        <f>+A83-A81</f>
        <v>0.60752319377644692</v>
      </c>
      <c r="C82" s="36">
        <f>ROUND((A82*'Sch M'!$F$106),2)</f>
        <v>7</v>
      </c>
      <c r="E82" s="36">
        <f>ROUND((A82*'Sch M'!$U$105),2)</f>
        <v>3.47</v>
      </c>
      <c r="G82" s="53">
        <f t="shared" si="9"/>
        <v>-3.53</v>
      </c>
      <c r="H82" s="42"/>
      <c r="I82" s="49">
        <f t="shared" si="10"/>
        <v>-0.50428571428571423</v>
      </c>
    </row>
    <row r="83" spans="1:9" x14ac:dyDescent="0.3">
      <c r="A83" s="308">
        <f>+'Link in'!N29/'Link in'!N21</f>
        <v>2.6075231937764469</v>
      </c>
      <c r="B83" s="38"/>
      <c r="C83" s="36">
        <f>+SUM(C81:C82)</f>
        <v>35.28</v>
      </c>
      <c r="D83" s="56"/>
      <c r="E83" s="36">
        <f>+SUM(E81:E82)</f>
        <v>29.89</v>
      </c>
      <c r="F83" s="56"/>
      <c r="G83" s="53">
        <f t="shared" ref="G83" si="11">+E83-C83</f>
        <v>-5.3900000000000006</v>
      </c>
      <c r="H83" s="42"/>
      <c r="I83" s="49">
        <f t="shared" ref="I83" si="12">+G83/C83</f>
        <v>-0.15277777777777779</v>
      </c>
    </row>
    <row r="84" spans="1:9" x14ac:dyDescent="0.3">
      <c r="A84" s="68"/>
      <c r="B84" s="62"/>
      <c r="C84" s="65"/>
      <c r="D84" s="65"/>
      <c r="E84" s="65"/>
      <c r="F84" s="65"/>
      <c r="G84" s="66"/>
      <c r="H84" s="61"/>
      <c r="I84" s="64"/>
    </row>
    <row r="85" spans="1:9" x14ac:dyDescent="0.3">
      <c r="A85" s="68"/>
      <c r="B85" s="62"/>
      <c r="C85" s="65"/>
      <c r="D85" s="65"/>
      <c r="E85" s="65"/>
      <c r="F85" s="65"/>
      <c r="G85" s="66"/>
      <c r="H85" s="61"/>
      <c r="I85" s="64"/>
    </row>
    <row r="86" spans="1:9" x14ac:dyDescent="0.3">
      <c r="A86" s="62"/>
      <c r="B86" s="62"/>
      <c r="C86" s="62"/>
      <c r="D86" s="62"/>
      <c r="E86" s="62"/>
      <c r="F86" s="62"/>
      <c r="G86" s="62"/>
      <c r="H86" s="62"/>
      <c r="I86" s="62"/>
    </row>
    <row r="87" spans="1:9" x14ac:dyDescent="0.3">
      <c r="A87" s="62"/>
      <c r="B87" s="62"/>
      <c r="C87" s="62"/>
      <c r="D87" s="62"/>
      <c r="E87" s="62"/>
      <c r="F87" s="62"/>
      <c r="G87" s="62"/>
      <c r="H87" s="62"/>
      <c r="I87" s="62"/>
    </row>
    <row r="88" spans="1:9" x14ac:dyDescent="0.3">
      <c r="A88" s="62"/>
      <c r="B88" s="62"/>
      <c r="C88" s="69"/>
      <c r="D88" s="69"/>
      <c r="E88" s="69"/>
      <c r="F88" s="69"/>
      <c r="G88" s="63"/>
      <c r="H88" s="67"/>
      <c r="I88" s="64"/>
    </row>
  </sheetData>
  <mergeCells count="10">
    <mergeCell ref="A46:I46"/>
    <mergeCell ref="A47:I47"/>
    <mergeCell ref="A48:I48"/>
    <mergeCell ref="A49:I49"/>
    <mergeCell ref="A50:I50"/>
    <mergeCell ref="A9:I9"/>
    <mergeCell ref="A5:I5"/>
    <mergeCell ref="A6:I6"/>
    <mergeCell ref="A7:I7"/>
    <mergeCell ref="A8:I8"/>
  </mergeCells>
  <printOptions horizontalCentered="1"/>
  <pageMargins left="0.75" right="0.75" top="0.75" bottom="0.75" header="0.3" footer="0.3"/>
  <pageSetup scale="82" orientation="landscape" r:id="rId1"/>
  <rowBreaks count="1" manualBreakCount="1">
    <brk id="41" max="8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Link out</vt:lpstr>
      <vt:lpstr>Link in</vt:lpstr>
      <vt:lpstr>Sch M</vt:lpstr>
      <vt:lpstr>Sch N</vt:lpstr>
      <vt:lpstr>'Link in'!Print_Area</vt:lpstr>
      <vt:lpstr>'Link out'!Print_Area</vt:lpstr>
      <vt:lpstr>'Sch M'!Print_Area</vt:lpstr>
      <vt:lpstr>'Sch N'!Print_Area</vt:lpstr>
    </vt:vector>
  </TitlesOfParts>
  <Company>MAWC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Grubb</dc:creator>
  <cp:lastModifiedBy>Lori N O'Malley</cp:lastModifiedBy>
  <cp:lastPrinted>2018-11-22T17:07:37Z</cp:lastPrinted>
  <dcterms:created xsi:type="dcterms:W3CDTF">2000-12-08T14:45:46Z</dcterms:created>
  <dcterms:modified xsi:type="dcterms:W3CDTF">2019-01-22T14:11:54Z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