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omments1.xml" ContentType="application/vnd.openxmlformats-officedocument.spreadsheetml.comments+xml"/>
  <Override PartName="/xl/customProperty17.bin" ContentType="application/vnd.openxmlformats-officedocument.spreadsheetml.customProperty"/>
  <Override PartName="/xl/comments2.xml" ContentType="application/vnd.openxmlformats-officedocument.spreadsheetml.comments+xml"/>
  <Override PartName="/xl/customProperty18.bin" ContentType="application/vnd.openxmlformats-officedocument.spreadsheetml.customProperty"/>
  <Override PartName="/xl/comments3.xml" ContentType="application/vnd.openxmlformats-officedocument.spreadsheetml.comments+xml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drawings/drawing2.xml" ContentType="application/vnd.openxmlformats-officedocument.drawing+xml"/>
  <Override PartName="/xl/customProperty37.bin" ContentType="application/vnd.openxmlformats-officedocument.spreadsheetml.customProperty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2-3\Exhibits\O&amp;M\"/>
    </mc:Choice>
  </mc:AlternateContent>
  <bookViews>
    <workbookView xWindow="0" yWindow="0" windowWidth="23040" windowHeight="9192" tabRatio="904" activeTab="1"/>
  </bookViews>
  <sheets>
    <sheet name="Link In" sheetId="84" r:id="rId1"/>
    <sheet name="Link Out" sheetId="85" r:id="rId2"/>
    <sheet name="Summary" sheetId="77" r:id="rId3"/>
    <sheet name="Labor Exhibit" sheetId="88" r:id="rId4"/>
    <sheet name="Group Ins Exhibit" sheetId="83" r:id="rId5"/>
    <sheet name="Other Benefits Exhibit" sheetId="89" r:id="rId6"/>
    <sheet name="Pension Exhibit" sheetId="86" r:id="rId7"/>
    <sheet name="Payroll Tax Exhibit" sheetId="90" r:id="rId8"/>
    <sheet name="Pension WP" sheetId="79" r:id="rId9"/>
    <sheet name="OPEB WP" sheetId="78" r:id="rId10"/>
    <sheet name="OPEB Alloc" sheetId="81" r:id="rId11"/>
    <sheet name="Pension Alloc" sheetId="80" r:id="rId12"/>
    <sheet name="PBOP Update 9.2018" sheetId="100" r:id="rId13"/>
    <sheet name="Notes" sheetId="87" r:id="rId14"/>
    <sheet name="Acquisitions" sheetId="110" r:id="rId15"/>
    <sheet name="Union" sheetId="18" r:id="rId16"/>
    <sheet name="NU Hrly" sheetId="19" r:id="rId17"/>
    <sheet name="NU Slry" sheetId="31" r:id="rId18"/>
    <sheet name="Cap%" sheetId="109" r:id="rId19"/>
    <sheet name="Budget OT Hours" sheetId="75" r:id="rId20"/>
    <sheet name="OT Multiplier" sheetId="76" r:id="rId21"/>
    <sheet name="OT Hours" sheetId="111" r:id="rId22"/>
    <sheet name="Water %" sheetId="67" r:id="rId23"/>
    <sheet name="Shift Pay" sheetId="70" r:id="rId24"/>
    <sheet name="Union Rates" sheetId="69" r:id="rId25"/>
    <sheet name="NU Going Level" sheetId="66" r:id="rId26"/>
    <sheet name="Performance" sheetId="32" r:id="rId27"/>
    <sheet name="Payroll tax" sheetId="33" r:id="rId28"/>
    <sheet name="Emp Data" sheetId="92" r:id="rId29"/>
    <sheet name="401k" sheetId="9" r:id="rId30"/>
    <sheet name="DCP" sheetId="16" r:id="rId31"/>
    <sheet name="VEBA" sheetId="36" r:id="rId32"/>
    <sheet name="ESPP" sheetId="11" r:id="rId33"/>
    <sheet name="Med NU" sheetId="42" r:id="rId34"/>
    <sheet name="Med U" sheetId="40" r:id="rId35"/>
    <sheet name="MedMisc" sheetId="43" r:id="rId36"/>
    <sheet name="Exh 37 G" sheetId="93" r:id="rId37"/>
  </sheets>
  <externalReferences>
    <externalReference r:id="rId38"/>
    <externalReference r:id="rId39"/>
  </externalReferences>
  <definedNames>
    <definedName name="_xlnm._FilterDatabase" localSheetId="29" hidden="1">'401k'!$A$6:$H$129</definedName>
    <definedName name="_xlnm._FilterDatabase" localSheetId="14" hidden="1">Acquisitions!$A$5:$CV$7</definedName>
    <definedName name="_xlnm._FilterDatabase" localSheetId="19" hidden="1">'Budget OT Hours'!$A$3:$D$154</definedName>
    <definedName name="_xlnm._FilterDatabase" localSheetId="18" hidden="1">'Cap%'!$A$3:$L$88</definedName>
    <definedName name="_xlnm._FilterDatabase" localSheetId="30" hidden="1">DCP!$A$4:$E$91</definedName>
    <definedName name="_xlnm._FilterDatabase" localSheetId="28" hidden="1">'Emp Data'!$A$2:$AT$143</definedName>
    <definedName name="_xlnm._FilterDatabase" localSheetId="32" hidden="1">ESPP!$A$5:$O$55</definedName>
    <definedName name="_xlnm._FilterDatabase" localSheetId="33" hidden="1">'Med NU'!$A$10:$M$79</definedName>
    <definedName name="_xlnm._FilterDatabase" localSheetId="34" hidden="1">'Med U'!$A$10:$M$78</definedName>
    <definedName name="_xlnm._FilterDatabase" localSheetId="16" hidden="1">'NU Hrly'!$A$5:$CX$52</definedName>
    <definedName name="_xlnm._FilterDatabase" localSheetId="17" hidden="1">'NU Slry'!$A$5:$CV$33</definedName>
    <definedName name="_xlnm._FilterDatabase" localSheetId="15" hidden="1">Union!$A$5:$S$81</definedName>
    <definedName name="_xlnm._FilterDatabase" localSheetId="31" hidden="1">VEBA!$A$4:$J$34</definedName>
    <definedName name="_xlnm._FilterDatabase" localSheetId="22" hidden="1">'Water %'!$A$5:$R$101</definedName>
    <definedName name="MthTbl">[1]Assumptions!$N$1:$P$12</definedName>
    <definedName name="_xlnm.Print_Area" localSheetId="14">Acquisitions!$A$1:$CV$8</definedName>
    <definedName name="_xlnm.Print_Area" localSheetId="19">'Budget OT Hours'!$A$1:$C$155</definedName>
    <definedName name="_xlnm.Print_Area" localSheetId="18">'Cap%'!$A$1:$L$88</definedName>
    <definedName name="_xlnm.Print_Area" localSheetId="28">'Emp Data'!$A$2:$AQ$154</definedName>
    <definedName name="_xlnm.Print_Area" localSheetId="32">ESPP!$A$1:$O$55</definedName>
    <definedName name="_xlnm.Print_Area" localSheetId="36">'Exh 37 G'!$A$1:$Q$542</definedName>
    <definedName name="_xlnm.Print_Area" localSheetId="1">'Link Out'!$A$27:$O$69</definedName>
    <definedName name="_xlnm.Print_Area" localSheetId="35">MedMisc!$A$1:$G$18</definedName>
    <definedName name="_xlnm.Print_Area" localSheetId="25">'NU Going Level'!$A$1:$H$11</definedName>
    <definedName name="_xlnm.Print_Area" localSheetId="16">'NU Hrly'!$A$1:$CV$55</definedName>
    <definedName name="_xlnm.Print_Area" localSheetId="17">'NU Slry'!$A$1:$CT$42</definedName>
    <definedName name="_xlnm.Print_Area" localSheetId="10">'OPEB Alloc'!$A$1:$E$51</definedName>
    <definedName name="_xlnm.Print_Area" localSheetId="9">'OPEB WP'!$A$1:$P$16</definedName>
    <definedName name="_xlnm.Print_Area" localSheetId="21">'OT Hours'!$A$1:$Y$161</definedName>
    <definedName name="_xlnm.Print_Area" localSheetId="8">'Pension WP'!$A$1:$P$22</definedName>
    <definedName name="_xlnm.Print_Area" localSheetId="26">Performance!$A$1:$E$33</definedName>
    <definedName name="_xlnm.Print_Area" localSheetId="23">'Shift Pay'!$A$1:$J$23</definedName>
    <definedName name="_xlnm.Print_Area" localSheetId="15">Union!$C$6:$CV$85</definedName>
    <definedName name="_xlnm.Print_Area" localSheetId="24">'Union Rates'!$A$1:$I$52</definedName>
    <definedName name="_xlnm.Print_Area" localSheetId="22">'Water %'!$A$1:$P$72</definedName>
    <definedName name="_xlnm.Print_Titles" localSheetId="29">'401k'!$1:$6</definedName>
    <definedName name="_xlnm.Print_Titles" localSheetId="14">Acquisitions!$A:$F,Acquisitions!$1:$5</definedName>
    <definedName name="_xlnm.Print_Titles" localSheetId="19">'Budget OT Hours'!$1:$3</definedName>
    <definedName name="_xlnm.Print_Titles" localSheetId="18">'Cap%'!$1:$3</definedName>
    <definedName name="_xlnm.Print_Titles" localSheetId="30">DCP!$1:$4</definedName>
    <definedName name="_xlnm.Print_Titles" localSheetId="28">'Emp Data'!$A:$C,'Emp Data'!$1:$2</definedName>
    <definedName name="_xlnm.Print_Titles" localSheetId="32">ESPP!$1:$5</definedName>
    <definedName name="_xlnm.Print_Titles" localSheetId="16">'NU Hrly'!$A:$F,'NU Hrly'!$1:$5</definedName>
    <definedName name="_xlnm.Print_Titles" localSheetId="17">'NU Slry'!$A:$E,'NU Slry'!$1:$5</definedName>
    <definedName name="_xlnm.Print_Titles" localSheetId="21">'OT Hours'!$1:$7</definedName>
    <definedName name="_xlnm.Print_Titles" localSheetId="15">Union!$A:$G,Union!$1:$5</definedName>
    <definedName name="_xlnm.Print_Titles" localSheetId="31">VEBA!$1:$4</definedName>
    <definedName name="_xlnm.Print_Titles" localSheetId="22">'Water %'!$1:$5</definedName>
  </definedNames>
  <calcPr calcId="162913"/>
</workbook>
</file>

<file path=xl/calcChain.xml><?xml version="1.0" encoding="utf-8"?>
<calcChain xmlns="http://schemas.openxmlformats.org/spreadsheetml/2006/main">
  <c r="AN70" i="84" l="1"/>
  <c r="AL70" i="84"/>
  <c r="AJ70" i="84"/>
  <c r="AH70" i="84"/>
  <c r="AF70" i="84"/>
  <c r="AD70" i="84"/>
  <c r="AB70" i="84"/>
  <c r="Z70" i="84"/>
  <c r="X70" i="84"/>
  <c r="V70" i="84"/>
  <c r="T70" i="84"/>
  <c r="R70" i="84"/>
  <c r="P70" i="84"/>
  <c r="O70" i="84"/>
  <c r="N70" i="84"/>
  <c r="L70" i="84"/>
  <c r="K70" i="84"/>
  <c r="AN69" i="84"/>
  <c r="AL69" i="84"/>
  <c r="AJ69" i="84"/>
  <c r="AH69" i="84"/>
  <c r="AF69" i="84"/>
  <c r="AD69" i="84"/>
  <c r="AB69" i="84"/>
  <c r="Z69" i="84"/>
  <c r="X69" i="84"/>
  <c r="V69" i="84"/>
  <c r="T69" i="84"/>
  <c r="R69" i="84"/>
  <c r="P69" i="84"/>
  <c r="O69" i="84"/>
  <c r="N69" i="84"/>
  <c r="L69" i="84"/>
  <c r="K69" i="84"/>
  <c r="AN68" i="84"/>
  <c r="AL68" i="84"/>
  <c r="AJ68" i="84"/>
  <c r="AH68" i="84"/>
  <c r="AF68" i="84"/>
  <c r="AD68" i="84"/>
  <c r="AB68" i="84"/>
  <c r="Z68" i="84"/>
  <c r="X68" i="84"/>
  <c r="V68" i="84"/>
  <c r="T68" i="84"/>
  <c r="R68" i="84"/>
  <c r="P68" i="84"/>
  <c r="O68" i="84"/>
  <c r="N68" i="84"/>
  <c r="L68" i="84"/>
  <c r="K68" i="84"/>
  <c r="AN67" i="84"/>
  <c r="AL67" i="84"/>
  <c r="AJ67" i="84"/>
  <c r="AH67" i="84"/>
  <c r="AF67" i="84"/>
  <c r="AD67" i="84"/>
  <c r="AB67" i="84"/>
  <c r="Z67" i="84"/>
  <c r="X67" i="84"/>
  <c r="V67" i="84"/>
  <c r="T67" i="84"/>
  <c r="R67" i="84"/>
  <c r="P67" i="84"/>
  <c r="O67" i="84"/>
  <c r="N67" i="84"/>
  <c r="L67" i="84"/>
  <c r="K67" i="84"/>
  <c r="AN66" i="84"/>
  <c r="AL66" i="84"/>
  <c r="AJ66" i="84"/>
  <c r="AH66" i="84"/>
  <c r="AF66" i="84"/>
  <c r="AD66" i="84"/>
  <c r="AB66" i="84"/>
  <c r="Z66" i="84"/>
  <c r="X66" i="84"/>
  <c r="V66" i="84"/>
  <c r="T66" i="84"/>
  <c r="R66" i="84"/>
  <c r="P66" i="84"/>
  <c r="O66" i="84"/>
  <c r="N66" i="84"/>
  <c r="L66" i="84"/>
  <c r="K66" i="84"/>
  <c r="AN65" i="84"/>
  <c r="AL65" i="84"/>
  <c r="AJ65" i="84"/>
  <c r="AH65" i="84"/>
  <c r="AF65" i="84"/>
  <c r="AD65" i="84"/>
  <c r="AB65" i="84"/>
  <c r="Z65" i="84"/>
  <c r="X65" i="84"/>
  <c r="V65" i="84"/>
  <c r="T65" i="84"/>
  <c r="R65" i="84"/>
  <c r="P65" i="84"/>
  <c r="O65" i="84"/>
  <c r="N65" i="84"/>
  <c r="L65" i="84"/>
  <c r="K65" i="84"/>
  <c r="AN64" i="84"/>
  <c r="AL64" i="84"/>
  <c r="AJ64" i="84"/>
  <c r="AH64" i="84"/>
  <c r="AF64" i="84"/>
  <c r="AD64" i="84"/>
  <c r="AB64" i="84"/>
  <c r="Z64" i="84"/>
  <c r="X64" i="84"/>
  <c r="V64" i="84"/>
  <c r="T64" i="84"/>
  <c r="R64" i="84"/>
  <c r="P64" i="84"/>
  <c r="O64" i="84"/>
  <c r="N64" i="84"/>
  <c r="L64" i="84"/>
  <c r="K64" i="84"/>
  <c r="AN63" i="84"/>
  <c r="AL63" i="84"/>
  <c r="AJ63" i="84"/>
  <c r="AH63" i="84"/>
  <c r="AF63" i="84"/>
  <c r="AD63" i="84"/>
  <c r="AB63" i="84"/>
  <c r="Z63" i="84"/>
  <c r="X63" i="84"/>
  <c r="V63" i="84"/>
  <c r="T63" i="84"/>
  <c r="R63" i="84"/>
  <c r="P63" i="84"/>
  <c r="O63" i="84"/>
  <c r="N63" i="84"/>
  <c r="L63" i="84"/>
  <c r="K63" i="84"/>
  <c r="AN62" i="84"/>
  <c r="AL62" i="84"/>
  <c r="AJ62" i="84"/>
  <c r="AH62" i="84"/>
  <c r="AF62" i="84"/>
  <c r="AD62" i="84"/>
  <c r="AB62" i="84"/>
  <c r="Z62" i="84"/>
  <c r="X62" i="84"/>
  <c r="V62" i="84"/>
  <c r="T62" i="84"/>
  <c r="R62" i="84"/>
  <c r="P62" i="84"/>
  <c r="O62" i="84"/>
  <c r="N62" i="84"/>
  <c r="L62" i="84"/>
  <c r="K62" i="84"/>
  <c r="AN61" i="84"/>
  <c r="AL61" i="84"/>
  <c r="AJ61" i="84"/>
  <c r="AH61" i="84"/>
  <c r="AF61" i="84"/>
  <c r="AD61" i="84"/>
  <c r="AB61" i="84"/>
  <c r="Z61" i="84"/>
  <c r="X61" i="84"/>
  <c r="V61" i="84"/>
  <c r="T61" i="84"/>
  <c r="R61" i="84"/>
  <c r="P61" i="84"/>
  <c r="O61" i="84"/>
  <c r="N61" i="84"/>
  <c r="L61" i="84"/>
  <c r="K61" i="84"/>
  <c r="AN60" i="84"/>
  <c r="AL60" i="84"/>
  <c r="AJ60" i="84"/>
  <c r="AH60" i="84"/>
  <c r="AF60" i="84"/>
  <c r="AD60" i="84"/>
  <c r="AB60" i="84"/>
  <c r="Z60" i="84"/>
  <c r="X60" i="84"/>
  <c r="V60" i="84"/>
  <c r="T60" i="84"/>
  <c r="R60" i="84"/>
  <c r="P60" i="84"/>
  <c r="O60" i="84"/>
  <c r="N60" i="84"/>
  <c r="L60" i="84"/>
  <c r="K60" i="84"/>
  <c r="AN59" i="84"/>
  <c r="AL59" i="84"/>
  <c r="AJ59" i="84"/>
  <c r="AH59" i="84"/>
  <c r="AF59" i="84"/>
  <c r="AD59" i="84"/>
  <c r="AB59" i="84"/>
  <c r="Z59" i="84"/>
  <c r="X59" i="84"/>
  <c r="V59" i="84"/>
  <c r="T59" i="84"/>
  <c r="R59" i="84"/>
  <c r="P59" i="84"/>
  <c r="O59" i="84"/>
  <c r="N59" i="84"/>
  <c r="L59" i="84"/>
  <c r="K59" i="84"/>
  <c r="AN58" i="84"/>
  <c r="AL58" i="84"/>
  <c r="AJ58" i="84"/>
  <c r="AH58" i="84"/>
  <c r="AF58" i="84"/>
  <c r="AD58" i="84"/>
  <c r="AB58" i="84"/>
  <c r="Z58" i="84"/>
  <c r="X58" i="84"/>
  <c r="V58" i="84"/>
  <c r="T58" i="84"/>
  <c r="R58" i="84"/>
  <c r="P58" i="84"/>
  <c r="O58" i="84"/>
  <c r="N58" i="84"/>
  <c r="L58" i="84"/>
  <c r="K58" i="84"/>
  <c r="AN57" i="84"/>
  <c r="AL57" i="84"/>
  <c r="AJ57" i="84"/>
  <c r="AH57" i="84"/>
  <c r="AF57" i="84"/>
  <c r="AD57" i="84"/>
  <c r="AB57" i="84"/>
  <c r="Z57" i="84"/>
  <c r="X57" i="84"/>
  <c r="V57" i="84"/>
  <c r="T57" i="84"/>
  <c r="R57" i="84"/>
  <c r="P57" i="84"/>
  <c r="O57" i="84"/>
  <c r="N57" i="84"/>
  <c r="L57" i="84"/>
  <c r="K57" i="84"/>
  <c r="AN56" i="84"/>
  <c r="AL56" i="84"/>
  <c r="AJ56" i="84"/>
  <c r="AH56" i="84"/>
  <c r="AF56" i="84"/>
  <c r="AD56" i="84"/>
  <c r="AB56" i="84"/>
  <c r="Z56" i="84"/>
  <c r="X56" i="84"/>
  <c r="V56" i="84"/>
  <c r="T56" i="84"/>
  <c r="R56" i="84"/>
  <c r="P56" i="84"/>
  <c r="O56" i="84"/>
  <c r="N56" i="84"/>
  <c r="L56" i="84"/>
  <c r="K56" i="84"/>
  <c r="AN55" i="84"/>
  <c r="AL55" i="84"/>
  <c r="AJ55" i="84"/>
  <c r="AH55" i="84"/>
  <c r="AF55" i="84"/>
  <c r="AD55" i="84"/>
  <c r="AB55" i="84"/>
  <c r="Z55" i="84"/>
  <c r="X55" i="84"/>
  <c r="V55" i="84"/>
  <c r="T55" i="84"/>
  <c r="R55" i="84"/>
  <c r="P55" i="84"/>
  <c r="O55" i="84"/>
  <c r="N55" i="84"/>
  <c r="L55" i="84"/>
  <c r="K55" i="84"/>
  <c r="AN54" i="84"/>
  <c r="AL54" i="84"/>
  <c r="AJ54" i="84"/>
  <c r="AH54" i="84"/>
  <c r="AF54" i="84"/>
  <c r="AD54" i="84"/>
  <c r="AB54" i="84"/>
  <c r="Z54" i="84"/>
  <c r="X54" i="84"/>
  <c r="V54" i="84"/>
  <c r="T54" i="84"/>
  <c r="R54" i="84"/>
  <c r="P54" i="84"/>
  <c r="O54" i="84"/>
  <c r="N54" i="84"/>
  <c r="L54" i="84"/>
  <c r="K54" i="84"/>
  <c r="AN53" i="84"/>
  <c r="AL53" i="84"/>
  <c r="AJ53" i="84"/>
  <c r="AH53" i="84"/>
  <c r="AF53" i="84"/>
  <c r="AD53" i="84"/>
  <c r="AB53" i="84"/>
  <c r="Z53" i="84"/>
  <c r="X53" i="84"/>
  <c r="V53" i="84"/>
  <c r="T53" i="84"/>
  <c r="R53" i="84"/>
  <c r="P53" i="84"/>
  <c r="O53" i="84"/>
  <c r="N53" i="84"/>
  <c r="L53" i="84"/>
  <c r="K53" i="84"/>
  <c r="AN52" i="84"/>
  <c r="AL52" i="84"/>
  <c r="AJ52" i="84"/>
  <c r="AH52" i="84"/>
  <c r="AF52" i="84"/>
  <c r="AD52" i="84"/>
  <c r="AB52" i="84"/>
  <c r="Z52" i="84"/>
  <c r="X52" i="84"/>
  <c r="V52" i="84"/>
  <c r="T52" i="84"/>
  <c r="R52" i="84"/>
  <c r="P52" i="84"/>
  <c r="O52" i="84"/>
  <c r="N52" i="84"/>
  <c r="L52" i="84"/>
  <c r="K52" i="84"/>
  <c r="AN51" i="84"/>
  <c r="AL51" i="84"/>
  <c r="AJ51" i="84"/>
  <c r="AH51" i="84"/>
  <c r="AF51" i="84"/>
  <c r="AD51" i="84"/>
  <c r="AB51" i="84"/>
  <c r="Z51" i="84"/>
  <c r="X51" i="84"/>
  <c r="V51" i="84"/>
  <c r="T51" i="84"/>
  <c r="R51" i="84"/>
  <c r="P51" i="84"/>
  <c r="O51" i="84"/>
  <c r="N51" i="84"/>
  <c r="L51" i="84"/>
  <c r="K51" i="84"/>
  <c r="AN50" i="84"/>
  <c r="AL50" i="84"/>
  <c r="AJ50" i="84"/>
  <c r="AH50" i="84"/>
  <c r="AF50" i="84"/>
  <c r="AD50" i="84"/>
  <c r="AB50" i="84"/>
  <c r="Z50" i="84"/>
  <c r="X50" i="84"/>
  <c r="V50" i="84"/>
  <c r="T50" i="84"/>
  <c r="R50" i="84"/>
  <c r="P50" i="84"/>
  <c r="O50" i="84"/>
  <c r="N50" i="84"/>
  <c r="L50" i="84"/>
  <c r="K50" i="84"/>
  <c r="AN49" i="84"/>
  <c r="AL49" i="84"/>
  <c r="AJ49" i="84"/>
  <c r="AH49" i="84"/>
  <c r="AF49" i="84"/>
  <c r="AD49" i="84"/>
  <c r="AB49" i="84"/>
  <c r="Z49" i="84"/>
  <c r="X49" i="84"/>
  <c r="V49" i="84"/>
  <c r="T49" i="84"/>
  <c r="R49" i="84"/>
  <c r="P49" i="84"/>
  <c r="O49" i="84"/>
  <c r="N49" i="84"/>
  <c r="L49" i="84"/>
  <c r="K49" i="84"/>
  <c r="AN48" i="84"/>
  <c r="AL48" i="84"/>
  <c r="AJ48" i="84"/>
  <c r="AH48" i="84"/>
  <c r="AF48" i="84"/>
  <c r="AD48" i="84"/>
  <c r="AB48" i="84"/>
  <c r="Z48" i="84"/>
  <c r="X48" i="84"/>
  <c r="V48" i="84"/>
  <c r="T48" i="84"/>
  <c r="R48" i="84"/>
  <c r="P48" i="84"/>
  <c r="O48" i="84"/>
  <c r="N48" i="84"/>
  <c r="L48" i="84"/>
  <c r="K48" i="84"/>
  <c r="AN47" i="84"/>
  <c r="AL47" i="84"/>
  <c r="AJ47" i="84"/>
  <c r="AH47" i="84"/>
  <c r="AF47" i="84"/>
  <c r="AD47" i="84"/>
  <c r="AB47" i="84"/>
  <c r="Z47" i="84"/>
  <c r="X47" i="84"/>
  <c r="V47" i="84"/>
  <c r="T47" i="84"/>
  <c r="R47" i="84"/>
  <c r="P47" i="84"/>
  <c r="O47" i="84"/>
  <c r="N47" i="84"/>
  <c r="L47" i="84"/>
  <c r="K47" i="84"/>
  <c r="AN46" i="84"/>
  <c r="AL46" i="84"/>
  <c r="AJ46" i="84"/>
  <c r="AH46" i="84"/>
  <c r="AF46" i="84"/>
  <c r="AD46" i="84"/>
  <c r="AB46" i="84"/>
  <c r="Z46" i="84"/>
  <c r="X46" i="84"/>
  <c r="V46" i="84"/>
  <c r="T46" i="84"/>
  <c r="R46" i="84"/>
  <c r="P46" i="84"/>
  <c r="O46" i="84"/>
  <c r="N46" i="84"/>
  <c r="L46" i="84"/>
  <c r="K46" i="84"/>
  <c r="AN45" i="84"/>
  <c r="AL45" i="84"/>
  <c r="AJ45" i="84"/>
  <c r="AH45" i="84"/>
  <c r="AF45" i="84"/>
  <c r="AD45" i="84"/>
  <c r="AB45" i="84"/>
  <c r="Z45" i="84"/>
  <c r="X45" i="84"/>
  <c r="V45" i="84"/>
  <c r="T45" i="84"/>
  <c r="R45" i="84"/>
  <c r="P45" i="84"/>
  <c r="O45" i="84"/>
  <c r="N45" i="84"/>
  <c r="L45" i="84"/>
  <c r="K45" i="84"/>
  <c r="AN44" i="84"/>
  <c r="AL44" i="84"/>
  <c r="AJ44" i="84"/>
  <c r="AH44" i="84"/>
  <c r="AF44" i="84"/>
  <c r="AD44" i="84"/>
  <c r="AB44" i="84"/>
  <c r="Z44" i="84"/>
  <c r="X44" i="84"/>
  <c r="V44" i="84"/>
  <c r="T44" i="84"/>
  <c r="R44" i="84"/>
  <c r="P44" i="84"/>
  <c r="O44" i="84"/>
  <c r="N44" i="84"/>
  <c r="L44" i="84"/>
  <c r="K44" i="84"/>
  <c r="AN43" i="84"/>
  <c r="AL43" i="84"/>
  <c r="AJ43" i="84"/>
  <c r="AH43" i="84"/>
  <c r="AF43" i="84"/>
  <c r="AD43" i="84"/>
  <c r="AB43" i="84"/>
  <c r="Z43" i="84"/>
  <c r="X43" i="84"/>
  <c r="V43" i="84"/>
  <c r="T43" i="84"/>
  <c r="R43" i="84"/>
  <c r="P43" i="84"/>
  <c r="O43" i="84"/>
  <c r="N43" i="84"/>
  <c r="L43" i="84"/>
  <c r="K43" i="84"/>
  <c r="AN42" i="84"/>
  <c r="AL42" i="84"/>
  <c r="AJ42" i="84"/>
  <c r="AH42" i="84"/>
  <c r="AF42" i="84"/>
  <c r="AD42" i="84"/>
  <c r="AB42" i="84"/>
  <c r="Z42" i="84"/>
  <c r="X42" i="84"/>
  <c r="V42" i="84"/>
  <c r="T42" i="84"/>
  <c r="R42" i="84"/>
  <c r="P42" i="84"/>
  <c r="O42" i="84"/>
  <c r="N42" i="84"/>
  <c r="L42" i="84"/>
  <c r="K42" i="84"/>
  <c r="AN41" i="84"/>
  <c r="AL41" i="84"/>
  <c r="AJ41" i="84"/>
  <c r="AH41" i="84"/>
  <c r="AF41" i="84"/>
  <c r="AD41" i="84"/>
  <c r="AB41" i="84"/>
  <c r="Z41" i="84"/>
  <c r="X41" i="84"/>
  <c r="V41" i="84"/>
  <c r="T41" i="84"/>
  <c r="R41" i="84"/>
  <c r="P41" i="84"/>
  <c r="O41" i="84"/>
  <c r="N41" i="84"/>
  <c r="L41" i="84"/>
  <c r="K41" i="84"/>
  <c r="AN40" i="84"/>
  <c r="AL40" i="84"/>
  <c r="AJ40" i="84"/>
  <c r="AH40" i="84"/>
  <c r="AF40" i="84"/>
  <c r="AD40" i="84"/>
  <c r="AB40" i="84"/>
  <c r="Z40" i="84"/>
  <c r="X40" i="84"/>
  <c r="V40" i="84"/>
  <c r="T40" i="84"/>
  <c r="R40" i="84"/>
  <c r="P40" i="84"/>
  <c r="O40" i="84"/>
  <c r="N40" i="84"/>
  <c r="L40" i="84"/>
  <c r="K40" i="84"/>
  <c r="AN39" i="84"/>
  <c r="AL39" i="84"/>
  <c r="AJ39" i="84"/>
  <c r="AH39" i="84"/>
  <c r="AF39" i="84"/>
  <c r="AD39" i="84"/>
  <c r="AB39" i="84"/>
  <c r="Z39" i="84"/>
  <c r="X39" i="84"/>
  <c r="V39" i="84"/>
  <c r="T39" i="84"/>
  <c r="R39" i="84"/>
  <c r="P39" i="84"/>
  <c r="O39" i="84"/>
  <c r="N39" i="84"/>
  <c r="L39" i="84"/>
  <c r="K39" i="84"/>
  <c r="AN38" i="84"/>
  <c r="AL38" i="84"/>
  <c r="AJ38" i="84"/>
  <c r="AH38" i="84"/>
  <c r="AF38" i="84"/>
  <c r="AD38" i="84"/>
  <c r="AB38" i="84"/>
  <c r="Z38" i="84"/>
  <c r="X38" i="84"/>
  <c r="V38" i="84"/>
  <c r="T38" i="84"/>
  <c r="R38" i="84"/>
  <c r="P38" i="84"/>
  <c r="O38" i="84"/>
  <c r="N38" i="84"/>
  <c r="L38" i="84"/>
  <c r="K38" i="84"/>
  <c r="AN37" i="84"/>
  <c r="AL37" i="84"/>
  <c r="AJ37" i="84"/>
  <c r="AH37" i="84"/>
  <c r="AF37" i="84"/>
  <c r="AD37" i="84"/>
  <c r="AB37" i="84"/>
  <c r="Z37" i="84"/>
  <c r="X37" i="84"/>
  <c r="V37" i="84"/>
  <c r="T37" i="84"/>
  <c r="R37" i="84"/>
  <c r="P37" i="84"/>
  <c r="O37" i="84"/>
  <c r="N37" i="84"/>
  <c r="L37" i="84"/>
  <c r="K37" i="84"/>
  <c r="AN36" i="84"/>
  <c r="AL36" i="84"/>
  <c r="AJ36" i="84"/>
  <c r="AH36" i="84"/>
  <c r="AF36" i="84"/>
  <c r="AD36" i="84"/>
  <c r="AB36" i="84"/>
  <c r="Z36" i="84"/>
  <c r="X36" i="84"/>
  <c r="V36" i="84"/>
  <c r="T36" i="84"/>
  <c r="R36" i="84"/>
  <c r="P36" i="84"/>
  <c r="O36" i="84"/>
  <c r="N36" i="84"/>
  <c r="L36" i="84"/>
  <c r="K36" i="84"/>
  <c r="AN35" i="84"/>
  <c r="AL35" i="84"/>
  <c r="AJ35" i="84"/>
  <c r="AH35" i="84"/>
  <c r="AF35" i="84"/>
  <c r="AD35" i="84"/>
  <c r="AB35" i="84"/>
  <c r="Z35" i="84"/>
  <c r="X35" i="84"/>
  <c r="V35" i="84"/>
  <c r="T35" i="84"/>
  <c r="R35" i="84"/>
  <c r="P35" i="84"/>
  <c r="O35" i="84"/>
  <c r="N35" i="84"/>
  <c r="L35" i="84"/>
  <c r="K35" i="84"/>
  <c r="O8" i="85"/>
  <c r="O7" i="85"/>
  <c r="O6" i="85"/>
  <c r="O5" i="85"/>
  <c r="O4" i="85"/>
  <c r="O3" i="85"/>
  <c r="A29" i="84"/>
  <c r="A28" i="84"/>
  <c r="A27" i="84"/>
  <c r="A26" i="84"/>
  <c r="A25" i="84"/>
  <c r="A22" i="84"/>
  <c r="I123" i="84"/>
  <c r="G123" i="84"/>
  <c r="E123" i="84"/>
  <c r="B123" i="84"/>
  <c r="A123" i="84"/>
  <c r="I122" i="84"/>
  <c r="G122" i="84"/>
  <c r="E122" i="84"/>
  <c r="B122" i="84"/>
  <c r="A122" i="84"/>
  <c r="I121" i="84"/>
  <c r="G121" i="84"/>
  <c r="E121" i="84"/>
  <c r="B121" i="84"/>
  <c r="A121" i="84"/>
  <c r="I120" i="84"/>
  <c r="G120" i="84"/>
  <c r="E120" i="84"/>
  <c r="B120" i="84"/>
  <c r="A120" i="84"/>
  <c r="I119" i="84"/>
  <c r="G119" i="84"/>
  <c r="E119" i="84"/>
  <c r="B119" i="84"/>
  <c r="A119" i="84"/>
  <c r="I118" i="84"/>
  <c r="G118" i="84"/>
  <c r="E118" i="84"/>
  <c r="B118" i="84"/>
  <c r="A118" i="84"/>
  <c r="I117" i="84"/>
  <c r="G117" i="84"/>
  <c r="E117" i="84"/>
  <c r="B117" i="84"/>
  <c r="A117" i="84"/>
  <c r="I116" i="84"/>
  <c r="G116" i="84"/>
  <c r="E116" i="84"/>
  <c r="B116" i="84"/>
  <c r="A116" i="84"/>
  <c r="I115" i="84"/>
  <c r="G115" i="84"/>
  <c r="E115" i="84"/>
  <c r="B115" i="84"/>
  <c r="A115" i="84"/>
  <c r="I114" i="84"/>
  <c r="G114" i="84"/>
  <c r="E114" i="84"/>
  <c r="B114" i="84"/>
  <c r="A114" i="84"/>
  <c r="I113" i="84"/>
  <c r="G113" i="84"/>
  <c r="E113" i="84"/>
  <c r="B113" i="84"/>
  <c r="A113" i="84"/>
  <c r="I112" i="84"/>
  <c r="G112" i="84"/>
  <c r="E112" i="84"/>
  <c r="B112" i="84"/>
  <c r="A112" i="84"/>
  <c r="I111" i="84"/>
  <c r="G111" i="84"/>
  <c r="E111" i="84"/>
  <c r="B111" i="84"/>
  <c r="A111" i="84"/>
  <c r="I110" i="84"/>
  <c r="G110" i="84"/>
  <c r="E110" i="84"/>
  <c r="B110" i="84"/>
  <c r="A110" i="84"/>
  <c r="I109" i="84"/>
  <c r="G109" i="84"/>
  <c r="E109" i="84"/>
  <c r="B109" i="84"/>
  <c r="A109" i="84"/>
  <c r="I108" i="84"/>
  <c r="G108" i="84"/>
  <c r="E108" i="84"/>
  <c r="B108" i="84"/>
  <c r="A108" i="84"/>
  <c r="I107" i="84"/>
  <c r="G107" i="84"/>
  <c r="E107" i="84"/>
  <c r="B107" i="84"/>
  <c r="A107" i="84"/>
  <c r="I106" i="84"/>
  <c r="G106" i="84"/>
  <c r="E106" i="84"/>
  <c r="B106" i="84"/>
  <c r="A106" i="84"/>
  <c r="I105" i="84"/>
  <c r="G105" i="84"/>
  <c r="E105" i="84"/>
  <c r="B105" i="84"/>
  <c r="A105" i="84"/>
  <c r="I104" i="84"/>
  <c r="G104" i="84"/>
  <c r="E104" i="84"/>
  <c r="B104" i="84"/>
  <c r="A104" i="84"/>
  <c r="I103" i="84"/>
  <c r="G103" i="84"/>
  <c r="E103" i="84"/>
  <c r="B103" i="84"/>
  <c r="A103" i="84"/>
  <c r="I102" i="84"/>
  <c r="G102" i="84"/>
  <c r="E102" i="84"/>
  <c r="B102" i="84"/>
  <c r="A102" i="84"/>
  <c r="I101" i="84"/>
  <c r="G101" i="84"/>
  <c r="E101" i="84"/>
  <c r="B101" i="84"/>
  <c r="A101" i="84"/>
  <c r="I100" i="84"/>
  <c r="G100" i="84"/>
  <c r="E100" i="84"/>
  <c r="B100" i="84"/>
  <c r="A100" i="84"/>
  <c r="I99" i="84"/>
  <c r="G99" i="84"/>
  <c r="E99" i="84"/>
  <c r="B99" i="84"/>
  <c r="A99" i="84"/>
  <c r="I98" i="84"/>
  <c r="G98" i="84"/>
  <c r="E98" i="84"/>
  <c r="B98" i="84"/>
  <c r="A98" i="84"/>
  <c r="I97" i="84"/>
  <c r="G97" i="84"/>
  <c r="E97" i="84"/>
  <c r="B97" i="84"/>
  <c r="A97" i="84"/>
  <c r="I96" i="84"/>
  <c r="G96" i="84"/>
  <c r="E96" i="84"/>
  <c r="B96" i="84"/>
  <c r="A96" i="84"/>
  <c r="I95" i="84"/>
  <c r="G95" i="84"/>
  <c r="E95" i="84"/>
  <c r="B95" i="84"/>
  <c r="A95" i="84"/>
  <c r="I94" i="84"/>
  <c r="G94" i="84"/>
  <c r="E94" i="84"/>
  <c r="B94" i="84"/>
  <c r="A94" i="84"/>
  <c r="I93" i="84"/>
  <c r="G93" i="84"/>
  <c r="E93" i="84"/>
  <c r="B93" i="84"/>
  <c r="A93" i="84"/>
  <c r="I92" i="84"/>
  <c r="G92" i="84"/>
  <c r="E92" i="84"/>
  <c r="B92" i="84"/>
  <c r="A92" i="84"/>
  <c r="I91" i="84"/>
  <c r="G91" i="84"/>
  <c r="E91" i="84"/>
  <c r="B91" i="84"/>
  <c r="A91" i="84"/>
  <c r="I90" i="84"/>
  <c r="G90" i="84"/>
  <c r="E90" i="84"/>
  <c r="B90" i="84"/>
  <c r="A90" i="84"/>
  <c r="I89" i="84"/>
  <c r="G89" i="84"/>
  <c r="E89" i="84"/>
  <c r="B89" i="84"/>
  <c r="A89" i="84"/>
  <c r="I88" i="84"/>
  <c r="G88" i="84"/>
  <c r="E88" i="84"/>
  <c r="B88" i="84"/>
  <c r="A88" i="84"/>
  <c r="I87" i="84"/>
  <c r="G87" i="84"/>
  <c r="E87" i="84"/>
  <c r="B87" i="84"/>
  <c r="A87" i="84"/>
  <c r="I86" i="84"/>
  <c r="G86" i="84"/>
  <c r="E86" i="84"/>
  <c r="B86" i="84"/>
  <c r="A86" i="84"/>
  <c r="I85" i="84"/>
  <c r="G85" i="84"/>
  <c r="E85" i="84"/>
  <c r="B85" i="84"/>
  <c r="A85" i="84"/>
  <c r="I84" i="84"/>
  <c r="G84" i="84"/>
  <c r="E84" i="84"/>
  <c r="B84" i="84"/>
  <c r="A84" i="84"/>
  <c r="I83" i="84"/>
  <c r="G83" i="84"/>
  <c r="E83" i="84"/>
  <c r="B83" i="84"/>
  <c r="A83" i="84"/>
  <c r="I82" i="84"/>
  <c r="G82" i="84"/>
  <c r="E82" i="84"/>
  <c r="B82" i="84"/>
  <c r="A82" i="84"/>
  <c r="I81" i="84"/>
  <c r="G81" i="84"/>
  <c r="E81" i="84"/>
  <c r="B81" i="84"/>
  <c r="A81" i="84"/>
  <c r="I80" i="84"/>
  <c r="G80" i="84"/>
  <c r="E80" i="84"/>
  <c r="B80" i="84"/>
  <c r="A80" i="84"/>
  <c r="I79" i="84"/>
  <c r="G79" i="84"/>
  <c r="E79" i="84"/>
  <c r="B79" i="84"/>
  <c r="A79" i="84"/>
  <c r="I78" i="84"/>
  <c r="G78" i="84"/>
  <c r="E78" i="84"/>
  <c r="B78" i="84"/>
  <c r="A78" i="84"/>
  <c r="I77" i="84"/>
  <c r="G77" i="84"/>
  <c r="E77" i="84"/>
  <c r="B77" i="84"/>
  <c r="A77" i="84"/>
  <c r="I76" i="84"/>
  <c r="G76" i="84"/>
  <c r="E76" i="84"/>
  <c r="B76" i="84"/>
  <c r="A76" i="84"/>
  <c r="I75" i="84"/>
  <c r="G75" i="84"/>
  <c r="E75" i="84"/>
  <c r="B75" i="84"/>
  <c r="A75" i="84"/>
  <c r="I74" i="84"/>
  <c r="G74" i="84"/>
  <c r="E74" i="84"/>
  <c r="B74" i="84"/>
  <c r="A74" i="84"/>
  <c r="I73" i="84"/>
  <c r="G73" i="84"/>
  <c r="E73" i="84"/>
  <c r="B73" i="84"/>
  <c r="A73" i="84"/>
  <c r="I72" i="84"/>
  <c r="G72" i="84"/>
  <c r="E72" i="84"/>
  <c r="B72" i="84"/>
  <c r="A72" i="84"/>
  <c r="I71" i="84"/>
  <c r="G71" i="84"/>
  <c r="E71" i="84"/>
  <c r="B71" i="84"/>
  <c r="A71" i="84"/>
  <c r="I70" i="84"/>
  <c r="G70" i="84"/>
  <c r="E70" i="84"/>
  <c r="B70" i="84"/>
  <c r="A70" i="84"/>
  <c r="I69" i="84"/>
  <c r="G69" i="84"/>
  <c r="E69" i="84"/>
  <c r="B69" i="84"/>
  <c r="A69" i="84"/>
  <c r="I68" i="84"/>
  <c r="G68" i="84"/>
  <c r="E68" i="84"/>
  <c r="B68" i="84"/>
  <c r="A68" i="84"/>
  <c r="I67" i="84"/>
  <c r="G67" i="84"/>
  <c r="E67" i="84"/>
  <c r="B67" i="84"/>
  <c r="A67" i="84"/>
  <c r="I66" i="84"/>
  <c r="G66" i="84"/>
  <c r="E66" i="84"/>
  <c r="B66" i="84"/>
  <c r="A66" i="84"/>
  <c r="I65" i="84"/>
  <c r="G65" i="84"/>
  <c r="E65" i="84"/>
  <c r="B65" i="84"/>
  <c r="A65" i="84"/>
  <c r="I64" i="84"/>
  <c r="G64" i="84"/>
  <c r="E64" i="84"/>
  <c r="B64" i="84"/>
  <c r="A64" i="84"/>
  <c r="I63" i="84"/>
  <c r="G63" i="84"/>
  <c r="E63" i="84"/>
  <c r="B63" i="84"/>
  <c r="A63" i="84"/>
  <c r="I62" i="84"/>
  <c r="G62" i="84"/>
  <c r="E62" i="84"/>
  <c r="B62" i="84"/>
  <c r="A62" i="84"/>
  <c r="I61" i="84"/>
  <c r="G61" i="84"/>
  <c r="E61" i="84"/>
  <c r="B61" i="84"/>
  <c r="A61" i="84"/>
  <c r="I60" i="84"/>
  <c r="G60" i="84"/>
  <c r="E60" i="84"/>
  <c r="B60" i="84"/>
  <c r="A60" i="84"/>
  <c r="I59" i="84"/>
  <c r="G59" i="84"/>
  <c r="E59" i="84"/>
  <c r="B59" i="84"/>
  <c r="A59" i="84"/>
  <c r="I58" i="84"/>
  <c r="G58" i="84"/>
  <c r="E58" i="84"/>
  <c r="B58" i="84"/>
  <c r="A58" i="84"/>
  <c r="I57" i="84"/>
  <c r="G57" i="84"/>
  <c r="E57" i="84"/>
  <c r="B57" i="84"/>
  <c r="A57" i="84"/>
  <c r="I56" i="84"/>
  <c r="G56" i="84"/>
  <c r="E56" i="84"/>
  <c r="B56" i="84"/>
  <c r="A56" i="84"/>
  <c r="I55" i="84"/>
  <c r="G55" i="84"/>
  <c r="E55" i="84"/>
  <c r="B55" i="84"/>
  <c r="A55" i="84"/>
  <c r="I54" i="84"/>
  <c r="G54" i="84"/>
  <c r="E54" i="84"/>
  <c r="B54" i="84"/>
  <c r="A54" i="84"/>
  <c r="I53" i="84"/>
  <c r="G53" i="84"/>
  <c r="E53" i="84"/>
  <c r="B53" i="84"/>
  <c r="A53" i="84"/>
  <c r="I52" i="84"/>
  <c r="G52" i="84"/>
  <c r="E52" i="84"/>
  <c r="B52" i="84"/>
  <c r="A52" i="84"/>
  <c r="I51" i="84"/>
  <c r="G51" i="84"/>
  <c r="E51" i="84"/>
  <c r="B51" i="84"/>
  <c r="A51" i="84"/>
  <c r="I50" i="84"/>
  <c r="G50" i="84"/>
  <c r="E50" i="84"/>
  <c r="B50" i="84"/>
  <c r="A50" i="84"/>
  <c r="I49" i="84"/>
  <c r="G49" i="84"/>
  <c r="E49" i="84"/>
  <c r="B49" i="84"/>
  <c r="A49" i="84"/>
  <c r="I48" i="84"/>
  <c r="G48" i="84"/>
  <c r="E48" i="84"/>
  <c r="B48" i="84"/>
  <c r="A48" i="84"/>
  <c r="I47" i="84"/>
  <c r="G47" i="84"/>
  <c r="E47" i="84"/>
  <c r="B47" i="84"/>
  <c r="A47" i="84"/>
  <c r="I46" i="84"/>
  <c r="G46" i="84"/>
  <c r="E46" i="84"/>
  <c r="B46" i="84"/>
  <c r="A46" i="84"/>
  <c r="I45" i="84"/>
  <c r="G45" i="84"/>
  <c r="E45" i="84"/>
  <c r="B45" i="84"/>
  <c r="A45" i="84"/>
  <c r="I44" i="84"/>
  <c r="G44" i="84"/>
  <c r="E44" i="84"/>
  <c r="B44" i="84"/>
  <c r="A44" i="84"/>
  <c r="I43" i="84"/>
  <c r="G43" i="84"/>
  <c r="E43" i="84"/>
  <c r="B43" i="84"/>
  <c r="A43" i="84"/>
  <c r="I42" i="84"/>
  <c r="G42" i="84"/>
  <c r="E42" i="84"/>
  <c r="B42" i="84"/>
  <c r="A42" i="84"/>
  <c r="I41" i="84"/>
  <c r="G41" i="84"/>
  <c r="E41" i="84"/>
  <c r="B41" i="84"/>
  <c r="A41" i="84"/>
  <c r="I40" i="84"/>
  <c r="G40" i="84"/>
  <c r="E40" i="84"/>
  <c r="B40" i="84"/>
  <c r="A40" i="84"/>
  <c r="I39" i="84"/>
  <c r="G39" i="84"/>
  <c r="E39" i="84"/>
  <c r="B39" i="84"/>
  <c r="A39" i="84"/>
  <c r="I38" i="84"/>
  <c r="G38" i="84"/>
  <c r="E38" i="84"/>
  <c r="B38" i="84"/>
  <c r="A38" i="84"/>
  <c r="I37" i="84"/>
  <c r="G37" i="84"/>
  <c r="E37" i="84"/>
  <c r="B37" i="84"/>
  <c r="A37" i="84"/>
  <c r="I36" i="84"/>
  <c r="G36" i="84"/>
  <c r="E36" i="84"/>
  <c r="B36" i="84"/>
  <c r="A36" i="84"/>
  <c r="I35" i="84"/>
  <c r="G35" i="84"/>
  <c r="E35" i="84"/>
  <c r="B35" i="84"/>
  <c r="A35" i="84"/>
  <c r="AL17" i="84"/>
  <c r="AJ17" i="84"/>
  <c r="AH17" i="84"/>
  <c r="AF17" i="84"/>
  <c r="AD17" i="84"/>
  <c r="AB17" i="84"/>
  <c r="Z17" i="84"/>
  <c r="X17" i="84"/>
  <c r="V17" i="84"/>
  <c r="T17" i="84"/>
  <c r="R17" i="84"/>
  <c r="P17" i="84"/>
  <c r="O17" i="84"/>
  <c r="N17" i="84"/>
  <c r="K17" i="84"/>
  <c r="AL16" i="84"/>
  <c r="AJ16" i="84"/>
  <c r="AH16" i="84"/>
  <c r="AF16" i="84"/>
  <c r="AD16" i="84"/>
  <c r="AB16" i="84"/>
  <c r="Z16" i="84"/>
  <c r="X16" i="84"/>
  <c r="V16" i="84"/>
  <c r="T16" i="84"/>
  <c r="R16" i="84"/>
  <c r="P16" i="84"/>
  <c r="O16" i="84"/>
  <c r="N16" i="84"/>
  <c r="K16" i="84"/>
  <c r="AL15" i="84"/>
  <c r="AJ15" i="84"/>
  <c r="AH15" i="84"/>
  <c r="AF15" i="84"/>
  <c r="AD15" i="84"/>
  <c r="AB15" i="84"/>
  <c r="Z15" i="84"/>
  <c r="X15" i="84"/>
  <c r="V15" i="84"/>
  <c r="T15" i="84"/>
  <c r="R15" i="84"/>
  <c r="P15" i="84"/>
  <c r="O15" i="84"/>
  <c r="N15" i="84"/>
  <c r="K15" i="84"/>
  <c r="AL14" i="84"/>
  <c r="AJ14" i="84"/>
  <c r="AH14" i="84"/>
  <c r="AF14" i="84"/>
  <c r="AD14" i="84"/>
  <c r="AB14" i="84"/>
  <c r="Z14" i="84"/>
  <c r="X14" i="84"/>
  <c r="V14" i="84"/>
  <c r="T14" i="84"/>
  <c r="R14" i="84"/>
  <c r="P14" i="84"/>
  <c r="O14" i="84"/>
  <c r="N14" i="84"/>
  <c r="K14" i="84"/>
  <c r="AL13" i="84"/>
  <c r="AJ13" i="84"/>
  <c r="AH13" i="84"/>
  <c r="AF13" i="84"/>
  <c r="AD13" i="84"/>
  <c r="AB13" i="84"/>
  <c r="Z13" i="84"/>
  <c r="X13" i="84"/>
  <c r="V13" i="84"/>
  <c r="T13" i="84"/>
  <c r="R13" i="84"/>
  <c r="P13" i="84"/>
  <c r="O13" i="84"/>
  <c r="N13" i="84"/>
  <c r="K13" i="84"/>
  <c r="AL12" i="84"/>
  <c r="AJ12" i="84"/>
  <c r="AH12" i="84"/>
  <c r="AF12" i="84"/>
  <c r="AD12" i="84"/>
  <c r="AB12" i="84"/>
  <c r="Z12" i="84"/>
  <c r="X12" i="84"/>
  <c r="V12" i="84"/>
  <c r="T12" i="84"/>
  <c r="R12" i="84"/>
  <c r="P12" i="84"/>
  <c r="O12" i="84"/>
  <c r="N12" i="84"/>
  <c r="L12" i="84"/>
  <c r="K12" i="84"/>
  <c r="A20" i="84"/>
  <c r="A19" i="84"/>
  <c r="L17" i="84"/>
  <c r="L16" i="84"/>
  <c r="L15" i="84"/>
  <c r="L14" i="84"/>
  <c r="L13" i="84"/>
  <c r="G9" i="84"/>
  <c r="A13" i="84"/>
  <c r="A12" i="84"/>
  <c r="A11" i="84"/>
  <c r="A10" i="84"/>
  <c r="C9" i="84"/>
  <c r="T9" i="84" s="1"/>
  <c r="B9" i="84"/>
  <c r="A9" i="84"/>
  <c r="A8" i="84"/>
  <c r="C7" i="84"/>
  <c r="B7" i="84"/>
  <c r="A7" i="84"/>
  <c r="A6" i="84"/>
  <c r="A5" i="84"/>
  <c r="A4" i="84"/>
  <c r="A30" i="84"/>
  <c r="A15" i="84"/>
  <c r="A3" i="84"/>
  <c r="A2" i="84"/>
  <c r="A1" i="84"/>
  <c r="X9" i="84" l="1"/>
  <c r="P9" i="84"/>
  <c r="Q148" i="93"/>
  <c r="K474" i="93" l="1"/>
  <c r="K473" i="93"/>
  <c r="K467" i="93"/>
  <c r="K466" i="93"/>
  <c r="K460" i="93"/>
  <c r="G468" i="93"/>
  <c r="K468" i="93" s="1"/>
  <c r="G465" i="93"/>
  <c r="K465" i="93" s="1"/>
  <c r="G461" i="93"/>
  <c r="K461" i="93" s="1"/>
  <c r="K453" i="93"/>
  <c r="K452" i="93"/>
  <c r="K446" i="93"/>
  <c r="K445" i="93"/>
  <c r="K444" i="93"/>
  <c r="K439" i="93"/>
  <c r="G447" i="93"/>
  <c r="K447" i="93" s="1"/>
  <c r="G440" i="93"/>
  <c r="G441" i="93" s="1"/>
  <c r="G451" i="93" s="1"/>
  <c r="K451" i="93" s="1"/>
  <c r="K440" i="93" l="1"/>
  <c r="K441" i="93" s="1"/>
  <c r="O115" i="93" l="1"/>
  <c r="Q106" i="93" l="1"/>
  <c r="M112" i="93" l="1"/>
  <c r="M106" i="93"/>
  <c r="K112" i="93"/>
  <c r="K106" i="93"/>
  <c r="G112" i="93"/>
  <c r="I112" i="93"/>
  <c r="I106" i="93"/>
  <c r="G106" i="93"/>
  <c r="E112" i="93" l="1"/>
  <c r="E106" i="93"/>
  <c r="H103" i="93" l="1"/>
  <c r="F103" i="93"/>
  <c r="Q208" i="93" l="1"/>
  <c r="Q268" i="93"/>
  <c r="Q326" i="93"/>
  <c r="O79" i="93" l="1"/>
  <c r="O80" i="93"/>
  <c r="Q90" i="93" l="1"/>
  <c r="Q201" i="93"/>
  <c r="G516" i="93"/>
  <c r="Q89" i="93" l="1"/>
  <c r="E209" i="93"/>
  <c r="E208" i="93"/>
  <c r="E89" i="93" s="1"/>
  <c r="E199" i="93"/>
  <c r="E80" i="93" s="1"/>
  <c r="E198" i="93"/>
  <c r="E79" i="93" s="1"/>
  <c r="E90" i="93"/>
  <c r="E115" i="93"/>
  <c r="E117" i="93"/>
  <c r="G79" i="93"/>
  <c r="G80" i="93"/>
  <c r="G89" i="93"/>
  <c r="E95" i="93" l="1"/>
  <c r="E217" i="93"/>
  <c r="F139" i="93" l="1"/>
  <c r="E154" i="93"/>
  <c r="H3" i="9" l="1"/>
  <c r="B88" i="109"/>
  <c r="J5" i="42" l="1"/>
  <c r="J5" i="40"/>
  <c r="L79" i="42"/>
  <c r="C154" i="75" l="1"/>
  <c r="K47" i="42" l="1"/>
  <c r="J47" i="42"/>
  <c r="K11" i="40"/>
  <c r="J11" i="40"/>
  <c r="M11" i="40" s="1"/>
  <c r="M47" i="42" l="1"/>
  <c r="E8" i="85" l="1"/>
  <c r="B162" i="111" l="1"/>
  <c r="Y160" i="111"/>
  <c r="K160" i="111"/>
  <c r="Y159" i="111"/>
  <c r="K159" i="111"/>
  <c r="Y158" i="111"/>
  <c r="K158" i="111"/>
  <c r="Y157" i="111"/>
  <c r="K157" i="111"/>
  <c r="Y156" i="111"/>
  <c r="K156" i="111"/>
  <c r="Y155" i="111"/>
  <c r="K155" i="111"/>
  <c r="Y154" i="111"/>
  <c r="K154" i="111"/>
  <c r="Y153" i="111"/>
  <c r="K153" i="111"/>
  <c r="Y152" i="111"/>
  <c r="K152" i="111"/>
  <c r="Y151" i="111"/>
  <c r="K151" i="111"/>
  <c r="Y150" i="111"/>
  <c r="K150" i="111"/>
  <c r="Y149" i="111"/>
  <c r="K149" i="111"/>
  <c r="Y148" i="111"/>
  <c r="K148" i="111"/>
  <c r="Y147" i="111"/>
  <c r="K147" i="111"/>
  <c r="Y146" i="111"/>
  <c r="K146" i="111"/>
  <c r="Y145" i="111"/>
  <c r="K145" i="111"/>
  <c r="Y144" i="111"/>
  <c r="K144" i="111"/>
  <c r="Y143" i="111"/>
  <c r="K143" i="111"/>
  <c r="Y142" i="111"/>
  <c r="K142" i="111"/>
  <c r="Y141" i="111"/>
  <c r="K141" i="111"/>
  <c r="Y140" i="111"/>
  <c r="K140" i="111"/>
  <c r="Y139" i="111"/>
  <c r="K139" i="111"/>
  <c r="Y138" i="111"/>
  <c r="K138" i="111"/>
  <c r="Y137" i="111"/>
  <c r="K137" i="111"/>
  <c r="Y136" i="111"/>
  <c r="K136" i="111"/>
  <c r="Y135" i="111"/>
  <c r="K135" i="111"/>
  <c r="Y134" i="111"/>
  <c r="K134" i="111"/>
  <c r="Y133" i="111"/>
  <c r="K133" i="111"/>
  <c r="Y132" i="111"/>
  <c r="K132" i="111"/>
  <c r="Y131" i="111"/>
  <c r="K131" i="111"/>
  <c r="Y130" i="111"/>
  <c r="K130" i="111"/>
  <c r="Y129" i="111"/>
  <c r="K129" i="111"/>
  <c r="Y128" i="111"/>
  <c r="K128" i="111"/>
  <c r="Y127" i="111"/>
  <c r="K127" i="111"/>
  <c r="Y126" i="111"/>
  <c r="K126" i="111"/>
  <c r="Y125" i="111"/>
  <c r="K125" i="111"/>
  <c r="Y124" i="111"/>
  <c r="K124" i="111"/>
  <c r="Y123" i="111"/>
  <c r="K123" i="111"/>
  <c r="Y122" i="111"/>
  <c r="K122" i="111"/>
  <c r="Y121" i="111"/>
  <c r="K121" i="111"/>
  <c r="Y120" i="111"/>
  <c r="K120" i="111"/>
  <c r="Y119" i="111"/>
  <c r="K119" i="111"/>
  <c r="Y118" i="111"/>
  <c r="K118" i="111"/>
  <c r="Y117" i="111"/>
  <c r="K117" i="111"/>
  <c r="Y116" i="111"/>
  <c r="K116" i="111"/>
  <c r="Y115" i="111"/>
  <c r="K115" i="111"/>
  <c r="Y114" i="111"/>
  <c r="K114" i="111"/>
  <c r="Y113" i="111"/>
  <c r="K113" i="111"/>
  <c r="Y112" i="111"/>
  <c r="K112" i="111"/>
  <c r="Y111" i="111"/>
  <c r="K111" i="111"/>
  <c r="Y110" i="111"/>
  <c r="K110" i="111"/>
  <c r="Y109" i="111"/>
  <c r="K109" i="111"/>
  <c r="Y108" i="111"/>
  <c r="K108" i="111"/>
  <c r="Y107" i="111"/>
  <c r="K107" i="111"/>
  <c r="Y106" i="111"/>
  <c r="K106" i="111"/>
  <c r="Y105" i="111"/>
  <c r="K105" i="111"/>
  <c r="Y104" i="111"/>
  <c r="K104" i="111"/>
  <c r="Y103" i="111"/>
  <c r="K103" i="111"/>
  <c r="Y102" i="111"/>
  <c r="K102" i="111"/>
  <c r="Y101" i="111"/>
  <c r="K101" i="111"/>
  <c r="Y100" i="111"/>
  <c r="K100" i="111"/>
  <c r="Y99" i="111"/>
  <c r="K99" i="111"/>
  <c r="Y98" i="111"/>
  <c r="K98" i="111"/>
  <c r="Y97" i="111"/>
  <c r="K97" i="111"/>
  <c r="Y96" i="111"/>
  <c r="K96" i="111"/>
  <c r="Y95" i="111"/>
  <c r="K95" i="111"/>
  <c r="Y94" i="111"/>
  <c r="K94" i="111"/>
  <c r="Y93" i="111"/>
  <c r="K93" i="111"/>
  <c r="Y92" i="111"/>
  <c r="K92" i="111"/>
  <c r="Y91" i="111"/>
  <c r="K91" i="111"/>
  <c r="Y90" i="111"/>
  <c r="K90" i="111"/>
  <c r="Y89" i="111"/>
  <c r="K89" i="111"/>
  <c r="Y88" i="111"/>
  <c r="K88" i="111"/>
  <c r="Y87" i="111"/>
  <c r="K87" i="111"/>
  <c r="Y86" i="111"/>
  <c r="K86" i="111"/>
  <c r="Y85" i="111"/>
  <c r="K85" i="111"/>
  <c r="Y84" i="111"/>
  <c r="K84" i="111"/>
  <c r="Y83" i="111"/>
  <c r="K83" i="111"/>
  <c r="Y82" i="111"/>
  <c r="K82" i="111"/>
  <c r="Y81" i="111"/>
  <c r="K81" i="111"/>
  <c r="Y80" i="111"/>
  <c r="K80" i="111"/>
  <c r="Y79" i="111"/>
  <c r="K79" i="111"/>
  <c r="Y78" i="111"/>
  <c r="K78" i="111"/>
  <c r="Y77" i="111"/>
  <c r="K77" i="111"/>
  <c r="Y76" i="111"/>
  <c r="K76" i="111"/>
  <c r="Y75" i="111"/>
  <c r="K75" i="111"/>
  <c r="Y74" i="111"/>
  <c r="K74" i="111"/>
  <c r="Y73" i="111"/>
  <c r="K73" i="111"/>
  <c r="Y72" i="111"/>
  <c r="K72" i="111"/>
  <c r="Y71" i="111"/>
  <c r="K71" i="111"/>
  <c r="Y70" i="111"/>
  <c r="K70" i="111"/>
  <c r="Y69" i="111"/>
  <c r="K69" i="111"/>
  <c r="Y68" i="111"/>
  <c r="K68" i="111"/>
  <c r="Y67" i="111"/>
  <c r="K67" i="111"/>
  <c r="Y66" i="111"/>
  <c r="K66" i="111"/>
  <c r="Y65" i="111"/>
  <c r="K65" i="111"/>
  <c r="Y64" i="111"/>
  <c r="K64" i="111"/>
  <c r="Y63" i="111"/>
  <c r="K63" i="111"/>
  <c r="Y62" i="111"/>
  <c r="K62" i="111"/>
  <c r="Y61" i="111"/>
  <c r="K61" i="111"/>
  <c r="Y60" i="111"/>
  <c r="K60" i="111"/>
  <c r="Y59" i="111"/>
  <c r="K59" i="111"/>
  <c r="Y58" i="111"/>
  <c r="K58" i="111"/>
  <c r="Y57" i="111"/>
  <c r="K57" i="111"/>
  <c r="Y56" i="111"/>
  <c r="K56" i="111"/>
  <c r="Y55" i="111"/>
  <c r="K55" i="111"/>
  <c r="Y54" i="111"/>
  <c r="K54" i="111"/>
  <c r="Y53" i="111"/>
  <c r="K53" i="111"/>
  <c r="Y52" i="111"/>
  <c r="K52" i="111"/>
  <c r="Y51" i="111"/>
  <c r="K51" i="111"/>
  <c r="Y50" i="111"/>
  <c r="K50" i="111"/>
  <c r="Y49" i="111"/>
  <c r="K49" i="111"/>
  <c r="Y48" i="111"/>
  <c r="K48" i="111"/>
  <c r="Y47" i="111"/>
  <c r="K47" i="111"/>
  <c r="Y46" i="111"/>
  <c r="K46" i="111"/>
  <c r="Y45" i="111"/>
  <c r="K45" i="111"/>
  <c r="Y44" i="111"/>
  <c r="K44" i="111"/>
  <c r="Y43" i="111"/>
  <c r="K43" i="111"/>
  <c r="Y42" i="111"/>
  <c r="K42" i="111"/>
  <c r="Y41" i="111"/>
  <c r="K41" i="111"/>
  <c r="Y40" i="111"/>
  <c r="K40" i="111"/>
  <c r="Y39" i="111"/>
  <c r="K39" i="111"/>
  <c r="Y38" i="111"/>
  <c r="K38" i="111"/>
  <c r="Y37" i="111"/>
  <c r="K37" i="111"/>
  <c r="Y36" i="111"/>
  <c r="K36" i="111"/>
  <c r="Y35" i="111"/>
  <c r="K35" i="111"/>
  <c r="Y34" i="111"/>
  <c r="K34" i="111"/>
  <c r="Y33" i="111"/>
  <c r="K33" i="111"/>
  <c r="Y32" i="111"/>
  <c r="K32" i="111"/>
  <c r="Y31" i="111"/>
  <c r="K31" i="111"/>
  <c r="Y30" i="111"/>
  <c r="K30" i="111"/>
  <c r="Y29" i="111"/>
  <c r="K29" i="111"/>
  <c r="Y28" i="111"/>
  <c r="K28" i="111"/>
  <c r="Y27" i="111"/>
  <c r="K27" i="111"/>
  <c r="Y26" i="111"/>
  <c r="K26" i="111"/>
  <c r="Y25" i="111"/>
  <c r="K25" i="111"/>
  <c r="Y24" i="111"/>
  <c r="K24" i="111"/>
  <c r="Y23" i="111"/>
  <c r="K23" i="111"/>
  <c r="Y22" i="111"/>
  <c r="K22" i="111"/>
  <c r="Y21" i="111"/>
  <c r="K21" i="111"/>
  <c r="Y20" i="111"/>
  <c r="K20" i="111"/>
  <c r="Y19" i="111"/>
  <c r="K19" i="111"/>
  <c r="Y18" i="111"/>
  <c r="K18" i="111"/>
  <c r="Y17" i="111"/>
  <c r="K17" i="111"/>
  <c r="Y16" i="111"/>
  <c r="K16" i="111"/>
  <c r="Y15" i="111"/>
  <c r="K15" i="111"/>
  <c r="Y14" i="111"/>
  <c r="K14" i="111"/>
  <c r="Y13" i="111"/>
  <c r="K13" i="111"/>
  <c r="Y12" i="111"/>
  <c r="K12" i="111"/>
  <c r="Y11" i="111"/>
  <c r="K11" i="111"/>
  <c r="Y10" i="111"/>
  <c r="K10" i="111"/>
  <c r="Y9" i="111"/>
  <c r="K9" i="111"/>
  <c r="Y8" i="111"/>
  <c r="K8" i="111"/>
  <c r="X6" i="111"/>
  <c r="W6" i="111"/>
  <c r="V6" i="111"/>
  <c r="U6" i="111"/>
  <c r="T6" i="111"/>
  <c r="S6" i="111"/>
  <c r="R6" i="111"/>
  <c r="Q6" i="111"/>
  <c r="P6" i="111"/>
  <c r="O6" i="111"/>
  <c r="N6" i="111"/>
  <c r="M6" i="111"/>
  <c r="Y6" i="111" l="1"/>
  <c r="J29" i="40"/>
  <c r="K13" i="40"/>
  <c r="J12" i="40"/>
  <c r="C88" i="109" l="1"/>
  <c r="D88" i="109"/>
  <c r="E88" i="109"/>
  <c r="F88" i="109"/>
  <c r="G88" i="109"/>
  <c r="I5" i="109"/>
  <c r="J5" i="109"/>
  <c r="I6" i="109"/>
  <c r="J6" i="109"/>
  <c r="I7" i="109"/>
  <c r="J7" i="109"/>
  <c r="I8" i="109"/>
  <c r="J8" i="109"/>
  <c r="I9" i="109"/>
  <c r="J9" i="109"/>
  <c r="I10" i="109"/>
  <c r="J10" i="109"/>
  <c r="I11" i="109"/>
  <c r="J11" i="109"/>
  <c r="I12" i="109"/>
  <c r="J12" i="109"/>
  <c r="I13" i="109"/>
  <c r="J13" i="109"/>
  <c r="I14" i="109"/>
  <c r="J14" i="109"/>
  <c r="I15" i="109"/>
  <c r="J15" i="109"/>
  <c r="I16" i="109"/>
  <c r="J16" i="109"/>
  <c r="I17" i="109"/>
  <c r="J17" i="109"/>
  <c r="I18" i="109"/>
  <c r="J18" i="109"/>
  <c r="I19" i="109"/>
  <c r="J19" i="109"/>
  <c r="I20" i="109"/>
  <c r="J20" i="109"/>
  <c r="I21" i="109"/>
  <c r="J21" i="109"/>
  <c r="I22" i="109"/>
  <c r="J22" i="109"/>
  <c r="I23" i="109"/>
  <c r="J23" i="109"/>
  <c r="I24" i="109"/>
  <c r="J24" i="109"/>
  <c r="I25" i="109"/>
  <c r="J25" i="109"/>
  <c r="I26" i="109"/>
  <c r="J26" i="109"/>
  <c r="I27" i="109"/>
  <c r="J27" i="109"/>
  <c r="I28" i="109"/>
  <c r="J28" i="109"/>
  <c r="I29" i="109"/>
  <c r="J29" i="109"/>
  <c r="I30" i="109"/>
  <c r="J30" i="109"/>
  <c r="I31" i="109"/>
  <c r="J31" i="109"/>
  <c r="I32" i="109"/>
  <c r="J32" i="109"/>
  <c r="I33" i="109"/>
  <c r="J33" i="109"/>
  <c r="I34" i="109"/>
  <c r="J34" i="109"/>
  <c r="I35" i="109"/>
  <c r="J35" i="109"/>
  <c r="I36" i="109"/>
  <c r="J36" i="109"/>
  <c r="I37" i="109"/>
  <c r="J37" i="109"/>
  <c r="I38" i="109"/>
  <c r="J38" i="109"/>
  <c r="I39" i="109"/>
  <c r="J39" i="109"/>
  <c r="I40" i="109"/>
  <c r="J40" i="109"/>
  <c r="I41" i="109"/>
  <c r="J41" i="109"/>
  <c r="I42" i="109"/>
  <c r="J42" i="109"/>
  <c r="I43" i="109"/>
  <c r="J43" i="109"/>
  <c r="I44" i="109"/>
  <c r="J44" i="109"/>
  <c r="I45" i="109"/>
  <c r="J45" i="109"/>
  <c r="I46" i="109"/>
  <c r="J46" i="109"/>
  <c r="I47" i="109"/>
  <c r="J47" i="109"/>
  <c r="I48" i="109"/>
  <c r="J48" i="109"/>
  <c r="I49" i="109"/>
  <c r="J49" i="109"/>
  <c r="I50" i="109"/>
  <c r="J50" i="109"/>
  <c r="I51" i="109"/>
  <c r="J51" i="109"/>
  <c r="I52" i="109"/>
  <c r="J52" i="109"/>
  <c r="I53" i="109"/>
  <c r="J53" i="109"/>
  <c r="I54" i="109"/>
  <c r="J54" i="109"/>
  <c r="I55" i="109"/>
  <c r="J55" i="109"/>
  <c r="I56" i="109"/>
  <c r="J56" i="109"/>
  <c r="I57" i="109"/>
  <c r="J57" i="109"/>
  <c r="I58" i="109"/>
  <c r="J58" i="109"/>
  <c r="I59" i="109"/>
  <c r="J59" i="109"/>
  <c r="I60" i="109"/>
  <c r="J60" i="109"/>
  <c r="I61" i="109"/>
  <c r="J61" i="109"/>
  <c r="I62" i="109"/>
  <c r="J62" i="109"/>
  <c r="I63" i="109"/>
  <c r="J63" i="109"/>
  <c r="I64" i="109"/>
  <c r="J64" i="109"/>
  <c r="I65" i="109"/>
  <c r="J65" i="109"/>
  <c r="I66" i="109"/>
  <c r="J66" i="109"/>
  <c r="I67" i="109"/>
  <c r="J67" i="109"/>
  <c r="I68" i="109"/>
  <c r="J68" i="109"/>
  <c r="I69" i="109"/>
  <c r="J69" i="109"/>
  <c r="I70" i="109"/>
  <c r="J70" i="109"/>
  <c r="I71" i="109"/>
  <c r="J71" i="109"/>
  <c r="I72" i="109"/>
  <c r="J72" i="109"/>
  <c r="I73" i="109"/>
  <c r="J73" i="109"/>
  <c r="I74" i="109"/>
  <c r="J74" i="109"/>
  <c r="I75" i="109"/>
  <c r="J75" i="109"/>
  <c r="I76" i="109"/>
  <c r="J76" i="109"/>
  <c r="I77" i="109"/>
  <c r="J77" i="109"/>
  <c r="I78" i="109"/>
  <c r="J78" i="109"/>
  <c r="I79" i="109"/>
  <c r="J79" i="109"/>
  <c r="I80" i="109"/>
  <c r="J80" i="109"/>
  <c r="I81" i="109"/>
  <c r="J81" i="109"/>
  <c r="I82" i="109"/>
  <c r="J82" i="109"/>
  <c r="I83" i="109"/>
  <c r="J83" i="109"/>
  <c r="I84" i="109"/>
  <c r="J84" i="109"/>
  <c r="I85" i="109"/>
  <c r="J85" i="109"/>
  <c r="I86" i="109"/>
  <c r="J86" i="109"/>
  <c r="I87" i="109"/>
  <c r="J87" i="109"/>
  <c r="J4" i="109"/>
  <c r="I4" i="109"/>
  <c r="K69" i="109" l="1"/>
  <c r="L69" i="109" s="1"/>
  <c r="L94" i="109" s="1"/>
  <c r="K61" i="109"/>
  <c r="L61" i="109" s="1"/>
  <c r="K37" i="109"/>
  <c r="L37" i="109" s="1"/>
  <c r="K36" i="109"/>
  <c r="L36" i="109" s="1"/>
  <c r="K60" i="109"/>
  <c r="L60" i="109" s="1"/>
  <c r="K28" i="109"/>
  <c r="L28" i="109" s="1"/>
  <c r="L93" i="109" s="1"/>
  <c r="K29" i="109"/>
  <c r="L29" i="109" s="1"/>
  <c r="K52" i="109"/>
  <c r="L52" i="109" s="1"/>
  <c r="K44" i="109"/>
  <c r="L44" i="109" s="1"/>
  <c r="K84" i="109"/>
  <c r="L84" i="109" s="1"/>
  <c r="K76" i="109"/>
  <c r="L76" i="109" s="1"/>
  <c r="K20" i="109"/>
  <c r="L20" i="109" s="1"/>
  <c r="K12" i="109"/>
  <c r="L12" i="109" s="1"/>
  <c r="K85" i="109"/>
  <c r="L85" i="109" s="1"/>
  <c r="K53" i="109"/>
  <c r="L53" i="109" s="1"/>
  <c r="K21" i="109"/>
  <c r="L21" i="109" s="1"/>
  <c r="K77" i="109"/>
  <c r="L77" i="109" s="1"/>
  <c r="K68" i="109"/>
  <c r="L68" i="109" s="1"/>
  <c r="K45" i="109"/>
  <c r="L45" i="109" s="1"/>
  <c r="K13" i="109"/>
  <c r="L13" i="109" s="1"/>
  <c r="K5" i="109"/>
  <c r="L5" i="109" s="1"/>
  <c r="J88" i="109"/>
  <c r="I88" i="109"/>
  <c r="K80" i="109"/>
  <c r="L80" i="109" s="1"/>
  <c r="K78" i="109"/>
  <c r="L78" i="109" s="1"/>
  <c r="K75" i="109"/>
  <c r="L75" i="109" s="1"/>
  <c r="K73" i="109"/>
  <c r="L73" i="109" s="1"/>
  <c r="K64" i="109"/>
  <c r="L64" i="109" s="1"/>
  <c r="K62" i="109"/>
  <c r="L62" i="109" s="1"/>
  <c r="K59" i="109"/>
  <c r="L59" i="109" s="1"/>
  <c r="K57" i="109"/>
  <c r="L57" i="109" s="1"/>
  <c r="K48" i="109"/>
  <c r="L48" i="109" s="1"/>
  <c r="K46" i="109"/>
  <c r="L46" i="109" s="1"/>
  <c r="K43" i="109"/>
  <c r="L43" i="109" s="1"/>
  <c r="K41" i="109"/>
  <c r="L41" i="109" s="1"/>
  <c r="K32" i="109"/>
  <c r="L32" i="109" s="1"/>
  <c r="K30" i="109"/>
  <c r="L30" i="109" s="1"/>
  <c r="K27" i="109"/>
  <c r="L27" i="109" s="1"/>
  <c r="L92" i="109" s="1"/>
  <c r="K25" i="109"/>
  <c r="L25" i="109" s="1"/>
  <c r="K16" i="109"/>
  <c r="L16" i="109" s="1"/>
  <c r="K14" i="109"/>
  <c r="L14" i="109" s="1"/>
  <c r="K11" i="109"/>
  <c r="L11" i="109" s="1"/>
  <c r="K9" i="109"/>
  <c r="L9" i="109" s="1"/>
  <c r="K4" i="109"/>
  <c r="L4" i="109" s="1"/>
  <c r="K86" i="109"/>
  <c r="L86" i="109" s="1"/>
  <c r="K83" i="109"/>
  <c r="L83" i="109" s="1"/>
  <c r="K81" i="109"/>
  <c r="L81" i="109" s="1"/>
  <c r="K72" i="109"/>
  <c r="L72" i="109" s="1"/>
  <c r="K70" i="109"/>
  <c r="L70" i="109" s="1"/>
  <c r="K67" i="109"/>
  <c r="L67" i="109" s="1"/>
  <c r="K65" i="109"/>
  <c r="L65" i="109" s="1"/>
  <c r="K56" i="109"/>
  <c r="L56" i="109" s="1"/>
  <c r="K54" i="109"/>
  <c r="L54" i="109" s="1"/>
  <c r="K51" i="109"/>
  <c r="L51" i="109" s="1"/>
  <c r="K49" i="109"/>
  <c r="L49" i="109" s="1"/>
  <c r="K40" i="109"/>
  <c r="L40" i="109" s="1"/>
  <c r="K38" i="109"/>
  <c r="L38" i="109" s="1"/>
  <c r="K35" i="109"/>
  <c r="L35" i="109" s="1"/>
  <c r="K33" i="109"/>
  <c r="L33" i="109" s="1"/>
  <c r="K24" i="109"/>
  <c r="L24" i="109" s="1"/>
  <c r="L91" i="109" s="1"/>
  <c r="K22" i="109"/>
  <c r="L22" i="109" s="1"/>
  <c r="K19" i="109"/>
  <c r="L19" i="109" s="1"/>
  <c r="K17" i="109"/>
  <c r="L17" i="109" s="1"/>
  <c r="K8" i="109"/>
  <c r="L8" i="109" s="1"/>
  <c r="K6" i="109"/>
  <c r="L6" i="109" s="1"/>
  <c r="K87" i="109"/>
  <c r="L87" i="109" s="1"/>
  <c r="K82" i="109"/>
  <c r="L82" i="109" s="1"/>
  <c r="K79" i="109"/>
  <c r="L79" i="109" s="1"/>
  <c r="K74" i="109"/>
  <c r="L74" i="109" s="1"/>
  <c r="K71" i="109"/>
  <c r="L71" i="109" s="1"/>
  <c r="K66" i="109"/>
  <c r="L66" i="109" s="1"/>
  <c r="K63" i="109"/>
  <c r="L63" i="109" s="1"/>
  <c r="K58" i="109"/>
  <c r="L58" i="109" s="1"/>
  <c r="K55" i="109"/>
  <c r="L55" i="109" s="1"/>
  <c r="K50" i="109"/>
  <c r="L50" i="109" s="1"/>
  <c r="K47" i="109"/>
  <c r="L47" i="109" s="1"/>
  <c r="K42" i="109"/>
  <c r="L42" i="109" s="1"/>
  <c r="K39" i="109"/>
  <c r="L39" i="109" s="1"/>
  <c r="K34" i="109"/>
  <c r="L34" i="109" s="1"/>
  <c r="K31" i="109"/>
  <c r="L31" i="109" s="1"/>
  <c r="K26" i="109"/>
  <c r="L26" i="109" s="1"/>
  <c r="K23" i="109"/>
  <c r="L23" i="109" s="1"/>
  <c r="K18" i="109"/>
  <c r="L18" i="109" s="1"/>
  <c r="K15" i="109"/>
  <c r="L15" i="109" s="1"/>
  <c r="K10" i="109"/>
  <c r="L10" i="109" s="1"/>
  <c r="K7" i="109"/>
  <c r="L7" i="109" s="1"/>
  <c r="K88" i="109" l="1"/>
  <c r="G20" i="85" l="1"/>
  <c r="A488" i="93" l="1"/>
  <c r="A487" i="93"/>
  <c r="A426" i="93"/>
  <c r="A425" i="93"/>
  <c r="A366" i="93"/>
  <c r="A365" i="93"/>
  <c r="A304" i="93"/>
  <c r="A303" i="93"/>
  <c r="A246" i="93"/>
  <c r="A245" i="93"/>
  <c r="A186" i="93"/>
  <c r="A185" i="93"/>
  <c r="A126" i="93"/>
  <c r="A125" i="93"/>
  <c r="A67" i="93"/>
  <c r="A66" i="93"/>
  <c r="M2" i="88" l="1"/>
  <c r="H10" i="70" l="1"/>
  <c r="H11" i="70"/>
  <c r="H12" i="70"/>
  <c r="H13" i="70"/>
  <c r="H14" i="70"/>
  <c r="H15" i="70"/>
  <c r="H16" i="70"/>
  <c r="H17" i="70"/>
  <c r="H18" i="70"/>
  <c r="H19" i="70"/>
  <c r="H20" i="70"/>
  <c r="H21" i="70"/>
  <c r="J8" i="11"/>
  <c r="K8" i="11"/>
  <c r="I9" i="11"/>
  <c r="J9" i="11"/>
  <c r="I10" i="11"/>
  <c r="J10" i="11"/>
  <c r="I11" i="11"/>
  <c r="K11" i="11"/>
  <c r="I12" i="11"/>
  <c r="K12" i="11"/>
  <c r="I13" i="11"/>
  <c r="J13" i="11"/>
  <c r="I14" i="11"/>
  <c r="J14" i="11"/>
  <c r="I15" i="11"/>
  <c r="J15" i="11"/>
  <c r="J16" i="11"/>
  <c r="K16" i="11"/>
  <c r="I17" i="11"/>
  <c r="J17" i="11"/>
  <c r="I18" i="11"/>
  <c r="J18" i="11"/>
  <c r="I19" i="11"/>
  <c r="J19" i="11"/>
  <c r="I20" i="11"/>
  <c r="J20" i="11"/>
  <c r="I21" i="11"/>
  <c r="J21" i="11"/>
  <c r="I22" i="11"/>
  <c r="K22" i="11"/>
  <c r="I23" i="11"/>
  <c r="J23" i="11"/>
  <c r="J24" i="11"/>
  <c r="K24" i="11"/>
  <c r="I25" i="11"/>
  <c r="J25" i="11"/>
  <c r="I26" i="11"/>
  <c r="K26" i="11"/>
  <c r="I27" i="11"/>
  <c r="J27" i="11"/>
  <c r="I28" i="11"/>
  <c r="K28" i="11"/>
  <c r="I29" i="11"/>
  <c r="J29" i="11"/>
  <c r="I30" i="11"/>
  <c r="J30" i="11"/>
  <c r="I31" i="11"/>
  <c r="J31" i="11"/>
  <c r="J32" i="11"/>
  <c r="K32" i="11"/>
  <c r="I33" i="11"/>
  <c r="J33" i="11"/>
  <c r="I34" i="11"/>
  <c r="J34" i="11"/>
  <c r="I35" i="11"/>
  <c r="J35" i="11"/>
  <c r="I36" i="11"/>
  <c r="J36" i="11"/>
  <c r="I37" i="11"/>
  <c r="J37" i="11"/>
  <c r="J38" i="11"/>
  <c r="K38" i="11"/>
  <c r="I39" i="11"/>
  <c r="J39" i="11"/>
  <c r="I40" i="11"/>
  <c r="J40" i="11"/>
  <c r="I41" i="11"/>
  <c r="K41" i="11"/>
  <c r="I42" i="11"/>
  <c r="J42" i="11"/>
  <c r="I43" i="11"/>
  <c r="K43" i="11"/>
  <c r="J44" i="11"/>
  <c r="K44" i="11"/>
  <c r="J45" i="11"/>
  <c r="K45" i="11"/>
  <c r="I46" i="11"/>
  <c r="K46" i="11"/>
  <c r="I47" i="11"/>
  <c r="J47" i="11"/>
  <c r="I48" i="11"/>
  <c r="J48" i="11"/>
  <c r="I49" i="11"/>
  <c r="K49" i="11"/>
  <c r="I50" i="11"/>
  <c r="J50" i="11"/>
  <c r="I51" i="11"/>
  <c r="K51" i="11"/>
  <c r="J52" i="11"/>
  <c r="K52" i="11"/>
  <c r="I53" i="11"/>
  <c r="K53" i="11"/>
  <c r="J54" i="11"/>
  <c r="K54" i="11"/>
  <c r="I55" i="11"/>
  <c r="J55" i="11"/>
  <c r="I7" i="11"/>
  <c r="J7" i="11"/>
  <c r="I6" i="11"/>
  <c r="J77" i="40"/>
  <c r="K77" i="40"/>
  <c r="E78" i="40"/>
  <c r="G78" i="40"/>
  <c r="H78" i="40"/>
  <c r="D78" i="40"/>
  <c r="J75" i="42"/>
  <c r="K75" i="42"/>
  <c r="J76" i="42"/>
  <c r="K76" i="42"/>
  <c r="J77" i="42"/>
  <c r="K77" i="42"/>
  <c r="J78" i="42"/>
  <c r="K78" i="42"/>
  <c r="E79" i="42"/>
  <c r="G79" i="42"/>
  <c r="H79" i="42"/>
  <c r="D79" i="42"/>
  <c r="M77" i="42" l="1"/>
  <c r="M75" i="42"/>
  <c r="M78" i="42"/>
  <c r="M76" i="42"/>
  <c r="M77" i="40"/>
  <c r="H4" i="9" l="1"/>
  <c r="M7" i="67"/>
  <c r="N7" i="67"/>
  <c r="O7" i="67"/>
  <c r="M8" i="67"/>
  <c r="N8" i="67"/>
  <c r="O8" i="67"/>
  <c r="M9" i="67"/>
  <c r="N9" i="67"/>
  <c r="O9" i="67"/>
  <c r="M10" i="67"/>
  <c r="N10" i="67"/>
  <c r="O10" i="67"/>
  <c r="M11" i="67"/>
  <c r="N11" i="67"/>
  <c r="O11" i="67"/>
  <c r="M12" i="67"/>
  <c r="N12" i="67"/>
  <c r="O12" i="67"/>
  <c r="M13" i="67"/>
  <c r="N13" i="67"/>
  <c r="O13" i="67"/>
  <c r="M14" i="67"/>
  <c r="N14" i="67"/>
  <c r="O14" i="67"/>
  <c r="M15" i="67"/>
  <c r="N15" i="67"/>
  <c r="O15" i="67"/>
  <c r="M16" i="67"/>
  <c r="N16" i="67"/>
  <c r="O16" i="67"/>
  <c r="M17" i="67"/>
  <c r="N17" i="67"/>
  <c r="O17" i="67"/>
  <c r="M18" i="67"/>
  <c r="N18" i="67"/>
  <c r="O18" i="67"/>
  <c r="M19" i="67"/>
  <c r="N19" i="67"/>
  <c r="O19" i="67"/>
  <c r="M20" i="67"/>
  <c r="N20" i="67"/>
  <c r="O20" i="67"/>
  <c r="M21" i="67"/>
  <c r="N21" i="67"/>
  <c r="O21" i="67"/>
  <c r="M22" i="67"/>
  <c r="N22" i="67"/>
  <c r="O22" i="67"/>
  <c r="M23" i="67"/>
  <c r="N23" i="67"/>
  <c r="O23" i="67"/>
  <c r="M24" i="67"/>
  <c r="N24" i="67"/>
  <c r="O24" i="67"/>
  <c r="M25" i="67"/>
  <c r="N25" i="67"/>
  <c r="O25" i="67"/>
  <c r="M26" i="67"/>
  <c r="N26" i="67"/>
  <c r="O26" i="67"/>
  <c r="M27" i="67"/>
  <c r="N27" i="67"/>
  <c r="O27" i="67"/>
  <c r="M28" i="67"/>
  <c r="N28" i="67"/>
  <c r="O28" i="67"/>
  <c r="M29" i="67"/>
  <c r="N29" i="67"/>
  <c r="O29" i="67"/>
  <c r="M30" i="67"/>
  <c r="N30" i="67"/>
  <c r="O30" i="67"/>
  <c r="M31" i="67"/>
  <c r="N31" i="67"/>
  <c r="O31" i="67"/>
  <c r="M32" i="67"/>
  <c r="N32" i="67"/>
  <c r="O32" i="67"/>
  <c r="M33" i="67"/>
  <c r="N33" i="67"/>
  <c r="O33" i="67"/>
  <c r="M34" i="67"/>
  <c r="N34" i="67"/>
  <c r="O34" i="67"/>
  <c r="M35" i="67"/>
  <c r="N35" i="67"/>
  <c r="O35" i="67"/>
  <c r="M36" i="67"/>
  <c r="N36" i="67"/>
  <c r="O36" i="67"/>
  <c r="M37" i="67"/>
  <c r="N37" i="67"/>
  <c r="O37" i="67"/>
  <c r="M38" i="67"/>
  <c r="N38" i="67"/>
  <c r="O38" i="67"/>
  <c r="M39" i="67"/>
  <c r="N39" i="67"/>
  <c r="O39" i="67"/>
  <c r="M40" i="67"/>
  <c r="N40" i="67"/>
  <c r="O40" i="67"/>
  <c r="M41" i="67"/>
  <c r="N41" i="67"/>
  <c r="O41" i="67"/>
  <c r="M42" i="67"/>
  <c r="N42" i="67"/>
  <c r="O42" i="67"/>
  <c r="M43" i="67"/>
  <c r="N43" i="67"/>
  <c r="O43" i="67"/>
  <c r="M44" i="67"/>
  <c r="N44" i="67"/>
  <c r="O44" i="67"/>
  <c r="M45" i="67"/>
  <c r="N45" i="67"/>
  <c r="O45" i="67"/>
  <c r="M46" i="67"/>
  <c r="N46" i="67"/>
  <c r="O46" i="67"/>
  <c r="M47" i="67"/>
  <c r="N47" i="67"/>
  <c r="O47" i="67"/>
  <c r="M48" i="67"/>
  <c r="N48" i="67"/>
  <c r="O48" i="67"/>
  <c r="M49" i="67"/>
  <c r="N49" i="67"/>
  <c r="O49" i="67"/>
  <c r="M50" i="67"/>
  <c r="N50" i="67"/>
  <c r="O50" i="67"/>
  <c r="M51" i="67"/>
  <c r="N51" i="67"/>
  <c r="O51" i="67"/>
  <c r="M52" i="67"/>
  <c r="N52" i="67"/>
  <c r="O52" i="67"/>
  <c r="M53" i="67"/>
  <c r="N53" i="67"/>
  <c r="O53" i="67"/>
  <c r="M54" i="67"/>
  <c r="N54" i="67"/>
  <c r="O54" i="67"/>
  <c r="M55" i="67"/>
  <c r="N55" i="67"/>
  <c r="O55" i="67"/>
  <c r="M56" i="67"/>
  <c r="N56" i="67"/>
  <c r="O56" i="67"/>
  <c r="M57" i="67"/>
  <c r="N57" i="67"/>
  <c r="O57" i="67"/>
  <c r="M58" i="67"/>
  <c r="N58" i="67"/>
  <c r="O58" i="67"/>
  <c r="M59" i="67"/>
  <c r="N59" i="67"/>
  <c r="O59" i="67"/>
  <c r="M60" i="67"/>
  <c r="N60" i="67"/>
  <c r="O60" i="67"/>
  <c r="M61" i="67"/>
  <c r="N61" i="67"/>
  <c r="O61" i="67"/>
  <c r="M62" i="67"/>
  <c r="N62" i="67"/>
  <c r="O62" i="67"/>
  <c r="M63" i="67"/>
  <c r="N63" i="67"/>
  <c r="O63" i="67"/>
  <c r="M64" i="67"/>
  <c r="N64" i="67"/>
  <c r="O64" i="67"/>
  <c r="M65" i="67"/>
  <c r="N65" i="67"/>
  <c r="O65" i="67"/>
  <c r="M66" i="67"/>
  <c r="N66" i="67"/>
  <c r="O66" i="67"/>
  <c r="M67" i="67"/>
  <c r="N67" i="67"/>
  <c r="O67" i="67"/>
  <c r="M68" i="67"/>
  <c r="N68" i="67"/>
  <c r="O68" i="67"/>
  <c r="M69" i="67"/>
  <c r="N69" i="67"/>
  <c r="O69" i="67"/>
  <c r="M70" i="67"/>
  <c r="N70" i="67"/>
  <c r="O70" i="67"/>
  <c r="M71" i="67"/>
  <c r="N71" i="67"/>
  <c r="O71" i="67"/>
  <c r="M72" i="67"/>
  <c r="N72" i="67"/>
  <c r="O72" i="67"/>
  <c r="M73" i="67"/>
  <c r="N73" i="67"/>
  <c r="O73" i="67"/>
  <c r="M74" i="67"/>
  <c r="N74" i="67"/>
  <c r="O74" i="67"/>
  <c r="M75" i="67"/>
  <c r="N75" i="67"/>
  <c r="O75" i="67"/>
  <c r="M76" i="67"/>
  <c r="N76" i="67"/>
  <c r="O76" i="67"/>
  <c r="M77" i="67"/>
  <c r="N77" i="67"/>
  <c r="O77" i="67"/>
  <c r="M78" i="67"/>
  <c r="N78" i="67"/>
  <c r="O78" i="67"/>
  <c r="M79" i="67"/>
  <c r="N79" i="67"/>
  <c r="O79" i="67"/>
  <c r="M80" i="67"/>
  <c r="N80" i="67"/>
  <c r="O80" i="67"/>
  <c r="M81" i="67"/>
  <c r="N81" i="67"/>
  <c r="O81" i="67"/>
  <c r="M82" i="67"/>
  <c r="N82" i="67"/>
  <c r="O82" i="67"/>
  <c r="M83" i="67"/>
  <c r="N83" i="67"/>
  <c r="O83" i="67"/>
  <c r="M84" i="67"/>
  <c r="N84" i="67"/>
  <c r="O84" i="67"/>
  <c r="M85" i="67"/>
  <c r="N85" i="67"/>
  <c r="O85" i="67"/>
  <c r="M86" i="67"/>
  <c r="N86" i="67"/>
  <c r="O86" i="67"/>
  <c r="M87" i="67"/>
  <c r="N87" i="67"/>
  <c r="O87" i="67"/>
  <c r="M88" i="67"/>
  <c r="N88" i="67"/>
  <c r="O88" i="67"/>
  <c r="M89" i="67"/>
  <c r="N89" i="67"/>
  <c r="O89" i="67"/>
  <c r="M90" i="67"/>
  <c r="N90" i="67"/>
  <c r="O90" i="67"/>
  <c r="M91" i="67"/>
  <c r="N91" i="67"/>
  <c r="O91" i="67"/>
  <c r="M92" i="67"/>
  <c r="N92" i="67"/>
  <c r="O92" i="67"/>
  <c r="M93" i="67"/>
  <c r="N93" i="67"/>
  <c r="O93" i="67"/>
  <c r="M94" i="67"/>
  <c r="N94" i="67"/>
  <c r="O94" i="67"/>
  <c r="M95" i="67"/>
  <c r="N95" i="67"/>
  <c r="O95" i="67"/>
  <c r="M96" i="67"/>
  <c r="N96" i="67"/>
  <c r="O96" i="67"/>
  <c r="M97" i="67"/>
  <c r="N97" i="67"/>
  <c r="O97" i="67"/>
  <c r="M98" i="67"/>
  <c r="N98" i="67"/>
  <c r="O98" i="67"/>
  <c r="M99" i="67"/>
  <c r="N99" i="67"/>
  <c r="O99" i="67"/>
  <c r="M100" i="67"/>
  <c r="N100" i="67"/>
  <c r="O100" i="67"/>
  <c r="O6" i="67"/>
  <c r="N6" i="67"/>
  <c r="M6" i="67"/>
  <c r="E101" i="67"/>
  <c r="F101" i="67"/>
  <c r="G101" i="67"/>
  <c r="H101" i="67"/>
  <c r="I101" i="67"/>
  <c r="J101" i="67"/>
  <c r="K101" i="67"/>
  <c r="L101" i="67"/>
  <c r="D101" i="67"/>
  <c r="Q7" i="67"/>
  <c r="Q8" i="67"/>
  <c r="Q9" i="67"/>
  <c r="Q10" i="67"/>
  <c r="Q11" i="67"/>
  <c r="Q12" i="67"/>
  <c r="Q13" i="67"/>
  <c r="Q14" i="67"/>
  <c r="Q15" i="67"/>
  <c r="Q16" i="67"/>
  <c r="Q17" i="67"/>
  <c r="Q18" i="67"/>
  <c r="Q19" i="67"/>
  <c r="Q20" i="67"/>
  <c r="Q21" i="67"/>
  <c r="Q22" i="67"/>
  <c r="Q23" i="67"/>
  <c r="Q24" i="67"/>
  <c r="Q25" i="67"/>
  <c r="Q26" i="67"/>
  <c r="Q27" i="67"/>
  <c r="Q28" i="67"/>
  <c r="Q29" i="67"/>
  <c r="Q30" i="67"/>
  <c r="Q31" i="67"/>
  <c r="Q32" i="67"/>
  <c r="Q33" i="67"/>
  <c r="Q34" i="67"/>
  <c r="Q35" i="67"/>
  <c r="Q36" i="67"/>
  <c r="Q37" i="67"/>
  <c r="Q38" i="67"/>
  <c r="Q39" i="67"/>
  <c r="Q40" i="67"/>
  <c r="Q41" i="67"/>
  <c r="Q42" i="67"/>
  <c r="Q43" i="67"/>
  <c r="Q44" i="67"/>
  <c r="Q45" i="67"/>
  <c r="Q46" i="67"/>
  <c r="Q47" i="67"/>
  <c r="Q48" i="67"/>
  <c r="Q49" i="67"/>
  <c r="Q50" i="67"/>
  <c r="Q51" i="67"/>
  <c r="Q52" i="67"/>
  <c r="Q53" i="67"/>
  <c r="Q54" i="67"/>
  <c r="Q55" i="67"/>
  <c r="Q56" i="67"/>
  <c r="Q57" i="67"/>
  <c r="Q58" i="67"/>
  <c r="Q59" i="67"/>
  <c r="Q60" i="67"/>
  <c r="Q61" i="67"/>
  <c r="Q62" i="67"/>
  <c r="Q63" i="67"/>
  <c r="Q64" i="67"/>
  <c r="Q65" i="67"/>
  <c r="Q66" i="67"/>
  <c r="Q67" i="67"/>
  <c r="Q68" i="67"/>
  <c r="Q69" i="67"/>
  <c r="Q70" i="67"/>
  <c r="Q71" i="67"/>
  <c r="Q72" i="67"/>
  <c r="Q73" i="67"/>
  <c r="Q74" i="67"/>
  <c r="Q75" i="67"/>
  <c r="Q76" i="67"/>
  <c r="Q77" i="67"/>
  <c r="Q78" i="67"/>
  <c r="Q79" i="67"/>
  <c r="Q80" i="67"/>
  <c r="Q81" i="67"/>
  <c r="Q82" i="67"/>
  <c r="Q83" i="67"/>
  <c r="Q84" i="67"/>
  <c r="Q85" i="67"/>
  <c r="Q86" i="67"/>
  <c r="Q87" i="67"/>
  <c r="Q88" i="67"/>
  <c r="Q89" i="67"/>
  <c r="Q90" i="67"/>
  <c r="Q91" i="67"/>
  <c r="Q92" i="67"/>
  <c r="Q93" i="67"/>
  <c r="Q94" i="67"/>
  <c r="Q95" i="67"/>
  <c r="Q96" i="67"/>
  <c r="Q97" i="67"/>
  <c r="Q98" i="67"/>
  <c r="Q99" i="67"/>
  <c r="Q100" i="67"/>
  <c r="P80" i="67" l="1"/>
  <c r="R80" i="67" s="1"/>
  <c r="P48" i="67"/>
  <c r="R48" i="67" s="1"/>
  <c r="P16" i="67"/>
  <c r="R16" i="67" s="1"/>
  <c r="P96" i="67"/>
  <c r="P64" i="67"/>
  <c r="R64" i="67" s="1"/>
  <c r="P32" i="67"/>
  <c r="R32" i="67" s="1"/>
  <c r="P72" i="67"/>
  <c r="R72" i="67" s="1"/>
  <c r="P40" i="67"/>
  <c r="R40" i="67" s="1"/>
  <c r="P8" i="67"/>
  <c r="R8" i="67" s="1"/>
  <c r="P88" i="67"/>
  <c r="R88" i="67" s="1"/>
  <c r="P56" i="67"/>
  <c r="R56" i="67" s="1"/>
  <c r="P24" i="67"/>
  <c r="R24" i="67" s="1"/>
  <c r="R106" i="67" s="1"/>
  <c r="P98" i="67"/>
  <c r="R98" i="67" s="1"/>
  <c r="P94" i="67"/>
  <c r="R94" i="67" s="1"/>
  <c r="P90" i="67"/>
  <c r="R90" i="67" s="1"/>
  <c r="P86" i="67"/>
  <c r="R86" i="67" s="1"/>
  <c r="P82" i="67"/>
  <c r="R82" i="67" s="1"/>
  <c r="P78" i="67"/>
  <c r="R78" i="67" s="1"/>
  <c r="P74" i="67"/>
  <c r="R74" i="67" s="1"/>
  <c r="P70" i="67"/>
  <c r="R70" i="67" s="1"/>
  <c r="P66" i="67"/>
  <c r="R66" i="67" s="1"/>
  <c r="P62" i="67"/>
  <c r="R62" i="67" s="1"/>
  <c r="P58" i="67"/>
  <c r="R58" i="67" s="1"/>
  <c r="P54" i="67"/>
  <c r="R54" i="67" s="1"/>
  <c r="P50" i="67"/>
  <c r="R50" i="67" s="1"/>
  <c r="R103" i="67" s="1"/>
  <c r="P46" i="67"/>
  <c r="R46" i="67" s="1"/>
  <c r="P42" i="67"/>
  <c r="R42" i="67" s="1"/>
  <c r="P38" i="67"/>
  <c r="R38" i="67" s="1"/>
  <c r="P34" i="67"/>
  <c r="R34" i="67" s="1"/>
  <c r="P30" i="67"/>
  <c r="R30" i="67" s="1"/>
  <c r="P26" i="67"/>
  <c r="R26" i="67" s="1"/>
  <c r="P22" i="67"/>
  <c r="R22" i="67" s="1"/>
  <c r="P18" i="67"/>
  <c r="R18" i="67" s="1"/>
  <c r="P14" i="67"/>
  <c r="R14" i="67" s="1"/>
  <c r="P10" i="67"/>
  <c r="R10" i="67" s="1"/>
  <c r="P6" i="67"/>
  <c r="P99" i="67"/>
  <c r="R99" i="67" s="1"/>
  <c r="P95" i="67"/>
  <c r="R95" i="67" s="1"/>
  <c r="P93" i="67"/>
  <c r="R93" i="67" s="1"/>
  <c r="P91" i="67"/>
  <c r="R91" i="67" s="1"/>
  <c r="P87" i="67"/>
  <c r="R87" i="67" s="1"/>
  <c r="P85" i="67"/>
  <c r="R85" i="67" s="1"/>
  <c r="P83" i="67"/>
  <c r="R83" i="67" s="1"/>
  <c r="P79" i="67"/>
  <c r="R79" i="67" s="1"/>
  <c r="P77" i="67"/>
  <c r="R77" i="67" s="1"/>
  <c r="P75" i="67"/>
  <c r="R75" i="67" s="1"/>
  <c r="P71" i="67"/>
  <c r="R71" i="67" s="1"/>
  <c r="P69" i="67"/>
  <c r="R69" i="67" s="1"/>
  <c r="R105" i="67" s="1"/>
  <c r="P67" i="67"/>
  <c r="R67" i="67" s="1"/>
  <c r="P63" i="67"/>
  <c r="R63" i="67" s="1"/>
  <c r="P61" i="67"/>
  <c r="R61" i="67" s="1"/>
  <c r="P59" i="67"/>
  <c r="R59" i="67" s="1"/>
  <c r="P55" i="67"/>
  <c r="R55" i="67" s="1"/>
  <c r="P53" i="67"/>
  <c r="R53" i="67" s="1"/>
  <c r="P51" i="67"/>
  <c r="R51" i="67" s="1"/>
  <c r="P47" i="67"/>
  <c r="R47" i="67" s="1"/>
  <c r="P45" i="67"/>
  <c r="R45" i="67" s="1"/>
  <c r="P43" i="67"/>
  <c r="R43" i="67" s="1"/>
  <c r="P39" i="67"/>
  <c r="R39" i="67" s="1"/>
  <c r="P37" i="67"/>
  <c r="R37" i="67" s="1"/>
  <c r="P35" i="67"/>
  <c r="R35" i="67" s="1"/>
  <c r="P31" i="67"/>
  <c r="R31" i="67" s="1"/>
  <c r="P29" i="67"/>
  <c r="R29" i="67" s="1"/>
  <c r="P27" i="67"/>
  <c r="R27" i="67" s="1"/>
  <c r="P23" i="67"/>
  <c r="R23" i="67" s="1"/>
  <c r="P21" i="67"/>
  <c r="R21" i="67" s="1"/>
  <c r="R104" i="67" s="1"/>
  <c r="P19" i="67"/>
  <c r="R19" i="67" s="1"/>
  <c r="P15" i="67"/>
  <c r="R15" i="67" s="1"/>
  <c r="P13" i="67"/>
  <c r="R13" i="67" s="1"/>
  <c r="P11" i="67"/>
  <c r="R11" i="67" s="1"/>
  <c r="P7" i="67"/>
  <c r="R7" i="67" s="1"/>
  <c r="P97" i="67"/>
  <c r="R97" i="67" s="1"/>
  <c r="P89" i="67"/>
  <c r="R89" i="67" s="1"/>
  <c r="P81" i="67"/>
  <c r="R81" i="67" s="1"/>
  <c r="P73" i="67"/>
  <c r="R73" i="67" s="1"/>
  <c r="P65" i="67"/>
  <c r="R65" i="67" s="1"/>
  <c r="P57" i="67"/>
  <c r="R57" i="67" s="1"/>
  <c r="P49" i="67"/>
  <c r="R49" i="67" s="1"/>
  <c r="P41" i="67"/>
  <c r="R41" i="67" s="1"/>
  <c r="P33" i="67"/>
  <c r="R33" i="67" s="1"/>
  <c r="P25" i="67"/>
  <c r="R25" i="67" s="1"/>
  <c r="P17" i="67"/>
  <c r="R17" i="67" s="1"/>
  <c r="P9" i="67"/>
  <c r="R9" i="67" s="1"/>
  <c r="R96" i="67"/>
  <c r="P100" i="67"/>
  <c r="R100" i="67" s="1"/>
  <c r="P92" i="67"/>
  <c r="R92" i="67" s="1"/>
  <c r="P84" i="67"/>
  <c r="R84" i="67" s="1"/>
  <c r="P76" i="67"/>
  <c r="R76" i="67" s="1"/>
  <c r="P68" i="67"/>
  <c r="R68" i="67" s="1"/>
  <c r="P60" i="67"/>
  <c r="R60" i="67" s="1"/>
  <c r="P52" i="67"/>
  <c r="R52" i="67" s="1"/>
  <c r="P44" i="67"/>
  <c r="R44" i="67" s="1"/>
  <c r="P36" i="67"/>
  <c r="R36" i="67" s="1"/>
  <c r="P28" i="67"/>
  <c r="R28" i="67" s="1"/>
  <c r="P20" i="67"/>
  <c r="R20" i="67" s="1"/>
  <c r="P12" i="67"/>
  <c r="R12" i="67" s="1"/>
  <c r="B22" i="76" l="1"/>
  <c r="C22" i="76"/>
  <c r="C24" i="76" s="1"/>
  <c r="E22" i="76"/>
  <c r="F22" i="76"/>
  <c r="F24" i="76" s="1"/>
  <c r="H22" i="76"/>
  <c r="I22" i="76"/>
  <c r="I24" i="76" s="1"/>
  <c r="C15" i="76"/>
  <c r="B15" i="76"/>
  <c r="D15" i="76"/>
  <c r="D22" i="70"/>
  <c r="E22" i="70"/>
  <c r="F22" i="70"/>
  <c r="C22" i="70"/>
  <c r="I26" i="76" l="1"/>
  <c r="E20" i="89" l="1"/>
  <c r="E61" i="85" s="1"/>
  <c r="E21" i="89"/>
  <c r="E62" i="85" s="1"/>
  <c r="E22" i="89"/>
  <c r="E63" i="85" s="1"/>
  <c r="E23" i="89"/>
  <c r="E64" i="85" s="1"/>
  <c r="E24" i="89"/>
  <c r="E65" i="85" s="1"/>
  <c r="E25" i="89"/>
  <c r="E66" i="85" s="1"/>
  <c r="A8" i="85"/>
  <c r="L80" i="84" l="1"/>
  <c r="L77" i="84"/>
  <c r="L79" i="84"/>
  <c r="L78" i="84"/>
  <c r="H24" i="93"/>
  <c r="H19" i="93"/>
  <c r="H18" i="93"/>
  <c r="I125" i="84"/>
  <c r="C70" i="85"/>
  <c r="M8" i="85"/>
  <c r="M4" i="85"/>
  <c r="E17" i="89"/>
  <c r="E59" i="85" s="1"/>
  <c r="E15" i="83"/>
  <c r="E15" i="89"/>
  <c r="E16" i="89"/>
  <c r="E16" i="83"/>
  <c r="E16" i="90"/>
  <c r="E17" i="90"/>
  <c r="E19" i="89"/>
  <c r="E60" i="85" s="1"/>
  <c r="E15" i="86"/>
  <c r="E15" i="88"/>
  <c r="E15" i="90"/>
  <c r="E18" i="89"/>
  <c r="AP48" i="84"/>
  <c r="AP50" i="84" s="1"/>
  <c r="AP51" i="84" s="1"/>
  <c r="AP52" i="84" s="1"/>
  <c r="J117" i="84"/>
  <c r="J116" i="84" s="1"/>
  <c r="L81" i="84"/>
  <c r="E70" i="85" l="1"/>
  <c r="G70" i="85" s="1"/>
  <c r="K16" i="83"/>
  <c r="G8" i="85"/>
  <c r="K15" i="83"/>
  <c r="G4" i="85"/>
  <c r="J99" i="84"/>
  <c r="E26" i="89"/>
  <c r="K26" i="89" s="1"/>
  <c r="E17" i="83"/>
  <c r="E18" i="90"/>
  <c r="K17" i="83" l="1"/>
  <c r="C72" i="85"/>
  <c r="C73" i="85"/>
  <c r="G20" i="70"/>
  <c r="J20" i="70" s="1"/>
  <c r="G21" i="70"/>
  <c r="J21" i="70" s="1"/>
  <c r="G10" i="70"/>
  <c r="J10" i="70" s="1"/>
  <c r="G11" i="70"/>
  <c r="J11" i="70" s="1"/>
  <c r="G12" i="70"/>
  <c r="J12" i="70" s="1"/>
  <c r="G13" i="70"/>
  <c r="J13" i="70" s="1"/>
  <c r="G14" i="70"/>
  <c r="J14" i="70" s="1"/>
  <c r="G15" i="70"/>
  <c r="J15" i="70" s="1"/>
  <c r="G16" i="70"/>
  <c r="J16" i="70" s="1"/>
  <c r="G17" i="70"/>
  <c r="J17" i="70" s="1"/>
  <c r="G18" i="70"/>
  <c r="J18" i="70" s="1"/>
  <c r="G19" i="70"/>
  <c r="J19" i="70" s="1"/>
  <c r="E73" i="85" l="1"/>
  <c r="G73" i="85" s="1"/>
  <c r="E72" i="85"/>
  <c r="R47" i="69"/>
  <c r="C41" i="69"/>
  <c r="C42" i="69"/>
  <c r="C43" i="69"/>
  <c r="C44" i="69"/>
  <c r="D51" i="69" s="1"/>
  <c r="C45" i="69"/>
  <c r="C46" i="69"/>
  <c r="C47" i="69"/>
  <c r="C48" i="69"/>
  <c r="C49" i="69"/>
  <c r="C50" i="69"/>
  <c r="C51" i="69"/>
  <c r="C40" i="69"/>
  <c r="D43" i="69" s="1"/>
  <c r="R41" i="69"/>
  <c r="G72" i="85" l="1"/>
  <c r="R35" i="69"/>
  <c r="R36" i="69"/>
  <c r="R37" i="69"/>
  <c r="R38" i="69"/>
  <c r="R39" i="69"/>
  <c r="R40" i="69"/>
  <c r="R42" i="69"/>
  <c r="R43" i="69"/>
  <c r="R44" i="69"/>
  <c r="R45" i="69"/>
  <c r="R34" i="69"/>
  <c r="R46" i="69" l="1"/>
  <c r="F9" i="66"/>
  <c r="G7" i="66" s="1"/>
  <c r="H7" i="66" s="1"/>
  <c r="D1" i="92"/>
  <c r="E1" i="92" s="1"/>
  <c r="F1" i="92" s="1"/>
  <c r="G1" i="92" s="1"/>
  <c r="H1" i="92" s="1"/>
  <c r="I1" i="92" s="1"/>
  <c r="J1" i="92" s="1"/>
  <c r="K1" i="92" s="1"/>
  <c r="L1" i="92" s="1"/>
  <c r="M1" i="92" s="1"/>
  <c r="N1" i="92" s="1"/>
  <c r="O1" i="92" s="1"/>
  <c r="P1" i="92" s="1"/>
  <c r="Q1" i="92" s="1"/>
  <c r="R1" i="92" s="1"/>
  <c r="S1" i="92" s="1"/>
  <c r="T1" i="92" s="1"/>
  <c r="U1" i="92" s="1"/>
  <c r="V1" i="92" s="1"/>
  <c r="W1" i="92" s="1"/>
  <c r="X1" i="92" s="1"/>
  <c r="Y1" i="92" s="1"/>
  <c r="Z1" i="92" s="1"/>
  <c r="AA1" i="92" s="1"/>
  <c r="AB1" i="92" s="1"/>
  <c r="AC1" i="92" s="1"/>
  <c r="AD1" i="92" s="1"/>
  <c r="AE1" i="92" s="1"/>
  <c r="AF1" i="92" s="1"/>
  <c r="AG1" i="92" s="1"/>
  <c r="AH1" i="92" s="1"/>
  <c r="AI1" i="92" s="1"/>
  <c r="AJ1" i="92" s="1"/>
  <c r="AK1" i="92" s="1"/>
  <c r="AL1" i="92" s="1"/>
  <c r="AM1" i="92" s="1"/>
  <c r="AN1" i="92" s="1"/>
  <c r="AO1" i="92" s="1"/>
  <c r="AP1" i="92" s="1"/>
  <c r="AQ1" i="92" s="1"/>
  <c r="AP73" i="92"/>
  <c r="AP15" i="92"/>
  <c r="AP74" i="92"/>
  <c r="AP16" i="92"/>
  <c r="AP75" i="92"/>
  <c r="AP76" i="92"/>
  <c r="AP77" i="92"/>
  <c r="AP45" i="92"/>
  <c r="AP78" i="92"/>
  <c r="AP79" i="92"/>
  <c r="AP46" i="92"/>
  <c r="AP80" i="92"/>
  <c r="AP47" i="92"/>
  <c r="AP17" i="92"/>
  <c r="AP18" i="92"/>
  <c r="AP81" i="92"/>
  <c r="AP82" i="92"/>
  <c r="AP48" i="92"/>
  <c r="AP83" i="92"/>
  <c r="AP49" i="92"/>
  <c r="AP19" i="92"/>
  <c r="AP20" i="92"/>
  <c r="AP84" i="92"/>
  <c r="AP85" i="92"/>
  <c r="AP50" i="92"/>
  <c r="AP51" i="92"/>
  <c r="AP86" i="92"/>
  <c r="AP52" i="92"/>
  <c r="AP87" i="92"/>
  <c r="AP88" i="92"/>
  <c r="AP89" i="92"/>
  <c r="AP21" i="92"/>
  <c r="AP53" i="92"/>
  <c r="AP3" i="92"/>
  <c r="AP22" i="92"/>
  <c r="AP90" i="92"/>
  <c r="AP91" i="92"/>
  <c r="AP54" i="92"/>
  <c r="AP92" i="92"/>
  <c r="AP23" i="92"/>
  <c r="AP24" i="92"/>
  <c r="AP4" i="92"/>
  <c r="AP55" i="92"/>
  <c r="AP93" i="92"/>
  <c r="AP94" i="92"/>
  <c r="AP95" i="92"/>
  <c r="AP96" i="92"/>
  <c r="AP97" i="92"/>
  <c r="AP98" i="92"/>
  <c r="AP56" i="92"/>
  <c r="AP99" i="92"/>
  <c r="AP57" i="92"/>
  <c r="AP5" i="92"/>
  <c r="AP100" i="92"/>
  <c r="AP25" i="92"/>
  <c r="AP101" i="92"/>
  <c r="AP58" i="92"/>
  <c r="AP102" i="92"/>
  <c r="AP103" i="92"/>
  <c r="AP6" i="92"/>
  <c r="AP26" i="92"/>
  <c r="AP59" i="92"/>
  <c r="AP60" i="92"/>
  <c r="AP104" i="92"/>
  <c r="AP61" i="92"/>
  <c r="AP27" i="92"/>
  <c r="AP105" i="92"/>
  <c r="AP106" i="92"/>
  <c r="AP107" i="92"/>
  <c r="AP108" i="92"/>
  <c r="AP7" i="92"/>
  <c r="AP109" i="92"/>
  <c r="AP28" i="92"/>
  <c r="AP110" i="92"/>
  <c r="AP111" i="92"/>
  <c r="AP8" i="92"/>
  <c r="AP112" i="92"/>
  <c r="AP9" i="92"/>
  <c r="AP10" i="92"/>
  <c r="AP113" i="92"/>
  <c r="AP114" i="92"/>
  <c r="AP29" i="92"/>
  <c r="AP62" i="92"/>
  <c r="AP30" i="92"/>
  <c r="AP63" i="92"/>
  <c r="AP115" i="92"/>
  <c r="AP116" i="92"/>
  <c r="AP64" i="92"/>
  <c r="AP31" i="92"/>
  <c r="AP32" i="92"/>
  <c r="AP117" i="92"/>
  <c r="AP33" i="92"/>
  <c r="AP34" i="92"/>
  <c r="AP35" i="92"/>
  <c r="AP118" i="92"/>
  <c r="AP119" i="92"/>
  <c r="AP36" i="92"/>
  <c r="AP37" i="92"/>
  <c r="AP38" i="92"/>
  <c r="AP120" i="92"/>
  <c r="AP11" i="92"/>
  <c r="AP39" i="92"/>
  <c r="AP121" i="92"/>
  <c r="AP122" i="92"/>
  <c r="AP123" i="92"/>
  <c r="AP124" i="92"/>
  <c r="AP125" i="92"/>
  <c r="AP65" i="92"/>
  <c r="AP126" i="92"/>
  <c r="AP127" i="92"/>
  <c r="AP128" i="92"/>
  <c r="AP40" i="92"/>
  <c r="AP12" i="92"/>
  <c r="AP129" i="92"/>
  <c r="AP130" i="92"/>
  <c r="AP66" i="92"/>
  <c r="AP67" i="92"/>
  <c r="AP131" i="92"/>
  <c r="AP41" i="92"/>
  <c r="AP43" i="92"/>
  <c r="AP68" i="92"/>
  <c r="AP132" i="92"/>
  <c r="AP133" i="92"/>
  <c r="AP69" i="92"/>
  <c r="AP70" i="92"/>
  <c r="AP71" i="92"/>
  <c r="AP134" i="92"/>
  <c r="AP72" i="92"/>
  <c r="AP13" i="92"/>
  <c r="AP14" i="92"/>
  <c r="AP135" i="92"/>
  <c r="AP136" i="92"/>
  <c r="AP137" i="92"/>
  <c r="AP138" i="92"/>
  <c r="AP139" i="92"/>
  <c r="AP140" i="92"/>
  <c r="AP42" i="92"/>
  <c r="AP44" i="92"/>
  <c r="G8" i="66" l="1"/>
  <c r="H8" i="66" s="1"/>
  <c r="H9" i="66" s="1"/>
  <c r="G9" i="66"/>
  <c r="I16" i="11"/>
  <c r="L16" i="11" s="1"/>
  <c r="J49" i="11" l="1"/>
  <c r="L49" i="11" s="1"/>
  <c r="M49" i="11" s="1"/>
  <c r="N49" i="11" s="1"/>
  <c r="J41" i="11"/>
  <c r="L41" i="11" s="1"/>
  <c r="M41" i="11" s="1"/>
  <c r="N41" i="11" s="1"/>
  <c r="J11" i="11"/>
  <c r="L11" i="11" s="1"/>
  <c r="J43" i="11"/>
  <c r="L43" i="11" s="1"/>
  <c r="M43" i="11" s="1"/>
  <c r="N43" i="11" s="1"/>
  <c r="J53" i="11"/>
  <c r="L53" i="11" s="1"/>
  <c r="M53" i="11" s="1"/>
  <c r="N53" i="11" s="1"/>
  <c r="J28" i="11"/>
  <c r="L28" i="11" s="1"/>
  <c r="J26" i="11"/>
  <c r="L26" i="11" s="1"/>
  <c r="J12" i="11"/>
  <c r="L12" i="11" s="1"/>
  <c r="J46" i="11"/>
  <c r="L46" i="11" s="1"/>
  <c r="M46" i="11" s="1"/>
  <c r="N46" i="11" s="1"/>
  <c r="J22" i="11"/>
  <c r="L22" i="11" s="1"/>
  <c r="I38" i="11"/>
  <c r="L38" i="11" s="1"/>
  <c r="I54" i="11"/>
  <c r="L54" i="11" s="1"/>
  <c r="M54" i="11" s="1"/>
  <c r="N54" i="11" s="1"/>
  <c r="I32" i="11"/>
  <c r="L32" i="11" s="1"/>
  <c r="I24" i="11"/>
  <c r="L24" i="11" s="1"/>
  <c r="I44" i="11"/>
  <c r="L44" i="11" s="1"/>
  <c r="M44" i="11" s="1"/>
  <c r="N44" i="11" s="1"/>
  <c r="I8" i="11"/>
  <c r="L8" i="11" s="1"/>
  <c r="I52" i="11"/>
  <c r="L52" i="11" s="1"/>
  <c r="M52" i="11" s="1"/>
  <c r="N52" i="11" s="1"/>
  <c r="I45" i="11"/>
  <c r="L45" i="11" s="1"/>
  <c r="M45" i="11" s="1"/>
  <c r="N45" i="11" s="1"/>
  <c r="B1" i="32"/>
  <c r="N7" i="33"/>
  <c r="G7" i="33"/>
  <c r="I7" i="33" s="1"/>
  <c r="O46" i="11" l="1"/>
  <c r="O43" i="11"/>
  <c r="O49" i="11"/>
  <c r="O41" i="11"/>
  <c r="O53" i="11"/>
  <c r="O45" i="11"/>
  <c r="O52" i="11"/>
  <c r="O44" i="11"/>
  <c r="O54" i="11"/>
  <c r="B3" i="11"/>
  <c r="C3" i="11" s="1"/>
  <c r="D3" i="11" s="1"/>
  <c r="E3" i="11" s="1"/>
  <c r="F3" i="11" s="1"/>
  <c r="G3" i="11" s="1"/>
  <c r="H3" i="11" s="1"/>
  <c r="I3" i="11" s="1"/>
  <c r="J3" i="11" s="1"/>
  <c r="K3" i="11" s="1"/>
  <c r="L3" i="11" s="1"/>
  <c r="M3" i="11" s="1"/>
  <c r="N3" i="11" s="1"/>
  <c r="O3" i="11" s="1"/>
  <c r="F18" i="43" l="1"/>
  <c r="F15" i="43"/>
  <c r="F7" i="43"/>
  <c r="G5" i="80" l="1"/>
  <c r="D5" i="81"/>
  <c r="Q79" i="93" l="1"/>
  <c r="Q80" i="93"/>
  <c r="Q274" i="93" l="1"/>
  <c r="O354" i="93"/>
  <c r="O236" i="93"/>
  <c r="O176" i="93"/>
  <c r="O117" i="93" l="1"/>
  <c r="G502" i="93"/>
  <c r="M117" i="93" l="1"/>
  <c r="K117" i="93"/>
  <c r="I117" i="93"/>
  <c r="G117" i="93"/>
  <c r="M115" i="93"/>
  <c r="K115" i="93"/>
  <c r="I115" i="93"/>
  <c r="G115" i="93"/>
  <c r="G408" i="93" l="1"/>
  <c r="G402" i="93"/>
  <c r="E408" i="93" l="1"/>
  <c r="E402" i="93"/>
  <c r="O408" i="93" l="1"/>
  <c r="O90" i="93"/>
  <c r="O89" i="93"/>
  <c r="N296" i="93" l="1"/>
  <c r="N294" i="93"/>
  <c r="O274" i="93"/>
  <c r="M274" i="93"/>
  <c r="K274" i="93"/>
  <c r="I274" i="93"/>
  <c r="Q271" i="93"/>
  <c r="Q277" i="93" s="1"/>
  <c r="O271" i="93"/>
  <c r="O277" i="93" s="1"/>
  <c r="M271" i="93"/>
  <c r="M277" i="93" s="1"/>
  <c r="K271" i="93"/>
  <c r="K277" i="93" s="1"/>
  <c r="I271" i="93"/>
  <c r="I277" i="93" s="1"/>
  <c r="G271" i="93"/>
  <c r="G277" i="93" s="1"/>
  <c r="E271" i="93"/>
  <c r="E277" i="93" s="1"/>
  <c r="P269" i="93"/>
  <c r="N269" i="93"/>
  <c r="L269" i="93"/>
  <c r="P268" i="93"/>
  <c r="N268" i="93"/>
  <c r="J268" i="93"/>
  <c r="E261" i="93"/>
  <c r="G261" i="93"/>
  <c r="I261" i="93"/>
  <c r="K261" i="93"/>
  <c r="M261" i="93"/>
  <c r="O261" i="93"/>
  <c r="Q264" i="93"/>
  <c r="O264" i="93"/>
  <c r="M264" i="93"/>
  <c r="I264" i="93"/>
  <c r="P259" i="93"/>
  <c r="N259" i="93"/>
  <c r="L259" i="93"/>
  <c r="P258" i="93"/>
  <c r="N258" i="93"/>
  <c r="J258" i="93"/>
  <c r="M90" i="93"/>
  <c r="M89" i="93"/>
  <c r="K90" i="93"/>
  <c r="K89" i="93"/>
  <c r="I90" i="93"/>
  <c r="I89" i="93"/>
  <c r="G90" i="93"/>
  <c r="M80" i="93"/>
  <c r="M79" i="93"/>
  <c r="K80" i="93"/>
  <c r="K79" i="93"/>
  <c r="I80" i="93"/>
  <c r="I79" i="93"/>
  <c r="Q279" i="93" l="1"/>
  <c r="O279" i="93"/>
  <c r="J277" i="93"/>
  <c r="L277" i="93"/>
  <c r="P277" i="93"/>
  <c r="N277" i="93"/>
  <c r="G95" i="93"/>
  <c r="I95" i="93"/>
  <c r="K95" i="93"/>
  <c r="M95" i="93"/>
  <c r="G92" i="93"/>
  <c r="I92" i="93"/>
  <c r="K92" i="93"/>
  <c r="M92" i="93"/>
  <c r="G85" i="93"/>
  <c r="I85" i="93"/>
  <c r="K85" i="93"/>
  <c r="M85" i="93"/>
  <c r="G82" i="93"/>
  <c r="I82" i="93"/>
  <c r="K82" i="93"/>
  <c r="M82" i="93"/>
  <c r="O82" i="93"/>
  <c r="E394" i="93"/>
  <c r="G394" i="93"/>
  <c r="I394" i="93"/>
  <c r="K394" i="93"/>
  <c r="M394" i="93"/>
  <c r="E384" i="93"/>
  <c r="G384" i="93"/>
  <c r="I384" i="93"/>
  <c r="K384" i="93"/>
  <c r="M384" i="93"/>
  <c r="E391" i="93"/>
  <c r="G391" i="93"/>
  <c r="I391" i="93"/>
  <c r="K391" i="93"/>
  <c r="M391" i="93"/>
  <c r="O391" i="93"/>
  <c r="E381" i="93"/>
  <c r="G381" i="93"/>
  <c r="I381" i="93"/>
  <c r="K381" i="93"/>
  <c r="M381" i="93"/>
  <c r="O381" i="93"/>
  <c r="E332" i="93"/>
  <c r="G332" i="93"/>
  <c r="I332" i="93"/>
  <c r="K332" i="93"/>
  <c r="M332" i="93"/>
  <c r="E329" i="93"/>
  <c r="E335" i="93" s="1"/>
  <c r="G329" i="93"/>
  <c r="G335" i="93" s="1"/>
  <c r="I329" i="93"/>
  <c r="I335" i="93" s="1"/>
  <c r="K329" i="93"/>
  <c r="K335" i="93" s="1"/>
  <c r="M329" i="93"/>
  <c r="M335" i="93" s="1"/>
  <c r="E322" i="93"/>
  <c r="G322" i="93"/>
  <c r="I322" i="93"/>
  <c r="K322" i="93"/>
  <c r="M322" i="93"/>
  <c r="E319" i="93"/>
  <c r="G319" i="93"/>
  <c r="I319" i="93"/>
  <c r="K319" i="93"/>
  <c r="M319" i="93"/>
  <c r="O319" i="93"/>
  <c r="E214" i="93"/>
  <c r="G214" i="93"/>
  <c r="I214" i="93"/>
  <c r="K214" i="93"/>
  <c r="M214" i="93"/>
  <c r="E204" i="93"/>
  <c r="G204" i="93"/>
  <c r="I204" i="93"/>
  <c r="K204" i="93"/>
  <c r="M204" i="93"/>
  <c r="M201" i="93"/>
  <c r="G154" i="93"/>
  <c r="I154" i="93"/>
  <c r="K154" i="93"/>
  <c r="M154" i="93"/>
  <c r="E144" i="93"/>
  <c r="G144" i="93"/>
  <c r="I144" i="93"/>
  <c r="K144" i="93"/>
  <c r="M144" i="93"/>
  <c r="E151" i="93"/>
  <c r="E157" i="93" s="1"/>
  <c r="G151" i="93"/>
  <c r="G157" i="93" s="1"/>
  <c r="F157" i="93" s="1"/>
  <c r="I151" i="93"/>
  <c r="I157" i="93" s="1"/>
  <c r="K151" i="93"/>
  <c r="K157" i="93" s="1"/>
  <c r="M151" i="93"/>
  <c r="M157" i="93" s="1"/>
  <c r="E141" i="93"/>
  <c r="G141" i="93"/>
  <c r="I141" i="93"/>
  <c r="K141" i="93"/>
  <c r="M141" i="93"/>
  <c r="E211" i="93"/>
  <c r="G211" i="93"/>
  <c r="G217" i="93" s="1"/>
  <c r="I211" i="93"/>
  <c r="I217" i="93" s="1"/>
  <c r="K211" i="93"/>
  <c r="K217" i="93" s="1"/>
  <c r="M211" i="93"/>
  <c r="M217" i="93" s="1"/>
  <c r="E201" i="93"/>
  <c r="G201" i="93"/>
  <c r="I201" i="93"/>
  <c r="K201" i="93"/>
  <c r="H157" i="93" l="1"/>
  <c r="E82" i="93"/>
  <c r="M98" i="93"/>
  <c r="K98" i="93"/>
  <c r="I98" i="93"/>
  <c r="E85" i="93"/>
  <c r="G98" i="93"/>
  <c r="E92" i="93"/>
  <c r="K76" i="40"/>
  <c r="J76" i="40"/>
  <c r="E98" i="93" l="1"/>
  <c r="M76" i="40"/>
  <c r="M100" i="93"/>
  <c r="M288" i="93"/>
  <c r="M282" i="93"/>
  <c r="M228" i="93"/>
  <c r="M229" i="93" s="1"/>
  <c r="M222" i="93"/>
  <c r="M223" i="93" s="1"/>
  <c r="M168" i="93"/>
  <c r="M169" i="93" s="1"/>
  <c r="M162" i="93"/>
  <c r="M163" i="93" s="1"/>
  <c r="M346" i="93"/>
  <c r="M347" i="93" s="1"/>
  <c r="M340" i="93"/>
  <c r="M341" i="93" s="1"/>
  <c r="K100" i="93"/>
  <c r="K288" i="93"/>
  <c r="K168" i="93"/>
  <c r="K169" i="93" s="1"/>
  <c r="K282" i="93"/>
  <c r="K162" i="93"/>
  <c r="K163" i="93" s="1"/>
  <c r="K346" i="93"/>
  <c r="K347" i="93" s="1"/>
  <c r="K228" i="93"/>
  <c r="K229" i="93" s="1"/>
  <c r="K340" i="93"/>
  <c r="K341" i="93" s="1"/>
  <c r="K222" i="93"/>
  <c r="K223" i="93" s="1"/>
  <c r="I100" i="93"/>
  <c r="I346" i="93"/>
  <c r="I347" i="93" s="1"/>
  <c r="I222" i="93"/>
  <c r="I223" i="93" s="1"/>
  <c r="I162" i="93"/>
  <c r="I163" i="93" s="1"/>
  <c r="I288" i="93"/>
  <c r="I282" i="93"/>
  <c r="I228" i="93"/>
  <c r="I229" i="93" s="1"/>
  <c r="I340" i="93"/>
  <c r="I341" i="93" s="1"/>
  <c r="I168" i="93"/>
  <c r="I169" i="93" s="1"/>
  <c r="G100" i="93"/>
  <c r="G228" i="93"/>
  <c r="G229" i="93" s="1"/>
  <c r="G340" i="93"/>
  <c r="G341" i="93" s="1"/>
  <c r="G222" i="93"/>
  <c r="G223" i="93" s="1"/>
  <c r="G168" i="93"/>
  <c r="G169" i="93" s="1"/>
  <c r="G288" i="93"/>
  <c r="G289" i="93" s="1"/>
  <c r="G346" i="93"/>
  <c r="G347" i="93" s="1"/>
  <c r="G282" i="93"/>
  <c r="G283" i="93" s="1"/>
  <c r="G162" i="93"/>
  <c r="G163" i="93" s="1"/>
  <c r="E346" i="93"/>
  <c r="E347" i="93" s="1"/>
  <c r="E162" i="93" l="1"/>
  <c r="E163" i="93" s="1"/>
  <c r="E168" i="93"/>
  <c r="E169" i="93" s="1"/>
  <c r="E340" i="93"/>
  <c r="E341" i="93" s="1"/>
  <c r="E100" i="93"/>
  <c r="E228" i="93"/>
  <c r="E229" i="93" s="1"/>
  <c r="E222" i="93"/>
  <c r="E223" i="93" s="1"/>
  <c r="E288" i="93"/>
  <c r="E289" i="93" s="1"/>
  <c r="E282" i="93"/>
  <c r="E283" i="93" s="1"/>
  <c r="M289" i="93"/>
  <c r="M283" i="93"/>
  <c r="K289" i="93"/>
  <c r="L289" i="93" s="1"/>
  <c r="L288" i="93"/>
  <c r="K283" i="93"/>
  <c r="L282" i="93"/>
  <c r="I283" i="93"/>
  <c r="J282" i="93"/>
  <c r="I289" i="93"/>
  <c r="J288" i="93"/>
  <c r="Q490" i="93"/>
  <c r="Q428" i="93"/>
  <c r="Q368" i="93"/>
  <c r="Q306" i="93"/>
  <c r="Q248" i="93"/>
  <c r="Q188" i="93"/>
  <c r="Q128" i="93"/>
  <c r="Q69" i="93"/>
  <c r="Q369" i="93"/>
  <c r="L283" i="93" l="1"/>
  <c r="J289" i="93"/>
  <c r="J283" i="93"/>
  <c r="Q189" i="93"/>
  <c r="Q10" i="93"/>
  <c r="Q249" i="93"/>
  <c r="Q491" i="93"/>
  <c r="Q70" i="93"/>
  <c r="Q307" i="93"/>
  <c r="Q429" i="93"/>
  <c r="Q129" i="93"/>
  <c r="Q9" i="93"/>
  <c r="K515" i="93"/>
  <c r="O515" i="93" s="1"/>
  <c r="K514" i="93"/>
  <c r="O514" i="93" s="1"/>
  <c r="K509" i="93"/>
  <c r="O509" i="93" s="1"/>
  <c r="K508" i="93"/>
  <c r="O508" i="93" s="1"/>
  <c r="K501" i="93"/>
  <c r="O501" i="93" s="1"/>
  <c r="O474" i="93"/>
  <c r="O473" i="93"/>
  <c r="O472" i="93"/>
  <c r="O468" i="93"/>
  <c r="O467" i="93"/>
  <c r="O466" i="93"/>
  <c r="O465" i="93"/>
  <c r="M462" i="93"/>
  <c r="M477" i="93" s="1"/>
  <c r="G462" i="93"/>
  <c r="G472" i="93" s="1"/>
  <c r="K472" i="93" s="1"/>
  <c r="K475" i="93" s="1"/>
  <c r="O453" i="93"/>
  <c r="O452" i="93"/>
  <c r="O447" i="93"/>
  <c r="O446" i="93"/>
  <c r="O440" i="93"/>
  <c r="O439" i="93"/>
  <c r="L408" i="93"/>
  <c r="J408" i="93"/>
  <c r="H408" i="93"/>
  <c r="F408" i="93"/>
  <c r="L402" i="93"/>
  <c r="J402" i="93"/>
  <c r="H402" i="93"/>
  <c r="F402" i="93"/>
  <c r="O394" i="93"/>
  <c r="N389" i="93"/>
  <c r="L389" i="93"/>
  <c r="J389" i="93"/>
  <c r="H389" i="93"/>
  <c r="F389" i="93"/>
  <c r="N388" i="93"/>
  <c r="L388" i="93"/>
  <c r="J388" i="93"/>
  <c r="H388" i="93"/>
  <c r="F388" i="93"/>
  <c r="O384" i="93"/>
  <c r="N379" i="93"/>
  <c r="L379" i="93"/>
  <c r="J379" i="93"/>
  <c r="H379" i="93"/>
  <c r="F379" i="93"/>
  <c r="P378" i="93"/>
  <c r="N378" i="93"/>
  <c r="L378" i="93"/>
  <c r="J378" i="93"/>
  <c r="H378" i="93"/>
  <c r="F378" i="93"/>
  <c r="P354" i="93"/>
  <c r="N354" i="93"/>
  <c r="L354" i="93"/>
  <c r="J354" i="93"/>
  <c r="H354" i="93"/>
  <c r="F354" i="93"/>
  <c r="N352" i="93"/>
  <c r="L352" i="93"/>
  <c r="J352" i="93"/>
  <c r="H352" i="93"/>
  <c r="F352" i="93"/>
  <c r="L347" i="93"/>
  <c r="J347" i="93"/>
  <c r="H347" i="93"/>
  <c r="F347" i="93"/>
  <c r="L346" i="93"/>
  <c r="J346" i="93"/>
  <c r="H346" i="93"/>
  <c r="F346" i="93"/>
  <c r="L341" i="93"/>
  <c r="J341" i="93"/>
  <c r="H341" i="93"/>
  <c r="F341" i="93"/>
  <c r="L340" i="93"/>
  <c r="J340" i="93"/>
  <c r="H340" i="93"/>
  <c r="F340" i="93"/>
  <c r="L335" i="93"/>
  <c r="J335" i="93"/>
  <c r="H335" i="93"/>
  <c r="F335" i="93"/>
  <c r="O332" i="93"/>
  <c r="O329" i="93"/>
  <c r="O335" i="93" s="1"/>
  <c r="P327" i="93"/>
  <c r="N327" i="93"/>
  <c r="L327" i="93"/>
  <c r="J327" i="93"/>
  <c r="H327" i="93"/>
  <c r="F327" i="93"/>
  <c r="P326" i="93"/>
  <c r="N326" i="93"/>
  <c r="L326" i="93"/>
  <c r="J326" i="93"/>
  <c r="H326" i="93"/>
  <c r="F326" i="93"/>
  <c r="O322" i="93"/>
  <c r="P317" i="93"/>
  <c r="N317" i="93"/>
  <c r="L317" i="93"/>
  <c r="J317" i="93"/>
  <c r="H317" i="93"/>
  <c r="F317" i="93"/>
  <c r="P316" i="93"/>
  <c r="N316" i="93"/>
  <c r="L316" i="93"/>
  <c r="J316" i="93"/>
  <c r="H316" i="93"/>
  <c r="F316" i="93"/>
  <c r="Q261" i="93"/>
  <c r="P236" i="93"/>
  <c r="N236" i="93"/>
  <c r="L236" i="93"/>
  <c r="J236" i="93"/>
  <c r="H236" i="93"/>
  <c r="F236" i="93"/>
  <c r="L234" i="93"/>
  <c r="J234" i="93"/>
  <c r="H234" i="93"/>
  <c r="F234" i="93"/>
  <c r="L229" i="93"/>
  <c r="J229" i="93"/>
  <c r="H229" i="93"/>
  <c r="F229" i="93"/>
  <c r="L228" i="93"/>
  <c r="J228" i="93"/>
  <c r="H228" i="93"/>
  <c r="F228" i="93"/>
  <c r="L223" i="93"/>
  <c r="J223" i="93"/>
  <c r="H223" i="93"/>
  <c r="F223" i="93"/>
  <c r="L222" i="93"/>
  <c r="J222" i="93"/>
  <c r="H222" i="93"/>
  <c r="F222" i="93"/>
  <c r="L217" i="93"/>
  <c r="J217" i="93"/>
  <c r="H217" i="93"/>
  <c r="F217" i="93"/>
  <c r="O214" i="93"/>
  <c r="O211" i="93"/>
  <c r="O217" i="93" s="1"/>
  <c r="Q214" i="93"/>
  <c r="N209" i="93"/>
  <c r="L209" i="93"/>
  <c r="J209" i="93"/>
  <c r="H209" i="93"/>
  <c r="F209" i="93"/>
  <c r="N208" i="93"/>
  <c r="L208" i="93"/>
  <c r="J208" i="93"/>
  <c r="H208" i="93"/>
  <c r="F208" i="93"/>
  <c r="O204" i="93"/>
  <c r="O201" i="93"/>
  <c r="P199" i="93"/>
  <c r="N199" i="93"/>
  <c r="L199" i="93"/>
  <c r="J199" i="93"/>
  <c r="H199" i="93"/>
  <c r="F199" i="93"/>
  <c r="N198" i="93"/>
  <c r="L198" i="93"/>
  <c r="J198" i="93"/>
  <c r="H198" i="93"/>
  <c r="F198" i="93"/>
  <c r="P176" i="93"/>
  <c r="N176" i="93"/>
  <c r="L176" i="93"/>
  <c r="J176" i="93"/>
  <c r="H176" i="93"/>
  <c r="F176" i="93"/>
  <c r="N174" i="93"/>
  <c r="L174" i="93"/>
  <c r="J174" i="93"/>
  <c r="H174" i="93"/>
  <c r="F174" i="93"/>
  <c r="L169" i="93"/>
  <c r="J169" i="93"/>
  <c r="H169" i="93"/>
  <c r="F169" i="93"/>
  <c r="L168" i="93"/>
  <c r="J168" i="93"/>
  <c r="H168" i="93"/>
  <c r="F168" i="93"/>
  <c r="L163" i="93"/>
  <c r="J163" i="93"/>
  <c r="H163" i="93"/>
  <c r="F163" i="93"/>
  <c r="L162" i="93"/>
  <c r="J162" i="93"/>
  <c r="H162" i="93"/>
  <c r="F162" i="93"/>
  <c r="L157" i="93"/>
  <c r="J157" i="93"/>
  <c r="O154" i="93"/>
  <c r="O151" i="93"/>
  <c r="O157" i="93" s="1"/>
  <c r="P149" i="93"/>
  <c r="N149" i="93"/>
  <c r="L149" i="93"/>
  <c r="J149" i="93"/>
  <c r="H149" i="93"/>
  <c r="F149" i="93"/>
  <c r="N148" i="93"/>
  <c r="L148" i="93"/>
  <c r="J148" i="93"/>
  <c r="H148" i="93"/>
  <c r="F148" i="93"/>
  <c r="O144" i="93"/>
  <c r="O141" i="93"/>
  <c r="Q144" i="93"/>
  <c r="P139" i="93"/>
  <c r="N139" i="93"/>
  <c r="L139" i="93"/>
  <c r="J139" i="93"/>
  <c r="H139" i="93"/>
  <c r="N138" i="93"/>
  <c r="L138" i="93"/>
  <c r="J138" i="93"/>
  <c r="H138" i="93"/>
  <c r="F138" i="93"/>
  <c r="N117" i="93"/>
  <c r="L117" i="93"/>
  <c r="J117" i="93"/>
  <c r="H117" i="93"/>
  <c r="F117" i="93"/>
  <c r="L115" i="93"/>
  <c r="J115" i="93"/>
  <c r="H115" i="93"/>
  <c r="F115" i="93"/>
  <c r="N110" i="93"/>
  <c r="L110" i="93"/>
  <c r="J110" i="93"/>
  <c r="H110" i="93"/>
  <c r="F110" i="93"/>
  <c r="L109" i="93"/>
  <c r="J109" i="93"/>
  <c r="H109" i="93"/>
  <c r="F109" i="93"/>
  <c r="N104" i="93"/>
  <c r="L104" i="93"/>
  <c r="J104" i="93"/>
  <c r="H104" i="93"/>
  <c r="F104" i="93"/>
  <c r="L103" i="93"/>
  <c r="J103" i="93"/>
  <c r="L98" i="93"/>
  <c r="J98" i="93"/>
  <c r="H98" i="93"/>
  <c r="F98" i="93"/>
  <c r="O95" i="93"/>
  <c r="O92" i="93"/>
  <c r="N90" i="93"/>
  <c r="L90" i="93"/>
  <c r="J90" i="93"/>
  <c r="H90" i="93"/>
  <c r="F90" i="93"/>
  <c r="N89" i="93"/>
  <c r="L89" i="93"/>
  <c r="J89" i="93"/>
  <c r="H89" i="93"/>
  <c r="F89" i="93"/>
  <c r="O85" i="93"/>
  <c r="N80" i="93"/>
  <c r="L80" i="93"/>
  <c r="J80" i="93"/>
  <c r="H80" i="93"/>
  <c r="F80" i="93"/>
  <c r="N79" i="93"/>
  <c r="L79" i="93"/>
  <c r="J79" i="93"/>
  <c r="H79" i="93"/>
  <c r="F79" i="93"/>
  <c r="Q2" i="93"/>
  <c r="O98" i="93" l="1"/>
  <c r="O340" i="93" s="1"/>
  <c r="O341" i="93" s="1"/>
  <c r="P352" i="93"/>
  <c r="N234" i="93"/>
  <c r="N115" i="93"/>
  <c r="P234" i="93"/>
  <c r="N157" i="93"/>
  <c r="N217" i="93"/>
  <c r="O469" i="93"/>
  <c r="G454" i="93"/>
  <c r="P209" i="93"/>
  <c r="Q151" i="93"/>
  <c r="P148" i="93"/>
  <c r="Q332" i="93"/>
  <c r="O441" i="93"/>
  <c r="Q154" i="93"/>
  <c r="Q204" i="93"/>
  <c r="Q211" i="93"/>
  <c r="Q217" i="93" s="1"/>
  <c r="P208" i="93"/>
  <c r="O219" i="93"/>
  <c r="Q319" i="93"/>
  <c r="O337" i="93"/>
  <c r="N335" i="93"/>
  <c r="Q381" i="93"/>
  <c r="P198" i="93"/>
  <c r="Q329" i="93"/>
  <c r="Q335" i="93" s="1"/>
  <c r="O460" i="93"/>
  <c r="K462" i="93"/>
  <c r="K513" i="93"/>
  <c r="P138" i="93"/>
  <c r="Q141" i="93"/>
  <c r="P174" i="93"/>
  <c r="Q322" i="93"/>
  <c r="Q384" i="93"/>
  <c r="P379" i="93"/>
  <c r="O461" i="93"/>
  <c r="K469" i="93"/>
  <c r="G469" i="93"/>
  <c r="G475" i="93"/>
  <c r="O475" i="93" s="1"/>
  <c r="K506" i="93"/>
  <c r="O168" i="93" l="1"/>
  <c r="O228" i="93"/>
  <c r="O229" i="93" s="1"/>
  <c r="O346" i="93"/>
  <c r="O347" i="93" s="1"/>
  <c r="O162" i="93"/>
  <c r="O222" i="93"/>
  <c r="O223" i="93" s="1"/>
  <c r="O288" i="93"/>
  <c r="O282" i="93"/>
  <c r="N98" i="93"/>
  <c r="O100" i="93"/>
  <c r="Q157" i="93"/>
  <c r="P157" i="93" s="1"/>
  <c r="O451" i="93"/>
  <c r="O454" i="93" s="1"/>
  <c r="G477" i="93"/>
  <c r="K477" i="93"/>
  <c r="P335" i="93"/>
  <c r="Q337" i="93"/>
  <c r="N103" i="93"/>
  <c r="O402" i="93"/>
  <c r="N402" i="93" s="1"/>
  <c r="O106" i="93"/>
  <c r="O506" i="93"/>
  <c r="O462" i="93"/>
  <c r="O477" i="93" s="1"/>
  <c r="O513" i="93"/>
  <c r="O516" i="93" s="1"/>
  <c r="K516" i="93"/>
  <c r="Q219" i="93"/>
  <c r="P217" i="93"/>
  <c r="N109" i="93"/>
  <c r="O112" i="93"/>
  <c r="O283" i="93" l="1"/>
  <c r="N282" i="93"/>
  <c r="O289" i="93"/>
  <c r="N288" i="93"/>
  <c r="Q159" i="93"/>
  <c r="K454" i="93"/>
  <c r="O169" i="93"/>
  <c r="N168" i="93"/>
  <c r="N228" i="93"/>
  <c r="N408" i="93"/>
  <c r="O411" i="93"/>
  <c r="N346" i="93"/>
  <c r="N340" i="93"/>
  <c r="N162" i="93"/>
  <c r="O163" i="93"/>
  <c r="N163" i="93" s="1"/>
  <c r="O405" i="93"/>
  <c r="N222" i="93"/>
  <c r="K75" i="40"/>
  <c r="J75" i="40"/>
  <c r="K74" i="40"/>
  <c r="J74" i="40"/>
  <c r="M74" i="40" l="1"/>
  <c r="M75" i="40"/>
  <c r="N283" i="93"/>
  <c r="O291" i="93"/>
  <c r="N289" i="93"/>
  <c r="N341" i="93"/>
  <c r="N347" i="93"/>
  <c r="O349" i="93"/>
  <c r="N223" i="93"/>
  <c r="O231" i="93"/>
  <c r="N229" i="93"/>
  <c r="N169" i="93"/>
  <c r="K73" i="40" l="1"/>
  <c r="J73" i="40"/>
  <c r="K72" i="40"/>
  <c r="J72" i="40"/>
  <c r="K71" i="40"/>
  <c r="J71" i="40"/>
  <c r="M71" i="40" l="1"/>
  <c r="M72" i="40"/>
  <c r="M73" i="40"/>
  <c r="A66" i="85" l="1"/>
  <c r="A65" i="85"/>
  <c r="A64" i="85"/>
  <c r="A63" i="85"/>
  <c r="A62" i="85"/>
  <c r="A61" i="85"/>
  <c r="A60" i="85"/>
  <c r="A59" i="85"/>
  <c r="P3" i="78" l="1"/>
  <c r="P2" i="79"/>
  <c r="E7" i="85" l="1"/>
  <c r="M1" i="90"/>
  <c r="M2" i="90"/>
  <c r="P7" i="85" s="1"/>
  <c r="C7" i="85"/>
  <c r="A7" i="85"/>
  <c r="H30" i="93" l="1"/>
  <c r="L30" i="93" s="1"/>
  <c r="H32" i="93"/>
  <c r="L32" i="93" s="1"/>
  <c r="P32" i="93" s="1"/>
  <c r="H31" i="93"/>
  <c r="L31" i="93" s="1"/>
  <c r="P31" i="93" s="1"/>
  <c r="M7" i="85"/>
  <c r="K15" i="90"/>
  <c r="K17" i="90"/>
  <c r="K16" i="90"/>
  <c r="H33" i="93" l="1"/>
  <c r="L33" i="93"/>
  <c r="P30" i="93"/>
  <c r="P33" i="93" s="1"/>
  <c r="G7" i="85"/>
  <c r="K18" i="90"/>
  <c r="C6" i="85" l="1"/>
  <c r="C5" i="85"/>
  <c r="C3" i="85"/>
  <c r="E5" i="85" l="1"/>
  <c r="M2" i="89"/>
  <c r="P5" i="85" s="1"/>
  <c r="E3" i="85" l="1"/>
  <c r="P3" i="85"/>
  <c r="M6" i="85" l="1"/>
  <c r="M5" i="85"/>
  <c r="K119" i="84"/>
  <c r="K101" i="84" s="1"/>
  <c r="M1" i="89"/>
  <c r="D1" i="81" l="1"/>
  <c r="M1" i="83"/>
  <c r="P2" i="78"/>
  <c r="G1" i="80"/>
  <c r="P1" i="79"/>
  <c r="M1" i="86"/>
  <c r="L75" i="84"/>
  <c r="A5" i="85"/>
  <c r="A4" i="85"/>
  <c r="A6" i="85"/>
  <c r="M1" i="88"/>
  <c r="L74" i="84" l="1"/>
  <c r="H23" i="93"/>
  <c r="L23" i="93" s="1"/>
  <c r="H26" i="93"/>
  <c r="L26" i="93" s="1"/>
  <c r="P26" i="93" s="1"/>
  <c r="H25" i="93"/>
  <c r="L25" i="93" s="1"/>
  <c r="P25" i="93" s="1"/>
  <c r="L19" i="93"/>
  <c r="P19" i="93" s="1"/>
  <c r="L24" i="93"/>
  <c r="P24" i="93" s="1"/>
  <c r="J100" i="84"/>
  <c r="K102" i="84" s="1"/>
  <c r="D2" i="87"/>
  <c r="E4" i="85"/>
  <c r="M2" i="83"/>
  <c r="E6" i="85"/>
  <c r="M2" i="86"/>
  <c r="P6" i="85" s="1"/>
  <c r="M3" i="85"/>
  <c r="A3" i="85"/>
  <c r="P4" i="85" l="1"/>
  <c r="P8" i="85"/>
  <c r="H27" i="93"/>
  <c r="O445" i="93"/>
  <c r="P23" i="93"/>
  <c r="P27" i="93" s="1"/>
  <c r="L27" i="93"/>
  <c r="K507" i="93"/>
  <c r="G510" i="93"/>
  <c r="A300" i="93"/>
  <c r="A63" i="93"/>
  <c r="A484" i="93"/>
  <c r="A362" i="93"/>
  <c r="A242" i="93"/>
  <c r="A122" i="93"/>
  <c r="A3" i="93"/>
  <c r="A422" i="93"/>
  <c r="A182" i="93"/>
  <c r="A423" i="93"/>
  <c r="A301" i="93"/>
  <c r="A183" i="93"/>
  <c r="A64" i="93"/>
  <c r="A363" i="93"/>
  <c r="A123" i="93"/>
  <c r="A485" i="93"/>
  <c r="A243" i="93"/>
  <c r="A4" i="93"/>
  <c r="E13" i="86"/>
  <c r="E13" i="83"/>
  <c r="E13" i="89"/>
  <c r="E13" i="88"/>
  <c r="E13" i="90"/>
  <c r="K13" i="83"/>
  <c r="K13" i="89"/>
  <c r="K13" i="88"/>
  <c r="K13" i="90"/>
  <c r="K13" i="86"/>
  <c r="A1" i="78"/>
  <c r="A1" i="79"/>
  <c r="A4" i="90"/>
  <c r="A4" i="86"/>
  <c r="A4" i="83"/>
  <c r="A4" i="89"/>
  <c r="A4" i="88"/>
  <c r="C18" i="90"/>
  <c r="C15" i="88"/>
  <c r="C26" i="89"/>
  <c r="C17" i="83"/>
  <c r="C15" i="86"/>
  <c r="C25" i="88"/>
  <c r="C29" i="90"/>
  <c r="C29" i="83"/>
  <c r="C25" i="86"/>
  <c r="C53" i="89"/>
  <c r="A7" i="83"/>
  <c r="A7" i="89"/>
  <c r="A7" i="88"/>
  <c r="A7" i="90"/>
  <c r="A7" i="86"/>
  <c r="A23" i="84"/>
  <c r="C29" i="84"/>
  <c r="A6" i="90" s="1"/>
  <c r="C25" i="84"/>
  <c r="A6" i="88" s="1"/>
  <c r="C28" i="84"/>
  <c r="A6" i="86" s="1"/>
  <c r="C27" i="84"/>
  <c r="A6" i="89" s="1"/>
  <c r="C26" i="84"/>
  <c r="A6" i="83" s="1"/>
  <c r="A5" i="86"/>
  <c r="A5" i="83"/>
  <c r="A5" i="89"/>
  <c r="A5" i="88"/>
  <c r="A5" i="90"/>
  <c r="A10" i="90"/>
  <c r="A10" i="86"/>
  <c r="A10" i="83"/>
  <c r="A10" i="89"/>
  <c r="A10" i="88"/>
  <c r="A9" i="89"/>
  <c r="A9" i="88"/>
  <c r="A9" i="90"/>
  <c r="A9" i="86"/>
  <c r="A9" i="83"/>
  <c r="K15" i="86"/>
  <c r="G6" i="85"/>
  <c r="J101" i="84"/>
  <c r="K103" i="84" s="1"/>
  <c r="J106" i="84"/>
  <c r="K108" i="84" s="1"/>
  <c r="J103" i="84"/>
  <c r="K105" i="84" s="1"/>
  <c r="K118" i="84"/>
  <c r="J107" i="84"/>
  <c r="K109" i="84" s="1"/>
  <c r="J108" i="84"/>
  <c r="K110" i="84" s="1"/>
  <c r="J113" i="84"/>
  <c r="K115" i="84" s="1"/>
  <c r="J112" i="84"/>
  <c r="K114" i="84" s="1"/>
  <c r="J109" i="84"/>
  <c r="K111" i="84" s="1"/>
  <c r="J110" i="84"/>
  <c r="K112" i="84" s="1"/>
  <c r="J115" i="84"/>
  <c r="K117" i="84" s="1"/>
  <c r="J105" i="84"/>
  <c r="K107" i="84" s="1"/>
  <c r="J114" i="84"/>
  <c r="K116" i="84" s="1"/>
  <c r="J102" i="84"/>
  <c r="K104" i="84" s="1"/>
  <c r="J111" i="84"/>
  <c r="K113" i="84" s="1"/>
  <c r="J104" i="84"/>
  <c r="K106" i="84" s="1"/>
  <c r="V20" i="84"/>
  <c r="AD20" i="84"/>
  <c r="AL20" i="84"/>
  <c r="T20" i="84"/>
  <c r="AB20" i="84"/>
  <c r="AJ20" i="84"/>
  <c r="AN15" i="84"/>
  <c r="AF20" i="84"/>
  <c r="Z72" i="84"/>
  <c r="AN16" i="84"/>
  <c r="AN12" i="84"/>
  <c r="X20" i="84"/>
  <c r="AN17" i="84"/>
  <c r="V72" i="84"/>
  <c r="AD72" i="84"/>
  <c r="AL72" i="84"/>
  <c r="R72" i="84"/>
  <c r="AH72" i="84"/>
  <c r="R20" i="84"/>
  <c r="Z20" i="84"/>
  <c r="AH20" i="84"/>
  <c r="AN13" i="84"/>
  <c r="AN14" i="84"/>
  <c r="P72" i="84"/>
  <c r="X72" i="84"/>
  <c r="AF72" i="84"/>
  <c r="AN72" i="84"/>
  <c r="T72" i="84"/>
  <c r="AB72" i="84"/>
  <c r="AJ72" i="84"/>
  <c r="P20" i="84"/>
  <c r="K47" i="89" l="1"/>
  <c r="K48" i="89"/>
  <c r="K52" i="89"/>
  <c r="K51" i="89"/>
  <c r="K49" i="89"/>
  <c r="K50" i="89"/>
  <c r="K46" i="89"/>
  <c r="G60" i="85" s="1"/>
  <c r="L82" i="84"/>
  <c r="O507" i="93"/>
  <c r="O510" i="93" s="1"/>
  <c r="K510" i="93"/>
  <c r="L18" i="93"/>
  <c r="H20" i="93"/>
  <c r="H35" i="93" s="1"/>
  <c r="G5" i="85"/>
  <c r="K15" i="88"/>
  <c r="G3" i="85"/>
  <c r="AN20" i="84"/>
  <c r="G38" i="89" l="1"/>
  <c r="C65" i="85" s="1"/>
  <c r="G65" i="85"/>
  <c r="G39" i="89"/>
  <c r="C66" i="85" s="1"/>
  <c r="G66" i="85"/>
  <c r="G37" i="89"/>
  <c r="C64" i="85" s="1"/>
  <c r="G64" i="85"/>
  <c r="G35" i="89"/>
  <c r="C62" i="85" s="1"/>
  <c r="G62" i="85"/>
  <c r="G36" i="89"/>
  <c r="C63" i="85" s="1"/>
  <c r="G63" i="85"/>
  <c r="G34" i="89"/>
  <c r="C61" i="85" s="1"/>
  <c r="G61" i="85"/>
  <c r="G33" i="89"/>
  <c r="C60" i="85" s="1"/>
  <c r="K527" i="93"/>
  <c r="P18" i="93"/>
  <c r="P20" i="93" s="1"/>
  <c r="P35" i="93" s="1"/>
  <c r="L20" i="93"/>
  <c r="L35" i="93" s="1"/>
  <c r="G448" i="93"/>
  <c r="G456" i="93" s="1"/>
  <c r="C8" i="78"/>
  <c r="I8" i="78" l="1"/>
  <c r="M8" i="78"/>
  <c r="E8" i="78"/>
  <c r="K8" i="78"/>
  <c r="C9" i="78"/>
  <c r="C11" i="78" s="1"/>
  <c r="L8" i="78"/>
  <c r="F8" i="78"/>
  <c r="J8" i="78"/>
  <c r="N8" i="78"/>
  <c r="G8" i="78"/>
  <c r="O8" i="78"/>
  <c r="H8" i="78"/>
  <c r="P8" i="78"/>
  <c r="K448" i="93"/>
  <c r="O444" i="93"/>
  <c r="O527" i="93"/>
  <c r="C8" i="79"/>
  <c r="C9" i="79" l="1"/>
  <c r="C11" i="79" s="1"/>
  <c r="K456" i="93"/>
  <c r="O448" i="93"/>
  <c r="O456" i="93" s="1"/>
  <c r="I8" i="79" l="1"/>
  <c r="M8" i="79"/>
  <c r="E8" i="79"/>
  <c r="F8" i="79"/>
  <c r="N8" i="79"/>
  <c r="K8" i="79"/>
  <c r="H8" i="79"/>
  <c r="L8" i="79"/>
  <c r="P8" i="79"/>
  <c r="J8" i="79"/>
  <c r="G8" i="79"/>
  <c r="O8" i="79"/>
  <c r="E52" i="85"/>
  <c r="C52" i="85"/>
  <c r="E46" i="85" l="1"/>
  <c r="C46" i="85"/>
  <c r="H9" i="70" l="1"/>
  <c r="G9" i="70"/>
  <c r="Q6" i="67"/>
  <c r="J9" i="70" l="1"/>
  <c r="R6" i="67"/>
  <c r="D8" i="77" l="1"/>
  <c r="K5" i="40" l="1"/>
  <c r="K5" i="42"/>
  <c r="C8" i="43" l="1"/>
  <c r="K74" i="42"/>
  <c r="J74" i="42"/>
  <c r="K73" i="42"/>
  <c r="J73" i="42"/>
  <c r="K72" i="42"/>
  <c r="J72" i="42"/>
  <c r="K71" i="42"/>
  <c r="J71" i="42"/>
  <c r="K70" i="42"/>
  <c r="J70" i="42"/>
  <c r="K69" i="42"/>
  <c r="J69" i="42"/>
  <c r="K68" i="42"/>
  <c r="J68" i="42"/>
  <c r="K67" i="42"/>
  <c r="J67" i="42"/>
  <c r="K66" i="42"/>
  <c r="J66" i="42"/>
  <c r="K65" i="42"/>
  <c r="J65" i="42"/>
  <c r="K64" i="42"/>
  <c r="J64" i="42"/>
  <c r="K63" i="42"/>
  <c r="J63" i="42"/>
  <c r="K62" i="42"/>
  <c r="J62" i="42"/>
  <c r="K61" i="42"/>
  <c r="J61" i="42"/>
  <c r="K60" i="42"/>
  <c r="J60" i="42"/>
  <c r="K59" i="42"/>
  <c r="J59" i="42"/>
  <c r="K58" i="42"/>
  <c r="J58" i="42"/>
  <c r="K57" i="42"/>
  <c r="J57" i="42"/>
  <c r="K56" i="42"/>
  <c r="J56" i="42"/>
  <c r="K55" i="42"/>
  <c r="J55" i="42"/>
  <c r="K54" i="42"/>
  <c r="J54" i="42"/>
  <c r="K53" i="42"/>
  <c r="J53" i="42"/>
  <c r="K52" i="42"/>
  <c r="J52" i="42"/>
  <c r="K51" i="42"/>
  <c r="J51" i="42"/>
  <c r="K50" i="42"/>
  <c r="J50" i="42"/>
  <c r="K49" i="42"/>
  <c r="J49" i="42"/>
  <c r="K48" i="42"/>
  <c r="J48" i="42"/>
  <c r="K46" i="42"/>
  <c r="J46" i="42"/>
  <c r="K45" i="42"/>
  <c r="J45" i="42"/>
  <c r="K44" i="42"/>
  <c r="J44" i="42"/>
  <c r="K43" i="42"/>
  <c r="J43" i="42"/>
  <c r="K42" i="42"/>
  <c r="J42" i="42"/>
  <c r="K41" i="42"/>
  <c r="J41" i="42"/>
  <c r="K40" i="42"/>
  <c r="J40" i="42"/>
  <c r="K39" i="42"/>
  <c r="J39" i="42"/>
  <c r="K38" i="42"/>
  <c r="J38" i="42"/>
  <c r="K37" i="42"/>
  <c r="J37" i="42"/>
  <c r="K36" i="42"/>
  <c r="J36" i="42"/>
  <c r="K35" i="42"/>
  <c r="J35" i="42"/>
  <c r="K34" i="42"/>
  <c r="J34" i="42"/>
  <c r="K33" i="42"/>
  <c r="J33" i="42"/>
  <c r="K32" i="42"/>
  <c r="J32" i="42"/>
  <c r="K31" i="42"/>
  <c r="J31" i="42"/>
  <c r="K30" i="42"/>
  <c r="J30" i="42"/>
  <c r="K29" i="42"/>
  <c r="J29" i="42"/>
  <c r="K28" i="42"/>
  <c r="J28" i="42"/>
  <c r="K27" i="42"/>
  <c r="J27" i="42"/>
  <c r="K26" i="42"/>
  <c r="J26" i="42"/>
  <c r="K25" i="42"/>
  <c r="J25" i="42"/>
  <c r="K24" i="42"/>
  <c r="J24" i="42"/>
  <c r="K23" i="42"/>
  <c r="J23" i="42"/>
  <c r="K22" i="42"/>
  <c r="J22" i="42"/>
  <c r="K21" i="42"/>
  <c r="J21" i="42"/>
  <c r="K20" i="42"/>
  <c r="J20" i="42"/>
  <c r="K19" i="42"/>
  <c r="J19" i="42"/>
  <c r="K18" i="42"/>
  <c r="J18" i="42"/>
  <c r="K17" i="42"/>
  <c r="J17" i="42"/>
  <c r="M17" i="42" s="1"/>
  <c r="K16" i="42"/>
  <c r="J16" i="42"/>
  <c r="K15" i="42"/>
  <c r="J15" i="42"/>
  <c r="K14" i="42"/>
  <c r="J14" i="42"/>
  <c r="K13" i="42"/>
  <c r="J13" i="42"/>
  <c r="K12" i="42"/>
  <c r="J12" i="42"/>
  <c r="A12" i="42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K11" i="42"/>
  <c r="K4" i="42" s="1"/>
  <c r="K6" i="42" s="1"/>
  <c r="J11" i="42"/>
  <c r="K70" i="40"/>
  <c r="J70" i="40"/>
  <c r="K69" i="40"/>
  <c r="J69" i="40"/>
  <c r="K68" i="40"/>
  <c r="J68" i="40"/>
  <c r="K67" i="40"/>
  <c r="J67" i="40"/>
  <c r="K66" i="40"/>
  <c r="J66" i="40"/>
  <c r="K65" i="40"/>
  <c r="J65" i="40"/>
  <c r="K64" i="40"/>
  <c r="J64" i="40"/>
  <c r="K63" i="40"/>
  <c r="J63" i="40"/>
  <c r="K62" i="40"/>
  <c r="J62" i="40"/>
  <c r="K61" i="40"/>
  <c r="J61" i="40"/>
  <c r="K60" i="40"/>
  <c r="J60" i="40"/>
  <c r="K59" i="40"/>
  <c r="J59" i="40"/>
  <c r="K58" i="40"/>
  <c r="J58" i="40"/>
  <c r="K57" i="40"/>
  <c r="J57" i="40"/>
  <c r="K56" i="40"/>
  <c r="J56" i="40"/>
  <c r="K55" i="40"/>
  <c r="J55" i="40"/>
  <c r="K54" i="40"/>
  <c r="J54" i="40"/>
  <c r="K53" i="40"/>
  <c r="J53" i="40"/>
  <c r="K52" i="40"/>
  <c r="J52" i="40"/>
  <c r="K51" i="40"/>
  <c r="J51" i="40"/>
  <c r="K50" i="40"/>
  <c r="J50" i="40"/>
  <c r="K49" i="40"/>
  <c r="J49" i="40"/>
  <c r="K48" i="40"/>
  <c r="J48" i="40"/>
  <c r="K47" i="40"/>
  <c r="J47" i="40"/>
  <c r="K46" i="40"/>
  <c r="J46" i="40"/>
  <c r="K45" i="40"/>
  <c r="J45" i="40"/>
  <c r="K44" i="40"/>
  <c r="J44" i="40"/>
  <c r="K43" i="40"/>
  <c r="J43" i="40"/>
  <c r="K42" i="40"/>
  <c r="J42" i="40"/>
  <c r="K41" i="40"/>
  <c r="J41" i="40"/>
  <c r="K40" i="40"/>
  <c r="J40" i="40"/>
  <c r="K39" i="40"/>
  <c r="J39" i="40"/>
  <c r="K38" i="40"/>
  <c r="J38" i="40"/>
  <c r="K37" i="40"/>
  <c r="J37" i="40"/>
  <c r="K36" i="40"/>
  <c r="J36" i="40"/>
  <c r="K35" i="40"/>
  <c r="J35" i="40"/>
  <c r="K34" i="40"/>
  <c r="J34" i="40"/>
  <c r="K33" i="40"/>
  <c r="J33" i="40"/>
  <c r="K32" i="40"/>
  <c r="J32" i="40"/>
  <c r="K31" i="40"/>
  <c r="J31" i="40"/>
  <c r="K30" i="40"/>
  <c r="J30" i="40"/>
  <c r="K29" i="40"/>
  <c r="K28" i="40"/>
  <c r="J28" i="40"/>
  <c r="K27" i="40"/>
  <c r="J27" i="40"/>
  <c r="K26" i="40"/>
  <c r="J26" i="40"/>
  <c r="K25" i="40"/>
  <c r="J25" i="40"/>
  <c r="K24" i="40"/>
  <c r="J24" i="40"/>
  <c r="K23" i="40"/>
  <c r="J23" i="40"/>
  <c r="K22" i="40"/>
  <c r="J22" i="40"/>
  <c r="K21" i="40"/>
  <c r="J21" i="40"/>
  <c r="K20" i="40"/>
  <c r="J20" i="40"/>
  <c r="K19" i="40"/>
  <c r="J19" i="40"/>
  <c r="K18" i="40"/>
  <c r="J18" i="40"/>
  <c r="K17" i="40"/>
  <c r="J17" i="40"/>
  <c r="K16" i="40"/>
  <c r="J16" i="40"/>
  <c r="K15" i="40"/>
  <c r="J15" i="40"/>
  <c r="K14" i="40"/>
  <c r="J14" i="40"/>
  <c r="J13" i="40"/>
  <c r="K12" i="40"/>
  <c r="K78" i="40" l="1"/>
  <c r="J78" i="40"/>
  <c r="M11" i="42"/>
  <c r="J4" i="42"/>
  <c r="M4" i="42" s="1"/>
  <c r="M12" i="42"/>
  <c r="M28" i="42"/>
  <c r="M30" i="42"/>
  <c r="M32" i="42"/>
  <c r="M34" i="42"/>
  <c r="M36" i="42"/>
  <c r="M38" i="42"/>
  <c r="M40" i="42"/>
  <c r="M42" i="42"/>
  <c r="M44" i="42"/>
  <c r="M46" i="42"/>
  <c r="M48" i="42"/>
  <c r="M50" i="42"/>
  <c r="M52" i="42"/>
  <c r="M54" i="42"/>
  <c r="M56" i="42"/>
  <c r="M58" i="42"/>
  <c r="M60" i="42"/>
  <c r="M62" i="42"/>
  <c r="M64" i="42"/>
  <c r="M66" i="42"/>
  <c r="M68" i="42"/>
  <c r="M70" i="42"/>
  <c r="M72" i="42"/>
  <c r="M74" i="42"/>
  <c r="M61" i="42"/>
  <c r="M63" i="42"/>
  <c r="M65" i="42"/>
  <c r="M67" i="42"/>
  <c r="M69" i="42"/>
  <c r="M71" i="42"/>
  <c r="M73" i="42"/>
  <c r="M14" i="42"/>
  <c r="M16" i="42"/>
  <c r="M18" i="42"/>
  <c r="M20" i="42"/>
  <c r="M22" i="42"/>
  <c r="M24" i="42"/>
  <c r="M26" i="42"/>
  <c r="M13" i="42"/>
  <c r="M15" i="42"/>
  <c r="M19" i="42"/>
  <c r="M21" i="42"/>
  <c r="M23" i="42"/>
  <c r="M25" i="42"/>
  <c r="M27" i="42"/>
  <c r="M29" i="42"/>
  <c r="M31" i="42"/>
  <c r="M33" i="42"/>
  <c r="M35" i="42"/>
  <c r="M37" i="42"/>
  <c r="M39" i="42"/>
  <c r="M41" i="42"/>
  <c r="M43" i="42"/>
  <c r="M45" i="42"/>
  <c r="M49" i="42"/>
  <c r="M51" i="42"/>
  <c r="M53" i="42"/>
  <c r="M55" i="42"/>
  <c r="M57" i="42"/>
  <c r="M59" i="42"/>
  <c r="J6" i="42"/>
  <c r="K4" i="40"/>
  <c r="K6" i="40" s="1"/>
  <c r="M6" i="40" s="1"/>
  <c r="J4" i="40"/>
  <c r="J6" i="40" s="1"/>
  <c r="K79" i="42"/>
  <c r="J79" i="42"/>
  <c r="M16" i="40"/>
  <c r="M18" i="40"/>
  <c r="M20" i="40"/>
  <c r="M22" i="40"/>
  <c r="M26" i="40"/>
  <c r="M32" i="40"/>
  <c r="M34" i="40"/>
  <c r="M36" i="40"/>
  <c r="M38" i="40"/>
  <c r="M42" i="40"/>
  <c r="M27" i="40"/>
  <c r="M39" i="40"/>
  <c r="M64" i="40"/>
  <c r="M66" i="40"/>
  <c r="M68" i="40"/>
  <c r="M70" i="40"/>
  <c r="M46" i="40"/>
  <c r="M58" i="40"/>
  <c r="M17" i="40"/>
  <c r="M21" i="40"/>
  <c r="M43" i="40"/>
  <c r="M55" i="40"/>
  <c r="M59" i="40"/>
  <c r="M33" i="40"/>
  <c r="M37" i="40"/>
  <c r="M62" i="40"/>
  <c r="M14" i="40"/>
  <c r="M49" i="40"/>
  <c r="M53" i="40"/>
  <c r="M23" i="40"/>
  <c r="M30" i="40"/>
  <c r="M48" i="40"/>
  <c r="M50" i="40"/>
  <c r="M52" i="40"/>
  <c r="M54" i="40"/>
  <c r="M65" i="40"/>
  <c r="M69" i="40"/>
  <c r="M25" i="40"/>
  <c r="M13" i="40"/>
  <c r="M15" i="40"/>
  <c r="M24" i="40"/>
  <c r="M29" i="40"/>
  <c r="M31" i="40"/>
  <c r="M40" i="40"/>
  <c r="M45" i="40"/>
  <c r="M47" i="40"/>
  <c r="M56" i="40"/>
  <c r="M61" i="40"/>
  <c r="M63" i="40"/>
  <c r="M41" i="40"/>
  <c r="M57" i="40"/>
  <c r="M19" i="40"/>
  <c r="M28" i="40"/>
  <c r="M35" i="40"/>
  <c r="M44" i="40"/>
  <c r="M51" i="40"/>
  <c r="M60" i="40"/>
  <c r="M67" i="40"/>
  <c r="M79" i="42" l="1"/>
  <c r="M6" i="42"/>
  <c r="M4" i="40"/>
  <c r="A12" i="40" l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A68" i="40" s="1"/>
  <c r="A69" i="40" s="1"/>
  <c r="A70" i="40" s="1"/>
  <c r="A71" i="40" s="1"/>
  <c r="A72" i="40" s="1"/>
  <c r="A73" i="40" s="1"/>
  <c r="A74" i="40" s="1"/>
  <c r="M12" i="40"/>
  <c r="M78" i="40" s="1"/>
  <c r="A75" i="40" l="1"/>
  <c r="A76" i="40" s="1"/>
  <c r="A77" i="40" s="1"/>
  <c r="C71" i="85" l="1"/>
  <c r="C74" i="85" l="1"/>
  <c r="D78" i="77" l="1"/>
  <c r="D79" i="77" s="1"/>
  <c r="E56" i="85"/>
  <c r="E71" i="85" l="1"/>
  <c r="C56" i="85"/>
  <c r="G56" i="85"/>
  <c r="I56" i="85" s="1"/>
  <c r="K56" i="85" s="1"/>
  <c r="E74" i="85" l="1"/>
  <c r="G74" i="85" s="1"/>
  <c r="G71" i="85"/>
  <c r="K45" i="89"/>
  <c r="G32" i="89" s="1"/>
  <c r="G522" i="93" l="1"/>
  <c r="D14" i="77"/>
  <c r="G529" i="93" l="1"/>
  <c r="G523" i="93"/>
  <c r="D16" i="77"/>
  <c r="D15" i="77"/>
  <c r="C30" i="85" l="1"/>
  <c r="G528" i="93"/>
  <c r="D17" i="77"/>
  <c r="J51" i="11"/>
  <c r="L51" i="11" s="1"/>
  <c r="M51" i="11" s="1"/>
  <c r="N51" i="11" s="1"/>
  <c r="E30" i="85"/>
  <c r="G530" i="93" l="1"/>
  <c r="G535" i="93"/>
  <c r="G534" i="93"/>
  <c r="G536" i="93"/>
  <c r="O51" i="11"/>
  <c r="K522" i="93"/>
  <c r="M26" i="11"/>
  <c r="N26" i="11" s="1"/>
  <c r="J6" i="11"/>
  <c r="K529" i="93"/>
  <c r="O529" i="93" s="1"/>
  <c r="M8" i="11"/>
  <c r="N8" i="11" s="1"/>
  <c r="M28" i="11"/>
  <c r="N28" i="11" s="1"/>
  <c r="M38" i="11"/>
  <c r="N38" i="11" s="1"/>
  <c r="K523" i="93" l="1"/>
  <c r="O523" i="93" s="1"/>
  <c r="O8" i="11"/>
  <c r="O38" i="11"/>
  <c r="O28" i="11"/>
  <c r="O26" i="11"/>
  <c r="O522" i="93"/>
  <c r="M32" i="11"/>
  <c r="N32" i="11" s="1"/>
  <c r="G524" i="93" l="1"/>
  <c r="K524" i="93"/>
  <c r="O524" i="93"/>
  <c r="O32" i="11"/>
  <c r="K534" i="93"/>
  <c r="K535" i="93"/>
  <c r="O535" i="93" s="1"/>
  <c r="M12" i="11"/>
  <c r="N12" i="11" s="1"/>
  <c r="K528" i="93"/>
  <c r="C40" i="85"/>
  <c r="K530" i="93"/>
  <c r="O530" i="93" s="1"/>
  <c r="D58" i="77" l="1"/>
  <c r="K536" i="93"/>
  <c r="O536" i="93" s="1"/>
  <c r="G531" i="93"/>
  <c r="M11" i="11"/>
  <c r="N11" i="11" s="1"/>
  <c r="M22" i="11"/>
  <c r="N22" i="11" s="1"/>
  <c r="O12" i="11"/>
  <c r="O534" i="93"/>
  <c r="O528" i="93"/>
  <c r="O531" i="93" s="1"/>
  <c r="K531" i="93"/>
  <c r="M16" i="11"/>
  <c r="N16" i="11" s="1"/>
  <c r="M24" i="11"/>
  <c r="N24" i="11" s="1"/>
  <c r="D65" i="77" l="1"/>
  <c r="D72" i="77"/>
  <c r="D40" i="77"/>
  <c r="O537" i="93"/>
  <c r="O539" i="93" s="1"/>
  <c r="G537" i="93"/>
  <c r="G539" i="93" s="1"/>
  <c r="K537" i="93"/>
  <c r="K539" i="93" s="1"/>
  <c r="O11" i="11"/>
  <c r="O22" i="11"/>
  <c r="O24" i="11"/>
  <c r="O16" i="11"/>
  <c r="D41" i="77" l="1"/>
  <c r="D39" i="77"/>
  <c r="D42" i="77" l="1"/>
  <c r="Q82" i="93"/>
  <c r="P79" i="93"/>
  <c r="P80" i="93"/>
  <c r="Q85" i="93"/>
  <c r="D84" i="77" l="1"/>
  <c r="K502" i="93" l="1"/>
  <c r="O502" i="93" s="1"/>
  <c r="O503" i="93" s="1"/>
  <c r="O518" i="93" s="1"/>
  <c r="G503" i="93"/>
  <c r="G518" i="93" s="1"/>
  <c r="K503" i="93" l="1"/>
  <c r="K518" i="93" s="1"/>
  <c r="P294" i="93"/>
  <c r="Q117" i="93"/>
  <c r="P117" i="93" s="1"/>
  <c r="P296" i="93"/>
  <c r="Q115" i="93"/>
  <c r="P115" i="93" s="1"/>
  <c r="C52" i="69"/>
  <c r="D52" i="69" l="1"/>
  <c r="E51" i="69" l="1"/>
  <c r="E43" i="69"/>
  <c r="E52" i="69" l="1"/>
  <c r="I8" i="69"/>
  <c r="I12" i="69"/>
  <c r="I16" i="69"/>
  <c r="I20" i="69"/>
  <c r="I24" i="69"/>
  <c r="I28" i="69"/>
  <c r="I32" i="69"/>
  <c r="I36" i="69"/>
  <c r="I9" i="69"/>
  <c r="I17" i="69"/>
  <c r="I21" i="69"/>
  <c r="I25" i="69"/>
  <c r="I29" i="69"/>
  <c r="I33" i="69"/>
  <c r="I10" i="69"/>
  <c r="I18" i="69"/>
  <c r="I26" i="69"/>
  <c r="I34" i="69"/>
  <c r="I23" i="69"/>
  <c r="I31" i="69"/>
  <c r="I13" i="69"/>
  <c r="I7" i="69"/>
  <c r="I14" i="69"/>
  <c r="I22" i="69"/>
  <c r="I30" i="69"/>
  <c r="I11" i="69"/>
  <c r="I15" i="69"/>
  <c r="I19" i="69"/>
  <c r="I27" i="69"/>
  <c r="I35" i="69"/>
  <c r="K50" i="11"/>
  <c r="L50" i="11" s="1"/>
  <c r="M50" i="11" s="1"/>
  <c r="O50" i="11" l="1"/>
  <c r="N50" i="11"/>
  <c r="K21" i="11"/>
  <c r="L21" i="11" s="1"/>
  <c r="M21" i="11" s="1"/>
  <c r="K30" i="11"/>
  <c r="L30" i="11" s="1"/>
  <c r="M30" i="11" s="1"/>
  <c r="K40" i="11"/>
  <c r="L40" i="11" s="1"/>
  <c r="M40" i="11" s="1"/>
  <c r="K33" i="11"/>
  <c r="L33" i="11" s="1"/>
  <c r="M33" i="11" s="1"/>
  <c r="K55" i="11"/>
  <c r="L55" i="11" s="1"/>
  <c r="M55" i="11" s="1"/>
  <c r="K25" i="11"/>
  <c r="L25" i="11" s="1"/>
  <c r="M25" i="11" s="1"/>
  <c r="K48" i="11"/>
  <c r="L48" i="11" s="1"/>
  <c r="M48" i="11" s="1"/>
  <c r="K42" i="11"/>
  <c r="L42" i="11" s="1"/>
  <c r="M42" i="11" s="1"/>
  <c r="K35" i="11"/>
  <c r="L35" i="11" s="1"/>
  <c r="M35" i="11" s="1"/>
  <c r="K23" i="11"/>
  <c r="L23" i="11" s="1"/>
  <c r="M23" i="11" s="1"/>
  <c r="K31" i="11"/>
  <c r="L31" i="11" s="1"/>
  <c r="M31" i="11" s="1"/>
  <c r="K37" i="11"/>
  <c r="L37" i="11" s="1"/>
  <c r="M37" i="11" s="1"/>
  <c r="K34" i="11"/>
  <c r="L34" i="11" s="1"/>
  <c r="M34" i="11" s="1"/>
  <c r="K36" i="11"/>
  <c r="L36" i="11" s="1"/>
  <c r="M36" i="11" s="1"/>
  <c r="K27" i="11" l="1"/>
  <c r="L27" i="11" s="1"/>
  <c r="M27" i="11" s="1"/>
  <c r="N27" i="11" s="1"/>
  <c r="K17" i="11"/>
  <c r="L17" i="11" s="1"/>
  <c r="M17" i="11" s="1"/>
  <c r="N17" i="11" s="1"/>
  <c r="K15" i="11"/>
  <c r="L15" i="11" s="1"/>
  <c r="M15" i="11" s="1"/>
  <c r="N15" i="11" s="1"/>
  <c r="K19" i="11"/>
  <c r="L19" i="11" s="1"/>
  <c r="M19" i="11" s="1"/>
  <c r="N19" i="11" s="1"/>
  <c r="K14" i="11"/>
  <c r="L14" i="11" s="1"/>
  <c r="M14" i="11" s="1"/>
  <c r="N14" i="11" s="1"/>
  <c r="K7" i="11"/>
  <c r="L7" i="11" s="1"/>
  <c r="M7" i="11" s="1"/>
  <c r="N7" i="11" s="1"/>
  <c r="K18" i="11"/>
  <c r="L18" i="11" s="1"/>
  <c r="M18" i="11" s="1"/>
  <c r="N18" i="11" s="1"/>
  <c r="O37" i="11"/>
  <c r="N37" i="11"/>
  <c r="O23" i="11"/>
  <c r="N23" i="11"/>
  <c r="O36" i="11"/>
  <c r="N36" i="11"/>
  <c r="O31" i="11"/>
  <c r="N31" i="11"/>
  <c r="O35" i="11"/>
  <c r="N35" i="11"/>
  <c r="O25" i="11"/>
  <c r="N25" i="11"/>
  <c r="O55" i="11"/>
  <c r="N55" i="11"/>
  <c r="O33" i="11"/>
  <c r="N33" i="11"/>
  <c r="O21" i="11"/>
  <c r="N21" i="11"/>
  <c r="O34" i="11"/>
  <c r="N34" i="11"/>
  <c r="O48" i="11"/>
  <c r="N48" i="11"/>
  <c r="O40" i="11"/>
  <c r="N40" i="11"/>
  <c r="O42" i="11"/>
  <c r="N42" i="11"/>
  <c r="O30" i="11"/>
  <c r="N30" i="11"/>
  <c r="C50" i="85"/>
  <c r="O27" i="11" l="1"/>
  <c r="O7" i="11"/>
  <c r="O14" i="11"/>
  <c r="O18" i="11"/>
  <c r="O17" i="11"/>
  <c r="O19" i="11"/>
  <c r="O15" i="11"/>
  <c r="K9" i="11"/>
  <c r="L9" i="11" s="1"/>
  <c r="M9" i="11" s="1"/>
  <c r="C49" i="85"/>
  <c r="K13" i="11"/>
  <c r="L13" i="11" s="1"/>
  <c r="M13" i="11" s="1"/>
  <c r="K47" i="11"/>
  <c r="L47" i="11" s="1"/>
  <c r="M47" i="11" s="1"/>
  <c r="K39" i="11"/>
  <c r="L39" i="11" s="1"/>
  <c r="M39" i="11" s="1"/>
  <c r="K10" i="11"/>
  <c r="L10" i="11" s="1"/>
  <c r="M10" i="11" s="1"/>
  <c r="K29" i="11"/>
  <c r="L29" i="11" s="1"/>
  <c r="M29" i="11" s="1"/>
  <c r="K20" i="11"/>
  <c r="L20" i="11" s="1"/>
  <c r="M20" i="11" s="1"/>
  <c r="K6" i="11"/>
  <c r="L6" i="11" s="1"/>
  <c r="M6" i="11" s="1"/>
  <c r="O6" i="11" l="1"/>
  <c r="N6" i="11"/>
  <c r="O47" i="11"/>
  <c r="N47" i="11"/>
  <c r="O13" i="11"/>
  <c r="N13" i="11"/>
  <c r="O9" i="11"/>
  <c r="N9" i="11"/>
  <c r="O29" i="11"/>
  <c r="N29" i="11"/>
  <c r="O10" i="11"/>
  <c r="N10" i="11"/>
  <c r="O20" i="11"/>
  <c r="N20" i="11"/>
  <c r="O39" i="11"/>
  <c r="N39" i="11"/>
  <c r="C39" i="85"/>
  <c r="D9" i="77"/>
  <c r="G50" i="85"/>
  <c r="E50" i="85"/>
  <c r="P90" i="93" s="1"/>
  <c r="I50" i="85" l="1"/>
  <c r="K50" i="85" s="1"/>
  <c r="C38" i="85"/>
  <c r="C41" i="85" s="1"/>
  <c r="P389" i="93" l="1"/>
  <c r="D7" i="77"/>
  <c r="D35" i="77"/>
  <c r="D34" i="77"/>
  <c r="C29" i="85"/>
  <c r="D83" i="77"/>
  <c r="D57" i="77" l="1"/>
  <c r="D33" i="77"/>
  <c r="D64" i="77" l="1"/>
  <c r="D71" i="77"/>
  <c r="D36" i="77"/>
  <c r="C55" i="85"/>
  <c r="C42" i="85" l="1"/>
  <c r="C44" i="85"/>
  <c r="C43" i="85"/>
  <c r="C54" i="85" l="1"/>
  <c r="C47" i="85" l="1"/>
  <c r="E54" i="85"/>
  <c r="E55" i="85"/>
  <c r="E44" i="85"/>
  <c r="E43" i="85"/>
  <c r="E39" i="85"/>
  <c r="D46" i="77" l="1"/>
  <c r="D51" i="77" s="1"/>
  <c r="K27" i="90" s="1"/>
  <c r="G22" i="90" s="1"/>
  <c r="G54" i="85"/>
  <c r="I54" i="85" s="1"/>
  <c r="K54" i="85" s="1"/>
  <c r="E42" i="85"/>
  <c r="Q109" i="93" s="1"/>
  <c r="P109" i="93" s="1"/>
  <c r="D22" i="77"/>
  <c r="D73" i="77"/>
  <c r="D74" i="77" s="1"/>
  <c r="D47" i="77"/>
  <c r="D52" i="77" s="1"/>
  <c r="K28" i="90" s="1"/>
  <c r="G23" i="90" s="1"/>
  <c r="D23" i="77"/>
  <c r="E40" i="85"/>
  <c r="E38" i="85" l="1"/>
  <c r="E41" i="85" s="1"/>
  <c r="M41" i="85" s="1"/>
  <c r="C31" i="85"/>
  <c r="E49" i="85"/>
  <c r="Q92" i="93" s="1"/>
  <c r="G43" i="85"/>
  <c r="I43" i="85" s="1"/>
  <c r="K43" i="85" s="1"/>
  <c r="G42" i="85"/>
  <c r="D66" i="77"/>
  <c r="D67" i="77" s="1"/>
  <c r="G47" i="85"/>
  <c r="G40" i="85"/>
  <c r="I40" i="85" s="1"/>
  <c r="K40" i="85" s="1"/>
  <c r="D45" i="77"/>
  <c r="D48" i="77" s="1"/>
  <c r="G44" i="85"/>
  <c r="I44" i="85" s="1"/>
  <c r="K44" i="85" s="1"/>
  <c r="G55" i="85"/>
  <c r="I55" i="85" s="1"/>
  <c r="K55" i="85" s="1"/>
  <c r="K43" i="89"/>
  <c r="G30" i="89" s="1"/>
  <c r="E47" i="85"/>
  <c r="P103" i="93" s="1"/>
  <c r="D85" i="77"/>
  <c r="D86" i="77" s="1"/>
  <c r="H54" i="93"/>
  <c r="L54" i="93" s="1"/>
  <c r="P54" i="93" s="1"/>
  <c r="H53" i="93"/>
  <c r="L53" i="93" s="1"/>
  <c r="P53" i="93" s="1"/>
  <c r="G49" i="85" l="1"/>
  <c r="I49" i="85" s="1"/>
  <c r="K49" i="85" s="1"/>
  <c r="E31" i="85"/>
  <c r="D21" i="77"/>
  <c r="G38" i="85"/>
  <c r="D24" i="77"/>
  <c r="G20" i="88" s="1"/>
  <c r="C32" i="85"/>
  <c r="K42" i="89"/>
  <c r="G29" i="89" s="1"/>
  <c r="D59" i="77"/>
  <c r="D60" i="77" s="1"/>
  <c r="K27" i="83" s="1"/>
  <c r="K4" i="85" s="1"/>
  <c r="D50" i="77"/>
  <c r="D53" i="77" s="1"/>
  <c r="H47" i="93"/>
  <c r="L47" i="93" s="1"/>
  <c r="P47" i="93" s="1"/>
  <c r="K44" i="89"/>
  <c r="G31" i="89" s="1"/>
  <c r="C59" i="85" s="1"/>
  <c r="G59" i="85"/>
  <c r="I47" i="85"/>
  <c r="K47" i="85" s="1"/>
  <c r="Q95" i="93"/>
  <c r="P89" i="93"/>
  <c r="I42" i="85"/>
  <c r="Q110" i="93"/>
  <c r="H40" i="93" l="1"/>
  <c r="D25" i="77"/>
  <c r="H48" i="93"/>
  <c r="L48" i="93" s="1"/>
  <c r="P48" i="93" s="1"/>
  <c r="K26" i="90"/>
  <c r="G21" i="90" s="1"/>
  <c r="G24" i="90" s="1"/>
  <c r="G21" i="83"/>
  <c r="I4" i="85" s="1"/>
  <c r="K53" i="89"/>
  <c r="K5" i="85" s="1"/>
  <c r="N5" i="85" s="1"/>
  <c r="G40" i="89"/>
  <c r="K40" i="89" s="1"/>
  <c r="I5" i="85" s="1"/>
  <c r="P110" i="93"/>
  <c r="Q112" i="93"/>
  <c r="Q408" i="93"/>
  <c r="P408" i="93" s="1"/>
  <c r="K42" i="85"/>
  <c r="K29" i="90" l="1"/>
  <c r="K7" i="85" s="1"/>
  <c r="N7" i="85" s="1"/>
  <c r="H52" i="93"/>
  <c r="K24" i="90"/>
  <c r="I7" i="85" s="1"/>
  <c r="L52" i="93" l="1"/>
  <c r="P52" i="93" s="1"/>
  <c r="H55" i="93"/>
  <c r="L55" i="93" s="1"/>
  <c r="P55" i="93" s="1"/>
  <c r="E29" i="85" l="1"/>
  <c r="E32" i="85" s="1"/>
  <c r="D10" i="77"/>
  <c r="H41" i="93" s="1"/>
  <c r="L41" i="93" s="1"/>
  <c r="P41" i="93" s="1"/>
  <c r="G39" i="85"/>
  <c r="G41" i="85" s="1"/>
  <c r="E33" i="85" l="1"/>
  <c r="E34" i="85" s="1"/>
  <c r="D11" i="77"/>
  <c r="D28" i="77" s="1"/>
  <c r="K25" i="88" s="1"/>
  <c r="G19" i="88" s="1"/>
  <c r="I39" i="85"/>
  <c r="K39" i="85" s="1"/>
  <c r="I38" i="85"/>
  <c r="L40" i="93" l="1"/>
  <c r="C12" i="78"/>
  <c r="C13" i="78" s="1"/>
  <c r="K28" i="83" s="1"/>
  <c r="K8" i="85" s="1"/>
  <c r="N8" i="85" s="1"/>
  <c r="C12" i="79"/>
  <c r="C13" i="79" s="1"/>
  <c r="K25" i="86" s="1"/>
  <c r="G19" i="86" s="1"/>
  <c r="G22" i="86" s="1"/>
  <c r="K22" i="86" s="1"/>
  <c r="Q391" i="93"/>
  <c r="Q98" i="93" s="1"/>
  <c r="G22" i="88"/>
  <c r="K3" i="85"/>
  <c r="N3" i="85" s="1"/>
  <c r="K38" i="85"/>
  <c r="I41" i="85"/>
  <c r="K41" i="85" s="1"/>
  <c r="Q100" i="93" l="1"/>
  <c r="Q288" i="93"/>
  <c r="P288" i="93" s="1"/>
  <c r="Q168" i="93"/>
  <c r="Q169" i="93" s="1"/>
  <c r="P98" i="93"/>
  <c r="Q228" i="93"/>
  <c r="P228" i="93" s="1"/>
  <c r="Q346" i="93"/>
  <c r="P346" i="93" s="1"/>
  <c r="H42" i="93"/>
  <c r="G52" i="85"/>
  <c r="I52" i="85" s="1"/>
  <c r="K52" i="85" s="1"/>
  <c r="G22" i="83"/>
  <c r="K29" i="83"/>
  <c r="K22" i="88"/>
  <c r="I3" i="85" s="1"/>
  <c r="P388" i="93"/>
  <c r="Q394" i="93"/>
  <c r="G46" i="85"/>
  <c r="I46" i="85" s="1"/>
  <c r="P40" i="93"/>
  <c r="P42" i="93" s="1"/>
  <c r="L42" i="93"/>
  <c r="H45" i="93"/>
  <c r="K6" i="85"/>
  <c r="N6" i="85" s="1"/>
  <c r="I6" i="85"/>
  <c r="Q289" i="93" l="1"/>
  <c r="Q291" i="93" s="1"/>
  <c r="Q347" i="93"/>
  <c r="P347" i="93" s="1"/>
  <c r="P168" i="93"/>
  <c r="Q229" i="93"/>
  <c r="P229" i="93" s="1"/>
  <c r="G24" i="83"/>
  <c r="K24" i="83" s="1"/>
  <c r="I8" i="85"/>
  <c r="Q222" i="93"/>
  <c r="P169" i="93"/>
  <c r="Q171" i="93"/>
  <c r="L45" i="93"/>
  <c r="H46" i="93"/>
  <c r="L46" i="93" s="1"/>
  <c r="P46" i="93" s="1"/>
  <c r="N4" i="85"/>
  <c r="K46" i="85"/>
  <c r="Q402" i="93"/>
  <c r="P402" i="93" s="1"/>
  <c r="Q349" i="93" l="1"/>
  <c r="P289" i="93"/>
  <c r="Q231" i="93"/>
  <c r="Q162" i="93"/>
  <c r="P162" i="93" s="1"/>
  <c r="Q340" i="93"/>
  <c r="Q341" i="93" s="1"/>
  <c r="P104" i="93"/>
  <c r="Q282" i="93"/>
  <c r="Q283" i="93" s="1"/>
  <c r="H49" i="93"/>
  <c r="H57" i="93" s="1"/>
  <c r="P45" i="93"/>
  <c r="P49" i="93" s="1"/>
  <c r="P57" i="93" s="1"/>
  <c r="L49" i="93"/>
  <c r="L57" i="93" s="1"/>
  <c r="P222" i="93"/>
  <c r="Q223" i="93"/>
  <c r="P340" i="93" l="1"/>
  <c r="Q163" i="93"/>
  <c r="Q165" i="93" s="1"/>
  <c r="P282" i="93"/>
  <c r="Q225" i="93"/>
  <c r="P223" i="93"/>
  <c r="P341" i="93"/>
  <c r="Q343" i="93"/>
  <c r="Q285" i="93"/>
  <c r="P283" i="93"/>
  <c r="P163" i="93" l="1"/>
</calcChain>
</file>

<file path=xl/comments1.xml><?xml version="1.0" encoding="utf-8"?>
<comments xmlns="http://schemas.openxmlformats.org/spreadsheetml/2006/main">
  <authors>
    <author>witmanmm</author>
  </authors>
  <commentList>
    <comment ref="AF5" authorId="0" shapeId="0">
      <text>
        <r>
          <rPr>
            <b/>
            <sz val="9"/>
            <color indexed="81"/>
            <rFont val="Tahoma"/>
            <family val="2"/>
          </rPr>
          <t>witmanmm:</t>
        </r>
        <r>
          <rPr>
            <sz val="9"/>
            <color indexed="81"/>
            <rFont val="Tahoma"/>
            <family val="2"/>
          </rPr>
          <t xml:space="preserve">
old plan - no co match on app
new plan - co match on app</t>
        </r>
      </text>
    </comment>
    <comment ref="BG5" authorId="0" shapeId="0">
      <text>
        <r>
          <rPr>
            <b/>
            <sz val="9"/>
            <color indexed="81"/>
            <rFont val="Tahoma"/>
            <family val="2"/>
          </rPr>
          <t>witmanmm:</t>
        </r>
        <r>
          <rPr>
            <sz val="9"/>
            <color indexed="81"/>
            <rFont val="Tahoma"/>
            <family val="2"/>
          </rPr>
          <t xml:space="preserve">
No capitalization on APP per Linda.</t>
        </r>
      </text>
    </comment>
  </commentList>
</comments>
</file>

<file path=xl/comments2.xml><?xml version="1.0" encoding="utf-8"?>
<comments xmlns="http://schemas.openxmlformats.org/spreadsheetml/2006/main">
  <authors>
    <author>witmanmm</author>
  </authors>
  <commentList>
    <comment ref="AH5" authorId="0" shapeId="0">
      <text>
        <r>
          <rPr>
            <b/>
            <sz val="9"/>
            <color indexed="81"/>
            <rFont val="Tahoma"/>
            <family val="2"/>
          </rPr>
          <t>witmanmm:</t>
        </r>
        <r>
          <rPr>
            <sz val="9"/>
            <color indexed="81"/>
            <rFont val="Tahoma"/>
            <family val="2"/>
          </rPr>
          <t xml:space="preserve">
old plan - no co match on app
new plan - co match on app</t>
        </r>
      </text>
    </comment>
  </commentList>
</comments>
</file>

<file path=xl/comments3.xml><?xml version="1.0" encoding="utf-8"?>
<comments xmlns="http://schemas.openxmlformats.org/spreadsheetml/2006/main">
  <authors>
    <author>witmanmm</author>
  </authors>
  <commentList>
    <comment ref="AF5" authorId="0" shapeId="0">
      <text>
        <r>
          <rPr>
            <b/>
            <sz val="9"/>
            <color indexed="81"/>
            <rFont val="Tahoma"/>
            <family val="2"/>
          </rPr>
          <t>witmanmm:</t>
        </r>
        <r>
          <rPr>
            <sz val="9"/>
            <color indexed="81"/>
            <rFont val="Tahoma"/>
            <family val="2"/>
          </rPr>
          <t xml:space="preserve">
old plan - no co match on app
new plan - co match on app</t>
        </r>
      </text>
    </comment>
    <comment ref="AG5" authorId="0" shapeId="0">
      <text>
        <r>
          <rPr>
            <b/>
            <sz val="9"/>
            <color indexed="81"/>
            <rFont val="Tahoma"/>
            <family val="2"/>
          </rPr>
          <t>witmanmm:</t>
        </r>
        <r>
          <rPr>
            <sz val="9"/>
            <color indexed="81"/>
            <rFont val="Tahoma"/>
            <family val="2"/>
          </rPr>
          <t xml:space="preserve">
if 401K is match 50% up to 5% should not have DCP
</t>
        </r>
      </text>
    </comment>
    <comment ref="BD5" authorId="0" shapeId="0">
      <text>
        <r>
          <rPr>
            <b/>
            <sz val="9"/>
            <color indexed="81"/>
            <rFont val="Tahoma"/>
            <family val="2"/>
          </rPr>
          <t>witmanmm:</t>
        </r>
        <r>
          <rPr>
            <sz val="9"/>
            <color indexed="81"/>
            <rFont val="Tahoma"/>
            <family val="2"/>
          </rPr>
          <t xml:space="preserve">
No capitalization on APP per Linda.</t>
        </r>
      </text>
    </comment>
    <comment ref="BE5" authorId="0" shapeId="0">
      <text>
        <r>
          <rPr>
            <b/>
            <sz val="9"/>
            <color indexed="81"/>
            <rFont val="Tahoma"/>
            <family val="2"/>
          </rPr>
          <t>witmanmm:</t>
        </r>
        <r>
          <rPr>
            <sz val="9"/>
            <color indexed="81"/>
            <rFont val="Tahoma"/>
            <family val="2"/>
          </rPr>
          <t xml:space="preserve">
No capitalization on LTPP per Linda
</t>
        </r>
      </text>
    </comment>
  </commentList>
</comments>
</file>

<file path=xl/comments4.xml><?xml version="1.0" encoding="utf-8"?>
<comments xmlns="http://schemas.openxmlformats.org/spreadsheetml/2006/main">
  <authors>
    <author>conroygm</author>
    <author>witmanmm</author>
  </authors>
  <commentList>
    <comment ref="C19" authorId="0" shapeId="0">
      <text>
        <r>
          <rPr>
            <b/>
            <sz val="10"/>
            <color indexed="81"/>
            <rFont val="Tahoma"/>
            <family val="2"/>
          </rPr>
          <t>conroygm:</t>
        </r>
        <r>
          <rPr>
            <sz val="10"/>
            <color indexed="81"/>
            <rFont val="Tahoma"/>
            <family val="2"/>
          </rPr>
          <t xml:space="preserve">
Incentive and severance</t>
        </r>
      </text>
    </comment>
    <comment ref="B326" authorId="0" shapeId="0">
      <text>
        <r>
          <rPr>
            <b/>
            <sz val="10"/>
            <color indexed="81"/>
            <rFont val="Tahoma"/>
            <family val="2"/>
          </rPr>
          <t>conroygm:</t>
        </r>
        <r>
          <rPr>
            <sz val="10"/>
            <color indexed="81"/>
            <rFont val="Tahoma"/>
            <family val="2"/>
          </rPr>
          <t xml:space="preserve">
Exclude Incentive diollars</t>
        </r>
      </text>
    </comment>
    <comment ref="D436" authorId="1" shapeId="0">
      <text>
        <r>
          <rPr>
            <b/>
            <sz val="9"/>
            <color indexed="81"/>
            <rFont val="Tahoma"/>
            <family val="2"/>
          </rPr>
          <t>witmanmm:</t>
        </r>
        <r>
          <rPr>
            <sz val="9"/>
            <color indexed="81"/>
            <rFont val="Tahoma"/>
            <family val="2"/>
          </rPr>
          <t xml:space="preserve">
Not part of KAWC Labor and Related Exhibit
</t>
        </r>
      </text>
    </comment>
  </commentList>
</comments>
</file>

<file path=xl/sharedStrings.xml><?xml version="1.0" encoding="utf-8"?>
<sst xmlns="http://schemas.openxmlformats.org/spreadsheetml/2006/main" count="10282" uniqueCount="1136">
  <si>
    <t>Position</t>
  </si>
  <si>
    <t>Job</t>
  </si>
  <si>
    <t>Cost Center</t>
  </si>
  <si>
    <t>Personnel Subarea</t>
  </si>
  <si>
    <t>Sr Spec Cross Connect (N)</t>
  </si>
  <si>
    <t>CORP-Admin &amp; Gen</t>
  </si>
  <si>
    <t>Non-Union</t>
  </si>
  <si>
    <t>Supvr Production</t>
  </si>
  <si>
    <t>Supvr Field Operations</t>
  </si>
  <si>
    <t>CORP-Engineering</t>
  </si>
  <si>
    <t>Supvr Opns II</t>
  </si>
  <si>
    <t>Exec Asst (N)</t>
  </si>
  <si>
    <t>Supt Opns II</t>
  </si>
  <si>
    <t>Gross</t>
  </si>
  <si>
    <t>Specialist Operations (N)</t>
  </si>
  <si>
    <t>President (Large States)</t>
  </si>
  <si>
    <t>Wastewater Operator</t>
  </si>
  <si>
    <t>Mgr Ext Affairs (State)</t>
  </si>
  <si>
    <t>CORP-Com Relations</t>
  </si>
  <si>
    <t>Spec Wtr Qlty &amp; Env Compl II</t>
  </si>
  <si>
    <t>Pers.No.</t>
  </si>
  <si>
    <t>Entry</t>
  </si>
  <si>
    <t>Cost Ctr</t>
  </si>
  <si>
    <t>PSA</t>
  </si>
  <si>
    <t>Pay Scale Area</t>
  </si>
  <si>
    <t>Ty.</t>
  </si>
  <si>
    <t>Pay scale type</t>
  </si>
  <si>
    <t>PS group</t>
  </si>
  <si>
    <t>Lv</t>
  </si>
  <si>
    <t>Original Hire Date</t>
  </si>
  <si>
    <t>02</t>
  </si>
  <si>
    <t>03</t>
  </si>
  <si>
    <t>NU</t>
  </si>
  <si>
    <t>Non Union</t>
  </si>
  <si>
    <t>A3</t>
  </si>
  <si>
    <t>Hrly Non Union</t>
  </si>
  <si>
    <t>Q2</t>
  </si>
  <si>
    <t>01</t>
  </si>
  <si>
    <t>SE</t>
  </si>
  <si>
    <t>Salaried Exempt</t>
  </si>
  <si>
    <t>A2</t>
  </si>
  <si>
    <t>Q1</t>
  </si>
  <si>
    <t>12</t>
  </si>
  <si>
    <t>A1</t>
  </si>
  <si>
    <t>AW Union</t>
  </si>
  <si>
    <t>L99</t>
  </si>
  <si>
    <t>Q3</t>
  </si>
  <si>
    <t>FLSVREP</t>
  </si>
  <si>
    <t>MTR RDR</t>
  </si>
  <si>
    <t>00</t>
  </si>
  <si>
    <t>04</t>
  </si>
  <si>
    <t>Plan</t>
  </si>
  <si>
    <t>Benefit plan</t>
  </si>
  <si>
    <t>PreTax</t>
  </si>
  <si>
    <t>41KB</t>
  </si>
  <si>
    <t>401(k) Match 1-3/100% 4-5/50%</t>
  </si>
  <si>
    <t>41KA</t>
  </si>
  <si>
    <t>401(k) Match 50% up to 5%</t>
  </si>
  <si>
    <t>ESPP</t>
  </si>
  <si>
    <t>Stock Puchase Plan - 01</t>
  </si>
  <si>
    <t>Period text</t>
  </si>
  <si>
    <t>Benefit plan text</t>
  </si>
  <si>
    <t>Option</t>
  </si>
  <si>
    <t>Option text</t>
  </si>
  <si>
    <t>ER Credit</t>
  </si>
  <si>
    <t>Bi-weekly</t>
  </si>
  <si>
    <t>Dental/Vision Only Plan</t>
  </si>
  <si>
    <t>UNIO</t>
  </si>
  <si>
    <t>Union</t>
  </si>
  <si>
    <t>PPO Medical,Dental/Vision Plan</t>
  </si>
  <si>
    <t>RMRA</t>
  </si>
  <si>
    <t>Retiree Medical Reimburse Acct</t>
  </si>
  <si>
    <t>Long Term Disability</t>
  </si>
  <si>
    <t>Short Term Disability</t>
  </si>
  <si>
    <t>DCA</t>
  </si>
  <si>
    <t>Defined Contribution Account</t>
  </si>
  <si>
    <t>Key</t>
  </si>
  <si>
    <t>401k</t>
  </si>
  <si>
    <t>Salary</t>
  </si>
  <si>
    <t>Total Gross Salaries &amp; Wages</t>
  </si>
  <si>
    <t>Gross Other Benefits
401k, DCP, Retiree Medical, ESPP</t>
  </si>
  <si>
    <t>Gross Group Insurance</t>
  </si>
  <si>
    <t>Line #</t>
  </si>
  <si>
    <t>FTE</t>
  </si>
  <si>
    <t>x</t>
  </si>
  <si>
    <t>401k % Match</t>
  </si>
  <si>
    <t>Defined Contribution Plan</t>
  </si>
  <si>
    <t>Retiree Medical (VEBA)</t>
  </si>
  <si>
    <t>FICA Withholding</t>
  </si>
  <si>
    <t>FICA Medicare</t>
  </si>
  <si>
    <t>SUTA</t>
  </si>
  <si>
    <t>FUTA</t>
  </si>
  <si>
    <t>Total Gross Payroll Taxes</t>
  </si>
  <si>
    <t>Medical Dental &amp; Vision</t>
  </si>
  <si>
    <t>Employee Contribution</t>
  </si>
  <si>
    <t>Net Medical, Dental, Vision</t>
  </si>
  <si>
    <t>Basic Life</t>
  </si>
  <si>
    <t>AD&amp;D</t>
  </si>
  <si>
    <t>Total Gross Group Insurance</t>
  </si>
  <si>
    <t>Regular Time Pay</t>
  </si>
  <si>
    <t>Cost Center Name</t>
  </si>
  <si>
    <t>Employee Number</t>
  </si>
  <si>
    <t>Total Overtime Pay</t>
  </si>
  <si>
    <t>Sum Salaries &amp; Wages</t>
  </si>
  <si>
    <t>Average</t>
  </si>
  <si>
    <t>Going Level</t>
  </si>
  <si>
    <t>Total Days</t>
  </si>
  <si>
    <t>Grand Total</t>
  </si>
  <si>
    <t>Going Level Wage Rate</t>
  </si>
  <si>
    <t xml:space="preserve">Union </t>
  </si>
  <si>
    <t>Shift Premium</t>
  </si>
  <si>
    <t>Shift</t>
  </si>
  <si>
    <t>Non Union Hourly</t>
  </si>
  <si>
    <t>Union Employees</t>
  </si>
  <si>
    <t>Non Union Salaried</t>
  </si>
  <si>
    <t>Annual Incentive Plan</t>
  </si>
  <si>
    <t>Pay Grade</t>
  </si>
  <si>
    <t>Long Term Incentive Plan</t>
  </si>
  <si>
    <t>Gross Payroll Taxes</t>
  </si>
  <si>
    <t>FICA Rates</t>
  </si>
  <si>
    <t>FUTA Rates</t>
  </si>
  <si>
    <t>SUTA Rates</t>
  </si>
  <si>
    <t>Employer %</t>
  </si>
  <si>
    <t>Max Wage</t>
  </si>
  <si>
    <t>Annual</t>
  </si>
  <si>
    <t>FICA Social Security</t>
  </si>
  <si>
    <t>no max</t>
  </si>
  <si>
    <t>Co Match</t>
  </si>
  <si>
    <t>Non-Union Average Match</t>
  </si>
  <si>
    <t>Union Average Match</t>
  </si>
  <si>
    <t>Annual Cost</t>
  </si>
  <si>
    <t>Company Funded 10% Discount</t>
  </si>
  <si>
    <t>Percent of Base Pay</t>
  </si>
  <si>
    <t>Pro Forma Base Wages</t>
  </si>
  <si>
    <t>Start Date</t>
  </si>
  <si>
    <t>NU Hrly Pro Forma Base Wages</t>
  </si>
  <si>
    <t>Union Pro Forma Base Wages</t>
  </si>
  <si>
    <t>NU Slry Pro Forma Base Wages</t>
  </si>
  <si>
    <t>401k Plan</t>
  </si>
  <si>
    <t>(Without AIP &amp; LTIP)</t>
  </si>
  <si>
    <t>Employer Cost</t>
  </si>
  <si>
    <t>Employee Cost</t>
  </si>
  <si>
    <t>Fraction of Employees with Selections</t>
  </si>
  <si>
    <t>Average After Non-Participation</t>
  </si>
  <si>
    <t>Total Sum of Annual EmployER Cost</t>
  </si>
  <si>
    <t>Total Sum of Annual EmployEE Cost</t>
  </si>
  <si>
    <t>Personnel Number</t>
  </si>
  <si>
    <t>Sum of Annual EmployER Cost</t>
  </si>
  <si>
    <t>Sum of Annual EmployEE Cost</t>
  </si>
  <si>
    <t>Gross Cost</t>
  </si>
  <si>
    <t>Union / NU</t>
  </si>
  <si>
    <t>Total Union</t>
  </si>
  <si>
    <t>Total Non Union</t>
  </si>
  <si>
    <t>Miscellaneous Group Insurance Rates</t>
  </si>
  <si>
    <t>Non-Union Rates</t>
  </si>
  <si>
    <t>Salary Multiplier = Coverage Basis</t>
  </si>
  <si>
    <t>Max Coverage Basis</t>
  </si>
  <si>
    <t>Coverage Unit</t>
  </si>
  <si>
    <t>Annual Flat Cost</t>
  </si>
  <si>
    <t>Note</t>
  </si>
  <si>
    <t>Accidental Death &amp; Dismemberment</t>
  </si>
  <si>
    <t>Union Rates</t>
  </si>
  <si>
    <t>(If salary &gt; $10,000)</t>
  </si>
  <si>
    <t>Insurance Coverage</t>
  </si>
  <si>
    <t>Labor and Benefits</t>
  </si>
  <si>
    <t>Gross Labor</t>
  </si>
  <si>
    <t>Budgeted Wage Increases</t>
  </si>
  <si>
    <t>Non Union Employees</t>
  </si>
  <si>
    <t>S</t>
  </si>
  <si>
    <t>Employment Status</t>
  </si>
  <si>
    <t>CoCd</t>
  </si>
  <si>
    <t>Company Code</t>
  </si>
  <si>
    <t>PA</t>
  </si>
  <si>
    <t>Personnel Area</t>
  </si>
  <si>
    <t>PSubarea</t>
  </si>
  <si>
    <t>EEGrp</t>
  </si>
  <si>
    <t>Employee Group</t>
  </si>
  <si>
    <t>ESgrp</t>
  </si>
  <si>
    <t>Employee Subgroup</t>
  </si>
  <si>
    <t>COAr</t>
  </si>
  <si>
    <t>Controlling Area</t>
  </si>
  <si>
    <t>PArea</t>
  </si>
  <si>
    <t>Payroll Area</t>
  </si>
  <si>
    <t>Org.unit</t>
  </si>
  <si>
    <t>Organizational Unit</t>
  </si>
  <si>
    <t>Annual Salary/Rate</t>
  </si>
  <si>
    <t>Curr.</t>
  </si>
  <si>
    <t>Start Date IT0008</t>
  </si>
  <si>
    <t>Next inc.</t>
  </si>
  <si>
    <t>AW Hire Date</t>
  </si>
  <si>
    <t>Service Date</t>
  </si>
  <si>
    <t>Wage Type</t>
  </si>
  <si>
    <t>Amount</t>
  </si>
  <si>
    <t>Job Key</t>
  </si>
  <si>
    <t>3</t>
  </si>
  <si>
    <t>Active</t>
  </si>
  <si>
    <t>1012</t>
  </si>
  <si>
    <t>Kentucky-American Water C</t>
  </si>
  <si>
    <t>2073</t>
  </si>
  <si>
    <t>KYAW-Lexington (Richmond Rd)</t>
  </si>
  <si>
    <t>ZZNU</t>
  </si>
  <si>
    <t>A</t>
  </si>
  <si>
    <t>Regular</t>
  </si>
  <si>
    <t>Salaried Exempt FT</t>
  </si>
  <si>
    <t>120105</t>
  </si>
  <si>
    <t>AWTR</t>
  </si>
  <si>
    <t>American Water Co Area</t>
  </si>
  <si>
    <t>Bi-weekly: Sun-Fri</t>
  </si>
  <si>
    <t>10000628</t>
  </si>
  <si>
    <t>KY State</t>
  </si>
  <si>
    <t>USD</t>
  </si>
  <si>
    <t>1000</t>
  </si>
  <si>
    <t>Basic Salary</t>
  </si>
  <si>
    <t>Mgr Business Performance</t>
  </si>
  <si>
    <t>30200120</t>
  </si>
  <si>
    <t>KY01</t>
  </si>
  <si>
    <t>SEIU_320 Outsid</t>
  </si>
  <si>
    <t>Hourly FT Union</t>
  </si>
  <si>
    <t>120203</t>
  </si>
  <si>
    <t>CEN-Cust Service</t>
  </si>
  <si>
    <t>30100119</t>
  </si>
  <si>
    <t>Field Service Rep F320O</t>
  </si>
  <si>
    <t>32</t>
  </si>
  <si>
    <t>1001</t>
  </si>
  <si>
    <t>HrlyRateU</t>
  </si>
  <si>
    <t>Hourly FT Non-Union</t>
  </si>
  <si>
    <t>120114</t>
  </si>
  <si>
    <t>10000695</t>
  </si>
  <si>
    <t>New Development</t>
  </si>
  <si>
    <t>50000840</t>
  </si>
  <si>
    <t>30300078</t>
  </si>
  <si>
    <t>1002</t>
  </si>
  <si>
    <t>HryRateNU</t>
  </si>
  <si>
    <t>11002301</t>
  </si>
  <si>
    <t>Capital Delivery</t>
  </si>
  <si>
    <t>50000842</t>
  </si>
  <si>
    <t>Specialist Engrg (N)</t>
  </si>
  <si>
    <t>30300073</t>
  </si>
  <si>
    <t>50000843</t>
  </si>
  <si>
    <t>120121</t>
  </si>
  <si>
    <t>10100204</t>
  </si>
  <si>
    <t>External Affairs - KY</t>
  </si>
  <si>
    <t>50000844</t>
  </si>
  <si>
    <t>30200152</t>
  </si>
  <si>
    <t>30300035</t>
  </si>
  <si>
    <t>50000846</t>
  </si>
  <si>
    <t>120217</t>
  </si>
  <si>
    <t>CEN-Water Quality</t>
  </si>
  <si>
    <t>10001072</t>
  </si>
  <si>
    <t>Water Quality</t>
  </si>
  <si>
    <t>50000847</t>
  </si>
  <si>
    <t>30200224</t>
  </si>
  <si>
    <t>50000850</t>
  </si>
  <si>
    <t>2072</t>
  </si>
  <si>
    <t>KYAW-Lexington (Cedar Creek)</t>
  </si>
  <si>
    <t>120250</t>
  </si>
  <si>
    <t>CEN-KY River St</t>
  </si>
  <si>
    <t>10000622</t>
  </si>
  <si>
    <t>Kentucky River Station 1</t>
  </si>
  <si>
    <t>50000851</t>
  </si>
  <si>
    <t>30100486</t>
  </si>
  <si>
    <t>Treatment Plt Opr F320O U511</t>
  </si>
  <si>
    <t>TRPLOP</t>
  </si>
  <si>
    <t>120201</t>
  </si>
  <si>
    <t>CEN-Production</t>
  </si>
  <si>
    <t>11002325</t>
  </si>
  <si>
    <t>Production Maintenance</t>
  </si>
  <si>
    <t>Maintenance Technician II F320O</t>
  </si>
  <si>
    <t>30100230</t>
  </si>
  <si>
    <t>MNTTECH2</t>
  </si>
  <si>
    <t>50000854</t>
  </si>
  <si>
    <t>50000855</t>
  </si>
  <si>
    <t>120251</t>
  </si>
  <si>
    <t>CEN-Richmond Road</t>
  </si>
  <si>
    <t>10000891</t>
  </si>
  <si>
    <t>Richmond Road Station</t>
  </si>
  <si>
    <t>TRPLOP2S</t>
  </si>
  <si>
    <t>50000859</t>
  </si>
  <si>
    <t>50000860</t>
  </si>
  <si>
    <t>50000861</t>
  </si>
  <si>
    <t>10000804</t>
  </si>
  <si>
    <t>Production</t>
  </si>
  <si>
    <t>50000862</t>
  </si>
  <si>
    <t>Admin Asst - Staff Supp (N)</t>
  </si>
  <si>
    <t>30300002</t>
  </si>
  <si>
    <t>120206</t>
  </si>
  <si>
    <t>CEN-Field Services</t>
  </si>
  <si>
    <t>51012050</t>
  </si>
  <si>
    <t>30100292</t>
  </si>
  <si>
    <t>Meter Technician F320O</t>
  </si>
  <si>
    <t>MTR TECH</t>
  </si>
  <si>
    <t>50000865</t>
  </si>
  <si>
    <t>Engineering Specialist</t>
  </si>
  <si>
    <t>51011026</t>
  </si>
  <si>
    <t>30200340</t>
  </si>
  <si>
    <t>51011167</t>
  </si>
  <si>
    <t>50000877</t>
  </si>
  <si>
    <t>30100484</t>
  </si>
  <si>
    <t>Treatment Plt Opr Utility F320O</t>
  </si>
  <si>
    <t>TRPLOPUL</t>
  </si>
  <si>
    <t>50000878</t>
  </si>
  <si>
    <t>Clerk Opns (N)</t>
  </si>
  <si>
    <t>30300021</t>
  </si>
  <si>
    <t>Treatment Plt Opr Relief F320O</t>
  </si>
  <si>
    <t>50000881</t>
  </si>
  <si>
    <t>30100247</t>
  </si>
  <si>
    <t>Meter Reader F320O</t>
  </si>
  <si>
    <t>10000320</t>
  </si>
  <si>
    <t>Field Operations</t>
  </si>
  <si>
    <t>Mgr Opns</t>
  </si>
  <si>
    <t>30200178</t>
  </si>
  <si>
    <t>50000887</t>
  </si>
  <si>
    <t>30200345</t>
  </si>
  <si>
    <t>50000889</t>
  </si>
  <si>
    <t>123006</t>
  </si>
  <si>
    <t>NOR-Field Services</t>
  </si>
  <si>
    <t>11002452</t>
  </si>
  <si>
    <t>Field Operations - Northern Division</t>
  </si>
  <si>
    <t>Operations Generalist II (N)</t>
  </si>
  <si>
    <t>30000081</t>
  </si>
  <si>
    <t>10000207</t>
  </si>
  <si>
    <t>50000893</t>
  </si>
  <si>
    <t>50000894</t>
  </si>
  <si>
    <t>50005857</t>
  </si>
  <si>
    <t>50000898</t>
  </si>
  <si>
    <t>Supt Wtr Qlty &amp; Envrn Cmpl</t>
  </si>
  <si>
    <t>11002302</t>
  </si>
  <si>
    <t>Planning Engineering</t>
  </si>
  <si>
    <t>50000900</t>
  </si>
  <si>
    <t>30300034</t>
  </si>
  <si>
    <t>50000867</t>
  </si>
  <si>
    <t>51002107</t>
  </si>
  <si>
    <t>50000904</t>
  </si>
  <si>
    <t>TRPLOPSS</t>
  </si>
  <si>
    <t>BKHOEOPR</t>
  </si>
  <si>
    <t>123005</t>
  </si>
  <si>
    <t>NOR-Admin &amp; Gen</t>
  </si>
  <si>
    <t>10000699</t>
  </si>
  <si>
    <t>Northern Division</t>
  </si>
  <si>
    <t>50000908</t>
  </si>
  <si>
    <t>50000909</t>
  </si>
  <si>
    <t>Crew Leader F320O &amp; U335P</t>
  </si>
  <si>
    <t>30100037</t>
  </si>
  <si>
    <t>CREWLDR</t>
  </si>
  <si>
    <t>10000728</t>
  </si>
  <si>
    <t>Operations</t>
  </si>
  <si>
    <t>50003010</t>
  </si>
  <si>
    <t>VP Operations (Large)</t>
  </si>
  <si>
    <t>10000659</t>
  </si>
  <si>
    <t>Meter Reading</t>
  </si>
  <si>
    <t>50000901</t>
  </si>
  <si>
    <t>50003281</t>
  </si>
  <si>
    <t>50005299</t>
  </si>
  <si>
    <t>50003446</t>
  </si>
  <si>
    <t>10000259</t>
  </si>
  <si>
    <t>Engineering</t>
  </si>
  <si>
    <t>120252</t>
  </si>
  <si>
    <t>CEN-Pool III WTP</t>
  </si>
  <si>
    <t>Technician Production (N)</t>
  </si>
  <si>
    <t>2075</t>
  </si>
  <si>
    <t>KYAW-Owenton (3700 Hwy 127 N)</t>
  </si>
  <si>
    <t>50003551</t>
  </si>
  <si>
    <t>50003554</t>
  </si>
  <si>
    <t>51006827</t>
  </si>
  <si>
    <t>50003717</t>
  </si>
  <si>
    <t>10000143</t>
  </si>
  <si>
    <t>51001456</t>
  </si>
  <si>
    <t>30100010</t>
  </si>
  <si>
    <t>Backhoe Operator F320O</t>
  </si>
  <si>
    <t>50000864</t>
  </si>
  <si>
    <t>50005642</t>
  </si>
  <si>
    <t>11002351</t>
  </si>
  <si>
    <t>Customer Advocacy-Operations</t>
  </si>
  <si>
    <t>50004571</t>
  </si>
  <si>
    <t>51011750</t>
  </si>
  <si>
    <t>30300244</t>
  </si>
  <si>
    <t>50004848</t>
  </si>
  <si>
    <t>JRBH CLD</t>
  </si>
  <si>
    <t>2074</t>
  </si>
  <si>
    <t>KYAW-Owenton (16035 Hwy 127 S)</t>
  </si>
  <si>
    <t>50006009</t>
  </si>
  <si>
    <t>50005251</t>
  </si>
  <si>
    <t>51011208</t>
  </si>
  <si>
    <t>123001</t>
  </si>
  <si>
    <t>NOR-Production</t>
  </si>
  <si>
    <t>50005259</t>
  </si>
  <si>
    <t>30300077</t>
  </si>
  <si>
    <t>51011017</t>
  </si>
  <si>
    <t>51000600</t>
  </si>
  <si>
    <t>30100493</t>
  </si>
  <si>
    <t>Utility F320O</t>
  </si>
  <si>
    <t>UTILITY</t>
  </si>
  <si>
    <t>51009420</t>
  </si>
  <si>
    <t>51011037</t>
  </si>
  <si>
    <t>51011209</t>
  </si>
  <si>
    <t>50003709</t>
  </si>
  <si>
    <t>50005816</t>
  </si>
  <si>
    <t>50005872</t>
  </si>
  <si>
    <t>51003850</t>
  </si>
  <si>
    <t>30200222</t>
  </si>
  <si>
    <t>50006425</t>
  </si>
  <si>
    <t>50006619</t>
  </si>
  <si>
    <t>TROPUT2S</t>
  </si>
  <si>
    <t>50006624</t>
  </si>
  <si>
    <t>50006879</t>
  </si>
  <si>
    <t>30200214</t>
  </si>
  <si>
    <t>Project Mgr Engr</t>
  </si>
  <si>
    <t>50006880</t>
  </si>
  <si>
    <t>50000875</t>
  </si>
  <si>
    <t>50010051</t>
  </si>
  <si>
    <t>120214</t>
  </si>
  <si>
    <t>CEN-Engineering</t>
  </si>
  <si>
    <t>51000478</t>
  </si>
  <si>
    <t>50003902</t>
  </si>
  <si>
    <t>30200297</t>
  </si>
  <si>
    <t>50005310</t>
  </si>
  <si>
    <t>50000857</t>
  </si>
  <si>
    <t>51005876</t>
  </si>
  <si>
    <t>50005739</t>
  </si>
  <si>
    <t>51000455</t>
  </si>
  <si>
    <t>51006751</t>
  </si>
  <si>
    <t>30200330</t>
  </si>
  <si>
    <t>51000770</t>
  </si>
  <si>
    <t>TRPLOPRL</t>
  </si>
  <si>
    <t>50000880</t>
  </si>
  <si>
    <t>51008854</t>
  </si>
  <si>
    <t>50005252</t>
  </si>
  <si>
    <t>51012684</t>
  </si>
  <si>
    <t>51008853</t>
  </si>
  <si>
    <t>50005679</t>
  </si>
  <si>
    <t>SEIU_320 Outside</t>
  </si>
  <si>
    <t>Kentucky American Water Company</t>
  </si>
  <si>
    <t>Union Wage Rates</t>
  </si>
  <si>
    <t>PS Area</t>
  </si>
  <si>
    <t xml:space="preserve">Prorated Rate </t>
  </si>
  <si>
    <t>32-BKHOEOPR-01</t>
  </si>
  <si>
    <t>32-CREWLDR-01</t>
  </si>
  <si>
    <t>32-FLSVREP-01</t>
  </si>
  <si>
    <t>32-JRBH CLD-01</t>
  </si>
  <si>
    <t>32-MNTTECH1-01</t>
  </si>
  <si>
    <t>32-MNTTECH2-01</t>
  </si>
  <si>
    <t>32-MTR RDR-00</t>
  </si>
  <si>
    <t>32-MTR RDR-98</t>
  </si>
  <si>
    <t>32-MTR RDR-99</t>
  </si>
  <si>
    <t>32-MTR TECH-01</t>
  </si>
  <si>
    <t>32-TROPUT2S-01</t>
  </si>
  <si>
    <t>32-TROPUTSS-01</t>
  </si>
  <si>
    <t>32-TRPLOP-01</t>
  </si>
  <si>
    <t>32-TRPLOP-02</t>
  </si>
  <si>
    <t>32-TRPLOP-03</t>
  </si>
  <si>
    <t>32-TRPLOP-04</t>
  </si>
  <si>
    <t>32-TRPLOP2S-01</t>
  </si>
  <si>
    <t>32-TRPLOP3S-01</t>
  </si>
  <si>
    <t>32-TRPLOPRL-01</t>
  </si>
  <si>
    <t>32-TRPLOPRL-02</t>
  </si>
  <si>
    <t>32-TRPLOPSS-01</t>
  </si>
  <si>
    <t>32-TRPLOPUL-01</t>
  </si>
  <si>
    <t>32-UTILITY-01</t>
  </si>
  <si>
    <t>Working</t>
  </si>
  <si>
    <t>Prorated</t>
  </si>
  <si>
    <t>Hours</t>
  </si>
  <si>
    <t>%</t>
  </si>
  <si>
    <t>32-UTILITY-00</t>
  </si>
  <si>
    <t>401k Employee Contribution Rates</t>
  </si>
  <si>
    <t>Kentucky American Water</t>
  </si>
  <si>
    <t>Retiree Medical Eligible Employees</t>
  </si>
  <si>
    <t>DCP Eligible Employees</t>
  </si>
  <si>
    <t>Employee Stock Purchase Plan Participants</t>
  </si>
  <si>
    <t>Water %</t>
  </si>
  <si>
    <t>Home Cost Center</t>
  </si>
  <si>
    <t>Home Cost Center Name</t>
  </si>
  <si>
    <t>Current Job Title</t>
  </si>
  <si>
    <t>Water</t>
  </si>
  <si>
    <t>WW</t>
  </si>
  <si>
    <t>Avg</t>
  </si>
  <si>
    <t>Cost Center.Job Title</t>
  </si>
  <si>
    <t>Total</t>
  </si>
  <si>
    <t>Cost Center.Job</t>
  </si>
  <si>
    <t>Water Alloc %</t>
  </si>
  <si>
    <t>Shift Pay</t>
  </si>
  <si>
    <t>Number of Positions</t>
  </si>
  <si>
    <t>Cost per Position</t>
  </si>
  <si>
    <t>Avg Cost</t>
  </si>
  <si>
    <t xml:space="preserve">(Without Overtime) </t>
  </si>
  <si>
    <t>American Water</t>
  </si>
  <si>
    <t>Cap %</t>
  </si>
  <si>
    <t>Union Code</t>
  </si>
  <si>
    <t>Hourly / Salary</t>
  </si>
  <si>
    <t>New Function</t>
  </si>
  <si>
    <t>Job Title</t>
  </si>
  <si>
    <t>Salary Band</t>
  </si>
  <si>
    <t/>
  </si>
  <si>
    <t>H</t>
  </si>
  <si>
    <t>N</t>
  </si>
  <si>
    <t>Y</t>
  </si>
  <si>
    <t>F320O</t>
  </si>
  <si>
    <t>Operations Specialist</t>
  </si>
  <si>
    <t>Overtime Hours</t>
  </si>
  <si>
    <t>120105.Exec Asst (N)</t>
  </si>
  <si>
    <t>120114.Specialist Engrg (N)</t>
  </si>
  <si>
    <t>120121.Admin Asst - Staff Supp (N)</t>
  </si>
  <si>
    <t>120201.Admin Asst - Staff Supp (N)</t>
  </si>
  <si>
    <t>120201.Maintenance Technician II F320O</t>
  </si>
  <si>
    <t>120203.Clerk Opns (N)</t>
  </si>
  <si>
    <t>120203.Field Service Rep F320O</t>
  </si>
  <si>
    <t>120203.Meter Reader F320O</t>
  </si>
  <si>
    <t>120206.Backhoe Operator F320O</t>
  </si>
  <si>
    <t>120206.Clerk Opns (N)</t>
  </si>
  <si>
    <t>120206.Crew Leader F320O &amp; U335P</t>
  </si>
  <si>
    <t>120206.Meter Technician F320O</t>
  </si>
  <si>
    <t>120206.Utility F320O</t>
  </si>
  <si>
    <t>120217.Sr Spec Cross Connect (N)</t>
  </si>
  <si>
    <t>120250.Treatment Plt Opr F320O U511</t>
  </si>
  <si>
    <t>120250.Treatment Plt Opr Relief F320O</t>
  </si>
  <si>
    <t>120250.Treatment Plt Opr Utility F320O</t>
  </si>
  <si>
    <t>120251.Treatment Plt Opr F320O U511</t>
  </si>
  <si>
    <t>123005.Clerk Opns (N)</t>
  </si>
  <si>
    <t>120206.Meter Reader F320O</t>
  </si>
  <si>
    <t>120201.Wastewater Operator</t>
  </si>
  <si>
    <t>Overtime</t>
  </si>
  <si>
    <t>12 Months Ending</t>
  </si>
  <si>
    <t>OT Premium</t>
  </si>
  <si>
    <t>1.5</t>
  </si>
  <si>
    <t>2.0</t>
  </si>
  <si>
    <t>2.5</t>
  </si>
  <si>
    <t>Add'l OT</t>
  </si>
  <si>
    <t>BackPay</t>
  </si>
  <si>
    <t>Pay Multiplier</t>
  </si>
  <si>
    <t>OT Dollars Paid</t>
  </si>
  <si>
    <t>Base Dollars</t>
  </si>
  <si>
    <t>Average Multiplier:</t>
  </si>
  <si>
    <t>(Total OT $ Paid / Total Base $)</t>
  </si>
  <si>
    <t>Three Year Average</t>
  </si>
  <si>
    <t>Overtime Dollars</t>
  </si>
  <si>
    <t>Overtime Multiplier</t>
  </si>
  <si>
    <t>(Without LTIP)</t>
  </si>
  <si>
    <t>Salaries &amp; Wages</t>
  </si>
  <si>
    <t>Base Wages</t>
  </si>
  <si>
    <t>Shift Premiums</t>
  </si>
  <si>
    <t>Total Expensed Salaries &amp; Wages Pro Forma</t>
  </si>
  <si>
    <t>Payroll Taxes</t>
  </si>
  <si>
    <t>Total Expensed Payroll Taxes Pro Forma</t>
  </si>
  <si>
    <t>Group Insurance</t>
  </si>
  <si>
    <t>Total Expensed Group Insurance</t>
  </si>
  <si>
    <t>401(k)</t>
  </si>
  <si>
    <t>Total Expensed 401(k) Pro Forma</t>
  </si>
  <si>
    <t>DCP</t>
  </si>
  <si>
    <t>Total Expensed DCP Pro Forma</t>
  </si>
  <si>
    <t>Total Expensed Retiree Medical Pro Forma</t>
  </si>
  <si>
    <t>Total Expensed ESPP Pro Forma</t>
  </si>
  <si>
    <t>Non-Union Hourly</t>
  </si>
  <si>
    <t>Non-Union Salaried</t>
  </si>
  <si>
    <t>Water - Labor</t>
  </si>
  <si>
    <t>Water - Labor Expense</t>
  </si>
  <si>
    <t>Water - Payroll Taxes</t>
  </si>
  <si>
    <t>Water - Payroll Taxes Expense</t>
  </si>
  <si>
    <t>Water- Other Benefits
401k, DCP, Retiree Medical, ESPP</t>
  </si>
  <si>
    <t>Water - Other Benefits Expense
401k, DCP, Retiree Medical, ESPP</t>
  </si>
  <si>
    <t>Water - Group Insurance</t>
  </si>
  <si>
    <t>Water - Group Insurance Expense</t>
  </si>
  <si>
    <t>FICA</t>
  </si>
  <si>
    <t>Subtotal: Union Payroll Taxes</t>
  </si>
  <si>
    <t>Subtotal: Union Salaries &amp; Wages</t>
  </si>
  <si>
    <t>Subtotal: Non-Union Hourly Salaries &amp; Wages</t>
  </si>
  <si>
    <t>Subtotal: Non-Union Salaried Salaries &amp; Wages</t>
  </si>
  <si>
    <t>Subtotal: Non Union Hourly Payroll Taxes</t>
  </si>
  <si>
    <t>Subtotal: Non Union Salaried Payroll Taxes</t>
  </si>
  <si>
    <t>Pro Forma</t>
  </si>
  <si>
    <t>Forecast Year Worksheet for Pension Accrual (FAS 87 / ASC 715)</t>
  </si>
  <si>
    <t>Forecast Year Gross Sum</t>
  </si>
  <si>
    <t>Forecast Year Water O&amp;M Rate</t>
  </si>
  <si>
    <t>Forecast O&amp;M OPEB</t>
  </si>
  <si>
    <t>Forecast Year Worksheet for Other Post-Employement Benefits (OPEB's)</t>
  </si>
  <si>
    <t>Not Reflecting Purchase Accounting</t>
  </si>
  <si>
    <t>Company</t>
  </si>
  <si>
    <t>Valuation</t>
  </si>
  <si>
    <t>Allocation</t>
  </si>
  <si>
    <t xml:space="preserve">Expense </t>
  </si>
  <si>
    <t>Code</t>
  </si>
  <si>
    <t>Participants</t>
  </si>
  <si>
    <t>Earnings</t>
  </si>
  <si>
    <t>KENTUCKY - AM</t>
  </si>
  <si>
    <t>FAS 106</t>
  </si>
  <si>
    <t>Cost</t>
  </si>
  <si>
    <t>Count</t>
  </si>
  <si>
    <t>TOTAL</t>
  </si>
  <si>
    <t>Base Year Test Year Financial Data:</t>
  </si>
  <si>
    <t>Line Description</t>
  </si>
  <si>
    <t>Account</t>
  </si>
  <si>
    <t>Account Description</t>
  </si>
  <si>
    <t>NARUC</t>
  </si>
  <si>
    <t>Base Year Financial Data:</t>
  </si>
  <si>
    <t>Forecasted Test Year Financial Data:</t>
  </si>
  <si>
    <t>Line</t>
  </si>
  <si>
    <t>Base Year Total</t>
  </si>
  <si>
    <t>Line Number</t>
  </si>
  <si>
    <t>Description</t>
  </si>
  <si>
    <t>Supporting Exhibit Reference</t>
  </si>
  <si>
    <t>Adjustment for Forecast at Present Rates</t>
  </si>
  <si>
    <t>Adjustments for Proposed Rates</t>
  </si>
  <si>
    <t>Adjustment by Account</t>
  </si>
  <si>
    <t>Forecast</t>
  </si>
  <si>
    <t>Work Paper Reference:</t>
  </si>
  <si>
    <t>Workpaper #:</t>
  </si>
  <si>
    <t>Excel Reference:</t>
  </si>
  <si>
    <t>Line No.</t>
  </si>
  <si>
    <t xml:space="preserve"> Adjustments</t>
  </si>
  <si>
    <t>Reference</t>
  </si>
  <si>
    <t>Adjustments:</t>
  </si>
  <si>
    <t>Total Adjustments:</t>
  </si>
  <si>
    <t>Notes:</t>
  </si>
  <si>
    <t>NU Hrly</t>
  </si>
  <si>
    <t>NU Slry</t>
  </si>
  <si>
    <t>Water O&amp;M Percentage:</t>
  </si>
  <si>
    <t>Water Salaries &amp; Wages</t>
  </si>
  <si>
    <t>Water Salaries &amp; Wages Expense</t>
  </si>
  <si>
    <t>O&amp;M %</t>
  </si>
  <si>
    <t>Labor</t>
  </si>
  <si>
    <t>Group Insurance and OPEB</t>
  </si>
  <si>
    <t>Other Benefits</t>
  </si>
  <si>
    <t>Pension</t>
  </si>
  <si>
    <t>Reduction in FAS 87 Accrual Required</t>
  </si>
  <si>
    <t>Other Post Employment Benefits</t>
  </si>
  <si>
    <t>Group Insurance Adjustment</t>
  </si>
  <si>
    <t>Changes to Salaries &amp; Wages Expense</t>
  </si>
  <si>
    <t>Forecasted Other Benefits</t>
  </si>
  <si>
    <t>base year</t>
  </si>
  <si>
    <t>forecasted</t>
  </si>
  <si>
    <t>401k Expense</t>
  </si>
  <si>
    <t>DCP Expense</t>
  </si>
  <si>
    <t>ESPP Expense</t>
  </si>
  <si>
    <t>Retiree Medical Exp</t>
  </si>
  <si>
    <t>Other Welfare</t>
  </si>
  <si>
    <t>Employee Awards</t>
  </si>
  <si>
    <t>Emp Physical Exams</t>
  </si>
  <si>
    <t>Safety Incentive Awards</t>
  </si>
  <si>
    <t>Tuition Aid</t>
  </si>
  <si>
    <t>Training</t>
  </si>
  <si>
    <t>Referral Bonus</t>
  </si>
  <si>
    <t>For Schedule C by Account</t>
  </si>
  <si>
    <t>Gross Forecast</t>
  </si>
  <si>
    <t>Water Forecast</t>
  </si>
  <si>
    <t>Water O&amp;M Forecast</t>
  </si>
  <si>
    <t>Cap Credit</t>
  </si>
  <si>
    <t>Base Labor</t>
  </si>
  <si>
    <t>PBOP</t>
  </si>
  <si>
    <t>Labor Regular</t>
  </si>
  <si>
    <t>Pension Gross</t>
  </si>
  <si>
    <t xml:space="preserve">401k </t>
  </si>
  <si>
    <t>Labor and Labor Related Summary</t>
  </si>
  <si>
    <t>Compared to Forecast</t>
  </si>
  <si>
    <t>WP Reference</t>
  </si>
  <si>
    <t>WP Location</t>
  </si>
  <si>
    <t>W/P - 3-19</t>
  </si>
  <si>
    <t>Schedule D-2.3</t>
  </si>
  <si>
    <t>O&amp;M\[O&amp;M Exhibit Template.xlsx]Exhibit</t>
  </si>
  <si>
    <t>Labor Overtime</t>
  </si>
  <si>
    <t>Adjustments</t>
  </si>
  <si>
    <t>Retiree Medical</t>
  </si>
  <si>
    <t>Adjustment reflects costs forecasted through the budget process, including allowances for tuition assitance, training, drug screenings, health &amp; safety incentives, and biological exposure vaccinations.</t>
  </si>
  <si>
    <t>B</t>
  </si>
  <si>
    <t>C</t>
  </si>
  <si>
    <t>D</t>
  </si>
  <si>
    <t>32-UTILITY-05</t>
  </si>
  <si>
    <t>Management Salaries Allocated to Wastewater</t>
  </si>
  <si>
    <t>51013125</t>
  </si>
  <si>
    <t>05</t>
  </si>
  <si>
    <t>51012685</t>
  </si>
  <si>
    <t>51004702</t>
  </si>
  <si>
    <t xml:space="preserve">(With Overtime) </t>
  </si>
  <si>
    <t>Hourly Rate</t>
  </si>
  <si>
    <t>51001652</t>
  </si>
  <si>
    <t>11003151</t>
  </si>
  <si>
    <t>51012686</t>
  </si>
  <si>
    <t>30100485</t>
  </si>
  <si>
    <t>Union / Non-Union</t>
  </si>
  <si>
    <t>Water vs Wastewater Hours</t>
  </si>
  <si>
    <t>APP</t>
  </si>
  <si>
    <t>LTPP</t>
  </si>
  <si>
    <t>Annual Performance Plan</t>
  </si>
  <si>
    <t>Long Term Performance Plan</t>
  </si>
  <si>
    <t>APP Target %</t>
  </si>
  <si>
    <t>LTPP Target %</t>
  </si>
  <si>
    <t>(Without Overtime + APP)</t>
  </si>
  <si>
    <t>Exhibit 37, Schedule G-1</t>
  </si>
  <si>
    <t>PAYROLL COSTS  (WATER SEGMENT ONLY)</t>
  </si>
  <si>
    <r>
      <t xml:space="preserve">Data: </t>
    </r>
    <r>
      <rPr>
        <u/>
        <sz val="10"/>
        <color indexed="8"/>
        <rFont val="Calibri"/>
        <family val="2"/>
        <scheme val="minor"/>
      </rPr>
      <t xml:space="preserve">X </t>
    </r>
    <r>
      <rPr>
        <sz val="10"/>
        <color indexed="8"/>
        <rFont val="Calibri"/>
        <family val="2"/>
        <scheme val="minor"/>
      </rPr>
      <t xml:space="preserve">Base Period  </t>
    </r>
    <r>
      <rPr>
        <u/>
        <sz val="10"/>
        <color indexed="8"/>
        <rFont val="Calibri"/>
        <family val="2"/>
      </rPr>
      <t xml:space="preserve">X </t>
    </r>
    <r>
      <rPr>
        <sz val="10"/>
        <color indexed="8"/>
        <rFont val="Calibri"/>
        <family val="2"/>
        <scheme val="minor"/>
      </rPr>
      <t>Forecast Period</t>
    </r>
  </si>
  <si>
    <r>
      <t xml:space="preserve">Version: </t>
    </r>
    <r>
      <rPr>
        <u/>
        <sz val="10"/>
        <rFont val="Calibri"/>
        <family val="2"/>
      </rPr>
      <t>X</t>
    </r>
    <r>
      <rPr>
        <sz val="10"/>
        <rFont val="Calibri"/>
        <family val="2"/>
        <scheme val="minor"/>
      </rPr>
      <t xml:space="preserve"> Original _Updated _Revised</t>
    </r>
  </si>
  <si>
    <t>Jurisdictional</t>
  </si>
  <si>
    <t>No.</t>
  </si>
  <si>
    <t>Unadjusted</t>
  </si>
  <si>
    <t>Adjusted</t>
  </si>
  <si>
    <t>Base Period Expense:</t>
  </si>
  <si>
    <t>Total Salary</t>
  </si>
  <si>
    <t>As of 4/3/2007 2:31pm - Includes top side adjustments.</t>
  </si>
  <si>
    <t>Other Allowances and Compensation</t>
  </si>
  <si>
    <t>Sub-total</t>
  </si>
  <si>
    <t>Employee Benefits:</t>
  </si>
  <si>
    <t>401-K Plan</t>
  </si>
  <si>
    <t>Payroll Taxes:</t>
  </si>
  <si>
    <t>F.I.C.A.</t>
  </si>
  <si>
    <t>Federal Unemployment</t>
  </si>
  <si>
    <t>State Unemployment</t>
  </si>
  <si>
    <t>Total Compensation &amp; Taxes</t>
  </si>
  <si>
    <t>Forecasted Period Expense:</t>
  </si>
  <si>
    <t>PAYROLL ANALYSIS BY EMPLOYEE CLASSIFICATION  (WATER SEGMENT ONLY)</t>
  </si>
  <si>
    <t>Exhibit 37, Schedule G-2</t>
  </si>
  <si>
    <t xml:space="preserve">% </t>
  </si>
  <si>
    <t>Base</t>
  </si>
  <si>
    <t>Forecasted</t>
  </si>
  <si>
    <t>Change</t>
  </si>
  <si>
    <t>Period</t>
  </si>
  <si>
    <t>Total Company</t>
  </si>
  <si>
    <t>Employee Hours:</t>
  </si>
  <si>
    <t xml:space="preserve">    Straight-Time Hours</t>
  </si>
  <si>
    <t xml:space="preserve">    Overtime Hours</t>
  </si>
  <si>
    <t>Total Employee Hours</t>
  </si>
  <si>
    <t>Ratio of Overtime Hours to</t>
  </si>
  <si>
    <t xml:space="preserve">  Straight-Time Hours</t>
  </si>
  <si>
    <t>Labor Dollars:</t>
  </si>
  <si>
    <t xml:space="preserve">    Straight-Time Dollars</t>
  </si>
  <si>
    <t xml:space="preserve">    Overtime Dollars</t>
  </si>
  <si>
    <t>Total Labor Dollars</t>
  </si>
  <si>
    <t>Ratio of Overtime Dollars to</t>
  </si>
  <si>
    <t xml:space="preserve">  Straight-Time Dollars</t>
  </si>
  <si>
    <t>O&amp;M Labor Dollars</t>
  </si>
  <si>
    <t>Ratio of Labor Dollars to</t>
  </si>
  <si>
    <t xml:space="preserve">   Total  Labor Dollars</t>
  </si>
  <si>
    <t>Total Employee Benefits</t>
  </si>
  <si>
    <t>Employee Benefits Expensed</t>
  </si>
  <si>
    <t>Ratio of Employee Benefits Expensed</t>
  </si>
  <si>
    <t xml:space="preserve">  to Total Employee Benefits</t>
  </si>
  <si>
    <t>Total Payroll Taxes</t>
  </si>
  <si>
    <t>Payroll Taxes Expensed</t>
  </si>
  <si>
    <t>Ratio of Payroll Taxes Expensed</t>
  </si>
  <si>
    <t xml:space="preserve">    to Total Payroll Taxes</t>
  </si>
  <si>
    <t>Average Employee Levels</t>
  </si>
  <si>
    <t>Year-End Employee Levels</t>
  </si>
  <si>
    <t>Distribution</t>
  </si>
  <si>
    <t>Commercial</t>
  </si>
  <si>
    <t>Administrative &amp; General</t>
  </si>
  <si>
    <t>Construction &amp; Other</t>
  </si>
  <si>
    <t>EXECUTIVE COMPENSATION</t>
  </si>
  <si>
    <t>Exhibit 37, Schedule G-3</t>
  </si>
  <si>
    <t>Title of Executive: President</t>
  </si>
  <si>
    <t>Base Period:</t>
  </si>
  <si>
    <t>Total Compensation and Taxes</t>
  </si>
  <si>
    <t>Forecasted Period:</t>
  </si>
  <si>
    <t>Title of Executive: Vice President Operations</t>
  </si>
  <si>
    <t>Total Compensation</t>
  </si>
  <si>
    <t>A&amp;G</t>
  </si>
  <si>
    <t>Prod</t>
  </si>
  <si>
    <t>Dist</t>
  </si>
  <si>
    <t>Com</t>
  </si>
  <si>
    <t>Capital</t>
  </si>
  <si>
    <t>W/P - 3</t>
  </si>
  <si>
    <t>ESPP Contribution</t>
  </si>
  <si>
    <t>2018 Monthly Cost per Coverage Unit</t>
  </si>
  <si>
    <t>Company Funded 15% Discount</t>
  </si>
  <si>
    <t>Ended 12/31/2018</t>
  </si>
  <si>
    <t>Starts 1/1/2019</t>
  </si>
  <si>
    <t>Ends 12/31/2018</t>
  </si>
  <si>
    <t>Begins 1/1/2019</t>
  </si>
  <si>
    <t>FICA, FUTA, &amp; SUTA 2018 Rates</t>
  </si>
  <si>
    <t>Starting 1/1/2019</t>
  </si>
  <si>
    <t>00/00/0000</t>
  </si>
  <si>
    <t>10000142</t>
  </si>
  <si>
    <t>Field Ops-Field Serv</t>
  </si>
  <si>
    <t>11005000</t>
  </si>
  <si>
    <t>Wtr Qlty &amp; Envrn Compl</t>
  </si>
  <si>
    <t>Field Ops-Dist B</t>
  </si>
  <si>
    <t>51023364</t>
  </si>
  <si>
    <t>Capital Program Coordinator</t>
  </si>
  <si>
    <t>30200000</t>
  </si>
  <si>
    <t>11005425</t>
  </si>
  <si>
    <t>Govt Affairs - KY</t>
  </si>
  <si>
    <t>51017481</t>
  </si>
  <si>
    <t>51019003</t>
  </si>
  <si>
    <t>Sr Supt Opns</t>
  </si>
  <si>
    <t>30200316</t>
  </si>
  <si>
    <t>ZZKY</t>
  </si>
  <si>
    <t>KY NU Operation</t>
  </si>
  <si>
    <t>Operations Generalist</t>
  </si>
  <si>
    <t>51021734</t>
  </si>
  <si>
    <t>Engineering Technician</t>
  </si>
  <si>
    <t>Field Ops - Dist A</t>
  </si>
  <si>
    <t>Supvr Opns</t>
  </si>
  <si>
    <t>51017801</t>
  </si>
  <si>
    <t>Sr Mgr Operations</t>
  </si>
  <si>
    <t>31002876</t>
  </si>
  <si>
    <t>11005150</t>
  </si>
  <si>
    <t>Capitial Delivery II</t>
  </si>
  <si>
    <t>51017811</t>
  </si>
  <si>
    <t>51017908</t>
  </si>
  <si>
    <t>123301</t>
  </si>
  <si>
    <t>OWNWW-Treatment</t>
  </si>
  <si>
    <t>Operations Technician</t>
  </si>
  <si>
    <t>30300053</t>
  </si>
  <si>
    <t>51021736</t>
  </si>
  <si>
    <t>51021502</t>
  </si>
  <si>
    <t>Specialist Service Delivery</t>
  </si>
  <si>
    <t>30200234</t>
  </si>
  <si>
    <t>51019326</t>
  </si>
  <si>
    <t>51011206</t>
  </si>
  <si>
    <t>Field Ops-Distribution</t>
  </si>
  <si>
    <t>51015228</t>
  </si>
  <si>
    <t>51019952</t>
  </si>
  <si>
    <t>Maint Service Specialist</t>
  </si>
  <si>
    <t>51001107</t>
  </si>
  <si>
    <t>51021858</t>
  </si>
  <si>
    <t>51021500</t>
  </si>
  <si>
    <t>31003654</t>
  </si>
  <si>
    <t>VP Operations (Large 2)</t>
  </si>
  <si>
    <t>30100164</t>
  </si>
  <si>
    <t>Jr Backhoe/Crew Leader F320O</t>
  </si>
  <si>
    <t>51019285</t>
  </si>
  <si>
    <t>11003775</t>
  </si>
  <si>
    <t>KRSII Operations - Northern Division</t>
  </si>
  <si>
    <t>51017907</t>
  </si>
  <si>
    <t>Spec Ext Affairs</t>
  </si>
  <si>
    <t>51019364</t>
  </si>
  <si>
    <t>51019284</t>
  </si>
  <si>
    <t>31006051</t>
  </si>
  <si>
    <t>Treatment Plant Operator Util 2S F320O</t>
  </si>
  <si>
    <t>51024777</t>
  </si>
  <si>
    <t>51021000</t>
  </si>
  <si>
    <t>Engineering Project Manager</t>
  </si>
  <si>
    <t>Sr Project Engineer</t>
  </si>
  <si>
    <t>120216</t>
  </si>
  <si>
    <t>CEN-Maint Services</t>
  </si>
  <si>
    <t>51019902</t>
  </si>
  <si>
    <t>Sr Supvr Operations</t>
  </si>
  <si>
    <t>30200339</t>
  </si>
  <si>
    <t>50000856</t>
  </si>
  <si>
    <t>31005250</t>
  </si>
  <si>
    <t>Treatment Plt Opr 2 F320O</t>
  </si>
  <si>
    <t>51019202</t>
  </si>
  <si>
    <t>30200199</t>
  </si>
  <si>
    <t>Manager WQ &amp; Env Compliance</t>
  </si>
  <si>
    <t>51021794</t>
  </si>
  <si>
    <t>Supvr Cross Connection</t>
  </si>
  <si>
    <t>30200328</t>
  </si>
  <si>
    <t>51013558</t>
  </si>
  <si>
    <t>31001225</t>
  </si>
  <si>
    <t>Mgr Health and Safety Programs</t>
  </si>
  <si>
    <t>51024129</t>
  </si>
  <si>
    <t>51006750</t>
  </si>
  <si>
    <t>51022429</t>
  </si>
  <si>
    <t>2402</t>
  </si>
  <si>
    <t>KYAW-Lexington (RR Production)</t>
  </si>
  <si>
    <t>51015253</t>
  </si>
  <si>
    <t>31004075</t>
  </si>
  <si>
    <t>Treatment Plant Operator Trainee II</t>
  </si>
  <si>
    <t>TRPLATR2</t>
  </si>
  <si>
    <t>51021478</t>
  </si>
  <si>
    <t>31006275</t>
  </si>
  <si>
    <t>TREATMENT PLANT OPERATOR 3S F320O</t>
  </si>
  <si>
    <t>TRPLOP3S</t>
  </si>
  <si>
    <t>51021959</t>
  </si>
  <si>
    <t>50005647</t>
  </si>
  <si>
    <t>51013202</t>
  </si>
  <si>
    <t>31003400</t>
  </si>
  <si>
    <t>Maintenance Technician I F320O</t>
  </si>
  <si>
    <t>MNTTECH1</t>
  </si>
  <si>
    <t>51015025</t>
  </si>
  <si>
    <t>Dir Govt Affairs (State)</t>
  </si>
  <si>
    <t>30200054</t>
  </si>
  <si>
    <t>51021479</t>
  </si>
  <si>
    <t>51017725</t>
  </si>
  <si>
    <t>51012442</t>
  </si>
  <si>
    <t>Sr Automation &amp; Controls Tech</t>
  </si>
  <si>
    <t>31002354</t>
  </si>
  <si>
    <t>51017026</t>
  </si>
  <si>
    <t>T</t>
  </si>
  <si>
    <t>Temporary</t>
  </si>
  <si>
    <t>Hourly PT Non-Union</t>
  </si>
  <si>
    <t>51018257</t>
  </si>
  <si>
    <t>30300175</t>
  </si>
  <si>
    <t>Intern Admin</t>
  </si>
  <si>
    <t>51017810</t>
  </si>
  <si>
    <t>51021262</t>
  </si>
  <si>
    <t>2424</t>
  </si>
  <si>
    <t>KYAW-Rockcastle (9246 Main St)</t>
  </si>
  <si>
    <t>120306</t>
  </si>
  <si>
    <t>ERC - Field Services</t>
  </si>
  <si>
    <t>51022232</t>
  </si>
  <si>
    <t>11005501</t>
  </si>
  <si>
    <t>Southern Division-Rockcastle</t>
  </si>
  <si>
    <t>51022231</t>
  </si>
  <si>
    <t>51021501</t>
  </si>
  <si>
    <t>50003555</t>
  </si>
  <si>
    <t>51024177</t>
  </si>
  <si>
    <t>50005815</t>
  </si>
  <si>
    <t>51015000</t>
  </si>
  <si>
    <t>Hourly Wage
 as of 
08-31-2018</t>
  </si>
  <si>
    <t>APP %</t>
  </si>
  <si>
    <t>LTPP %</t>
  </si>
  <si>
    <t>Proj Hourly Wage
 as of 
4-1-2019</t>
  </si>
  <si>
    <t>Proj Hourly Wage
 as of 
4-1-2020</t>
  </si>
  <si>
    <t>Effective 4/1/2019</t>
  </si>
  <si>
    <t>Effective 4/1/2020</t>
  </si>
  <si>
    <t># days 7/1/19 - 3/31/20:</t>
  </si>
  <si>
    <t xml:space="preserve"># days 4/1/20 - 6/30/20: </t>
  </si>
  <si>
    <t>Admin &amp; Gen</t>
  </si>
  <si>
    <t>32-TRPLATR1-01</t>
  </si>
  <si>
    <t>32-TRPLATR2-01</t>
  </si>
  <si>
    <t>32-UTILITY-02</t>
  </si>
  <si>
    <t>32-UTILITY-03</t>
  </si>
  <si>
    <t>32-UTILITY-04</t>
  </si>
  <si>
    <t>X</t>
  </si>
  <si>
    <t xml:space="preserve">End date </t>
  </si>
  <si>
    <t xml:space="preserve">Start Date </t>
  </si>
  <si>
    <t xml:space="preserve">Monthly </t>
  </si>
  <si>
    <t>Monthly</t>
  </si>
  <si>
    <t xml:space="preserve">Days in </t>
  </si>
  <si>
    <t>Month</t>
  </si>
  <si>
    <t>Total days in forecast test year</t>
  </si>
  <si>
    <t>Extra day due to leap year 2020</t>
  </si>
  <si>
    <t xml:space="preserve">Removed </t>
  </si>
  <si>
    <t>Removed extra day from Feb for leap year to make 2088 hours</t>
  </si>
  <si>
    <t>August 2016</t>
  </si>
  <si>
    <t>August 2017</t>
  </si>
  <si>
    <t>August 2018</t>
  </si>
  <si>
    <t>September 2015 - August 2018</t>
  </si>
  <si>
    <t>Automation &amp; Controls Technician II</t>
  </si>
  <si>
    <t>Treatment Plant Operator Utility SS F320</t>
  </si>
  <si>
    <t>Maintenance Trainee</t>
  </si>
  <si>
    <t>Employee No.</t>
  </si>
  <si>
    <t xml:space="preserve">* Temporary / Part-Time        (T / PT) </t>
  </si>
  <si>
    <t>Exempt (Y) / Non-Exempt (N)</t>
  </si>
  <si>
    <t>CC Name</t>
  </si>
  <si>
    <t>CC #</t>
  </si>
  <si>
    <t>25</t>
  </si>
  <si>
    <t>22</t>
  </si>
  <si>
    <t>Based on census data collected as of July 1, 2017</t>
  </si>
  <si>
    <t>Kentucky - AM</t>
  </si>
  <si>
    <t>1 The allocation percentage for each company is equal to the ratio of uncapped valuation earnings for that company to total uncapped valuation earnings for the entire American Water system.</t>
  </si>
  <si>
    <t>Percentage 1</t>
  </si>
  <si>
    <t>Allocation of 2018 Pension Cost</t>
  </si>
  <si>
    <t>Allocation of 2018 Post-Retirement Welfare Cost</t>
  </si>
  <si>
    <t>Allocation % (A)</t>
  </si>
  <si>
    <t>(A) The allocation percentage for each company is equal to the ratio of total participants for that company to total participants for the entire American system.</t>
  </si>
  <si>
    <t xml:space="preserve">Total </t>
  </si>
  <si>
    <t>120201.Maintenance Technician I F320O</t>
  </si>
  <si>
    <t>120206.Field Service Rep F320O</t>
  </si>
  <si>
    <t>120206.Jr Backhoe/Crew Leader F320O</t>
  </si>
  <si>
    <t>120250.TREATMENT PLANT OPERATOR 3S F320O</t>
  </si>
  <si>
    <t>120250.Treatment Plant Operator Trainee II</t>
  </si>
  <si>
    <t>120250.Treatment Plant Operator Util 2S F320O</t>
  </si>
  <si>
    <t>120251.TREATMENT PLANT OPERATOR 3S F320O</t>
  </si>
  <si>
    <t>120251.Treatment Plt Opr 2 F320O</t>
  </si>
  <si>
    <t>120114.Engineering Specialist</t>
  </si>
  <si>
    <t>120114.Engineering Technician</t>
  </si>
  <si>
    <t>120201.Operations Specialist</t>
  </si>
  <si>
    <t>120201.Sr Automation &amp; Controls Tech</t>
  </si>
  <si>
    <t>120203.Operations Specialist</t>
  </si>
  <si>
    <t>120203.Specialist Service Delivery</t>
  </si>
  <si>
    <t>120206.Operations Specialist</t>
  </si>
  <si>
    <t>120216.Operations Specialist</t>
  </si>
  <si>
    <t>120252.Maint Service Specialist</t>
  </si>
  <si>
    <t>120252.Operations Generalist</t>
  </si>
  <si>
    <t>120252.Operations Technician</t>
  </si>
  <si>
    <t>120306.Clerk Opns (N)</t>
  </si>
  <si>
    <t>120306.Operations Generalist</t>
  </si>
  <si>
    <t>123001.Maint Service Specialist</t>
  </si>
  <si>
    <t>123006.Operations Generalist</t>
  </si>
  <si>
    <t>123301.Operations Technician</t>
  </si>
  <si>
    <t>120201.Operations Generalist II (N)</t>
  </si>
  <si>
    <t>123005.Technician Production (N)</t>
  </si>
  <si>
    <t>OT Adj</t>
  </si>
  <si>
    <t>12 Months Ending August 2016</t>
  </si>
  <si>
    <t>12 Months Ending August 2017</t>
  </si>
  <si>
    <t>12 Months Ending August 2018</t>
  </si>
  <si>
    <t>Hourly Wage
 as of 
8-31-2018</t>
  </si>
  <si>
    <t>120206.Supvr Opns</t>
  </si>
  <si>
    <t>120217.Spec Wtr Qlty &amp; Env Compl II</t>
  </si>
  <si>
    <t>120251.Supvr Production</t>
  </si>
  <si>
    <t>120105.Mgr Business Performance</t>
  </si>
  <si>
    <t>120201.Automation &amp; Controls Technician II</t>
  </si>
  <si>
    <t>120206.Supvr Opns II</t>
  </si>
  <si>
    <t>120250.Treatment Plant Operator Utility SS F320</t>
  </si>
  <si>
    <t>120251.Maintenance Technician II F320O</t>
  </si>
  <si>
    <t>120252.Technician Production (N)</t>
  </si>
  <si>
    <t>123005.Supvr Production</t>
  </si>
  <si>
    <t>120252.Supvr Production</t>
  </si>
  <si>
    <t>*Added  did not start until 8/27/2018 - Same percentage as row 50</t>
  </si>
  <si>
    <t>Vacant</t>
  </si>
  <si>
    <t xml:space="preserve">Production </t>
  </si>
  <si>
    <t>120201.Maintenance Trainee</t>
  </si>
  <si>
    <t>*New Position - Same percentage as row 21</t>
  </si>
  <si>
    <t>123006.Operations Generalist II (N)</t>
  </si>
  <si>
    <t>*New Position - Same percentage as row 69</t>
  </si>
  <si>
    <t>120201.Specialist Operations (N)</t>
  </si>
  <si>
    <t>*Same Position row 24</t>
  </si>
  <si>
    <t>Total APP</t>
  </si>
  <si>
    <t>Base Year for the 12 Months Ended 2/28/2019</t>
  </si>
  <si>
    <t>Forecast Amount</t>
  </si>
  <si>
    <t>FOR THE TWELVE MONTHS ENDED:  February 28, 2019  (Base Period)</t>
  </si>
  <si>
    <t>FOR THE TWELVE MONTHS ENDED:  June 30, 2020  (Forecast Period)</t>
  </si>
  <si>
    <t>Kentucky Allocation % 
(Based on 2018 Allocation)</t>
  </si>
  <si>
    <t xml:space="preserve">Company OPEB Service Cost </t>
  </si>
  <si>
    <t xml:space="preserve">Company Pension Service Cost </t>
  </si>
  <si>
    <t>Kentucky Pension Service Cost</t>
  </si>
  <si>
    <t xml:space="preserve">Kentucky OPEB Service Cost </t>
  </si>
  <si>
    <t>120105.Dir Govt Affairs (State)</t>
  </si>
  <si>
    <t>120105.Mgr Health and Safety Programs</t>
  </si>
  <si>
    <t>120105.VP Operations (Large 2)</t>
  </si>
  <si>
    <t>120114.Capital Program Coordinator</t>
  </si>
  <si>
    <t>120114.Engineering Project Manager</t>
  </si>
  <si>
    <t>120114.Operations Specialist</t>
  </si>
  <si>
    <t>120114.Sr Project Engineer</t>
  </si>
  <si>
    <t>120121.Mgr Ext Affairs (State)</t>
  </si>
  <si>
    <t>120121.Spec Ext Affairs</t>
  </si>
  <si>
    <t>120201.Mgr Opns</t>
  </si>
  <si>
    <t>120201.Supvr Opns</t>
  </si>
  <si>
    <t>120203.Sr Supvr Operations</t>
  </si>
  <si>
    <t>120206.Sr Mgr Operations</t>
  </si>
  <si>
    <t>120206.Sr Supt Opns</t>
  </si>
  <si>
    <t>120206.Sr Supvr Operations</t>
  </si>
  <si>
    <t>120214.Intern Admin</t>
  </si>
  <si>
    <t>120217.Manager WQ &amp; Env Compliance</t>
  </si>
  <si>
    <t>120217.Supvr Cross Connection</t>
  </si>
  <si>
    <t>120250.Supvr Production</t>
  </si>
  <si>
    <t>123005.Sr Supt Opns</t>
  </si>
  <si>
    <t>123006.Supvr Field Operations</t>
  </si>
  <si>
    <t>120105.President (Large States)</t>
  </si>
  <si>
    <t>120105.VP Operations (Large)</t>
  </si>
  <si>
    <t>120114.Project Mgr Engr</t>
  </si>
  <si>
    <t>120203.Supt Opns II</t>
  </si>
  <si>
    <t>120217.Supt Wtr Qlty &amp; Envrn Cmpl</t>
  </si>
  <si>
    <t>123005.Supt Opns II</t>
  </si>
  <si>
    <t>Sum of Cap $</t>
  </si>
  <si>
    <t>Sum of Exp $</t>
  </si>
  <si>
    <t>Total Dollars</t>
  </si>
  <si>
    <t xml:space="preserve">Kentucky American Water </t>
  </si>
  <si>
    <t>3 year Average Cap Rate by Position</t>
  </si>
  <si>
    <t xml:space="preserve">Total Sum </t>
  </si>
  <si>
    <t>Cap $</t>
  </si>
  <si>
    <t xml:space="preserve"> Exp $</t>
  </si>
  <si>
    <t>Total Settled $</t>
  </si>
  <si>
    <t>3-yr Cap %</t>
  </si>
  <si>
    <t>CDHP Health Savings Act</t>
  </si>
  <si>
    <t>Acquisition - N.Middletown</t>
  </si>
  <si>
    <t>Acquisition</t>
  </si>
  <si>
    <t>Salary Level</t>
  </si>
  <si>
    <t>Hourly Level</t>
  </si>
  <si>
    <t>Performance Percentages by Pay Level</t>
  </si>
  <si>
    <t>Count of Employee No.</t>
  </si>
  <si>
    <t>Workforce Planning Model Sum of Total OT Hrs 2019</t>
  </si>
  <si>
    <t>120114.Engineering Tech (N)</t>
  </si>
  <si>
    <t>120114.Specialist Business Svcs</t>
  </si>
  <si>
    <t>120114.Specialist Operations (N)</t>
  </si>
  <si>
    <t>120114.Sr Project Engr</t>
  </si>
  <si>
    <t>120121.Spec Ext Affairs (State)</t>
  </si>
  <si>
    <t>120201.Supvr Opns II</t>
  </si>
  <si>
    <t>120203.Specialist Operations (N)</t>
  </si>
  <si>
    <t>120206.Specialist Operations (N)</t>
  </si>
  <si>
    <t>120206.Sr Mgr Field Svcs Production</t>
  </si>
  <si>
    <t>120206.Sr. Supervisor of Operations</t>
  </si>
  <si>
    <t>120206.Supt Opns I</t>
  </si>
  <si>
    <t>120217.Mgr Wtr Qlty &amp; Envrn Cmpl</t>
  </si>
  <si>
    <t>120252.Specialist Maint Service (N)</t>
  </si>
  <si>
    <t>120252.Supvr Operations</t>
  </si>
  <si>
    <t>120306.Operations Generalist II (N)</t>
  </si>
  <si>
    <t>123001.Specialist Maint Service (N)</t>
  </si>
  <si>
    <t>123005.Supt Opns I</t>
  </si>
  <si>
    <t>123301.Technician Production (N)</t>
  </si>
  <si>
    <t>2019 Group Insurance Rates</t>
  </si>
  <si>
    <t>Forecasted Overtime</t>
  </si>
  <si>
    <t>2019 Workforce Planning Model - Kentucky</t>
  </si>
  <si>
    <t>Assignment of Scheduled OT Hrs by position by month:</t>
  </si>
  <si>
    <t>Home Company</t>
  </si>
  <si>
    <t>Total OT Hrs - Jan 2019</t>
  </si>
  <si>
    <t>Total OT Hrs - Feb 2019</t>
  </si>
  <si>
    <t>Total OT Hrs - Mar 2019</t>
  </si>
  <si>
    <t>Total OT Hrs - Apr 2019</t>
  </si>
  <si>
    <t>Total OT Hrs - May 2019</t>
  </si>
  <si>
    <t>Total OT Hrs - Jun 2019</t>
  </si>
  <si>
    <t>Total OT Hrs - Jul 2019</t>
  </si>
  <si>
    <t>Total OT Hrs - Aug 2019</t>
  </si>
  <si>
    <t>Total OT Hrs - Sep 2019</t>
  </si>
  <si>
    <t>Total OT Hrs - Oct 2019</t>
  </si>
  <si>
    <t>Total OT Hrs - Nov 2019</t>
  </si>
  <si>
    <t>Total OT Hrs - Dec 2019</t>
  </si>
  <si>
    <t>Total OT Hrs 2019</t>
  </si>
  <si>
    <t>00012</t>
  </si>
  <si>
    <t>H25</t>
  </si>
  <si>
    <t>H15</t>
  </si>
  <si>
    <t>Supt Opns I</t>
  </si>
  <si>
    <t>40</t>
  </si>
  <si>
    <t>Sr Mgr Field Svcs Production</t>
  </si>
  <si>
    <t>45</t>
  </si>
  <si>
    <t>Sr. Supervisor of Operations</t>
  </si>
  <si>
    <t>35</t>
  </si>
  <si>
    <t>30</t>
  </si>
  <si>
    <t>H22</t>
  </si>
  <si>
    <t>H20</t>
  </si>
  <si>
    <t>H30</t>
  </si>
  <si>
    <t>Specialist Maint Service (N)</t>
  </si>
  <si>
    <t>Spec Ext Affairs (State)</t>
  </si>
  <si>
    <t>Mgr Wtr Qlty &amp; Envrn Cmpl</t>
  </si>
  <si>
    <t>Specialist Business Svcs</t>
  </si>
  <si>
    <t>Engineering Tech (N)</t>
  </si>
  <si>
    <t>Sr Project Engr</t>
  </si>
  <si>
    <t>55</t>
  </si>
  <si>
    <t>Supvr Operations</t>
  </si>
  <si>
    <t>Base Year</t>
  </si>
  <si>
    <t>Group Insurancr</t>
  </si>
  <si>
    <t>OPEB</t>
  </si>
  <si>
    <t>tax-missing allocation of 2020 forecast</t>
  </si>
  <si>
    <t>50006413</t>
  </si>
  <si>
    <t>51024130</t>
  </si>
  <si>
    <t>51024176</t>
  </si>
  <si>
    <t xml:space="preserve">Distribution </t>
  </si>
  <si>
    <t>141 Active</t>
  </si>
  <si>
    <t>(same cap rate as 120201.Maintenance Technician I F320O)</t>
  </si>
  <si>
    <t>(same cap rate as 120201.Operations Generalist II (N))</t>
  </si>
  <si>
    <t>(same cap rate as 120251.Supvr Production)</t>
  </si>
  <si>
    <t>(same cap rate as 120201.Operations Specialist)</t>
  </si>
  <si>
    <t xml:space="preserve">120114.Constuction Inspector </t>
  </si>
  <si>
    <t xml:space="preserve">new position in engineering </t>
  </si>
  <si>
    <t>Acquisitions</t>
  </si>
  <si>
    <t xml:space="preserve">Labor </t>
  </si>
  <si>
    <t xml:space="preserve">Group Insurance </t>
  </si>
  <si>
    <t>North Middletown</t>
  </si>
  <si>
    <t>Carlisile</t>
  </si>
  <si>
    <t>Forecast O&amp;M Pension</t>
  </si>
  <si>
    <t>12 Mos. Aug</t>
  </si>
  <si>
    <t>Adjustment include negotiated wage increases for union employees under the current contract and annual merit increases for non-union employees.  Expense is net of capitalization and sewer utility charges. 10 open positions which will be filled by 2019 have been added.</t>
  </si>
  <si>
    <t>Adjustment reflects Kentucky's allocation of the current Pension Service Cost estimate for the months July 2019 - June 2020.  Expense is net of capitalization.</t>
  </si>
  <si>
    <t>Adjustment reflects costs for all group insurances net of employee contributions, at selected 2019 plan rates where available.  Expense is net of capitalization and sewer utility charges.</t>
  </si>
  <si>
    <t>Acquisitions - North Middletown</t>
  </si>
  <si>
    <t>Non Union Employee Health Enrollment as of 8/31/18</t>
  </si>
  <si>
    <t>Union Employee Health Enrollment as of 8/31/18</t>
  </si>
  <si>
    <t>REDACTED</t>
  </si>
  <si>
    <t xml:space="preserve">REDACTED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</si>
</sst>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###,000"/>
    <numFmt numFmtId="168" formatCode="#,##0.00_ ;[Red]\-#,##0.00;\-"/>
    <numFmt numFmtId="169" formatCode="_-* #,##0_-;\-* #,##0_-;_-* &quot;-&quot;_-;_-@_-"/>
    <numFmt numFmtId="170" formatCode="\£\ #,##0_);[Red]\(\£\ #,##0\)"/>
    <numFmt numFmtId="171" formatCode="0.000_)"/>
    <numFmt numFmtId="172" formatCode="\ \ _•\–\ \ \ \ @"/>
    <numFmt numFmtId="173" formatCode="\€#,##0.00;[Red]\(\€#,##0.00\)"/>
    <numFmt numFmtId="174" formatCode="_-* #,##0\ _P_t_s_-;\-* #,##0\ _P_t_s_-;_-* &quot;-&quot;\ _P_t_s_-;_-@_-"/>
    <numFmt numFmtId="175" formatCode="_-* #,##0.00\ _P_t_s_-;\-* #,##0.00\ _P_t_s_-;_-* &quot;-&quot;??\ _P_t_s_-;_-@_-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0.00_)"/>
    <numFmt numFmtId="179" formatCode="#,##0.0_);\(#,##0.0\)"/>
    <numFmt numFmtId="180" formatCode="[$-409]mmm\-yy;@"/>
    <numFmt numFmtId="181" formatCode="0.0%"/>
    <numFmt numFmtId="182" formatCode="General_)"/>
    <numFmt numFmtId="183" formatCode="[$-409]mmmm\ d\,\ yyyy;@"/>
    <numFmt numFmtId="184" formatCode="&quot;$&quot;#,##0"/>
    <numFmt numFmtId="185" formatCode="_(* #,##0.00000000000_);_(* \(#,##0.00000000000\);_(* &quot;-&quot;??_);_(@_)"/>
    <numFmt numFmtId="186" formatCode="#,##0.0000"/>
    <numFmt numFmtId="187" formatCode="#,##0.000"/>
    <numFmt numFmtId="188" formatCode="#,##0.00000"/>
    <numFmt numFmtId="189" formatCode="&quot;$&quot;#,##0.000_);\(&quot;$&quot;#,##0.000\)"/>
    <numFmt numFmtId="190" formatCode="#,##0%_);\(#,##0%\)"/>
    <numFmt numFmtId="191" formatCode="mm/dd/yyyy"/>
    <numFmt numFmtId="192" formatCode="0.0000%"/>
    <numFmt numFmtId="193" formatCode="_(* #,##0.0000_);_(* \(#,##0.0000\);_(* &quot;-&quot;??_);_(@_)"/>
    <numFmt numFmtId="194" formatCode="_(* #,##0.0_);_(* \(#,##0.0\);_(* &quot;-&quot;??_);_(@_)"/>
    <numFmt numFmtId="195" formatCode="mmmm"/>
    <numFmt numFmtId="196" formatCode="0.0000000000000000%"/>
    <numFmt numFmtId="197" formatCode="_(* #,##0.000000_);_(* \(#,##0.000000\);_(* &quot;-&quot;??_);_(@_)"/>
    <numFmt numFmtId="198" formatCode="&quot;$&quot;#,##0.00"/>
  </numFmts>
  <fonts count="106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u/>
      <sz val="10"/>
      <color theme="10"/>
      <name val="Calibri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Arial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ms Rmn"/>
      <family val="1"/>
    </font>
    <font>
      <sz val="11"/>
      <color indexed="12"/>
      <name val="Book Antiqua"/>
      <family val="1"/>
    </font>
    <font>
      <sz val="10"/>
      <name val="MS Sans Serif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i/>
      <sz val="16"/>
      <name val="Helv"/>
    </font>
    <font>
      <sz val="14"/>
      <name val="–¾’©"/>
      <charset val="128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HLV"/>
    </font>
    <font>
      <b/>
      <sz val="10"/>
      <color theme="1"/>
      <name val="Calibri"/>
      <family val="2"/>
    </font>
    <font>
      <sz val="12"/>
      <name val="Helv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indexed="8"/>
      <name val="Calibri"/>
      <family val="2"/>
      <scheme val="minor"/>
    </font>
    <font>
      <u/>
      <sz val="10"/>
      <color indexed="8"/>
      <name val="Calibri"/>
      <family val="2"/>
    </font>
    <font>
      <u/>
      <sz val="10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rgb="FFFF0000"/>
      <name val="Calibri"/>
      <family val="2"/>
    </font>
    <font>
      <sz val="10"/>
      <color indexed="8"/>
      <name val="Arial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3D6EB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rgb="FFF8F8F8"/>
        <bgColor rgb="FF000000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hair">
        <color indexed="2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83">
    <xf numFmtId="0" fontId="0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31" fillId="0" borderId="0" applyNumberFormat="0" applyFill="0" applyBorder="0" applyAlignment="0" applyProtection="0"/>
    <xf numFmtId="0" fontId="25" fillId="0" borderId="0"/>
    <xf numFmtId="0" fontId="34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8" applyNumberFormat="0" applyAlignment="0" applyProtection="0"/>
    <xf numFmtId="0" fontId="42" fillId="8" borderId="9" applyNumberFormat="0" applyAlignment="0" applyProtection="0"/>
    <xf numFmtId="0" fontId="43" fillId="8" borderId="8" applyNumberFormat="0" applyAlignment="0" applyProtection="0"/>
    <xf numFmtId="0" fontId="44" fillId="0" borderId="10" applyNumberFormat="0" applyFill="0" applyAlignment="0" applyProtection="0"/>
    <xf numFmtId="0" fontId="27" fillId="9" borderId="11" applyNumberFormat="0" applyAlignment="0" applyProtection="0"/>
    <xf numFmtId="0" fontId="28" fillId="0" borderId="0" applyNumberFormat="0" applyFill="0" applyBorder="0" applyAlignment="0" applyProtection="0"/>
    <xf numFmtId="0" fontId="23" fillId="10" borderId="12" applyNumberFormat="0" applyFont="0" applyAlignment="0" applyProtection="0"/>
    <xf numFmtId="0" fontId="45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5" fillId="0" borderId="0"/>
    <xf numFmtId="0" fontId="25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10" borderId="12" applyNumberFormat="0" applyFont="0" applyAlignment="0" applyProtection="0"/>
    <xf numFmtId="0" fontId="25" fillId="0" borderId="0"/>
    <xf numFmtId="43" fontId="23" fillId="0" borderId="0" applyFont="0" applyFill="0" applyBorder="0" applyAlignment="0" applyProtection="0"/>
    <xf numFmtId="0" fontId="46" fillId="35" borderId="14" applyNumberFormat="0" applyAlignment="0" applyProtection="0">
      <alignment horizontal="left" vertical="center" indent="1"/>
    </xf>
    <xf numFmtId="167" fontId="47" fillId="36" borderId="14" applyNumberFormat="0" applyAlignment="0" applyProtection="0">
      <alignment horizontal="left" vertical="center" indent="1"/>
    </xf>
    <xf numFmtId="0" fontId="48" fillId="37" borderId="14" applyNumberFormat="0" applyAlignment="0" applyProtection="0">
      <alignment horizontal="left" vertical="center" indent="1"/>
    </xf>
    <xf numFmtId="167" fontId="47" fillId="0" borderId="15" applyNumberFormat="0" applyProtection="0">
      <alignment horizontal="right" vertical="center"/>
    </xf>
    <xf numFmtId="0" fontId="48" fillId="38" borderId="14" applyNumberFormat="0" applyAlignment="0" applyProtection="0">
      <alignment horizontal="left" vertical="center" indent="1"/>
    </xf>
    <xf numFmtId="0" fontId="46" fillId="35" borderId="16" applyNumberFormat="0" applyAlignment="0" applyProtection="0">
      <alignment horizontal="left" vertical="center" indent="1"/>
    </xf>
    <xf numFmtId="167" fontId="46" fillId="0" borderId="16" applyNumberFormat="0" applyProtection="0">
      <alignment horizontal="right" vertical="center"/>
    </xf>
    <xf numFmtId="8" fontId="69" fillId="0" borderId="21">
      <protection locked="0"/>
    </xf>
    <xf numFmtId="8" fontId="69" fillId="0" borderId="21">
      <protection locked="0"/>
    </xf>
    <xf numFmtId="0" fontId="49" fillId="39" borderId="14" applyNumberFormat="0" applyAlignment="0" applyProtection="0">
      <alignment horizontal="left" vertical="center" indent="1"/>
    </xf>
    <xf numFmtId="167" fontId="50" fillId="40" borderId="14" applyNumberFormat="0" applyAlignment="0" applyProtection="0">
      <alignment horizontal="left" vertical="center" indent="1"/>
    </xf>
    <xf numFmtId="0" fontId="49" fillId="39" borderId="16" applyNumberFormat="0" applyAlignment="0" applyProtection="0">
      <alignment horizontal="left" vertical="center" indent="1"/>
    </xf>
    <xf numFmtId="0" fontId="48" fillId="41" borderId="16" applyNumberFormat="0" applyAlignment="0" applyProtection="0">
      <alignment horizontal="left" vertical="center" indent="1"/>
    </xf>
    <xf numFmtId="167" fontId="50" fillId="0" borderId="17" applyNumberFormat="0" applyProtection="0">
      <alignment horizontal="right" vertical="center"/>
    </xf>
    <xf numFmtId="167" fontId="49" fillId="0" borderId="17" applyNumberFormat="0" applyProtection="0">
      <alignment horizontal="right" vertical="center"/>
    </xf>
    <xf numFmtId="0" fontId="48" fillId="42" borderId="14" applyNumberFormat="0" applyAlignment="0" applyProtection="0">
      <alignment horizontal="left" vertical="center" indent="1"/>
    </xf>
    <xf numFmtId="0" fontId="48" fillId="43" borderId="14" applyNumberFormat="0" applyAlignment="0" applyProtection="0">
      <alignment horizontal="left" vertical="center" indent="1"/>
    </xf>
    <xf numFmtId="0" fontId="51" fillId="0" borderId="18" applyNumberFormat="0" applyFont="0" applyFill="0" applyAlignment="0" applyProtection="0"/>
    <xf numFmtId="0" fontId="48" fillId="39" borderId="16" applyNumberFormat="0" applyAlignment="0" applyProtection="0">
      <alignment horizontal="left" vertical="center" indent="1"/>
    </xf>
    <xf numFmtId="0" fontId="48" fillId="39" borderId="16" applyNumberFormat="0" applyAlignment="0" applyProtection="0">
      <alignment horizontal="left" vertical="center" indent="1"/>
    </xf>
    <xf numFmtId="0" fontId="52" fillId="0" borderId="18" applyNumberFormat="0" applyFill="0" applyBorder="0" applyAlignment="0" applyProtection="0"/>
    <xf numFmtId="167" fontId="53" fillId="44" borderId="19" applyNumberFormat="0" applyBorder="0" applyAlignment="0" applyProtection="0">
      <alignment horizontal="right" vertical="center" indent="1"/>
    </xf>
    <xf numFmtId="167" fontId="54" fillId="45" borderId="19" applyNumberFormat="0" applyBorder="0" applyAlignment="0" applyProtection="0">
      <alignment horizontal="right" vertical="center" indent="1"/>
    </xf>
    <xf numFmtId="167" fontId="54" fillId="46" borderId="19" applyNumberFormat="0" applyBorder="0" applyAlignment="0" applyProtection="0">
      <alignment horizontal="right" vertical="center" indent="1"/>
    </xf>
    <xf numFmtId="167" fontId="55" fillId="47" borderId="19" applyNumberFormat="0" applyBorder="0" applyAlignment="0" applyProtection="0">
      <alignment horizontal="right" vertical="center" indent="1"/>
    </xf>
    <xf numFmtId="167" fontId="55" fillId="48" borderId="19" applyNumberFormat="0" applyBorder="0" applyAlignment="0" applyProtection="0">
      <alignment horizontal="right" vertical="center" indent="1"/>
    </xf>
    <xf numFmtId="167" fontId="55" fillId="49" borderId="19" applyNumberFormat="0" applyBorder="0" applyAlignment="0" applyProtection="0">
      <alignment horizontal="right" vertical="center" indent="1"/>
    </xf>
    <xf numFmtId="167" fontId="56" fillId="50" borderId="19" applyNumberFormat="0" applyBorder="0" applyAlignment="0" applyProtection="0">
      <alignment horizontal="right" vertical="center" indent="1"/>
    </xf>
    <xf numFmtId="167" fontId="56" fillId="51" borderId="19" applyNumberFormat="0" applyBorder="0" applyAlignment="0" applyProtection="0">
      <alignment horizontal="right" vertical="center" indent="1"/>
    </xf>
    <xf numFmtId="167" fontId="56" fillId="52" borderId="19" applyNumberFormat="0" applyBorder="0" applyAlignment="0" applyProtection="0">
      <alignment horizontal="right" vertical="center" indent="1"/>
    </xf>
    <xf numFmtId="0" fontId="48" fillId="53" borderId="16" applyNumberFormat="0" applyAlignment="0" applyProtection="0">
      <alignment horizontal="left" vertical="center" indent="1"/>
    </xf>
    <xf numFmtId="0" fontId="48" fillId="39" borderId="16" applyNumberFormat="0" applyAlignment="0" applyProtection="0">
      <alignment horizontal="left" vertical="center" indent="1"/>
    </xf>
    <xf numFmtId="0" fontId="48" fillId="54" borderId="16" applyAlignment="0" applyProtection="0">
      <alignment horizontal="left" vertical="center" indent="1"/>
    </xf>
    <xf numFmtId="167" fontId="49" fillId="54" borderId="17" applyProtection="0">
      <alignment horizontal="right" vertical="center"/>
    </xf>
    <xf numFmtId="0" fontId="48" fillId="53" borderId="16" applyNumberFormat="0" applyAlignment="0" applyProtection="0">
      <alignment horizontal="left" vertical="center" indent="1"/>
    </xf>
    <xf numFmtId="167" fontId="49" fillId="53" borderId="17" applyNumberFormat="0" applyProtection="0">
      <alignment horizontal="right" vertical="center"/>
    </xf>
    <xf numFmtId="0" fontId="46" fillId="35" borderId="14" applyNumberFormat="0" applyAlignment="0" applyProtection="0">
      <alignment horizontal="left" vertical="center" indent="1"/>
    </xf>
    <xf numFmtId="167" fontId="47" fillId="36" borderId="14" applyNumberFormat="0" applyAlignment="0" applyProtection="0">
      <alignment horizontal="left" vertical="center" indent="1"/>
    </xf>
    <xf numFmtId="167" fontId="47" fillId="0" borderId="15" applyNumberFormat="0" applyProtection="0">
      <alignment horizontal="right" vertical="center"/>
    </xf>
    <xf numFmtId="0" fontId="46" fillId="35" borderId="16" applyNumberFormat="0" applyAlignment="0" applyProtection="0">
      <alignment horizontal="left" vertical="center" indent="1"/>
    </xf>
    <xf numFmtId="167" fontId="46" fillId="0" borderId="16" applyNumberFormat="0" applyProtection="0">
      <alignment horizontal="right" vertical="center"/>
    </xf>
    <xf numFmtId="0" fontId="57" fillId="0" borderId="14" applyNumberFormat="0" applyFont="0" applyFill="0" applyAlignment="0" applyProtection="0"/>
    <xf numFmtId="167" fontId="53" fillId="46" borderId="19" applyNumberFormat="0" applyBorder="0" applyAlignment="0" applyProtection="0">
      <alignment horizontal="right" vertical="center" indent="1"/>
    </xf>
    <xf numFmtId="167" fontId="54" fillId="44" borderId="19" applyNumberFormat="0" applyBorder="0" applyAlignment="0" applyProtection="0">
      <alignment horizontal="right" vertical="center" indent="1"/>
    </xf>
    <xf numFmtId="167" fontId="47" fillId="42" borderId="15" applyNumberFormat="0" applyBorder="0" applyProtection="0">
      <alignment horizontal="right" vertical="center"/>
    </xf>
    <xf numFmtId="167" fontId="46" fillId="42" borderId="16" applyNumberFormat="0" applyBorder="0" applyProtection="0">
      <alignment horizontal="right" vertical="center"/>
    </xf>
    <xf numFmtId="0" fontId="48" fillId="41" borderId="16" applyNumberFormat="0" applyAlignment="0" applyProtection="0">
      <alignment horizontal="left" vertical="center" indent="1"/>
    </xf>
    <xf numFmtId="167" fontId="46" fillId="41" borderId="16" applyNumberFormat="0" applyProtection="0">
      <alignment horizontal="right" vertical="center"/>
    </xf>
    <xf numFmtId="0" fontId="49" fillId="39" borderId="14" applyNumberFormat="0" applyAlignment="0" applyProtection="0">
      <alignment horizontal="left" vertical="center" indent="1"/>
    </xf>
    <xf numFmtId="167" fontId="50" fillId="40" borderId="14" applyNumberFormat="0" applyAlignment="0" applyProtection="0">
      <alignment horizontal="left" vertical="center" indent="1"/>
    </xf>
    <xf numFmtId="0" fontId="49" fillId="39" borderId="16" applyNumberFormat="0" applyAlignment="0" applyProtection="0">
      <alignment horizontal="left" vertical="center" indent="1"/>
    </xf>
    <xf numFmtId="167" fontId="50" fillId="0" borderId="17" applyNumberFormat="0" applyProtection="0">
      <alignment horizontal="right" vertical="center"/>
    </xf>
    <xf numFmtId="167" fontId="49" fillId="0" borderId="17" applyNumberFormat="0" applyProtection="0">
      <alignment horizontal="right" vertical="center"/>
    </xf>
    <xf numFmtId="0" fontId="25" fillId="0" borderId="0"/>
    <xf numFmtId="0" fontId="25" fillId="2" borderId="0"/>
    <xf numFmtId="0" fontId="33" fillId="2" borderId="0"/>
    <xf numFmtId="0" fontId="60" fillId="2" borderId="0"/>
    <xf numFmtId="0" fontId="59" fillId="2" borderId="0"/>
    <xf numFmtId="0" fontId="61" fillId="2" borderId="0"/>
    <xf numFmtId="0" fontId="62" fillId="2" borderId="0"/>
    <xf numFmtId="0" fontId="58" fillId="2" borderId="0"/>
    <xf numFmtId="168" fontId="25" fillId="55" borderId="20"/>
    <xf numFmtId="169" fontId="25" fillId="55" borderId="20"/>
    <xf numFmtId="0" fontId="60" fillId="55" borderId="0"/>
    <xf numFmtId="0" fontId="25" fillId="2" borderId="0"/>
    <xf numFmtId="0" fontId="33" fillId="2" borderId="0"/>
    <xf numFmtId="0" fontId="60" fillId="2" borderId="0"/>
    <xf numFmtId="0" fontId="25" fillId="2" borderId="0"/>
    <xf numFmtId="0" fontId="61" fillId="2" borderId="0"/>
    <xf numFmtId="0" fontId="62" fillId="2" borderId="0"/>
    <xf numFmtId="0" fontId="58" fillId="2" borderId="0"/>
    <xf numFmtId="0" fontId="63" fillId="0" borderId="0" applyNumberFormat="0" applyFill="0" applyBorder="0" applyProtection="0">
      <alignment horizontal="centerContinuous"/>
    </xf>
    <xf numFmtId="0" fontId="25" fillId="0" borderId="0"/>
    <xf numFmtId="17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4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71" fontId="68" fillId="0" borderId="0"/>
    <xf numFmtId="171" fontId="68" fillId="0" borderId="0"/>
    <xf numFmtId="171" fontId="68" fillId="0" borderId="0"/>
    <xf numFmtId="171" fontId="68" fillId="0" borderId="0"/>
    <xf numFmtId="171" fontId="68" fillId="0" borderId="0"/>
    <xf numFmtId="171" fontId="68" fillId="0" borderId="0"/>
    <xf numFmtId="171" fontId="68" fillId="0" borderId="0"/>
    <xf numFmtId="171" fontId="68" fillId="0" borderId="0"/>
    <xf numFmtId="41" fontId="25" fillId="0" borderId="0" applyFont="0" applyFill="0" applyBorder="0" applyAlignment="0" applyProtection="0"/>
    <xf numFmtId="8" fontId="69" fillId="0" borderId="21">
      <protection locked="0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72" fontId="64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71" fillId="0" borderId="0" applyNumberFormat="0" applyFill="0" applyBorder="0" applyAlignment="0">
      <protection locked="0"/>
    </xf>
    <xf numFmtId="17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8" fontId="7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8" fillId="0" borderId="0" applyNumberFormat="0" applyFill="0" applyBorder="0" applyAlignment="0" applyProtection="0"/>
    <xf numFmtId="40" fontId="74" fillId="0" borderId="0" applyFont="0" applyFill="0" applyBorder="0" applyAlignment="0" applyProtection="0"/>
    <xf numFmtId="38" fontId="7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7" fontId="75" fillId="0" borderId="0" applyFont="0" applyFill="0" applyBorder="0" applyAlignment="0" applyProtection="0"/>
    <xf numFmtId="0" fontId="76" fillId="0" borderId="22" applyNumberFormat="0" applyAlignment="0"/>
    <xf numFmtId="0" fontId="70" fillId="0" borderId="0" applyNumberFormat="0" applyFont="0" applyFill="0" applyBorder="0" applyAlignment="0" applyProtection="0">
      <alignment horizontal="left"/>
    </xf>
    <xf numFmtId="4" fontId="70" fillId="0" borderId="0" applyFont="0" applyFill="0" applyBorder="0" applyAlignment="0" applyProtection="0"/>
    <xf numFmtId="0" fontId="70" fillId="56" borderId="0" applyNumberFormat="0" applyFont="0" applyBorder="0" applyAlignment="0" applyProtection="0"/>
    <xf numFmtId="179" fontId="77" fillId="0" borderId="0"/>
    <xf numFmtId="0" fontId="77" fillId="0" borderId="23">
      <alignment horizontal="centerContinuous"/>
    </xf>
    <xf numFmtId="0" fontId="77" fillId="0" borderId="23">
      <protection locked="0"/>
    </xf>
    <xf numFmtId="0" fontId="77" fillId="0" borderId="23">
      <alignment horizontal="centerContinuous"/>
    </xf>
    <xf numFmtId="179" fontId="77" fillId="0" borderId="0"/>
    <xf numFmtId="0" fontId="77" fillId="0" borderId="23">
      <protection locked="0"/>
    </xf>
    <xf numFmtId="179" fontId="77" fillId="0" borderId="0"/>
    <xf numFmtId="0" fontId="77" fillId="0" borderId="23">
      <alignment horizontal="centerContinuous"/>
    </xf>
    <xf numFmtId="179" fontId="77" fillId="0" borderId="0"/>
    <xf numFmtId="0" fontId="77" fillId="0" borderId="23">
      <protection locked="0"/>
    </xf>
    <xf numFmtId="0" fontId="77" fillId="0" borderId="23">
      <alignment horizontal="centerContinuous"/>
    </xf>
    <xf numFmtId="0" fontId="77" fillId="0" borderId="23">
      <alignment horizontal="centerContinuous"/>
    </xf>
    <xf numFmtId="179" fontId="77" fillId="0" borderId="0"/>
    <xf numFmtId="0" fontId="77" fillId="0" borderId="23">
      <alignment horizontal="centerContinuous"/>
    </xf>
    <xf numFmtId="0" fontId="77" fillId="0" borderId="23">
      <protection locked="0"/>
    </xf>
    <xf numFmtId="179" fontId="77" fillId="0" borderId="0"/>
    <xf numFmtId="179" fontId="77" fillId="0" borderId="0"/>
    <xf numFmtId="0" fontId="77" fillId="0" borderId="23">
      <alignment horizontal="centerContinuous"/>
    </xf>
    <xf numFmtId="0" fontId="77" fillId="0" borderId="23">
      <protection locked="0"/>
    </xf>
    <xf numFmtId="179" fontId="77" fillId="0" borderId="0"/>
    <xf numFmtId="0" fontId="77" fillId="0" borderId="23">
      <alignment horizontal="centerContinuous"/>
    </xf>
    <xf numFmtId="0" fontId="77" fillId="0" borderId="23">
      <protection locked="0"/>
    </xf>
    <xf numFmtId="0" fontId="77" fillId="0" borderId="23">
      <alignment horizontal="centerContinuous"/>
    </xf>
    <xf numFmtId="0" fontId="77" fillId="0" borderId="23">
      <protection locked="0"/>
    </xf>
    <xf numFmtId="0" fontId="77" fillId="0" borderId="23">
      <protection locked="0"/>
    </xf>
    <xf numFmtId="179" fontId="77" fillId="0" borderId="0"/>
    <xf numFmtId="0" fontId="77" fillId="0" borderId="23">
      <protection locked="0"/>
    </xf>
    <xf numFmtId="0" fontId="77" fillId="0" borderId="23">
      <alignment horizontal="centerContinuous"/>
    </xf>
    <xf numFmtId="0" fontId="77" fillId="0" borderId="23">
      <alignment horizontal="centerContinuous"/>
    </xf>
    <xf numFmtId="0" fontId="77" fillId="0" borderId="23">
      <protection locked="0"/>
    </xf>
    <xf numFmtId="179" fontId="77" fillId="0" borderId="0"/>
    <xf numFmtId="0" fontId="77" fillId="0" borderId="23">
      <alignment horizontal="centerContinuous"/>
    </xf>
    <xf numFmtId="0" fontId="77" fillId="0" borderId="23">
      <alignment horizontal="centerContinuous"/>
    </xf>
    <xf numFmtId="179" fontId="77" fillId="0" borderId="0"/>
    <xf numFmtId="0" fontId="77" fillId="0" borderId="23">
      <alignment horizontal="centerContinuous"/>
    </xf>
    <xf numFmtId="179" fontId="77" fillId="0" borderId="0"/>
    <xf numFmtId="0" fontId="77" fillId="0" borderId="23">
      <alignment horizontal="centerContinuous"/>
    </xf>
    <xf numFmtId="179" fontId="77" fillId="0" borderId="0"/>
    <xf numFmtId="0" fontId="77" fillId="0" borderId="23">
      <protection locked="0"/>
    </xf>
    <xf numFmtId="0" fontId="77" fillId="0" borderId="23">
      <alignment horizontal="centerContinuous"/>
    </xf>
    <xf numFmtId="179" fontId="77" fillId="0" borderId="0"/>
    <xf numFmtId="0" fontId="72" fillId="0" borderId="0"/>
    <xf numFmtId="0" fontId="78" fillId="0" borderId="0" applyNumberFormat="0" applyBorder="0" applyAlignment="0"/>
    <xf numFmtId="0" fontId="77" fillId="0" borderId="0" applyNumberFormat="0" applyBorder="0" applyAlignment="0"/>
    <xf numFmtId="0" fontId="79" fillId="57" borderId="0"/>
    <xf numFmtId="0" fontId="79" fillId="57" borderId="0"/>
    <xf numFmtId="0" fontId="79" fillId="57" borderId="0"/>
    <xf numFmtId="0" fontId="79" fillId="57" borderId="0"/>
    <xf numFmtId="0" fontId="79" fillId="57" borderId="0"/>
    <xf numFmtId="0" fontId="79" fillId="57" borderId="0"/>
    <xf numFmtId="0" fontId="79" fillId="57" borderId="0"/>
    <xf numFmtId="0" fontId="79" fillId="57" borderId="0"/>
    <xf numFmtId="0" fontId="66" fillId="0" borderId="2">
      <alignment horizontal="center"/>
    </xf>
    <xf numFmtId="8" fontId="69" fillId="0" borderId="21">
      <protection locked="0"/>
    </xf>
    <xf numFmtId="8" fontId="69" fillId="0" borderId="21">
      <protection locked="0"/>
    </xf>
    <xf numFmtId="8" fontId="69" fillId="0" borderId="21">
      <protection locked="0"/>
    </xf>
    <xf numFmtId="0" fontId="66" fillId="0" borderId="2" applyNumberFormat="0" applyFill="0" applyAlignment="0" applyProtection="0"/>
    <xf numFmtId="8" fontId="69" fillId="0" borderId="21">
      <protection locked="0"/>
    </xf>
    <xf numFmtId="8" fontId="69" fillId="0" borderId="21">
      <protection locked="0"/>
    </xf>
    <xf numFmtId="8" fontId="69" fillId="0" borderId="21">
      <protection locked="0"/>
    </xf>
    <xf numFmtId="8" fontId="69" fillId="0" borderId="21">
      <protection locked="0"/>
    </xf>
    <xf numFmtId="0" fontId="66" fillId="0" borderId="2">
      <alignment horizontal="center"/>
    </xf>
    <xf numFmtId="8" fontId="69" fillId="0" borderId="21">
      <protection locked="0"/>
    </xf>
    <xf numFmtId="8" fontId="69" fillId="0" borderId="21">
      <protection locked="0"/>
    </xf>
    <xf numFmtId="8" fontId="69" fillId="0" borderId="21">
      <protection locked="0"/>
    </xf>
    <xf numFmtId="8" fontId="69" fillId="0" borderId="21">
      <protection locked="0"/>
    </xf>
    <xf numFmtId="8" fontId="69" fillId="0" borderId="21">
      <protection locked="0"/>
    </xf>
    <xf numFmtId="8" fontId="69" fillId="0" borderId="21">
      <protection locked="0"/>
    </xf>
    <xf numFmtId="8" fontId="69" fillId="0" borderId="21">
      <protection locked="0"/>
    </xf>
    <xf numFmtId="8" fontId="69" fillId="0" borderId="21">
      <protection locked="0"/>
    </xf>
    <xf numFmtId="8" fontId="69" fillId="0" borderId="21">
      <protection locked="0"/>
    </xf>
    <xf numFmtId="8" fontId="69" fillId="0" borderId="21">
      <protection locked="0"/>
    </xf>
    <xf numFmtId="8" fontId="69" fillId="0" borderId="21">
      <protection locked="0"/>
    </xf>
    <xf numFmtId="8" fontId="69" fillId="0" borderId="21">
      <protection locked="0"/>
    </xf>
    <xf numFmtId="8" fontId="69" fillId="0" borderId="21">
      <protection locked="0"/>
    </xf>
    <xf numFmtId="8" fontId="69" fillId="0" borderId="21">
      <protection locked="0"/>
    </xf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182" fontId="81" fillId="0" borderId="0"/>
    <xf numFmtId="0" fontId="85" fillId="0" borderId="0"/>
    <xf numFmtId="9" fontId="25" fillId="0" borderId="0" applyFont="0" applyFill="0" applyBorder="0" applyAlignment="0" applyProtection="0"/>
    <xf numFmtId="0" fontId="25" fillId="0" borderId="0"/>
    <xf numFmtId="0" fontId="85" fillId="0" borderId="0"/>
    <xf numFmtId="0" fontId="85" fillId="0" borderId="0"/>
    <xf numFmtId="3" fontId="89" fillId="0" borderId="0"/>
    <xf numFmtId="0" fontId="11" fillId="0" borderId="0"/>
    <xf numFmtId="43" fontId="11" fillId="0" borderId="0" applyFont="0" applyFill="0" applyBorder="0" applyAlignment="0" applyProtection="0"/>
    <xf numFmtId="0" fontId="25" fillId="0" borderId="0"/>
    <xf numFmtId="43" fontId="11" fillId="0" borderId="0" applyFont="0" applyFill="0" applyBorder="0" applyAlignment="0" applyProtection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766">
    <xf numFmtId="0" fontId="0" fillId="0" borderId="0" xfId="0"/>
    <xf numFmtId="0" fontId="0" fillId="0" borderId="0" xfId="0" applyFont="1" applyAlignment="1">
      <alignment vertical="top"/>
    </xf>
    <xf numFmtId="0" fontId="24" fillId="0" borderId="0" xfId="0" applyFont="1"/>
    <xf numFmtId="0" fontId="24" fillId="0" borderId="2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164" fontId="0" fillId="0" borderId="0" xfId="0" applyNumberFormat="1" applyFont="1" applyFill="1" applyAlignment="1">
      <alignment vertical="top"/>
    </xf>
    <xf numFmtId="10" fontId="0" fillId="0" borderId="0" xfId="3" applyNumberFormat="1" applyFont="1"/>
    <xf numFmtId="10" fontId="0" fillId="0" borderId="0" xfId="0" applyNumberFormat="1"/>
    <xf numFmtId="0" fontId="23" fillId="0" borderId="0" xfId="0" applyFont="1"/>
    <xf numFmtId="0" fontId="24" fillId="0" borderId="2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29" fillId="0" borderId="0" xfId="0" applyFont="1" applyFill="1"/>
    <xf numFmtId="4" fontId="29" fillId="0" borderId="0" xfId="0" applyNumberFormat="1" applyFont="1" applyFill="1" applyAlignment="1" applyProtection="1">
      <protection locked="0"/>
    </xf>
    <xf numFmtId="3" fontId="29" fillId="0" borderId="0" xfId="0" applyNumberFormat="1" applyFont="1" applyFill="1" applyAlignment="1"/>
    <xf numFmtId="1" fontId="29" fillId="0" borderId="0" xfId="0" applyNumberFormat="1" applyFont="1" applyFill="1" applyAlignment="1"/>
    <xf numFmtId="0" fontId="22" fillId="0" borderId="0" xfId="0" applyFont="1" applyAlignment="1">
      <alignment vertical="top"/>
    </xf>
    <xf numFmtId="43" fontId="18" fillId="0" borderId="0" xfId="1" applyFont="1"/>
    <xf numFmtId="0" fontId="24" fillId="3" borderId="2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43" fontId="23" fillId="0" borderId="0" xfId="1" applyFont="1"/>
    <xf numFmtId="14" fontId="23" fillId="0" borderId="0" xfId="0" applyNumberFormat="1" applyFont="1"/>
    <xf numFmtId="14" fontId="24" fillId="0" borderId="2" xfId="0" applyNumberFormat="1" applyFont="1" applyBorder="1" applyAlignment="1">
      <alignment horizontal="center" wrapText="1"/>
    </xf>
    <xf numFmtId="43" fontId="23" fillId="0" borderId="0" xfId="0" applyNumberFormat="1" applyFont="1"/>
    <xf numFmtId="0" fontId="30" fillId="0" borderId="0" xfId="0" applyFont="1"/>
    <xf numFmtId="41" fontId="23" fillId="0" borderId="0" xfId="2" applyNumberFormat="1" applyFont="1"/>
    <xf numFmtId="164" fontId="23" fillId="0" borderId="0" xfId="2" quotePrefix="1" applyNumberFormat="1" applyFont="1"/>
    <xf numFmtId="5" fontId="23" fillId="0" borderId="0" xfId="2" quotePrefix="1" applyNumberFormat="1" applyFont="1"/>
    <xf numFmtId="5" fontId="23" fillId="0" borderId="4" xfId="0" applyNumberFormat="1" applyFont="1" applyBorder="1"/>
    <xf numFmtId="43" fontId="23" fillId="0" borderId="4" xfId="0" applyNumberFormat="1" applyFont="1" applyBorder="1"/>
    <xf numFmtId="0" fontId="24" fillId="0" borderId="0" xfId="0" applyFont="1" applyAlignment="1">
      <alignment horizontal="left"/>
    </xf>
    <xf numFmtId="9" fontId="23" fillId="0" borderId="0" xfId="3" applyFont="1"/>
    <xf numFmtId="41" fontId="23" fillId="0" borderId="0" xfId="0" applyNumberFormat="1" applyFont="1"/>
    <xf numFmtId="41" fontId="24" fillId="0" borderId="2" xfId="0" applyNumberFormat="1" applyFont="1" applyBorder="1" applyAlignment="1">
      <alignment horizontal="center" wrapText="1"/>
    </xf>
    <xf numFmtId="41" fontId="23" fillId="0" borderId="0" xfId="0" applyNumberFormat="1" applyFont="1" applyAlignment="1">
      <alignment horizontal="center"/>
    </xf>
    <xf numFmtId="41" fontId="23" fillId="0" borderId="4" xfId="0" applyNumberFormat="1" applyFont="1" applyBorder="1"/>
    <xf numFmtId="0" fontId="17" fillId="0" borderId="0" xfId="0" applyFont="1"/>
    <xf numFmtId="0" fontId="32" fillId="0" borderId="0" xfId="7" applyFont="1"/>
    <xf numFmtId="14" fontId="0" fillId="0" borderId="0" xfId="0" applyNumberFormat="1"/>
    <xf numFmtId="0" fontId="24" fillId="3" borderId="2" xfId="0" applyFont="1" applyFill="1" applyBorder="1" applyAlignment="1">
      <alignment horizontal="center" vertical="top" wrapText="1"/>
    </xf>
    <xf numFmtId="43" fontId="23" fillId="0" borderId="0" xfId="1" applyFont="1" applyFill="1"/>
    <xf numFmtId="5" fontId="23" fillId="0" borderId="0" xfId="0" applyNumberFormat="1" applyFont="1"/>
    <xf numFmtId="9" fontId="23" fillId="0" borderId="0" xfId="3" quotePrefix="1" applyFont="1"/>
    <xf numFmtId="10" fontId="16" fillId="0" borderId="0" xfId="3" applyNumberFormat="1" applyFont="1" applyAlignment="1">
      <alignment vertical="top"/>
    </xf>
    <xf numFmtId="7" fontId="23" fillId="0" borderId="0" xfId="529" applyNumberFormat="1" applyFont="1"/>
    <xf numFmtId="43" fontId="23" fillId="0" borderId="0" xfId="529" applyNumberFormat="1" applyFont="1" applyAlignment="1">
      <alignment vertical="top"/>
    </xf>
    <xf numFmtId="7" fontId="23" fillId="0" borderId="0" xfId="529" applyNumberFormat="1" applyFont="1" applyAlignment="1">
      <alignment vertical="top"/>
    </xf>
    <xf numFmtId="41" fontId="23" fillId="0" borderId="0" xfId="529" applyNumberFormat="1" applyFont="1"/>
    <xf numFmtId="0" fontId="22" fillId="0" borderId="0" xfId="529" applyFont="1" applyBorder="1" applyAlignment="1">
      <alignment wrapText="1"/>
    </xf>
    <xf numFmtId="41" fontId="23" fillId="0" borderId="0" xfId="529" applyNumberFormat="1" applyFont="1" applyAlignment="1">
      <alignment vertical="top"/>
    </xf>
    <xf numFmtId="0" fontId="23" fillId="0" borderId="4" xfId="533" applyFont="1" applyBorder="1"/>
    <xf numFmtId="0" fontId="23" fillId="0" borderId="4" xfId="533" applyFont="1" applyBorder="1" applyAlignment="1">
      <alignment horizontal="center" wrapText="1"/>
    </xf>
    <xf numFmtId="0" fontId="22" fillId="0" borderId="0" xfId="529" applyFont="1" applyAlignment="1">
      <alignment vertical="top"/>
    </xf>
    <xf numFmtId="0" fontId="23" fillId="0" borderId="0" xfId="0" applyFont="1" applyAlignment="1"/>
    <xf numFmtId="9" fontId="23" fillId="0" borderId="2" xfId="11" applyFont="1" applyFill="1" applyBorder="1" applyAlignment="1">
      <alignment vertical="top"/>
    </xf>
    <xf numFmtId="5" fontId="23" fillId="0" borderId="0" xfId="529" applyNumberFormat="1" applyFont="1"/>
    <xf numFmtId="5" fontId="23" fillId="0" borderId="3" xfId="0" applyNumberFormat="1" applyFont="1" applyBorder="1"/>
    <xf numFmtId="5" fontId="23" fillId="0" borderId="0" xfId="529" applyNumberFormat="1" applyFont="1" applyAlignment="1">
      <alignment vertical="top"/>
    </xf>
    <xf numFmtId="0" fontId="24" fillId="0" borderId="0" xfId="529" applyFont="1" applyAlignment="1"/>
    <xf numFmtId="0" fontId="24" fillId="0" borderId="2" xfId="529" applyFont="1" applyBorder="1" applyAlignment="1">
      <alignment horizontal="center"/>
    </xf>
    <xf numFmtId="0" fontId="23" fillId="0" borderId="0" xfId="529" applyFont="1" applyAlignment="1">
      <alignment vertical="top"/>
    </xf>
    <xf numFmtId="0" fontId="23" fillId="0" borderId="0" xfId="529" applyFont="1"/>
    <xf numFmtId="0" fontId="23" fillId="0" borderId="0" xfId="529" applyFont="1" applyAlignment="1">
      <alignment horizontal="center"/>
    </xf>
    <xf numFmtId="0" fontId="22" fillId="0" borderId="0" xfId="529" applyFont="1" applyBorder="1" applyAlignment="1">
      <alignment horizontal="center"/>
    </xf>
    <xf numFmtId="0" fontId="22" fillId="0" borderId="0" xfId="529" applyFont="1" applyBorder="1" applyAlignment="1">
      <alignment vertical="top"/>
    </xf>
    <xf numFmtId="0" fontId="22" fillId="0" borderId="2" xfId="529" applyFont="1" applyBorder="1" applyAlignment="1">
      <alignment horizontal="center" wrapText="1"/>
    </xf>
    <xf numFmtId="0" fontId="24" fillId="0" borderId="2" xfId="529" applyFont="1" applyBorder="1" applyAlignment="1">
      <alignment horizontal="center" vertical="top"/>
    </xf>
    <xf numFmtId="0" fontId="23" fillId="0" borderId="0" xfId="529" applyFont="1" applyAlignment="1">
      <alignment horizontal="right" vertical="top"/>
    </xf>
    <xf numFmtId="0" fontId="22" fillId="0" borderId="0" xfId="529" applyFont="1" applyBorder="1" applyAlignment="1">
      <alignment horizontal="center" wrapText="1"/>
    </xf>
    <xf numFmtId="0" fontId="23" fillId="0" borderId="2" xfId="529" applyFont="1" applyBorder="1"/>
    <xf numFmtId="164" fontId="23" fillId="0" borderId="0" xfId="534" applyNumberFormat="1" applyFont="1"/>
    <xf numFmtId="0" fontId="24" fillId="0" borderId="0" xfId="533" applyFont="1"/>
    <xf numFmtId="0" fontId="23" fillId="0" borderId="0" xfId="533" applyFont="1"/>
    <xf numFmtId="0" fontId="23" fillId="0" borderId="0" xfId="533" applyFont="1" applyAlignment="1">
      <alignment wrapText="1"/>
    </xf>
    <xf numFmtId="0" fontId="23" fillId="0" borderId="0" xfId="533" applyFont="1" applyAlignment="1">
      <alignment horizontal="center"/>
    </xf>
    <xf numFmtId="165" fontId="23" fillId="0" borderId="0" xfId="534" applyNumberFormat="1" applyFont="1"/>
    <xf numFmtId="0" fontId="23" fillId="0" borderId="2" xfId="533" applyFont="1" applyFill="1" applyBorder="1" applyAlignment="1">
      <alignment horizontal="center" wrapText="1"/>
    </xf>
    <xf numFmtId="44" fontId="23" fillId="0" borderId="0" xfId="0" applyNumberFormat="1" applyFont="1"/>
    <xf numFmtId="41" fontId="23" fillId="0" borderId="0" xfId="0" applyNumberFormat="1" applyFont="1" applyFill="1"/>
    <xf numFmtId="0" fontId="23" fillId="0" borderId="0" xfId="0" applyFont="1" applyFill="1"/>
    <xf numFmtId="0" fontId="80" fillId="0" borderId="0" xfId="0" applyFont="1"/>
    <xf numFmtId="1" fontId="29" fillId="0" borderId="24" xfId="0" applyNumberFormat="1" applyFont="1" applyFill="1" applyBorder="1" applyAlignment="1"/>
    <xf numFmtId="10" fontId="0" fillId="0" borderId="24" xfId="0" applyNumberFormat="1" applyBorder="1"/>
    <xf numFmtId="0" fontId="24" fillId="0" borderId="2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43" fontId="29" fillId="0" borderId="0" xfId="1" applyFont="1" applyAlignment="1">
      <alignment horizontal="center" vertical="top"/>
    </xf>
    <xf numFmtId="0" fontId="24" fillId="0" borderId="0" xfId="0" applyFont="1" applyAlignment="1">
      <alignment horizontal="center"/>
    </xf>
    <xf numFmtId="43" fontId="0" fillId="0" borderId="0" xfId="66" applyFont="1"/>
    <xf numFmtId="17" fontId="29" fillId="0" borderId="0" xfId="62" applyNumberFormat="1" applyFont="1" applyFill="1" applyBorder="1" applyAlignment="1">
      <alignment horizontal="left"/>
    </xf>
    <xf numFmtId="0" fontId="15" fillId="0" borderId="0" xfId="0" applyFont="1"/>
    <xf numFmtId="0" fontId="30" fillId="0" borderId="0" xfId="0" applyFont="1" applyAlignment="1">
      <alignment vertical="top"/>
    </xf>
    <xf numFmtId="0" fontId="15" fillId="0" borderId="0" xfId="0" applyFont="1" applyAlignment="1">
      <alignment vertical="top"/>
    </xf>
    <xf numFmtId="164" fontId="15" fillId="0" borderId="0" xfId="2" applyNumberFormat="1" applyFont="1"/>
    <xf numFmtId="5" fontId="15" fillId="0" borderId="0" xfId="2" applyNumberFormat="1" applyFont="1"/>
    <xf numFmtId="41" fontId="15" fillId="0" borderId="0" xfId="2" applyNumberFormat="1" applyFont="1"/>
    <xf numFmtId="43" fontId="0" fillId="0" borderId="0" xfId="1" applyFont="1"/>
    <xf numFmtId="0" fontId="0" fillId="0" borderId="4" xfId="0" applyBorder="1" applyAlignment="1">
      <alignment horizontal="center"/>
    </xf>
    <xf numFmtId="180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10" fontId="29" fillId="0" borderId="0" xfId="3" applyNumberFormat="1" applyFont="1" applyAlignment="1">
      <alignment vertical="top"/>
    </xf>
    <xf numFmtId="43" fontId="0" fillId="0" borderId="0" xfId="0" applyNumberFormat="1"/>
    <xf numFmtId="0" fontId="0" fillId="0" borderId="0" xfId="0" applyFont="1"/>
    <xf numFmtId="10" fontId="29" fillId="0" borderId="0" xfId="3" applyNumberFormat="1" applyFont="1" applyFill="1" applyAlignment="1">
      <alignment vertical="top"/>
    </xf>
    <xf numFmtId="0" fontId="0" fillId="0" borderId="0" xfId="0" applyAlignment="1">
      <alignment horizontal="left"/>
    </xf>
    <xf numFmtId="0" fontId="24" fillId="0" borderId="25" xfId="0" applyFont="1" applyBorder="1" applyAlignment="1">
      <alignment horizontal="center"/>
    </xf>
    <xf numFmtId="7" fontId="0" fillId="0" borderId="0" xfId="0" applyNumberFormat="1"/>
    <xf numFmtId="0" fontId="0" fillId="0" borderId="0" xfId="0" applyFont="1" applyBorder="1"/>
    <xf numFmtId="43" fontId="23" fillId="0" borderId="0" xfId="0" applyNumberFormat="1" applyFont="1" applyBorder="1"/>
    <xf numFmtId="0" fontId="24" fillId="0" borderId="0" xfId="5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wrapText="1"/>
    </xf>
    <xf numFmtId="5" fontId="23" fillId="0" borderId="0" xfId="0" applyNumberFormat="1" applyFont="1" applyFill="1" applyBorder="1"/>
    <xf numFmtId="0" fontId="23" fillId="0" borderId="0" xfId="0" applyFont="1" applyFill="1" applyBorder="1"/>
    <xf numFmtId="41" fontId="23" fillId="0" borderId="0" xfId="0" applyNumberFormat="1" applyFont="1" applyFill="1" applyBorder="1"/>
    <xf numFmtId="37" fontId="82" fillId="0" borderId="0" xfId="535" applyNumberFormat="1" applyFont="1" applyFill="1" applyAlignment="1">
      <alignment horizontal="left"/>
    </xf>
    <xf numFmtId="0" fontId="21" fillId="0" borderId="0" xfId="0" applyFont="1"/>
    <xf numFmtId="0" fontId="83" fillId="0" borderId="0" xfId="0" quotePrefix="1" applyFont="1" applyBorder="1" applyAlignment="1">
      <alignment horizontal="center"/>
    </xf>
    <xf numFmtId="0" fontId="82" fillId="0" borderId="25" xfId="0" applyFont="1" applyBorder="1" applyAlignment="1">
      <alignment horizontal="center" wrapText="1"/>
    </xf>
    <xf numFmtId="0" fontId="84" fillId="0" borderId="0" xfId="0" applyFont="1"/>
    <xf numFmtId="166" fontId="21" fillId="0" borderId="0" xfId="1" applyNumberFormat="1" applyFont="1"/>
    <xf numFmtId="5" fontId="21" fillId="0" borderId="0" xfId="1" applyNumberFormat="1" applyFont="1"/>
    <xf numFmtId="0" fontId="21" fillId="0" borderId="0" xfId="0" applyFont="1" applyFill="1" applyBorder="1"/>
    <xf numFmtId="166" fontId="21" fillId="0" borderId="0" xfId="1" applyNumberFormat="1" applyFont="1" applyBorder="1"/>
    <xf numFmtId="166" fontId="21" fillId="0" borderId="24" xfId="1" applyNumberFormat="1" applyFont="1" applyBorder="1"/>
    <xf numFmtId="166" fontId="21" fillId="0" borderId="0" xfId="1" applyNumberFormat="1" applyFont="1" applyFill="1"/>
    <xf numFmtId="5" fontId="21" fillId="0" borderId="33" xfId="1" applyNumberFormat="1" applyFont="1" applyFill="1" applyBorder="1"/>
    <xf numFmtId="5" fontId="21" fillId="0" borderId="33" xfId="1" applyNumberFormat="1" applyFont="1" applyBorder="1"/>
    <xf numFmtId="5" fontId="21" fillId="0" borderId="0" xfId="1" applyNumberFormat="1" applyFont="1" applyFill="1"/>
    <xf numFmtId="0" fontId="0" fillId="0" borderId="0" xfId="0" applyFont="1" applyFill="1" applyBorder="1"/>
    <xf numFmtId="166" fontId="21" fillId="0" borderId="25" xfId="1" applyNumberFormat="1" applyFont="1" applyBorder="1"/>
    <xf numFmtId="166" fontId="21" fillId="0" borderId="25" xfId="1" applyNumberFormat="1" applyFont="1" applyFill="1" applyBorder="1"/>
    <xf numFmtId="5" fontId="21" fillId="0" borderId="25" xfId="1" applyNumberFormat="1" applyFont="1" applyFill="1" applyBorder="1"/>
    <xf numFmtId="0" fontId="24" fillId="0" borderId="25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17" fontId="24" fillId="0" borderId="25" xfId="0" applyNumberFormat="1" applyFont="1" applyBorder="1" applyAlignment="1">
      <alignment horizontal="center"/>
    </xf>
    <xf numFmtId="17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44" fontId="24" fillId="0" borderId="0" xfId="0" applyNumberFormat="1" applyFont="1" applyBorder="1"/>
    <xf numFmtId="0" fontId="22" fillId="0" borderId="0" xfId="368" applyFont="1" applyFill="1" applyAlignment="1" applyProtection="1">
      <alignment horizontal="left"/>
    </xf>
    <xf numFmtId="0" fontId="29" fillId="0" borderId="0" xfId="368" applyFont="1" applyFill="1" applyAlignment="1"/>
    <xf numFmtId="0" fontId="29" fillId="0" borderId="0" xfId="368" applyFont="1" applyFill="1" applyAlignment="1">
      <alignment horizontal="right"/>
    </xf>
    <xf numFmtId="0" fontId="22" fillId="0" borderId="0" xfId="536" applyFont="1" applyFill="1" applyAlignment="1" applyProtection="1">
      <alignment horizontal="left"/>
    </xf>
    <xf numFmtId="0" fontId="29" fillId="0" borderId="0" xfId="536" applyFont="1" applyFill="1" applyAlignment="1" applyProtection="1">
      <alignment horizontal="left"/>
    </xf>
    <xf numFmtId="0" fontId="29" fillId="0" borderId="0" xfId="368" applyFont="1" applyFill="1" applyAlignment="1" applyProtection="1">
      <alignment horizontal="centerContinuous"/>
    </xf>
    <xf numFmtId="3" fontId="29" fillId="0" borderId="0" xfId="368" applyNumberFormat="1" applyFont="1" applyFill="1" applyAlignment="1">
      <alignment horizontal="right"/>
    </xf>
    <xf numFmtId="1" fontId="22" fillId="0" borderId="0" xfId="368" quotePrefix="1" applyNumberFormat="1" applyFont="1" applyFill="1" applyAlignment="1" applyProtection="1">
      <alignment horizontal="centerContinuous"/>
    </xf>
    <xf numFmtId="3" fontId="29" fillId="0" borderId="0" xfId="368" applyNumberFormat="1" applyFont="1" applyFill="1" applyAlignment="1">
      <alignment horizontal="centerContinuous"/>
    </xf>
    <xf numFmtId="0" fontId="29" fillId="0" borderId="0" xfId="368" applyFont="1" applyFill="1" applyAlignment="1" applyProtection="1">
      <alignment horizontal="left"/>
    </xf>
    <xf numFmtId="0" fontId="29" fillId="0" borderId="0" xfId="368" applyFont="1" applyFill="1" applyProtection="1"/>
    <xf numFmtId="183" fontId="22" fillId="0" borderId="0" xfId="368" quotePrefix="1" applyNumberFormat="1" applyFont="1" applyFill="1" applyAlignment="1">
      <alignment horizontal="center"/>
    </xf>
    <xf numFmtId="1" fontId="22" fillId="0" borderId="0" xfId="368" applyNumberFormat="1" applyFont="1" applyFill="1" applyAlignment="1">
      <alignment horizontal="center"/>
    </xf>
    <xf numFmtId="3" fontId="22" fillId="0" borderId="0" xfId="368" applyNumberFormat="1" applyFont="1" applyFill="1" applyAlignment="1">
      <alignment horizontal="center"/>
    </xf>
    <xf numFmtId="0" fontId="22" fillId="0" borderId="0" xfId="368" applyFont="1" applyFill="1" applyAlignment="1">
      <alignment horizontal="center"/>
    </xf>
    <xf numFmtId="0" fontId="22" fillId="0" borderId="25" xfId="368" applyFont="1" applyFill="1" applyBorder="1" applyProtection="1"/>
    <xf numFmtId="0" fontId="29" fillId="0" borderId="25" xfId="368" applyFont="1" applyFill="1" applyBorder="1" applyProtection="1"/>
    <xf numFmtId="3" fontId="22" fillId="0" borderId="25" xfId="368" applyNumberFormat="1" applyFont="1" applyFill="1" applyBorder="1" applyAlignment="1">
      <alignment horizontal="center"/>
    </xf>
    <xf numFmtId="1" fontId="22" fillId="0" borderId="25" xfId="368" applyNumberFormat="1" applyFont="1" applyFill="1" applyBorder="1" applyAlignment="1" applyProtection="1">
      <alignment horizontal="center"/>
    </xf>
    <xf numFmtId="0" fontId="22" fillId="0" borderId="25" xfId="368" quotePrefix="1" applyFont="1" applyFill="1" applyBorder="1" applyAlignment="1" applyProtection="1">
      <alignment horizontal="center"/>
    </xf>
    <xf numFmtId="0" fontId="22" fillId="0" borderId="25" xfId="368" applyFont="1" applyFill="1" applyBorder="1" applyAlignment="1" applyProtection="1">
      <alignment horizontal="center"/>
    </xf>
    <xf numFmtId="0" fontId="87" fillId="0" borderId="0" xfId="368" applyFont="1" applyFill="1" applyProtection="1"/>
    <xf numFmtId="3" fontId="87" fillId="0" borderId="0" xfId="368" applyNumberFormat="1" applyFont="1" applyFill="1" applyAlignment="1">
      <alignment horizontal="right"/>
    </xf>
    <xf numFmtId="1" fontId="88" fillId="0" borderId="0" xfId="368" applyNumberFormat="1" applyFont="1" applyFill="1" applyAlignment="1" applyProtection="1">
      <alignment horizontal="center"/>
    </xf>
    <xf numFmtId="3" fontId="88" fillId="0" borderId="0" xfId="368" applyNumberFormat="1" applyFont="1" applyFill="1" applyAlignment="1">
      <alignment horizontal="center"/>
    </xf>
    <xf numFmtId="0" fontId="88" fillId="0" borderId="0" xfId="368" quotePrefix="1" applyFont="1" applyFill="1" applyAlignment="1" applyProtection="1">
      <alignment horizontal="center"/>
    </xf>
    <xf numFmtId="0" fontId="22" fillId="0" borderId="0" xfId="536" applyFont="1" applyFill="1" applyProtection="1"/>
    <xf numFmtId="184" fontId="29" fillId="0" borderId="0" xfId="14" applyNumberFormat="1" applyFont="1" applyFill="1" applyAlignment="1" applyProtection="1">
      <alignment horizontal="right"/>
    </xf>
    <xf numFmtId="10" fontId="29" fillId="0" borderId="0" xfId="368" applyNumberFormat="1" applyFont="1" applyFill="1" applyAlignment="1" applyProtection="1">
      <alignment horizontal="right"/>
    </xf>
    <xf numFmtId="184" fontId="29" fillId="0" borderId="0" xfId="368" applyNumberFormat="1" applyFont="1" applyFill="1" applyAlignment="1" applyProtection="1">
      <alignment horizontal="right"/>
    </xf>
    <xf numFmtId="184" fontId="29" fillId="0" borderId="0" xfId="536" applyNumberFormat="1" applyFont="1" applyFill="1" applyAlignment="1" applyProtection="1">
      <alignment horizontal="right"/>
    </xf>
    <xf numFmtId="0" fontId="22" fillId="0" borderId="0" xfId="368" applyFont="1" applyFill="1" applyProtection="1"/>
    <xf numFmtId="3" fontId="29" fillId="0" borderId="0" xfId="536" applyNumberFormat="1" applyFont="1" applyFill="1" applyAlignment="1" applyProtection="1">
      <alignment horizontal="right"/>
    </xf>
    <xf numFmtId="3" fontId="29" fillId="0" borderId="0" xfId="368" applyNumberFormat="1" applyFont="1" applyFill="1" applyAlignment="1" applyProtection="1">
      <alignment horizontal="right"/>
    </xf>
    <xf numFmtId="0" fontId="29" fillId="0" borderId="0" xfId="368" quotePrefix="1" applyFont="1" applyFill="1" applyAlignment="1" applyProtection="1">
      <alignment horizontal="left"/>
    </xf>
    <xf numFmtId="8" fontId="29" fillId="0" borderId="0" xfId="368" applyNumberFormat="1" applyFont="1" applyFill="1" applyProtection="1"/>
    <xf numFmtId="41" fontId="29" fillId="0" borderId="0" xfId="13" applyNumberFormat="1" applyFont="1" applyFill="1" applyAlignment="1" applyProtection="1">
      <alignment horizontal="right"/>
    </xf>
    <xf numFmtId="1" fontId="29" fillId="0" borderId="0" xfId="368" applyNumberFormat="1" applyFont="1" applyFill="1" applyAlignment="1" applyProtection="1">
      <alignment horizontal="right"/>
    </xf>
    <xf numFmtId="10" fontId="29" fillId="0" borderId="0" xfId="368" applyNumberFormat="1" applyFont="1" applyFill="1" applyProtection="1"/>
    <xf numFmtId="43" fontId="29" fillId="0" borderId="0" xfId="13" applyFont="1" applyFill="1" applyProtection="1"/>
    <xf numFmtId="4" fontId="29" fillId="0" borderId="0" xfId="538" applyNumberFormat="1" applyFont="1" applyFill="1" applyBorder="1" applyAlignment="1" applyProtection="1"/>
    <xf numFmtId="10" fontId="29" fillId="0" borderId="0" xfId="537" applyNumberFormat="1" applyFont="1" applyFill="1" applyAlignment="1" applyProtection="1">
      <alignment horizontal="right"/>
    </xf>
    <xf numFmtId="0" fontId="29" fillId="0" borderId="0" xfId="540" applyFont="1" applyBorder="1"/>
    <xf numFmtId="0" fontId="22" fillId="0" borderId="0" xfId="539" applyFont="1" applyAlignment="1" applyProtection="1">
      <alignment horizontal="left"/>
    </xf>
    <xf numFmtId="0" fontId="29" fillId="0" borderId="0" xfId="5" applyFont="1" applyFill="1"/>
    <xf numFmtId="0" fontId="29" fillId="0" borderId="0" xfId="540" quotePrefix="1" applyFont="1" applyFill="1" applyBorder="1" applyAlignment="1" applyProtection="1">
      <alignment horizontal="left"/>
    </xf>
    <xf numFmtId="0" fontId="22" fillId="0" borderId="0" xfId="5" applyFont="1" applyFill="1" applyBorder="1" applyAlignment="1" applyProtection="1">
      <alignment horizontal="centerContinuous"/>
    </xf>
    <xf numFmtId="41" fontId="29" fillId="0" borderId="0" xfId="540" applyNumberFormat="1" applyFont="1" applyFill="1" applyBorder="1"/>
    <xf numFmtId="0" fontId="29" fillId="0" borderId="0" xfId="540" applyFont="1" applyFill="1" applyBorder="1" applyAlignment="1">
      <alignment horizontal="center"/>
    </xf>
    <xf numFmtId="0" fontId="29" fillId="0" borderId="0" xfId="5" applyFont="1" applyFill="1" applyProtection="1"/>
    <xf numFmtId="0" fontId="22" fillId="0" borderId="0" xfId="540" applyFont="1" applyFill="1" applyBorder="1" applyAlignment="1">
      <alignment horizontal="center"/>
    </xf>
    <xf numFmtId="0" fontId="22" fillId="0" borderId="0" xfId="540" applyFont="1" applyBorder="1" applyAlignment="1">
      <alignment horizontal="center"/>
    </xf>
    <xf numFmtId="41" fontId="22" fillId="0" borderId="0" xfId="540" applyNumberFormat="1" applyFont="1" applyFill="1" applyAlignment="1">
      <alignment horizontal="center"/>
    </xf>
    <xf numFmtId="10" fontId="22" fillId="0" borderId="0" xfId="427" applyNumberFormat="1" applyFont="1" applyBorder="1" applyAlignment="1">
      <alignment horizontal="center"/>
    </xf>
    <xf numFmtId="0" fontId="87" fillId="0" borderId="0" xfId="5" applyFont="1" applyFill="1" applyProtection="1"/>
    <xf numFmtId="10" fontId="22" fillId="0" borderId="25" xfId="427" applyNumberFormat="1" applyFont="1" applyBorder="1" applyAlignment="1">
      <alignment horizontal="center" vertical="center"/>
    </xf>
    <xf numFmtId="0" fontId="22" fillId="0" borderId="25" xfId="540" applyFont="1" applyBorder="1" applyAlignment="1">
      <alignment horizontal="center"/>
    </xf>
    <xf numFmtId="1" fontId="29" fillId="0" borderId="0" xfId="5" applyNumberFormat="1" applyFont="1" applyFill="1"/>
    <xf numFmtId="0" fontId="29" fillId="0" borderId="0" xfId="5" applyFont="1" applyFill="1" applyAlignment="1">
      <alignment horizontal="center"/>
    </xf>
    <xf numFmtId="166" fontId="29" fillId="0" borderId="0" xfId="13" applyNumberFormat="1" applyFont="1" applyFill="1" applyAlignment="1" applyProtection="1">
      <alignment horizontal="right"/>
    </xf>
    <xf numFmtId="10" fontId="29" fillId="0" borderId="0" xfId="427" applyNumberFormat="1" applyFont="1" applyFill="1" applyAlignment="1" applyProtection="1">
      <alignment horizontal="center"/>
    </xf>
    <xf numFmtId="0" fontId="29" fillId="0" borderId="0" xfId="5" quotePrefix="1" applyFont="1" applyFill="1" applyAlignment="1" applyProtection="1">
      <alignment horizontal="left"/>
    </xf>
    <xf numFmtId="185" fontId="29" fillId="0" borderId="0" xfId="5" applyNumberFormat="1" applyFont="1" applyFill="1"/>
    <xf numFmtId="0" fontId="22" fillId="0" borderId="25" xfId="5" applyFont="1" applyFill="1" applyBorder="1" applyAlignment="1" applyProtection="1">
      <alignment horizontal="center"/>
    </xf>
    <xf numFmtId="0" fontId="0" fillId="0" borderId="0" xfId="0" applyFont="1" applyFill="1"/>
    <xf numFmtId="183" fontId="0" fillId="0" borderId="0" xfId="0" applyNumberFormat="1" applyFont="1" applyFill="1" applyAlignment="1">
      <alignment horizontal="left"/>
    </xf>
    <xf numFmtId="49" fontId="0" fillId="0" borderId="0" xfId="0" applyNumberFormat="1" applyFont="1" applyFill="1"/>
    <xf numFmtId="0" fontId="22" fillId="0" borderId="25" xfId="0" applyFont="1" applyBorder="1" applyAlignment="1">
      <alignment horizontal="center"/>
    </xf>
    <xf numFmtId="180" fontId="22" fillId="0" borderId="25" xfId="0" applyNumberFormat="1" applyFont="1" applyBorder="1" applyAlignment="1">
      <alignment horizontal="center"/>
    </xf>
    <xf numFmtId="14" fontId="0" fillId="0" borderId="0" xfId="0" applyNumberFormat="1" applyFont="1" applyFill="1"/>
    <xf numFmtId="0" fontId="0" fillId="59" borderId="0" xfId="0" applyFont="1" applyFill="1"/>
    <xf numFmtId="14" fontId="24" fillId="0" borderId="0" xfId="0" applyNumberFormat="1" applyFont="1"/>
    <xf numFmtId="14" fontId="24" fillId="0" borderId="0" xfId="0" applyNumberFormat="1" applyFont="1" applyFill="1"/>
    <xf numFmtId="43" fontId="0" fillId="0" borderId="4" xfId="0" applyNumberFormat="1" applyFont="1" applyBorder="1"/>
    <xf numFmtId="0" fontId="24" fillId="0" borderId="0" xfId="0" applyFont="1" applyFill="1"/>
    <xf numFmtId="0" fontId="0" fillId="0" borderId="0" xfId="0" applyFont="1" applyAlignment="1"/>
    <xf numFmtId="43" fontId="0" fillId="0" borderId="3" xfId="66" applyFont="1" applyBorder="1"/>
    <xf numFmtId="0" fontId="24" fillId="0" borderId="0" xfId="0" applyFont="1" applyAlignment="1">
      <alignment horizontal="center" wrapText="1"/>
    </xf>
    <xf numFmtId="14" fontId="90" fillId="0" borderId="25" xfId="541" applyNumberFormat="1" applyFont="1" applyBorder="1" applyAlignment="1">
      <alignment horizontal="center" wrapText="1"/>
    </xf>
    <xf numFmtId="3" fontId="90" fillId="0" borderId="25" xfId="541" applyFont="1" applyBorder="1" applyAlignment="1">
      <alignment horizontal="center" wrapText="1"/>
    </xf>
    <xf numFmtId="3" fontId="90" fillId="0" borderId="0" xfId="54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0" applyFont="1" applyBorder="1" applyAlignment="1">
      <alignment wrapText="1"/>
    </xf>
    <xf numFmtId="37" fontId="0" fillId="0" borderId="0" xfId="62" applyNumberFormat="1" applyFont="1" applyBorder="1"/>
    <xf numFmtId="37" fontId="0" fillId="0" borderId="0" xfId="0" applyNumberFormat="1" applyFont="1" applyBorder="1"/>
    <xf numFmtId="37" fontId="0" fillId="0" borderId="0" xfId="0" applyNumberFormat="1" applyFont="1"/>
    <xf numFmtId="0" fontId="0" fillId="0" borderId="0" xfId="0" applyFont="1" applyAlignment="1">
      <alignment horizontal="left" wrapText="1" indent="3"/>
    </xf>
    <xf numFmtId="37" fontId="0" fillId="0" borderId="0" xfId="66" applyNumberFormat="1" applyFont="1" applyBorder="1"/>
    <xf numFmtId="37" fontId="0" fillId="0" borderId="0" xfId="0" applyNumberFormat="1" applyFont="1" applyAlignment="1">
      <alignment horizontal="center"/>
    </xf>
    <xf numFmtId="37" fontId="0" fillId="0" borderId="4" xfId="0" applyNumberFormat="1" applyFont="1" applyBorder="1"/>
    <xf numFmtId="0" fontId="86" fillId="0" borderId="0" xfId="0" applyFont="1" applyAlignment="1">
      <alignment horizontal="left" indent="1"/>
    </xf>
    <xf numFmtId="0" fontId="86" fillId="0" borderId="0" xfId="0" applyFont="1" applyBorder="1" applyAlignment="1">
      <alignment horizontal="left" indent="1"/>
    </xf>
    <xf numFmtId="5" fontId="0" fillId="0" borderId="0" xfId="0" applyNumberFormat="1" applyFont="1" applyBorder="1"/>
    <xf numFmtId="5" fontId="0" fillId="0" borderId="33" xfId="0" applyNumberFormat="1" applyFont="1" applyBorder="1"/>
    <xf numFmtId="37" fontId="0" fillId="0" borderId="4" xfId="62" applyNumberFormat="1" applyFont="1" applyBorder="1"/>
    <xf numFmtId="5" fontId="0" fillId="0" borderId="3" xfId="0" applyNumberFormat="1" applyFont="1" applyBorder="1"/>
    <xf numFmtId="43" fontId="0" fillId="0" borderId="0" xfId="0" applyNumberFormat="1" applyFont="1"/>
    <xf numFmtId="0" fontId="0" fillId="0" borderId="25" xfId="0" applyFont="1" applyBorder="1" applyAlignment="1">
      <alignment horizontal="center"/>
    </xf>
    <xf numFmtId="42" fontId="86" fillId="0" borderId="0" xfId="0" applyNumberFormat="1" applyFont="1"/>
    <xf numFmtId="37" fontId="0" fillId="0" borderId="4" xfId="66" applyNumberFormat="1" applyFont="1" applyBorder="1"/>
    <xf numFmtId="0" fontId="13" fillId="0" borderId="0" xfId="0" applyFont="1"/>
    <xf numFmtId="5" fontId="13" fillId="0" borderId="0" xfId="62" applyNumberFormat="1" applyFont="1" applyBorder="1"/>
    <xf numFmtId="37" fontId="13" fillId="0" borderId="0" xfId="0" applyNumberFormat="1" applyFont="1"/>
    <xf numFmtId="0" fontId="24" fillId="0" borderId="0" xfId="0" applyFont="1" applyFill="1" applyAlignment="1">
      <alignment horizontal="left"/>
    </xf>
    <xf numFmtId="37" fontId="24" fillId="0" borderId="0" xfId="0" applyNumberFormat="1" applyFont="1" applyBorder="1" applyAlignment="1">
      <alignment horizontal="right"/>
    </xf>
    <xf numFmtId="37" fontId="24" fillId="0" borderId="0" xfId="0" applyNumberFormat="1" applyFont="1" applyBorder="1"/>
    <xf numFmtId="5" fontId="23" fillId="0" borderId="0" xfId="62" applyNumberFormat="1" applyFont="1"/>
    <xf numFmtId="0" fontId="24" fillId="0" borderId="0" xfId="0" applyFont="1" applyBorder="1"/>
    <xf numFmtId="0" fontId="13" fillId="0" borderId="0" xfId="0" applyFont="1" applyBorder="1"/>
    <xf numFmtId="5" fontId="13" fillId="0" borderId="0" xfId="62" applyNumberFormat="1" applyFont="1"/>
    <xf numFmtId="44" fontId="13" fillId="0" borderId="0" xfId="0" applyNumberFormat="1" applyFont="1" applyBorder="1"/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10" fontId="13" fillId="0" borderId="0" xfId="3" applyNumberFormat="1" applyFont="1" applyBorder="1" applyAlignment="1">
      <alignment horizontal="right"/>
    </xf>
    <xf numFmtId="37" fontId="13" fillId="0" borderId="0" xfId="0" applyNumberFormat="1" applyFont="1" applyBorder="1"/>
    <xf numFmtId="37" fontId="13" fillId="0" borderId="0" xfId="62" applyNumberFormat="1" applyFont="1"/>
    <xf numFmtId="10" fontId="13" fillId="0" borderId="0" xfId="0" applyNumberFormat="1" applyFont="1"/>
    <xf numFmtId="44" fontId="13" fillId="0" borderId="0" xfId="0" applyNumberFormat="1" applyFont="1"/>
    <xf numFmtId="164" fontId="13" fillId="0" borderId="0" xfId="0" applyNumberFormat="1" applyFont="1"/>
    <xf numFmtId="5" fontId="23" fillId="0" borderId="3" xfId="62" applyNumberFormat="1" applyFont="1" applyBorder="1"/>
    <xf numFmtId="10" fontId="13" fillId="0" borderId="25" xfId="3" applyNumberFormat="1" applyFont="1" applyBorder="1"/>
    <xf numFmtId="0" fontId="23" fillId="0" borderId="0" xfId="0" applyFont="1" applyBorder="1"/>
    <xf numFmtId="0" fontId="24" fillId="0" borderId="0" xfId="0" applyFont="1" applyFill="1" applyBorder="1"/>
    <xf numFmtId="0" fontId="23" fillId="0" borderId="0" xfId="0" applyFont="1" applyFill="1" applyAlignment="1">
      <alignment horizontal="left"/>
    </xf>
    <xf numFmtId="164" fontId="23" fillId="0" borderId="0" xfId="62" applyNumberFormat="1" applyFont="1" applyBorder="1"/>
    <xf numFmtId="44" fontId="23" fillId="0" borderId="0" xfId="0" applyNumberFormat="1" applyFont="1" applyBorder="1"/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10" fontId="23" fillId="0" borderId="0" xfId="11" applyNumberFormat="1" applyFont="1" applyBorder="1" applyAlignment="1">
      <alignment horizontal="right"/>
    </xf>
    <xf numFmtId="37" fontId="23" fillId="0" borderId="0" xfId="0" applyNumberFormat="1" applyFont="1" applyBorder="1"/>
    <xf numFmtId="164" fontId="23" fillId="0" borderId="0" xfId="0" applyNumberFormat="1" applyFont="1" applyBorder="1"/>
    <xf numFmtId="164" fontId="23" fillId="0" borderId="0" xfId="62" applyNumberFormat="1" applyFont="1"/>
    <xf numFmtId="10" fontId="23" fillId="0" borderId="25" xfId="0" applyNumberFormat="1" applyFont="1" applyFill="1" applyBorder="1"/>
    <xf numFmtId="10" fontId="23" fillId="0" borderId="0" xfId="0" applyNumberFormat="1" applyFont="1"/>
    <xf numFmtId="0" fontId="24" fillId="0" borderId="25" xfId="0" applyFont="1" applyFill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/>
    </xf>
    <xf numFmtId="5" fontId="12" fillId="0" borderId="0" xfId="62" applyNumberFormat="1" applyFont="1" applyBorder="1"/>
    <xf numFmtId="5" fontId="12" fillId="0" borderId="0" xfId="0" applyNumberFormat="1" applyFont="1" applyBorder="1"/>
    <xf numFmtId="37" fontId="12" fillId="0" borderId="0" xfId="0" applyNumberFormat="1" applyFont="1"/>
    <xf numFmtId="0" fontId="12" fillId="0" borderId="0" xfId="0" applyFont="1" applyFill="1"/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41" fontId="12" fillId="0" borderId="0" xfId="62" applyNumberFormat="1" applyFont="1" applyAlignment="1">
      <alignment horizontal="center"/>
    </xf>
    <xf numFmtId="42" fontId="12" fillId="0" borderId="0" xfId="0" applyNumberFormat="1" applyFont="1" applyAlignment="1">
      <alignment horizontal="center"/>
    </xf>
    <xf numFmtId="5" fontId="12" fillId="0" borderId="3" xfId="62" applyNumberFormat="1" applyFont="1" applyBorder="1"/>
    <xf numFmtId="0" fontId="12" fillId="0" borderId="25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5" fontId="12" fillId="0" borderId="0" xfId="0" applyNumberFormat="1" applyFont="1"/>
    <xf numFmtId="10" fontId="12" fillId="0" borderId="0" xfId="3" applyNumberFormat="1" applyFont="1"/>
    <xf numFmtId="0" fontId="12" fillId="0" borderId="25" xfId="0" applyFont="1" applyFill="1" applyBorder="1"/>
    <xf numFmtId="5" fontId="12" fillId="0" borderId="0" xfId="62" applyNumberFormat="1" applyFont="1" applyFill="1"/>
    <xf numFmtId="5" fontId="12" fillId="0" borderId="4" xfId="62" applyNumberFormat="1" applyFont="1" applyFill="1" applyBorder="1"/>
    <xf numFmtId="42" fontId="0" fillId="0" borderId="0" xfId="0" applyNumberFormat="1"/>
    <xf numFmtId="0" fontId="24" fillId="0" borderId="0" xfId="0" applyFont="1" applyAlignment="1">
      <alignment vertical="top"/>
    </xf>
    <xf numFmtId="0" fontId="0" fillId="0" borderId="0" xfId="0" applyFill="1" applyAlignment="1">
      <alignment vertical="top" wrapText="1"/>
    </xf>
    <xf numFmtId="10" fontId="0" fillId="0" borderId="0" xfId="3" applyNumberFormat="1" applyFont="1" applyFill="1"/>
    <xf numFmtId="0" fontId="24" fillId="0" borderId="0" xfId="0" applyFont="1" applyAlignment="1">
      <alignment horizontal="center"/>
    </xf>
    <xf numFmtId="10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9" fillId="2" borderId="1" xfId="0" applyFont="1" applyFill="1" applyBorder="1" applyAlignment="1">
      <alignment vertical="top"/>
    </xf>
    <xf numFmtId="2" fontId="9" fillId="0" borderId="0" xfId="0" applyNumberFormat="1" applyFont="1" applyAlignment="1">
      <alignment horizontal="right" vertical="top"/>
    </xf>
    <xf numFmtId="0" fontId="9" fillId="2" borderId="1" xfId="0" applyFont="1" applyFill="1" applyBorder="1" applyAlignment="1">
      <alignment vertical="top" wrapText="1"/>
    </xf>
    <xf numFmtId="14" fontId="9" fillId="0" borderId="0" xfId="0" applyNumberFormat="1" applyFont="1" applyAlignment="1">
      <alignment horizontal="right" vertical="top"/>
    </xf>
    <xf numFmtId="0" fontId="9" fillId="0" borderId="0" xfId="0" applyFont="1"/>
    <xf numFmtId="43" fontId="9" fillId="0" borderId="0" xfId="1" applyFont="1"/>
    <xf numFmtId="43" fontId="9" fillId="2" borderId="1" xfId="1" applyFont="1" applyFill="1" applyBorder="1" applyAlignment="1">
      <alignment vertical="top"/>
    </xf>
    <xf numFmtId="43" fontId="9" fillId="0" borderId="0" xfId="1" applyFont="1" applyAlignment="1">
      <alignment vertical="top"/>
    </xf>
    <xf numFmtId="14" fontId="9" fillId="0" borderId="0" xfId="0" applyNumberFormat="1" applyFont="1"/>
    <xf numFmtId="0" fontId="23" fillId="0" borderId="0" xfId="0" applyFont="1" applyFill="1" applyAlignment="1">
      <alignment horizontal="center"/>
    </xf>
    <xf numFmtId="41" fontId="23" fillId="0" borderId="4" xfId="0" applyNumberFormat="1" applyFont="1" applyFill="1" applyBorder="1" applyAlignment="1">
      <alignment horizontal="center"/>
    </xf>
    <xf numFmtId="43" fontId="9" fillId="0" borderId="0" xfId="66" applyFont="1"/>
    <xf numFmtId="0" fontId="9" fillId="0" borderId="0" xfId="0" applyFont="1" applyAlignment="1">
      <alignment horizontal="center"/>
    </xf>
    <xf numFmtId="0" fontId="9" fillId="0" borderId="25" xfId="0" applyFont="1" applyBorder="1" applyAlignment="1">
      <alignment horizontal="center"/>
    </xf>
    <xf numFmtId="166" fontId="9" fillId="0" borderId="0" xfId="66" applyNumberFormat="1" applyFont="1"/>
    <xf numFmtId="10" fontId="9" fillId="0" borderId="0" xfId="11" applyNumberFormat="1" applyFont="1"/>
    <xf numFmtId="166" fontId="9" fillId="0" borderId="0" xfId="0" applyNumberFormat="1" applyFont="1"/>
    <xf numFmtId="166" fontId="9" fillId="0" borderId="4" xfId="66" applyNumberFormat="1" applyFont="1" applyBorder="1"/>
    <xf numFmtId="10" fontId="9" fillId="0" borderId="4" xfId="11" applyNumberFormat="1" applyFont="1" applyBorder="1"/>
    <xf numFmtId="43" fontId="21" fillId="0" borderId="0" xfId="1" applyFont="1"/>
    <xf numFmtId="43" fontId="21" fillId="0" borderId="4" xfId="1" applyFont="1" applyBorder="1"/>
    <xf numFmtId="0" fontId="0" fillId="0" borderId="0" xfId="0" applyFont="1" applyBorder="1" applyAlignment="1">
      <alignment horizontal="center"/>
    </xf>
    <xf numFmtId="7" fontId="0" fillId="0" borderId="0" xfId="0" applyNumberFormat="1" applyFont="1"/>
    <xf numFmtId="7" fontId="0" fillId="0" borderId="0" xfId="0" applyNumberFormat="1" applyFont="1" applyBorder="1"/>
    <xf numFmtId="39" fontId="0" fillId="0" borderId="0" xfId="0" applyNumberFormat="1" applyFont="1"/>
    <xf numFmtId="39" fontId="0" fillId="0" borderId="0" xfId="0" applyNumberFormat="1" applyFont="1" applyBorder="1"/>
    <xf numFmtId="39" fontId="0" fillId="0" borderId="25" xfId="0" applyNumberFormat="1" applyFont="1" applyBorder="1"/>
    <xf numFmtId="7" fontId="23" fillId="0" borderId="0" xfId="0" applyNumberFormat="1" applyFont="1"/>
    <xf numFmtId="7" fontId="23" fillId="0" borderId="0" xfId="0" applyNumberFormat="1" applyFont="1" applyBorder="1"/>
    <xf numFmtId="2" fontId="23" fillId="0" borderId="0" xfId="0" applyNumberFormat="1" applyFont="1"/>
    <xf numFmtId="0" fontId="23" fillId="3" borderId="28" xfId="0" applyFont="1" applyFill="1" applyBorder="1"/>
    <xf numFmtId="2" fontId="23" fillId="3" borderId="30" xfId="0" applyNumberFormat="1" applyFont="1" applyFill="1" applyBorder="1"/>
    <xf numFmtId="0" fontId="24" fillId="0" borderId="25" xfId="0" applyFont="1" applyFill="1" applyBorder="1" applyAlignment="1">
      <alignment horizontal="center" wrapText="1"/>
    </xf>
    <xf numFmtId="3" fontId="22" fillId="0" borderId="0" xfId="0" applyNumberFormat="1" applyFont="1" applyFill="1" applyAlignment="1"/>
    <xf numFmtId="3" fontId="27" fillId="0" borderId="0" xfId="0" applyNumberFormat="1" applyFont="1" applyFill="1" applyAlignment="1">
      <alignment horizontal="right"/>
    </xf>
    <xf numFmtId="0" fontId="91" fillId="0" borderId="0" xfId="0" applyFont="1" applyFill="1" applyAlignment="1">
      <alignment horizontal="right"/>
    </xf>
    <xf numFmtId="3" fontId="22" fillId="0" borderId="0" xfId="0" applyNumberFormat="1" applyFont="1" applyFill="1" applyAlignment="1">
      <alignment horizontal="centerContinuous"/>
    </xf>
    <xf numFmtId="3" fontId="29" fillId="0" borderId="0" xfId="0" applyNumberFormat="1" applyFont="1" applyFill="1" applyAlignment="1">
      <alignment horizontal="centerContinuous"/>
    </xf>
    <xf numFmtId="3" fontId="29" fillId="0" borderId="0" xfId="0" applyNumberFormat="1" applyFont="1" applyFill="1" applyAlignment="1" applyProtection="1">
      <alignment horizontal="centerContinuous"/>
      <protection locked="0"/>
    </xf>
    <xf numFmtId="3" fontId="92" fillId="0" borderId="0" xfId="541" applyFont="1" applyAlignment="1"/>
    <xf numFmtId="3" fontId="83" fillId="0" borderId="0" xfId="0" applyNumberFormat="1" applyFont="1" applyFill="1" applyAlignment="1"/>
    <xf numFmtId="3" fontId="29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83" fillId="0" borderId="0" xfId="0" applyNumberFormat="1" applyFont="1" applyAlignment="1"/>
    <xf numFmtId="0" fontId="83" fillId="0" borderId="0" xfId="0" applyFont="1" applyFill="1" applyAlignment="1">
      <alignment horizontal="right"/>
    </xf>
    <xf numFmtId="3" fontId="83" fillId="0" borderId="0" xfId="0" applyNumberFormat="1" applyFont="1" applyFill="1" applyAlignment="1">
      <alignment horizontal="right"/>
    </xf>
    <xf numFmtId="3" fontId="29" fillId="0" borderId="34" xfId="0" applyNumberFormat="1" applyFont="1" applyFill="1" applyBorder="1" applyAlignment="1"/>
    <xf numFmtId="3" fontId="29" fillId="0" borderId="34" xfId="0" applyNumberFormat="1" applyFont="1" applyFill="1" applyBorder="1" applyAlignment="1">
      <alignment horizontal="center"/>
    </xf>
    <xf numFmtId="3" fontId="29" fillId="0" borderId="0" xfId="0" applyNumberFormat="1" applyFont="1" applyFill="1" applyAlignment="1">
      <alignment horizontal="center"/>
    </xf>
    <xf numFmtId="3" fontId="29" fillId="0" borderId="34" xfId="0" applyNumberFormat="1" applyFont="1" applyFill="1" applyBorder="1"/>
    <xf numFmtId="3" fontId="87" fillId="0" borderId="0" xfId="0" applyNumberFormat="1" applyFont="1" applyFill="1" applyAlignment="1"/>
    <xf numFmtId="3" fontId="29" fillId="0" borderId="0" xfId="0" applyNumberFormat="1" applyFont="1" applyFill="1" applyAlignment="1">
      <alignment horizontal="left" indent="2"/>
    </xf>
    <xf numFmtId="5" fontId="29" fillId="0" borderId="0" xfId="0" applyNumberFormat="1" applyFont="1" applyFill="1" applyAlignment="1"/>
    <xf numFmtId="10" fontId="29" fillId="0" borderId="0" xfId="0" applyNumberFormat="1" applyFont="1" applyFill="1" applyAlignment="1" applyProtection="1">
      <alignment horizontal="center"/>
      <protection locked="0"/>
    </xf>
    <xf numFmtId="186" fontId="29" fillId="0" borderId="0" xfId="0" applyNumberFormat="1" applyFont="1" applyFill="1" applyAlignment="1"/>
    <xf numFmtId="1" fontId="29" fillId="0" borderId="0" xfId="0" quotePrefix="1" applyNumberFormat="1" applyFont="1" applyFill="1" applyAlignment="1">
      <alignment horizontal="center"/>
    </xf>
    <xf numFmtId="37" fontId="29" fillId="0" borderId="25" xfId="0" quotePrefix="1" applyNumberFormat="1" applyFont="1" applyFill="1" applyBorder="1" applyProtection="1">
      <protection locked="0"/>
    </xf>
    <xf numFmtId="3" fontId="29" fillId="0" borderId="36" xfId="0" applyNumberFormat="1" applyFont="1" applyFill="1" applyBorder="1"/>
    <xf numFmtId="37" fontId="29" fillId="0" borderId="25" xfId="0" applyNumberFormat="1" applyFont="1" applyFill="1" applyBorder="1" applyProtection="1">
      <protection locked="0"/>
    </xf>
    <xf numFmtId="4" fontId="29" fillId="0" borderId="0" xfId="0" applyNumberFormat="1" applyFont="1" applyFill="1"/>
    <xf numFmtId="4" fontId="29" fillId="0" borderId="0" xfId="0" applyNumberFormat="1" applyFont="1" applyFill="1" applyAlignment="1"/>
    <xf numFmtId="3" fontId="29" fillId="0" borderId="0" xfId="0" applyNumberFormat="1" applyFont="1" applyFill="1" applyAlignment="1">
      <alignment horizontal="left" indent="1"/>
    </xf>
    <xf numFmtId="37" fontId="29" fillId="0" borderId="0" xfId="0" applyNumberFormat="1" applyFont="1" applyFill="1" applyAlignment="1"/>
    <xf numFmtId="37" fontId="29" fillId="0" borderId="4" xfId="0" applyNumberFormat="1" applyFont="1" applyFill="1" applyBorder="1" applyAlignment="1"/>
    <xf numFmtId="3" fontId="29" fillId="0" borderId="37" xfId="0" applyNumberFormat="1" applyFont="1" applyFill="1" applyBorder="1"/>
    <xf numFmtId="3" fontId="29" fillId="0" borderId="0" xfId="0" applyNumberFormat="1" applyFont="1" applyFill="1" applyBorder="1"/>
    <xf numFmtId="3" fontId="88" fillId="0" borderId="0" xfId="0" applyNumberFormat="1" applyFont="1" applyFill="1" applyAlignment="1">
      <alignment horizontal="left" indent="1"/>
    </xf>
    <xf numFmtId="3" fontId="29" fillId="0" borderId="0" xfId="0" quotePrefix="1" applyNumberFormat="1" applyFont="1" applyFill="1" applyAlignment="1">
      <alignment horizontal="center"/>
    </xf>
    <xf numFmtId="37" fontId="29" fillId="0" borderId="0" xfId="0" applyNumberFormat="1" applyFont="1" applyFill="1" applyBorder="1" applyProtection="1">
      <protection locked="0"/>
    </xf>
    <xf numFmtId="3" fontId="29" fillId="0" borderId="0" xfId="0" applyNumberFormat="1" applyFont="1" applyFill="1" applyProtection="1">
      <protection locked="0"/>
    </xf>
    <xf numFmtId="10" fontId="29" fillId="0" borderId="0" xfId="0" applyNumberFormat="1" applyFont="1" applyFill="1"/>
    <xf numFmtId="37" fontId="29" fillId="0" borderId="23" xfId="0" applyNumberFormat="1" applyFont="1" applyFill="1" applyBorder="1" applyProtection="1">
      <protection locked="0"/>
    </xf>
    <xf numFmtId="184" fontId="29" fillId="0" borderId="0" xfId="0" applyNumberFormat="1" applyFont="1" applyFill="1" applyAlignment="1"/>
    <xf numFmtId="3" fontId="29" fillId="0" borderId="0" xfId="0" applyNumberFormat="1" applyFont="1" applyFill="1"/>
    <xf numFmtId="37" fontId="29" fillId="0" borderId="0" xfId="0" applyNumberFormat="1" applyFont="1" applyFill="1" applyAlignment="1" applyProtection="1">
      <protection locked="0"/>
    </xf>
    <xf numFmtId="187" fontId="29" fillId="0" borderId="0" xfId="0" applyNumberFormat="1" applyFont="1" applyFill="1" applyAlignment="1"/>
    <xf numFmtId="37" fontId="29" fillId="0" borderId="4" xfId="0" applyNumberFormat="1" applyFont="1" applyFill="1" applyBorder="1" applyAlignment="1" applyProtection="1">
      <protection locked="0"/>
    </xf>
    <xf numFmtId="184" fontId="29" fillId="0" borderId="0" xfId="0" applyNumberFormat="1" applyFont="1" applyFill="1" applyAlignment="1" applyProtection="1">
      <protection locked="0"/>
    </xf>
    <xf numFmtId="3" fontId="88" fillId="0" borderId="0" xfId="0" applyNumberFormat="1" applyFont="1" applyFill="1" applyAlignment="1"/>
    <xf numFmtId="37" fontId="29" fillId="0" borderId="0" xfId="0" quotePrefix="1" applyNumberFormat="1" applyFont="1" applyFill="1" applyAlignment="1"/>
    <xf numFmtId="37" fontId="29" fillId="0" borderId="0" xfId="0" quotePrefix="1" applyNumberFormat="1" applyFont="1" applyFill="1" applyBorder="1" applyProtection="1">
      <protection locked="0"/>
    </xf>
    <xf numFmtId="37" fontId="29" fillId="0" borderId="37" xfId="0" applyNumberFormat="1" applyFont="1" applyFill="1" applyBorder="1" applyAlignment="1"/>
    <xf numFmtId="3" fontId="29" fillId="0" borderId="0" xfId="0" quotePrefix="1" applyNumberFormat="1" applyFont="1" applyFill="1" applyBorder="1" applyAlignment="1"/>
    <xf numFmtId="3" fontId="29" fillId="0" borderId="25" xfId="0" quotePrefix="1" applyNumberFormat="1" applyFont="1" applyFill="1" applyBorder="1" applyAlignment="1"/>
    <xf numFmtId="4" fontId="29" fillId="0" borderId="0" xfId="0" applyNumberFormat="1" applyFont="1" applyFill="1" applyBorder="1" applyAlignment="1"/>
    <xf numFmtId="5" fontId="29" fillId="0" borderId="33" xfId="0" applyNumberFormat="1" applyFont="1" applyFill="1" applyBorder="1" applyAlignment="1"/>
    <xf numFmtId="0" fontId="82" fillId="0" borderId="0" xfId="0" applyFont="1" applyFill="1" applyAlignment="1">
      <alignment horizontal="right"/>
    </xf>
    <xf numFmtId="1" fontId="29" fillId="0" borderId="0" xfId="0" applyNumberFormat="1" applyFont="1" applyFill="1" applyAlignment="1" applyProtection="1">
      <alignment horizontal="center"/>
      <protection locked="0"/>
    </xf>
    <xf numFmtId="37" fontId="29" fillId="0" borderId="0" xfId="0" applyNumberFormat="1" applyFont="1" applyFill="1"/>
    <xf numFmtId="39" fontId="29" fillId="0" borderId="0" xfId="0" applyNumberFormat="1" applyFont="1" applyFill="1" applyAlignment="1"/>
    <xf numFmtId="10" fontId="29" fillId="0" borderId="0" xfId="0" applyNumberFormat="1" applyFont="1" applyFill="1" applyAlignment="1"/>
    <xf numFmtId="3" fontId="22" fillId="0" borderId="0" xfId="0" applyNumberFormat="1" applyFont="1" applyFill="1" applyAlignment="1">
      <alignment horizontal="center"/>
    </xf>
    <xf numFmtId="5" fontId="29" fillId="0" borderId="37" xfId="0" applyNumberFormat="1" applyFont="1" applyFill="1" applyBorder="1" applyAlignment="1"/>
    <xf numFmtId="43" fontId="29" fillId="0" borderId="36" xfId="66" applyFont="1" applyFill="1" applyBorder="1"/>
    <xf numFmtId="43" fontId="29" fillId="0" borderId="0" xfId="66" applyFont="1" applyFill="1" applyBorder="1"/>
    <xf numFmtId="3" fontId="29" fillId="0" borderId="0" xfId="0" applyNumberFormat="1" applyFont="1" applyFill="1" applyBorder="1" applyAlignment="1"/>
    <xf numFmtId="4" fontId="29" fillId="0" borderId="0" xfId="0" applyNumberFormat="1" applyFont="1" applyFill="1" applyProtection="1">
      <protection locked="0"/>
    </xf>
    <xf numFmtId="10" fontId="29" fillId="0" borderId="33" xfId="0" applyNumberFormat="1" applyFont="1" applyFill="1" applyBorder="1" applyAlignment="1"/>
    <xf numFmtId="37" fontId="29" fillId="0" borderId="36" xfId="0" applyNumberFormat="1" applyFont="1" applyFill="1" applyBorder="1"/>
    <xf numFmtId="39" fontId="29" fillId="0" borderId="0" xfId="0" applyNumberFormat="1" applyFont="1" applyFill="1"/>
    <xf numFmtId="188" fontId="29" fillId="0" borderId="0" xfId="0" applyNumberFormat="1" applyFont="1" applyFill="1"/>
    <xf numFmtId="3" fontId="29" fillId="0" borderId="34" xfId="0" applyNumberFormat="1" applyFont="1" applyFill="1" applyBorder="1" applyAlignment="1">
      <alignment horizontal="centerContinuous"/>
    </xf>
    <xf numFmtId="164" fontId="29" fillId="0" borderId="0" xfId="0" applyNumberFormat="1" applyFont="1" applyFill="1" applyAlignment="1"/>
    <xf numFmtId="10" fontId="29" fillId="0" borderId="0" xfId="11" applyNumberFormat="1" applyFont="1" applyFill="1" applyBorder="1"/>
    <xf numFmtId="3" fontId="29" fillId="0" borderId="0" xfId="0" applyNumberFormat="1" applyFont="1" applyFill="1" applyAlignment="1" applyProtection="1">
      <protection locked="0"/>
    </xf>
    <xf numFmtId="3" fontId="96" fillId="0" borderId="0" xfId="0" applyNumberFormat="1" applyFont="1" applyFill="1" applyAlignment="1"/>
    <xf numFmtId="37" fontId="29" fillId="0" borderId="25" xfId="0" applyNumberFormat="1" applyFont="1" applyFill="1" applyBorder="1" applyAlignment="1"/>
    <xf numFmtId="42" fontId="29" fillId="0" borderId="0" xfId="0" applyNumberFormat="1" applyFont="1" applyFill="1" applyBorder="1" applyAlignment="1"/>
    <xf numFmtId="43" fontId="29" fillId="0" borderId="0" xfId="1" applyFont="1" applyFill="1" applyAlignment="1"/>
    <xf numFmtId="5" fontId="29" fillId="0" borderId="36" xfId="66" applyNumberFormat="1" applyFont="1" applyFill="1" applyBorder="1"/>
    <xf numFmtId="37" fontId="29" fillId="0" borderId="0" xfId="0" quotePrefix="1" applyNumberFormat="1" applyFont="1" applyFill="1"/>
    <xf numFmtId="10" fontId="12" fillId="0" borderId="0" xfId="0" applyNumberFormat="1" applyFont="1"/>
    <xf numFmtId="41" fontId="23" fillId="0" borderId="0" xfId="0" applyNumberFormat="1" applyFont="1" applyFill="1" applyAlignment="1">
      <alignment horizontal="center"/>
    </xf>
    <xf numFmtId="41" fontId="23" fillId="0" borderId="0" xfId="2" applyNumberFormat="1" applyFont="1" applyFill="1"/>
    <xf numFmtId="0" fontId="12" fillId="0" borderId="0" xfId="0" applyFont="1" applyFill="1" applyBorder="1"/>
    <xf numFmtId="0" fontId="24" fillId="0" borderId="0" xfId="0" applyFont="1" applyFill="1" applyBorder="1" applyAlignment="1">
      <alignment horizontal="center"/>
    </xf>
    <xf numFmtId="5" fontId="12" fillId="0" borderId="0" xfId="62" applyNumberFormat="1" applyFont="1" applyFill="1" applyBorder="1"/>
    <xf numFmtId="5" fontId="12" fillId="0" borderId="0" xfId="0" applyNumberFormat="1" applyFont="1" applyFill="1" applyBorder="1"/>
    <xf numFmtId="5" fontId="29" fillId="0" borderId="0" xfId="0" quotePrefix="1" applyNumberFormat="1" applyFont="1" applyFill="1" applyAlignment="1"/>
    <xf numFmtId="43" fontId="29" fillId="0" borderId="0" xfId="1" applyFont="1" applyFill="1"/>
    <xf numFmtId="5" fontId="29" fillId="0" borderId="0" xfId="1" applyNumberFormat="1" applyFont="1" applyFill="1"/>
    <xf numFmtId="5" fontId="23" fillId="0" borderId="0" xfId="534" applyNumberFormat="1" applyFont="1"/>
    <xf numFmtId="7" fontId="23" fillId="0" borderId="0" xfId="534" applyNumberFormat="1" applyFont="1"/>
    <xf numFmtId="189" fontId="23" fillId="0" borderId="0" xfId="534" applyNumberFormat="1" applyFont="1"/>
    <xf numFmtId="0" fontId="16" fillId="0" borderId="0" xfId="3" applyNumberFormat="1" applyFont="1" applyAlignment="1">
      <alignment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41" fontId="15" fillId="0" borderId="0" xfId="2" applyNumberFormat="1" applyFont="1" applyAlignment="1">
      <alignment horizontal="center"/>
    </xf>
    <xf numFmtId="43" fontId="9" fillId="0" borderId="0" xfId="1" applyFont="1" applyAlignment="1">
      <alignment horizontal="center" wrapText="1"/>
    </xf>
    <xf numFmtId="10" fontId="16" fillId="0" borderId="0" xfId="3" applyNumberFormat="1" applyFont="1" applyAlignment="1">
      <alignment horizontal="left" vertical="top"/>
    </xf>
    <xf numFmtId="0" fontId="8" fillId="0" borderId="25" xfId="0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25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10" fontId="8" fillId="0" borderId="0" xfId="581" applyNumberFormat="1" applyFont="1"/>
    <xf numFmtId="5" fontId="8" fillId="0" borderId="0" xfId="582" applyNumberFormat="1" applyFont="1"/>
    <xf numFmtId="10" fontId="8" fillId="0" borderId="0" xfId="581" applyNumberFormat="1" applyFont="1" applyFill="1"/>
    <xf numFmtId="164" fontId="8" fillId="0" borderId="0" xfId="582" applyNumberFormat="1" applyFont="1"/>
    <xf numFmtId="0" fontId="99" fillId="0" borderId="0" xfId="0" applyFont="1"/>
    <xf numFmtId="0" fontId="29" fillId="0" borderId="0" xfId="0" applyFont="1"/>
    <xf numFmtId="190" fontId="29" fillId="0" borderId="0" xfId="427" applyNumberFormat="1" applyFont="1" applyFill="1" applyAlignment="1">
      <alignment horizontal="center"/>
    </xf>
    <xf numFmtId="190" fontId="29" fillId="0" borderId="0" xfId="427" applyNumberFormat="1" applyFont="1" applyAlignment="1">
      <alignment horizontal="center"/>
    </xf>
    <xf numFmtId="0" fontId="29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left"/>
    </xf>
    <xf numFmtId="1" fontId="24" fillId="0" borderId="0" xfId="0" applyNumberFormat="1" applyFont="1"/>
    <xf numFmtId="1" fontId="29" fillId="0" borderId="0" xfId="0" applyNumberFormat="1" applyFont="1"/>
    <xf numFmtId="1" fontId="24" fillId="0" borderId="25" xfId="0" applyNumberFormat="1" applyFont="1" applyBorder="1" applyAlignment="1">
      <alignment horizontal="center" wrapText="1"/>
    </xf>
    <xf numFmtId="1" fontId="29" fillId="0" borderId="0" xfId="0" applyNumberFormat="1" applyFont="1" applyAlignment="1">
      <alignment horizontal="center"/>
    </xf>
    <xf numFmtId="1" fontId="7" fillId="0" borderId="0" xfId="0" applyNumberFormat="1" applyFont="1" applyFill="1" applyBorder="1" applyAlignment="1">
      <alignment horizontal="center" wrapText="1"/>
    </xf>
    <xf numFmtId="1" fontId="7" fillId="0" borderId="0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7" fontId="23" fillId="0" borderId="0" xfId="2" quotePrefix="1" applyNumberFormat="1" applyFont="1"/>
    <xf numFmtId="2" fontId="0" fillId="0" borderId="0" xfId="0" applyNumberFormat="1"/>
    <xf numFmtId="0" fontId="101" fillId="0" borderId="0" xfId="0" applyFont="1"/>
    <xf numFmtId="0" fontId="9" fillId="0" borderId="0" xfId="0" applyFont="1" applyFill="1"/>
    <xf numFmtId="2" fontId="9" fillId="0" borderId="0" xfId="0" applyNumberFormat="1" applyFont="1"/>
    <xf numFmtId="14" fontId="9" fillId="0" borderId="0" xfId="0" applyNumberFormat="1" applyFont="1" applyAlignment="1">
      <alignment horizontal="center"/>
    </xf>
    <xf numFmtId="14" fontId="29" fillId="0" borderId="0" xfId="62" applyNumberFormat="1" applyFont="1" applyFill="1" applyBorder="1" applyAlignment="1">
      <alignment horizontal="center"/>
    </xf>
    <xf numFmtId="0" fontId="102" fillId="0" borderId="0" xfId="0" applyFont="1" applyAlignment="1">
      <alignment horizontal="center"/>
    </xf>
    <xf numFmtId="43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43" fontId="9" fillId="0" borderId="0" xfId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23" fillId="0" borderId="25" xfId="0" applyFont="1" applyBorder="1" applyAlignment="1">
      <alignment horizontal="center"/>
    </xf>
    <xf numFmtId="3" fontId="29" fillId="0" borderId="0" xfId="368" applyNumberFormat="1" applyFont="1" applyFill="1" applyAlignment="1"/>
    <xf numFmtId="1" fontId="29" fillId="0" borderId="0" xfId="368" applyNumberFormat="1" applyFont="1" applyFill="1" applyAlignment="1">
      <alignment horizontal="center"/>
    </xf>
    <xf numFmtId="0" fontId="29" fillId="60" borderId="0" xfId="368" applyFont="1" applyFill="1" applyProtection="1"/>
    <xf numFmtId="0" fontId="29" fillId="60" borderId="0" xfId="368" applyNumberFormat="1" applyFont="1" applyFill="1" applyAlignment="1">
      <alignment horizontal="right"/>
    </xf>
    <xf numFmtId="1" fontId="29" fillId="60" borderId="0" xfId="536" applyNumberFormat="1" applyFont="1" applyFill="1" applyAlignment="1" applyProtection="1">
      <alignment horizontal="right"/>
    </xf>
    <xf numFmtId="37" fontId="29" fillId="60" borderId="0" xfId="536" applyNumberFormat="1" applyFont="1" applyFill="1" applyAlignment="1" applyProtection="1">
      <alignment horizontal="right"/>
    </xf>
    <xf numFmtId="10" fontId="29" fillId="60" borderId="0" xfId="368" applyNumberFormat="1" applyFont="1" applyFill="1" applyAlignment="1" applyProtection="1">
      <alignment horizontal="right"/>
    </xf>
    <xf numFmtId="37" fontId="29" fillId="60" borderId="0" xfId="368" applyNumberFormat="1" applyFont="1" applyFill="1" applyAlignment="1" applyProtection="1">
      <alignment horizontal="right"/>
    </xf>
    <xf numFmtId="0" fontId="29" fillId="60" borderId="0" xfId="5" applyFont="1" applyFill="1" applyAlignment="1" applyProtection="1">
      <alignment horizontal="left" indent="1"/>
    </xf>
    <xf numFmtId="0" fontId="29" fillId="60" borderId="0" xfId="5" applyFont="1" applyFill="1" applyProtection="1"/>
    <xf numFmtId="166" fontId="29" fillId="60" borderId="0" xfId="13" applyNumberFormat="1" applyFont="1" applyFill="1"/>
    <xf numFmtId="10" fontId="29" fillId="60" borderId="0" xfId="427" applyNumberFormat="1" applyFont="1" applyFill="1" applyAlignment="1">
      <alignment horizontal="center"/>
    </xf>
    <xf numFmtId="43" fontId="21" fillId="0" borderId="25" xfId="1" applyFont="1" applyBorder="1"/>
    <xf numFmtId="43" fontId="21" fillId="0" borderId="0" xfId="1" applyFont="1" applyBorder="1"/>
    <xf numFmtId="0" fontId="0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4" fontId="0" fillId="0" borderId="0" xfId="1" applyNumberFormat="1" applyFont="1"/>
    <xf numFmtId="4" fontId="0" fillId="0" borderId="0" xfId="0" applyNumberFormat="1"/>
    <xf numFmtId="0" fontId="30" fillId="0" borderId="0" xfId="0" applyFont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9" fillId="0" borderId="0" xfId="0" applyFont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14" fontId="8" fillId="0" borderId="0" xfId="0" applyNumberFormat="1" applyFont="1"/>
    <xf numFmtId="0" fontId="23" fillId="0" borderId="0" xfId="0" applyNumberFormat="1" applyFont="1"/>
    <xf numFmtId="166" fontId="23" fillId="0" borderId="0" xfId="1" applyNumberFormat="1" applyFont="1" applyFill="1"/>
    <xf numFmtId="0" fontId="23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4" fontId="23" fillId="0" borderId="0" xfId="0" applyNumberFormat="1" applyFont="1" applyAlignment="1">
      <alignment horizontal="center"/>
    </xf>
    <xf numFmtId="14" fontId="29" fillId="0" borderId="0" xfId="0" applyNumberFormat="1" applyFont="1" applyAlignment="1">
      <alignment horizontal="center" vertical="top"/>
    </xf>
    <xf numFmtId="0" fontId="83" fillId="0" borderId="0" xfId="0" applyFont="1" applyAlignment="1">
      <alignment vertical="top"/>
    </xf>
    <xf numFmtId="14" fontId="23" fillId="0" borderId="0" xfId="0" applyNumberFormat="1" applyFont="1" applyAlignment="1">
      <alignment horizontal="right"/>
    </xf>
    <xf numFmtId="192" fontId="12" fillId="0" borderId="0" xfId="0" applyNumberFormat="1" applyFont="1" applyAlignment="1">
      <alignment horizontal="center"/>
    </xf>
    <xf numFmtId="0" fontId="86" fillId="0" borderId="0" xfId="0" applyFont="1"/>
    <xf numFmtId="43" fontId="6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43" fontId="6" fillId="0" borderId="0" xfId="0" applyNumberFormat="1" applyFont="1"/>
    <xf numFmtId="0" fontId="6" fillId="0" borderId="0" xfId="0" applyNumberFormat="1" applyFont="1" applyAlignment="1">
      <alignment horizontal="left"/>
    </xf>
    <xf numFmtId="43" fontId="6" fillId="0" borderId="25" xfId="0" applyNumberFormat="1" applyFont="1" applyBorder="1"/>
    <xf numFmtId="43" fontId="6" fillId="0" borderId="25" xfId="1" applyFont="1" applyBorder="1"/>
    <xf numFmtId="166" fontId="23" fillId="0" borderId="4" xfId="1" applyNumberFormat="1" applyFont="1" applyBorder="1"/>
    <xf numFmtId="1" fontId="23" fillId="0" borderId="0" xfId="3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49" fontId="100" fillId="0" borderId="38" xfId="0" applyNumberFormat="1" applyFont="1" applyFill="1" applyBorder="1"/>
    <xf numFmtId="0" fontId="100" fillId="0" borderId="38" xfId="0" applyNumberFormat="1" applyFont="1" applyFill="1" applyBorder="1"/>
    <xf numFmtId="0" fontId="100" fillId="0" borderId="38" xfId="0" applyFont="1" applyFill="1" applyBorder="1"/>
    <xf numFmtId="191" fontId="100" fillId="0" borderId="38" xfId="0" applyNumberFormat="1" applyFont="1" applyFill="1" applyBorder="1"/>
    <xf numFmtId="49" fontId="100" fillId="0" borderId="38" xfId="0" applyNumberFormat="1" applyFont="1" applyFill="1" applyBorder="1" applyAlignment="1">
      <alignment horizontal="center"/>
    </xf>
    <xf numFmtId="43" fontId="9" fillId="0" borderId="0" xfId="1" applyFont="1" applyFill="1"/>
    <xf numFmtId="0" fontId="100" fillId="0" borderId="38" xfId="0" applyNumberFormat="1" applyFont="1" applyFill="1" applyBorder="1" applyAlignment="1">
      <alignment horizontal="right"/>
    </xf>
    <xf numFmtId="14" fontId="9" fillId="0" borderId="0" xfId="0" applyNumberFormat="1" applyFont="1" applyFill="1"/>
    <xf numFmtId="193" fontId="0" fillId="0" borderId="0" xfId="0" applyNumberFormat="1" applyFont="1"/>
    <xf numFmtId="0" fontId="30" fillId="61" borderId="25" xfId="0" applyFont="1" applyFill="1" applyBorder="1" applyAlignment="1">
      <alignment horizontal="center" wrapText="1"/>
    </xf>
    <xf numFmtId="43" fontId="30" fillId="61" borderId="25" xfId="1" applyFont="1" applyFill="1" applyBorder="1" applyAlignment="1">
      <alignment horizontal="center" wrapText="1"/>
    </xf>
    <xf numFmtId="14" fontId="30" fillId="61" borderId="25" xfId="0" applyNumberFormat="1" applyFont="1" applyFill="1" applyBorder="1" applyAlignment="1">
      <alignment horizontal="center" wrapText="1"/>
    </xf>
    <xf numFmtId="0" fontId="30" fillId="61" borderId="25" xfId="0" applyFont="1" applyFill="1" applyBorder="1" applyAlignment="1">
      <alignment horizontal="right" wrapText="1"/>
    </xf>
    <xf numFmtId="0" fontId="9" fillId="61" borderId="0" xfId="0" applyFont="1" applyFill="1"/>
    <xf numFmtId="0" fontId="24" fillId="61" borderId="0" xfId="0" applyFont="1" applyFill="1" applyAlignment="1">
      <alignment horizontal="center"/>
    </xf>
    <xf numFmtId="0" fontId="24" fillId="61" borderId="25" xfId="0" applyFont="1" applyFill="1" applyBorder="1" applyAlignment="1">
      <alignment horizontal="center"/>
    </xf>
    <xf numFmtId="14" fontId="24" fillId="61" borderId="25" xfId="0" applyNumberFormat="1" applyFont="1" applyFill="1" applyBorder="1" applyAlignment="1">
      <alignment horizontal="center"/>
    </xf>
    <xf numFmtId="7" fontId="6" fillId="0" borderId="0" xfId="0" applyNumberFormat="1" applyFont="1"/>
    <xf numFmtId="7" fontId="9" fillId="0" borderId="0" xfId="1" applyNumberFormat="1" applyFont="1"/>
    <xf numFmtId="7" fontId="9" fillId="0" borderId="0" xfId="66" applyNumberFormat="1" applyFont="1"/>
    <xf numFmtId="10" fontId="23" fillId="0" borderId="25" xfId="1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43" fontId="23" fillId="0" borderId="0" xfId="1" applyFont="1" applyBorder="1"/>
    <xf numFmtId="0" fontId="23" fillId="0" borderId="0" xfId="0" applyFont="1" applyAlignment="1">
      <alignment wrapText="1"/>
    </xf>
    <xf numFmtId="37" fontId="5" fillId="0" borderId="0" xfId="0" applyNumberFormat="1" applyFont="1" applyBorder="1" applyAlignment="1">
      <alignment horizontal="right"/>
    </xf>
    <xf numFmtId="10" fontId="13" fillId="0" borderId="25" xfId="3" applyNumberFormat="1" applyFont="1" applyBorder="1" applyAlignment="1">
      <alignment horizontal="right"/>
    </xf>
    <xf numFmtId="39" fontId="13" fillId="0" borderId="0" xfId="0" applyNumberFormat="1" applyFont="1" applyBorder="1"/>
    <xf numFmtId="166" fontId="23" fillId="0" borderId="0" xfId="0" applyNumberFormat="1" applyFont="1"/>
    <xf numFmtId="0" fontId="4" fillId="0" borderId="0" xfId="0" applyFont="1"/>
    <xf numFmtId="10" fontId="4" fillId="0" borderId="0" xfId="3" applyNumberFormat="1" applyFont="1"/>
    <xf numFmtId="10" fontId="4" fillId="0" borderId="0" xfId="0" applyNumberFormat="1" applyFont="1"/>
    <xf numFmtId="166" fontId="0" fillId="0" borderId="0" xfId="0" applyNumberFormat="1" applyFont="1" applyBorder="1"/>
    <xf numFmtId="166" fontId="0" fillId="0" borderId="0" xfId="62" applyNumberFormat="1" applyFont="1" applyBorder="1"/>
    <xf numFmtId="166" fontId="21" fillId="0" borderId="33" xfId="1" applyNumberFormat="1" applyFont="1" applyBorder="1"/>
    <xf numFmtId="0" fontId="22" fillId="0" borderId="2" xfId="529" applyFont="1" applyBorder="1" applyAlignment="1">
      <alignment horizontal="center" wrapText="1"/>
    </xf>
    <xf numFmtId="194" fontId="0" fillId="0" borderId="0" xfId="0" applyNumberFormat="1" applyFont="1" applyBorder="1"/>
    <xf numFmtId="5" fontId="0" fillId="0" borderId="0" xfId="0" applyNumberFormat="1"/>
    <xf numFmtId="37" fontId="0" fillId="0" borderId="0" xfId="0" applyNumberFormat="1"/>
    <xf numFmtId="0" fontId="4" fillId="0" borderId="44" xfId="0" applyFont="1" applyFill="1" applyBorder="1"/>
    <xf numFmtId="5" fontId="3" fillId="0" borderId="44" xfId="0" applyNumberFormat="1" applyFont="1" applyFill="1" applyBorder="1"/>
    <xf numFmtId="0" fontId="3" fillId="0" borderId="0" xfId="0" applyFont="1" applyFill="1"/>
    <xf numFmtId="0" fontId="3" fillId="0" borderId="39" xfId="0" applyFont="1" applyFill="1" applyBorder="1" applyAlignment="1">
      <alignment horizontal="center"/>
    </xf>
    <xf numFmtId="0" fontId="86" fillId="0" borderId="39" xfId="0" applyFont="1" applyFill="1" applyBorder="1" applyAlignment="1">
      <alignment horizontal="center"/>
    </xf>
    <xf numFmtId="0" fontId="86" fillId="0" borderId="40" xfId="0" applyFont="1" applyFill="1" applyBorder="1" applyAlignment="1">
      <alignment horizontal="center"/>
    </xf>
    <xf numFmtId="0" fontId="86" fillId="0" borderId="43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61" borderId="0" xfId="0" applyFont="1" applyFill="1" applyBorder="1" applyAlignment="1">
      <alignment horizontal="center" wrapText="1"/>
    </xf>
    <xf numFmtId="0" fontId="6" fillId="61" borderId="0" xfId="0" applyFont="1" applyFill="1" applyBorder="1" applyAlignment="1">
      <alignment horizontal="center"/>
    </xf>
    <xf numFmtId="0" fontId="6" fillId="61" borderId="0" xfId="0" applyFont="1" applyFill="1" applyBorder="1"/>
    <xf numFmtId="7" fontId="6" fillId="0" borderId="0" xfId="0" applyNumberFormat="1" applyFont="1" applyBorder="1"/>
    <xf numFmtId="7" fontId="6" fillId="0" borderId="0" xfId="1" applyNumberFormat="1" applyFont="1" applyBorder="1"/>
    <xf numFmtId="43" fontId="6" fillId="0" borderId="0" xfId="1" applyFont="1" applyBorder="1"/>
    <xf numFmtId="43" fontId="6" fillId="0" borderId="0" xfId="1" applyFont="1" applyFill="1" applyBorder="1"/>
    <xf numFmtId="43" fontId="6" fillId="0" borderId="0" xfId="0" applyNumberFormat="1" applyFont="1" applyBorder="1"/>
    <xf numFmtId="5" fontId="15" fillId="0" borderId="0" xfId="0" applyNumberFormat="1" applyFont="1" applyAlignment="1">
      <alignment horizontal="center" vertical="top"/>
    </xf>
    <xf numFmtId="41" fontId="15" fillId="0" borderId="0" xfId="0" applyNumberFormat="1" applyFont="1" applyAlignment="1">
      <alignment horizontal="center" vertical="top"/>
    </xf>
    <xf numFmtId="41" fontId="15" fillId="0" borderId="0" xfId="2" applyNumberFormat="1" applyFont="1" applyFill="1" applyAlignment="1">
      <alignment horizontal="center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/>
    </xf>
    <xf numFmtId="5" fontId="15" fillId="0" borderId="0" xfId="0" applyNumberFormat="1" applyFont="1" applyFill="1" applyAlignment="1">
      <alignment horizontal="center" vertical="top"/>
    </xf>
    <xf numFmtId="0" fontId="24" fillId="0" borderId="0" xfId="529" applyFont="1"/>
    <xf numFmtId="0" fontId="2" fillId="0" borderId="0" xfId="0" applyFont="1"/>
    <xf numFmtId="0" fontId="2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22" fillId="0" borderId="0" xfId="0" applyFont="1" applyFill="1" applyBorder="1"/>
    <xf numFmtId="43" fontId="22" fillId="0" borderId="0" xfId="1" applyFont="1" applyFill="1" applyBorder="1" applyAlignment="1">
      <alignment horizontal="center"/>
    </xf>
    <xf numFmtId="43" fontId="22" fillId="0" borderId="29" xfId="1" applyFont="1" applyBorder="1" applyAlignment="1">
      <alignment horizontal="center"/>
    </xf>
    <xf numFmtId="0" fontId="22" fillId="0" borderId="29" xfId="0" applyFont="1" applyFill="1" applyBorder="1" applyAlignment="1">
      <alignment horizontal="center" wrapText="1"/>
    </xf>
    <xf numFmtId="0" fontId="22" fillId="0" borderId="28" xfId="0" applyFont="1" applyFill="1" applyBorder="1" applyAlignment="1">
      <alignment horizontal="center" wrapText="1"/>
    </xf>
    <xf numFmtId="195" fontId="22" fillId="0" borderId="28" xfId="0" applyNumberFormat="1" applyFont="1" applyFill="1" applyBorder="1" applyAlignment="1">
      <alignment horizontal="center" wrapText="1"/>
    </xf>
    <xf numFmtId="0" fontId="2" fillId="0" borderId="0" xfId="0" applyFont="1" applyFill="1"/>
    <xf numFmtId="43" fontId="2" fillId="0" borderId="0" xfId="0" applyNumberFormat="1" applyFont="1"/>
    <xf numFmtId="0" fontId="2" fillId="0" borderId="0" xfId="0" applyFont="1" applyAlignment="1">
      <alignment horizontal="left"/>
    </xf>
    <xf numFmtId="0" fontId="22" fillId="0" borderId="29" xfId="0" applyFont="1" applyFill="1" applyBorder="1" applyAlignment="1">
      <alignment horizontal="left" wrapText="1"/>
    </xf>
    <xf numFmtId="5" fontId="4" fillId="0" borderId="0" xfId="0" applyNumberFormat="1" applyFont="1"/>
    <xf numFmtId="181" fontId="4" fillId="0" borderId="0" xfId="3" applyNumberFormat="1" applyFont="1"/>
    <xf numFmtId="164" fontId="23" fillId="0" borderId="0" xfId="2" applyNumberFormat="1" applyFont="1"/>
    <xf numFmtId="196" fontId="0" fillId="0" borderId="0" xfId="0" applyNumberFormat="1"/>
    <xf numFmtId="0" fontId="9" fillId="0" borderId="0" xfId="0" applyFont="1" applyFill="1" applyAlignment="1">
      <alignment horizontal="left"/>
    </xf>
    <xf numFmtId="0" fontId="30" fillId="61" borderId="25" xfId="0" applyFont="1" applyFill="1" applyBorder="1" applyAlignment="1">
      <alignment horizontal="left" wrapText="1"/>
    </xf>
    <xf numFmtId="14" fontId="9" fillId="0" borderId="0" xfId="0" applyNumberFormat="1" applyFont="1" applyAlignment="1">
      <alignment vertical="top"/>
    </xf>
    <xf numFmtId="14" fontId="9" fillId="2" borderId="1" xfId="0" applyNumberFormat="1" applyFont="1" applyFill="1" applyBorder="1" applyAlignment="1">
      <alignment vertical="top"/>
    </xf>
    <xf numFmtId="0" fontId="99" fillId="0" borderId="0" xfId="0" applyFont="1" applyFill="1"/>
    <xf numFmtId="10" fontId="23" fillId="0" borderId="0" xfId="3" applyNumberFormat="1" applyFont="1" applyAlignment="1">
      <alignment vertical="top"/>
    </xf>
    <xf numFmtId="10" fontId="22" fillId="0" borderId="4" xfId="3" applyNumberFormat="1" applyFont="1" applyBorder="1" applyAlignment="1">
      <alignment vertical="top" wrapText="1"/>
    </xf>
    <xf numFmtId="0" fontId="4" fillId="0" borderId="0" xfId="0" applyFont="1" applyFill="1" applyAlignment="1">
      <alignment horizontal="right"/>
    </xf>
    <xf numFmtId="10" fontId="4" fillId="0" borderId="0" xfId="0" applyNumberFormat="1" applyFont="1" applyFill="1"/>
    <xf numFmtId="9" fontId="4" fillId="0" borderId="0" xfId="3" applyFont="1"/>
    <xf numFmtId="166" fontId="23" fillId="0" borderId="0" xfId="1" applyNumberFormat="1" applyFont="1"/>
    <xf numFmtId="0" fontId="30" fillId="0" borderId="0" xfId="0" applyFont="1" applyFill="1"/>
    <xf numFmtId="0" fontId="0" fillId="0" borderId="25" xfId="0" applyFill="1" applyBorder="1" applyAlignment="1">
      <alignment horizontal="center" wrapText="1"/>
    </xf>
    <xf numFmtId="43" fontId="0" fillId="0" borderId="0" xfId="1" applyFont="1" applyFill="1"/>
    <xf numFmtId="0" fontId="103" fillId="0" borderId="0" xfId="0" applyFont="1" applyFill="1"/>
    <xf numFmtId="0" fontId="0" fillId="0" borderId="25" xfId="0" applyFill="1" applyBorder="1"/>
    <xf numFmtId="43" fontId="0" fillId="0" borderId="0" xfId="0" applyNumberFormat="1" applyFill="1"/>
    <xf numFmtId="10" fontId="23" fillId="0" borderId="0" xfId="3" applyNumberFormat="1" applyFont="1"/>
    <xf numFmtId="5" fontId="12" fillId="0" borderId="0" xfId="3" applyNumberFormat="1" applyFont="1"/>
    <xf numFmtId="5" fontId="23" fillId="0" borderId="0" xfId="3" applyNumberFormat="1" applyFont="1"/>
    <xf numFmtId="9" fontId="12" fillId="0" borderId="0" xfId="3" applyFont="1"/>
    <xf numFmtId="197" fontId="23" fillId="0" borderId="0" xfId="1" applyNumberFormat="1" applyFont="1"/>
    <xf numFmtId="49" fontId="104" fillId="0" borderId="38" xfId="0" applyNumberFormat="1" applyFont="1" applyFill="1" applyBorder="1"/>
    <xf numFmtId="191" fontId="104" fillId="0" borderId="38" xfId="0" applyNumberFormat="1" applyFont="1" applyFill="1" applyBorder="1"/>
    <xf numFmtId="166" fontId="29" fillId="0" borderId="36" xfId="1" applyNumberFormat="1" applyFont="1" applyFill="1" applyBorder="1"/>
    <xf numFmtId="166" fontId="29" fillId="0" borderId="36" xfId="66" applyNumberFormat="1" applyFont="1" applyFill="1" applyBorder="1"/>
    <xf numFmtId="166" fontId="21" fillId="0" borderId="0" xfId="0" applyNumberFormat="1" applyFont="1"/>
    <xf numFmtId="41" fontId="29" fillId="0" borderId="0" xfId="0" applyNumberFormat="1" applyFont="1" applyFill="1" applyAlignment="1"/>
    <xf numFmtId="10" fontId="29" fillId="0" borderId="0" xfId="11" applyNumberFormat="1" applyFont="1" applyFill="1"/>
    <xf numFmtId="37" fontId="29" fillId="0" borderId="0" xfId="0" applyNumberFormat="1" applyFont="1" applyFill="1" applyAlignment="1" applyProtection="1">
      <alignment horizontal="right"/>
      <protection locked="0"/>
    </xf>
    <xf numFmtId="42" fontId="29" fillId="0" borderId="0" xfId="0" applyNumberFormat="1" applyFont="1" applyFill="1"/>
    <xf numFmtId="37" fontId="29" fillId="0" borderId="0" xfId="0" applyNumberFormat="1" applyFont="1" applyFill="1" applyBorder="1" applyAlignment="1" applyProtection="1">
      <protection locked="0"/>
    </xf>
    <xf numFmtId="10" fontId="29" fillId="0" borderId="0" xfId="3" applyNumberFormat="1" applyFont="1" applyFill="1" applyAlignment="1"/>
    <xf numFmtId="5" fontId="12" fillId="0" borderId="0" xfId="0" applyNumberFormat="1" applyFont="1" applyFill="1"/>
    <xf numFmtId="37" fontId="29" fillId="0" borderId="0" xfId="0" applyNumberFormat="1" applyFont="1" applyFill="1" applyBorder="1" applyAlignment="1"/>
    <xf numFmtId="9" fontId="23" fillId="0" borderId="0" xfId="3" applyFont="1" applyFill="1"/>
    <xf numFmtId="43" fontId="18" fillId="0" borderId="0" xfId="1" applyFont="1" applyFill="1"/>
    <xf numFmtId="10" fontId="16" fillId="0" borderId="0" xfId="3" applyNumberFormat="1" applyFont="1" applyFill="1" applyAlignment="1">
      <alignment vertical="top"/>
    </xf>
    <xf numFmtId="10" fontId="16" fillId="0" borderId="0" xfId="3" applyNumberFormat="1" applyFont="1" applyFill="1" applyAlignment="1">
      <alignment horizontal="left" vertical="top"/>
    </xf>
    <xf numFmtId="37" fontId="29" fillId="0" borderId="45" xfId="0" applyNumberFormat="1" applyFont="1" applyFill="1" applyBorder="1" applyAlignment="1"/>
    <xf numFmtId="7" fontId="23" fillId="0" borderId="0" xfId="1" applyNumberFormat="1" applyFont="1"/>
    <xf numFmtId="7" fontId="18" fillId="0" borderId="0" xfId="1" applyNumberFormat="1" applyFont="1"/>
    <xf numFmtId="7" fontId="23" fillId="0" borderId="0" xfId="1" applyNumberFormat="1" applyFont="1" applyFill="1"/>
    <xf numFmtId="43" fontId="100" fillId="0" borderId="38" xfId="1" applyFont="1" applyFill="1" applyBorder="1"/>
    <xf numFmtId="43" fontId="104" fillId="0" borderId="38" xfId="1" applyFont="1" applyFill="1" applyBorder="1"/>
    <xf numFmtId="166" fontId="9" fillId="0" borderId="0" xfId="1" applyNumberFormat="1" applyFont="1" applyFill="1"/>
    <xf numFmtId="198" fontId="100" fillId="0" borderId="38" xfId="0" applyNumberFormat="1" applyFont="1" applyFill="1" applyBorder="1"/>
    <xf numFmtId="43" fontId="100" fillId="0" borderId="38" xfId="1" applyNumberFormat="1" applyFont="1" applyFill="1" applyBorder="1"/>
    <xf numFmtId="43" fontId="104" fillId="0" borderId="38" xfId="1" applyNumberFormat="1" applyFont="1" applyFill="1" applyBorder="1"/>
    <xf numFmtId="43" fontId="9" fillId="0" borderId="0" xfId="1" applyNumberFormat="1" applyFont="1" applyFill="1"/>
    <xf numFmtId="198" fontId="9" fillId="0" borderId="0" xfId="1" applyNumberFormat="1" applyFont="1" applyAlignment="1">
      <alignment vertical="top"/>
    </xf>
    <xf numFmtId="198" fontId="9" fillId="0" borderId="0" xfId="0" applyNumberFormat="1" applyFont="1" applyAlignment="1">
      <alignment horizontal="right" vertical="top"/>
    </xf>
    <xf numFmtId="166" fontId="29" fillId="62" borderId="0" xfId="13" applyNumberFormat="1" applyFont="1" applyFill="1"/>
    <xf numFmtId="10" fontId="29" fillId="62" borderId="0" xfId="427" applyNumberFormat="1" applyFont="1" applyFill="1" applyAlignment="1">
      <alignment horizontal="center"/>
    </xf>
    <xf numFmtId="166" fontId="88" fillId="62" borderId="0" xfId="13" applyNumberFormat="1" applyFont="1" applyFill="1" applyAlignment="1" applyProtection="1">
      <alignment horizontal="right"/>
    </xf>
    <xf numFmtId="10" fontId="88" fillId="62" borderId="0" xfId="427" applyNumberFormat="1" applyFont="1" applyFill="1" applyAlignment="1">
      <alignment horizontal="center"/>
    </xf>
    <xf numFmtId="166" fontId="29" fillId="62" borderId="0" xfId="13" applyNumberFormat="1" applyFont="1" applyFill="1" applyAlignment="1" applyProtection="1">
      <alignment horizontal="right"/>
    </xf>
    <xf numFmtId="10" fontId="29" fillId="62" borderId="0" xfId="5" applyNumberFormat="1" applyFont="1" applyFill="1" applyAlignment="1">
      <alignment horizontal="center"/>
    </xf>
    <xf numFmtId="0" fontId="88" fillId="62" borderId="0" xfId="5" applyFont="1" applyFill="1" applyAlignment="1">
      <alignment horizontal="center"/>
    </xf>
    <xf numFmtId="0" fontId="29" fillId="62" borderId="0" xfId="5" applyFont="1" applyFill="1"/>
    <xf numFmtId="0" fontId="29" fillId="62" borderId="0" xfId="5" applyFont="1" applyFill="1" applyAlignment="1">
      <alignment horizontal="center"/>
    </xf>
    <xf numFmtId="10" fontId="29" fillId="62" borderId="0" xfId="427" applyNumberFormat="1" applyFont="1" applyFill="1" applyAlignment="1" applyProtection="1">
      <alignment horizontal="center"/>
    </xf>
    <xf numFmtId="1" fontId="29" fillId="62" borderId="0" xfId="536" applyNumberFormat="1" applyFont="1" applyFill="1" applyAlignment="1" applyProtection="1">
      <alignment horizontal="right"/>
    </xf>
    <xf numFmtId="184" fontId="29" fillId="62" borderId="0" xfId="14" applyNumberFormat="1" applyFont="1" applyFill="1" applyAlignment="1" applyProtection="1">
      <alignment horizontal="right"/>
    </xf>
    <xf numFmtId="10" fontId="29" fillId="62" borderId="0" xfId="368" applyNumberFormat="1" applyFont="1" applyFill="1" applyAlignment="1" applyProtection="1">
      <alignment horizontal="right"/>
    </xf>
    <xf numFmtId="184" fontId="29" fillId="62" borderId="0" xfId="368" applyNumberFormat="1" applyFont="1" applyFill="1" applyAlignment="1" applyProtection="1">
      <alignment horizontal="right"/>
    </xf>
    <xf numFmtId="1" fontId="88" fillId="62" borderId="0" xfId="536" applyNumberFormat="1" applyFont="1" applyFill="1" applyAlignment="1" applyProtection="1">
      <alignment horizontal="right"/>
    </xf>
    <xf numFmtId="184" fontId="29" fillId="62" borderId="0" xfId="536" applyNumberFormat="1" applyFont="1" applyFill="1" applyAlignment="1" applyProtection="1">
      <alignment horizontal="right"/>
    </xf>
    <xf numFmtId="0" fontId="88" fillId="62" borderId="0" xfId="368" quotePrefix="1" applyFont="1" applyFill="1" applyAlignment="1" applyProtection="1">
      <alignment horizontal="right"/>
    </xf>
    <xf numFmtId="37" fontId="29" fillId="62" borderId="0" xfId="14" applyNumberFormat="1" applyFont="1" applyFill="1" applyAlignment="1" applyProtection="1">
      <alignment horizontal="right"/>
    </xf>
    <xf numFmtId="37" fontId="29" fillId="62" borderId="0" xfId="368" applyNumberFormat="1" applyFont="1" applyFill="1" applyAlignment="1" applyProtection="1">
      <alignment horizontal="right"/>
    </xf>
    <xf numFmtId="181" fontId="29" fillId="62" borderId="0" xfId="368" applyNumberFormat="1" applyFont="1" applyFill="1" applyAlignment="1" applyProtection="1">
      <alignment horizontal="right"/>
    </xf>
    <xf numFmtId="37" fontId="29" fillId="62" borderId="0" xfId="536" applyNumberFormat="1" applyFont="1" applyFill="1" applyAlignment="1" applyProtection="1">
      <alignment horizontal="right"/>
    </xf>
    <xf numFmtId="3" fontId="88" fillId="62" borderId="0" xfId="536" applyNumberFormat="1" applyFont="1" applyFill="1" applyAlignment="1" applyProtection="1">
      <alignment horizontal="right"/>
    </xf>
    <xf numFmtId="37" fontId="88" fillId="62" borderId="0" xfId="536" applyNumberFormat="1" applyFont="1" applyFill="1" applyAlignment="1" applyProtection="1">
      <alignment horizontal="right"/>
    </xf>
    <xf numFmtId="37" fontId="88" fillId="62" borderId="0" xfId="368" applyNumberFormat="1" applyFont="1" applyFill="1" applyAlignment="1" applyProtection="1">
      <alignment horizontal="right"/>
    </xf>
    <xf numFmtId="3" fontId="29" fillId="62" borderId="0" xfId="536" applyNumberFormat="1" applyFont="1" applyFill="1" applyAlignment="1" applyProtection="1">
      <alignment horizontal="right"/>
    </xf>
    <xf numFmtId="10" fontId="88" fillId="62" borderId="0" xfId="537" applyNumberFormat="1" applyFont="1" applyFill="1" applyAlignment="1" applyProtection="1">
      <alignment horizontal="right"/>
    </xf>
    <xf numFmtId="37" fontId="29" fillId="62" borderId="0" xfId="536" applyNumberFormat="1" applyFont="1" applyFill="1" applyAlignment="1">
      <alignment horizontal="right"/>
    </xf>
    <xf numFmtId="37" fontId="29" fillId="62" borderId="0" xfId="368" applyNumberFormat="1" applyFont="1" applyFill="1" applyAlignment="1">
      <alignment horizontal="right"/>
    </xf>
    <xf numFmtId="0" fontId="29" fillId="62" borderId="0" xfId="536" applyFont="1" applyFill="1" applyAlignment="1">
      <alignment horizontal="right"/>
    </xf>
    <xf numFmtId="0" fontId="29" fillId="62" borderId="0" xfId="368" applyFont="1" applyFill="1" applyAlignment="1">
      <alignment horizontal="right"/>
    </xf>
    <xf numFmtId="0" fontId="22" fillId="62" borderId="0" xfId="5" applyFont="1" applyFill="1" applyProtection="1"/>
    <xf numFmtId="0" fontId="29" fillId="62" borderId="0" xfId="5" applyFont="1" applyFill="1" applyProtection="1"/>
    <xf numFmtId="0" fontId="29" fillId="62" borderId="0" xfId="5" applyFont="1" applyFill="1" applyAlignment="1" applyProtection="1">
      <alignment horizontal="left" indent="1"/>
    </xf>
    <xf numFmtId="0" fontId="29" fillId="62" borderId="0" xfId="5" applyFont="1" applyFill="1" applyAlignment="1" applyProtection="1">
      <alignment horizontal="right" indent="1"/>
    </xf>
    <xf numFmtId="0" fontId="29" fillId="62" borderId="0" xfId="5" quotePrefix="1" applyFont="1" applyFill="1" applyAlignment="1" applyProtection="1">
      <alignment horizontal="left" indent="1"/>
    </xf>
    <xf numFmtId="8" fontId="29" fillId="62" borderId="0" xfId="5" applyNumberFormat="1" applyFont="1" applyFill="1" applyAlignment="1" applyProtection="1">
      <alignment horizontal="left" indent="1"/>
    </xf>
    <xf numFmtId="0" fontId="22" fillId="62" borderId="0" xfId="536" applyFont="1" applyFill="1" applyProtection="1"/>
    <xf numFmtId="0" fontId="29" fillId="62" borderId="0" xfId="368" applyFont="1" applyFill="1" applyProtection="1"/>
    <xf numFmtId="0" fontId="29" fillId="62" borderId="0" xfId="368" applyNumberFormat="1" applyFont="1" applyFill="1" applyAlignment="1">
      <alignment horizontal="right"/>
    </xf>
    <xf numFmtId="0" fontId="87" fillId="62" borderId="0" xfId="368" applyFont="1" applyFill="1" applyProtection="1"/>
    <xf numFmtId="3" fontId="87" fillId="62" borderId="0" xfId="368" applyNumberFormat="1" applyFont="1" applyFill="1" applyAlignment="1">
      <alignment horizontal="right"/>
    </xf>
    <xf numFmtId="0" fontId="22" fillId="62" borderId="0" xfId="368" applyFont="1" applyFill="1" applyProtection="1"/>
    <xf numFmtId="3" fontId="29" fillId="62" borderId="0" xfId="368" applyNumberFormat="1" applyFont="1" applyFill="1" applyAlignment="1">
      <alignment horizontal="right"/>
    </xf>
    <xf numFmtId="0" fontId="29" fillId="62" borderId="0" xfId="368" applyFont="1" applyFill="1" applyAlignment="1" applyProtection="1">
      <alignment horizontal="left"/>
    </xf>
    <xf numFmtId="0" fontId="29" fillId="62" borderId="0" xfId="368" applyFont="1" applyFill="1"/>
    <xf numFmtId="0" fontId="29" fillId="62" borderId="0" xfId="368" quotePrefix="1" applyFont="1" applyFill="1" applyAlignment="1" applyProtection="1">
      <alignment horizontal="left"/>
    </xf>
    <xf numFmtId="8" fontId="29" fillId="62" borderId="0" xfId="368" applyNumberFormat="1" applyFont="1" applyFill="1" applyProtection="1"/>
    <xf numFmtId="41" fontId="29" fillId="62" borderId="0" xfId="13" applyNumberFormat="1" applyFont="1" applyFill="1" applyAlignment="1" applyProtection="1">
      <alignment horizontal="right"/>
    </xf>
    <xf numFmtId="0" fontId="23" fillId="62" borderId="0" xfId="0" applyNumberFormat="1" applyFont="1" applyFill="1"/>
    <xf numFmtId="0" fontId="23" fillId="62" borderId="0" xfId="0" applyFont="1" applyFill="1"/>
    <xf numFmtId="0" fontId="105" fillId="0" borderId="0" xfId="0" applyFont="1" applyFill="1" applyAlignment="1">
      <alignment horizontal="center"/>
    </xf>
    <xf numFmtId="0" fontId="29" fillId="62" borderId="0" xfId="0" applyNumberFormat="1" applyFont="1" applyFill="1" applyAlignment="1">
      <alignment vertical="top"/>
    </xf>
    <xf numFmtId="0" fontId="2" fillId="62" borderId="0" xfId="0" applyNumberFormat="1" applyFont="1" applyFill="1" applyAlignment="1">
      <alignment horizontal="left"/>
    </xf>
    <xf numFmtId="0" fontId="29" fillId="62" borderId="0" xfId="0" applyNumberFormat="1" applyFont="1" applyFill="1" applyAlignment="1">
      <alignment horizontal="left" vertical="top"/>
    </xf>
    <xf numFmtId="0" fontId="2" fillId="62" borderId="0" xfId="0" applyFont="1" applyFill="1" applyAlignment="1">
      <alignment horizontal="left"/>
    </xf>
    <xf numFmtId="0" fontId="100" fillId="62" borderId="38" xfId="0" applyNumberFormat="1" applyFont="1" applyFill="1" applyBorder="1" applyAlignment="1">
      <alignment horizontal="left"/>
    </xf>
    <xf numFmtId="49" fontId="100" fillId="62" borderId="38" xfId="0" applyNumberFormat="1" applyFont="1" applyFill="1" applyBorder="1" applyAlignment="1">
      <alignment horizontal="left"/>
    </xf>
    <xf numFmtId="0" fontId="104" fillId="62" borderId="38" xfId="0" applyNumberFormat="1" applyFont="1" applyFill="1" applyBorder="1" applyAlignment="1">
      <alignment horizontal="left"/>
    </xf>
    <xf numFmtId="0" fontId="9" fillId="62" borderId="0" xfId="0" applyFont="1" applyFill="1" applyAlignment="1">
      <alignment horizontal="left"/>
    </xf>
    <xf numFmtId="0" fontId="9" fillId="62" borderId="0" xfId="0" applyFont="1" applyFill="1" applyAlignment="1">
      <alignment vertical="top"/>
    </xf>
    <xf numFmtId="0" fontId="8" fillId="62" borderId="0" xfId="0" applyFont="1" applyFill="1"/>
    <xf numFmtId="0" fontId="15" fillId="62" borderId="0" xfId="0" applyFont="1" applyFill="1" applyAlignment="1">
      <alignment vertical="top"/>
    </xf>
    <xf numFmtId="0" fontId="8" fillId="62" borderId="0" xfId="0" applyFont="1" applyFill="1" applyAlignment="1">
      <alignment horizontal="center"/>
    </xf>
    <xf numFmtId="0" fontId="29" fillId="62" borderId="0" xfId="529" applyFont="1" applyFill="1" applyAlignment="1">
      <alignment vertical="top"/>
    </xf>
    <xf numFmtId="0" fontId="0" fillId="62" borderId="0" xfId="0" applyNumberFormat="1" applyFill="1" applyAlignment="1">
      <alignment horizontal="center"/>
    </xf>
    <xf numFmtId="0" fontId="0" fillId="62" borderId="0" xfId="0" applyFill="1" applyAlignment="1">
      <alignment horizontal="center"/>
    </xf>
    <xf numFmtId="14" fontId="29" fillId="62" borderId="0" xfId="0" applyNumberFormat="1" applyFont="1" applyFill="1" applyAlignment="1">
      <alignment horizontal="center" vertical="top"/>
    </xf>
    <xf numFmtId="0" fontId="29" fillId="62" borderId="0" xfId="0" applyNumberFormat="1" applyFont="1" applyFill="1" applyAlignment="1">
      <alignment horizontal="center" vertical="top"/>
    </xf>
    <xf numFmtId="14" fontId="23" fillId="62" borderId="0" xfId="0" applyNumberFormat="1" applyFont="1" applyFill="1"/>
    <xf numFmtId="14" fontId="23" fillId="62" borderId="0" xfId="0" applyNumberFormat="1" applyFont="1" applyFill="1" applyAlignment="1">
      <alignment horizontal="right"/>
    </xf>
    <xf numFmtId="0" fontId="105" fillId="0" borderId="0" xfId="0" applyFont="1"/>
    <xf numFmtId="0" fontId="105" fillId="0" borderId="0" xfId="0" applyFont="1" applyFill="1"/>
    <xf numFmtId="0" fontId="29" fillId="62" borderId="0" xfId="0" applyFont="1" applyFill="1" applyAlignment="1">
      <alignment vertical="top"/>
    </xf>
    <xf numFmtId="49" fontId="100" fillId="62" borderId="38" xfId="0" applyNumberFormat="1" applyFont="1" applyFill="1" applyBorder="1"/>
    <xf numFmtId="49" fontId="104" fillId="62" borderId="38" xfId="0" applyNumberFormat="1" applyFont="1" applyFill="1" applyBorder="1"/>
    <xf numFmtId="0" fontId="9" fillId="62" borderId="0" xfId="0" applyFont="1" applyFill="1"/>
    <xf numFmtId="0" fontId="100" fillId="62" borderId="38" xfId="0" applyFont="1" applyFill="1" applyBorder="1"/>
    <xf numFmtId="191" fontId="100" fillId="62" borderId="38" xfId="0" applyNumberFormat="1" applyFont="1" applyFill="1" applyBorder="1"/>
    <xf numFmtId="191" fontId="104" fillId="62" borderId="38" xfId="0" applyNumberFormat="1" applyFont="1" applyFill="1" applyBorder="1"/>
    <xf numFmtId="14" fontId="9" fillId="62" borderId="0" xfId="0" applyNumberFormat="1" applyFont="1" applyFill="1"/>
    <xf numFmtId="43" fontId="9" fillId="62" borderId="0" xfId="1" applyFont="1" applyFill="1"/>
    <xf numFmtId="0" fontId="1" fillId="0" borderId="0" xfId="0" applyFont="1" applyFill="1"/>
    <xf numFmtId="49" fontId="78" fillId="0" borderId="38" xfId="0" applyNumberFormat="1" applyFont="1" applyFill="1" applyBorder="1"/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9" fillId="0" borderId="0" xfId="540" applyFont="1" applyBorder="1" applyAlignment="1">
      <alignment horizontal="left" wrapText="1"/>
    </xf>
    <xf numFmtId="0" fontId="29" fillId="0" borderId="0" xfId="368" applyFont="1" applyFill="1" applyAlignment="1" applyProtection="1">
      <alignment horizontal="left" wrapText="1"/>
    </xf>
    <xf numFmtId="0" fontId="22" fillId="58" borderId="2" xfId="4" applyFont="1" applyFill="1" applyBorder="1" applyAlignment="1">
      <alignment horizontal="center" vertical="top" wrapText="1"/>
    </xf>
    <xf numFmtId="0" fontId="24" fillId="3" borderId="25" xfId="0" applyFont="1" applyFill="1" applyBorder="1" applyAlignment="1">
      <alignment horizontal="center" vertical="top"/>
    </xf>
    <xf numFmtId="0" fontId="24" fillId="3" borderId="2" xfId="0" applyFont="1" applyFill="1" applyBorder="1" applyAlignment="1">
      <alignment horizontal="center" vertical="top"/>
    </xf>
    <xf numFmtId="0" fontId="24" fillId="3" borderId="2" xfId="5" applyFont="1" applyFill="1" applyBorder="1" applyAlignment="1">
      <alignment horizontal="center" vertical="top"/>
    </xf>
    <xf numFmtId="0" fontId="22" fillId="3" borderId="2" xfId="4" applyFont="1" applyFill="1" applyBorder="1" applyAlignment="1">
      <alignment horizontal="center" vertical="top" wrapText="1"/>
    </xf>
    <xf numFmtId="0" fontId="24" fillId="3" borderId="0" xfId="0" applyFont="1" applyFill="1" applyAlignment="1">
      <alignment horizontal="center" vertical="top"/>
    </xf>
    <xf numFmtId="0" fontId="24" fillId="58" borderId="0" xfId="0" applyFont="1" applyFill="1" applyAlignment="1">
      <alignment horizontal="center" vertical="top"/>
    </xf>
    <xf numFmtId="0" fontId="24" fillId="58" borderId="2" xfId="5" applyFont="1" applyFill="1" applyBorder="1" applyAlignment="1">
      <alignment horizontal="center" vertical="top"/>
    </xf>
    <xf numFmtId="0" fontId="22" fillId="3" borderId="25" xfId="4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7" fontId="14" fillId="0" borderId="26" xfId="0" applyNumberFormat="1" applyFont="1" applyFill="1" applyBorder="1" applyAlignment="1">
      <alignment horizontal="center"/>
    </xf>
    <xf numFmtId="17" fontId="14" fillId="0" borderId="24" xfId="0" applyNumberFormat="1" applyFont="1" applyFill="1" applyBorder="1" applyAlignment="1">
      <alignment horizontal="center"/>
    </xf>
    <xf numFmtId="17" fontId="14" fillId="0" borderId="27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22" fillId="0" borderId="2" xfId="529" applyFont="1" applyBorder="1" applyAlignment="1">
      <alignment horizontal="center" wrapText="1"/>
    </xf>
    <xf numFmtId="0" fontId="24" fillId="3" borderId="2" xfId="533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 vertical="center"/>
    </xf>
    <xf numFmtId="3" fontId="29" fillId="0" borderId="35" xfId="0" applyNumberFormat="1" applyFont="1" applyFill="1" applyBorder="1" applyAlignment="1">
      <alignment horizontal="center"/>
    </xf>
  </cellXfs>
  <cellStyles count="583">
    <cellStyle name="_Column1" xfId="132"/>
    <cellStyle name="_Column2" xfId="133"/>
    <cellStyle name="_Column3" xfId="134"/>
    <cellStyle name="_Column4" xfId="135"/>
    <cellStyle name="_Column5" xfId="136"/>
    <cellStyle name="_Column6" xfId="137"/>
    <cellStyle name="_Column7" xfId="138"/>
    <cellStyle name="_Data" xfId="139"/>
    <cellStyle name="_Data_Cerberus" xfId="140"/>
    <cellStyle name="_Header" xfId="141"/>
    <cellStyle name="_Row1" xfId="142"/>
    <cellStyle name="_Row2" xfId="143"/>
    <cellStyle name="_Row3" xfId="144"/>
    <cellStyle name="_Row4" xfId="145"/>
    <cellStyle name="_Row5" xfId="146"/>
    <cellStyle name="_Row6" xfId="147"/>
    <cellStyle name="_Row7" xfId="148"/>
    <cellStyle name="_TableSuperHead" xfId="149"/>
    <cellStyle name="£ BP" xfId="151"/>
    <cellStyle name="¥ JY" xfId="152"/>
    <cellStyle name="=C:\WINNT35\SYSTEM32\COMMAND.COM" xfId="150"/>
    <cellStyle name="20% - Accent1 2" xfId="35"/>
    <cellStyle name="20% - Accent2 2" xfId="39"/>
    <cellStyle name="20% - Accent3 2" xfId="43"/>
    <cellStyle name="20% - Accent4 2" xfId="47"/>
    <cellStyle name="20% - Accent5 2" xfId="51"/>
    <cellStyle name="20% - Accent6 2" xfId="55"/>
    <cellStyle name="40% - Accent1 2" xfId="36"/>
    <cellStyle name="40% - Accent2 2" xfId="40"/>
    <cellStyle name="40% - Accent3 2" xfId="44"/>
    <cellStyle name="40% - Accent4 2" xfId="48"/>
    <cellStyle name="40% - Accent5 2" xfId="52"/>
    <cellStyle name="40% - Accent6 2" xfId="56"/>
    <cellStyle name="60% - Accent1 2" xfId="37"/>
    <cellStyle name="60% - Accent2 2" xfId="41"/>
    <cellStyle name="60% - Accent3 2" xfId="45"/>
    <cellStyle name="60% - Accent4 2" xfId="49"/>
    <cellStyle name="60% - Accent5 2" xfId="53"/>
    <cellStyle name="60% - Accent6 2" xfId="57"/>
    <cellStyle name="Accent1 2" xfId="34"/>
    <cellStyle name="Accent2 2" xfId="38"/>
    <cellStyle name="Accent3 2" xfId="42"/>
    <cellStyle name="Accent4 2" xfId="46"/>
    <cellStyle name="Accent5 2" xfId="50"/>
    <cellStyle name="Accent6 2" xfId="54"/>
    <cellStyle name="Bad 2" xfId="23"/>
    <cellStyle name="Blue" xfId="153"/>
    <cellStyle name="Bold/Border" xfId="154"/>
    <cellStyle name="Bold/Border 2" xfId="509"/>
    <cellStyle name="Bullet" xfId="155"/>
    <cellStyle name="c" xfId="156"/>
    <cellStyle name="c_Bal Sheets" xfId="157"/>
    <cellStyle name="c_Credit (2)" xfId="158"/>
    <cellStyle name="c_Earnings" xfId="159"/>
    <cellStyle name="c_Earnings (2)" xfId="160"/>
    <cellStyle name="c_finsumm" xfId="161"/>
    <cellStyle name="c_GoroWipTax-to2050_fromCo_Oct21_99" xfId="162"/>
    <cellStyle name="c_Hist Inputs (2)" xfId="163"/>
    <cellStyle name="c_IEL_finsumm" xfId="164"/>
    <cellStyle name="c_IEL_finsumm1" xfId="165"/>
    <cellStyle name="c_LBO Summary" xfId="166"/>
    <cellStyle name="c_Schedules" xfId="167"/>
    <cellStyle name="c_Trans Assump (2)" xfId="168"/>
    <cellStyle name="c_Unit Price Sen. (2)" xfId="169"/>
    <cellStyle name="Calculation 2" xfId="27"/>
    <cellStyle name="Check Cell 2" xfId="29"/>
    <cellStyle name="Comma" xfId="1" builtinId="3"/>
    <cellStyle name="Comma  - Style1" xfId="170"/>
    <cellStyle name="Comma  - Style2" xfId="171"/>
    <cellStyle name="Comma  - Style3" xfId="172"/>
    <cellStyle name="Comma  - Style4" xfId="173"/>
    <cellStyle name="Comma  - Style5" xfId="174"/>
    <cellStyle name="Comma  - Style6" xfId="175"/>
    <cellStyle name="Comma  - Style7" xfId="176"/>
    <cellStyle name="Comma  - Style8" xfId="177"/>
    <cellStyle name="Comma 10" xfId="545"/>
    <cellStyle name="Comma 11" xfId="548"/>
    <cellStyle name="Comma 12" xfId="549"/>
    <cellStyle name="Comma 13" xfId="551"/>
    <cellStyle name="Comma 14" xfId="553"/>
    <cellStyle name="Comma 15" xfId="555"/>
    <cellStyle name="Comma 16" xfId="557"/>
    <cellStyle name="Comma 17" xfId="559"/>
    <cellStyle name="Comma 18" xfId="561"/>
    <cellStyle name="Comma 19" xfId="563"/>
    <cellStyle name="Comma 2" xfId="13"/>
    <cellStyle name="Comma 2 2" xfId="66"/>
    <cellStyle name="Comma 2 3" xfId="73"/>
    <cellStyle name="Comma 20" xfId="565"/>
    <cellStyle name="Comma 21" xfId="567"/>
    <cellStyle name="Comma 22" xfId="569"/>
    <cellStyle name="Comma 23" xfId="571"/>
    <cellStyle name="Comma 24" xfId="573"/>
    <cellStyle name="Comma 25" xfId="575"/>
    <cellStyle name="Comma 26" xfId="577"/>
    <cellStyle name="Comma 27" xfId="580"/>
    <cellStyle name="Comma 3" xfId="12"/>
    <cellStyle name="Comma 4" xfId="61"/>
    <cellStyle name="Comma 5" xfId="77"/>
    <cellStyle name="Comma 6" xfId="64"/>
    <cellStyle name="Comma 7" xfId="532"/>
    <cellStyle name="Comma 8" xfId="530"/>
    <cellStyle name="Comma 9" xfId="543"/>
    <cellStyle name="Comǚ䈀ԀÀ0]" xfId="178"/>
    <cellStyle name="Currency" xfId="2" builtinId="4"/>
    <cellStyle name="Currency [2]" xfId="179"/>
    <cellStyle name="Currency [2] 2" xfId="506"/>
    <cellStyle name="Currency [2] 2 10" xfId="86"/>
    <cellStyle name="Currency [2] 2 11" xfId="511"/>
    <cellStyle name="Currency [2] 2 2" xfId="515"/>
    <cellStyle name="Currency [2] 2 3" xfId="517"/>
    <cellStyle name="Currency [2] 2 4" xfId="85"/>
    <cellStyle name="Currency [2] 2 5" xfId="508"/>
    <cellStyle name="Currency [2] 2 6" xfId="523"/>
    <cellStyle name="Currency [2] 2 7" xfId="510"/>
    <cellStyle name="Currency [2] 2 8" xfId="521"/>
    <cellStyle name="Currency [2] 2 9" xfId="512"/>
    <cellStyle name="Currency [2] 3" xfId="507"/>
    <cellStyle name="Currency [2] 3 10" xfId="526"/>
    <cellStyle name="Currency [2] 3 11" xfId="527"/>
    <cellStyle name="Currency [2] 3 12" xfId="528"/>
    <cellStyle name="Currency [2] 3 2" xfId="516"/>
    <cellStyle name="Currency [2] 3 3" xfId="518"/>
    <cellStyle name="Currency [2] 3 4" xfId="519"/>
    <cellStyle name="Currency [2] 3 5" xfId="520"/>
    <cellStyle name="Currency [2] 3 6" xfId="522"/>
    <cellStyle name="Currency [2] 3 7" xfId="524"/>
    <cellStyle name="Currency [2] 3 8" xfId="525"/>
    <cellStyle name="Currency [2] 3 9" xfId="513"/>
    <cellStyle name="Currency 10" xfId="180"/>
    <cellStyle name="Currency 11" xfId="181"/>
    <cellStyle name="Currency 12" xfId="182"/>
    <cellStyle name="Currency 13" xfId="183"/>
    <cellStyle name="Currency 14" xfId="184"/>
    <cellStyle name="Currency 15" xfId="185"/>
    <cellStyle name="Currency 16" xfId="186"/>
    <cellStyle name="Currency 17" xfId="187"/>
    <cellStyle name="Currency 18" xfId="188"/>
    <cellStyle name="Currency 19" xfId="189"/>
    <cellStyle name="Currency 2" xfId="14"/>
    <cellStyle name="Currency 20" xfId="190"/>
    <cellStyle name="Currency 21" xfId="191"/>
    <cellStyle name="Currency 22" xfId="192"/>
    <cellStyle name="Currency 23" xfId="193"/>
    <cellStyle name="Currency 24" xfId="194"/>
    <cellStyle name="Currency 25" xfId="195"/>
    <cellStyle name="Currency 26" xfId="196"/>
    <cellStyle name="Currency 27" xfId="197"/>
    <cellStyle name="Currency 28" xfId="198"/>
    <cellStyle name="Currency 29" xfId="199"/>
    <cellStyle name="Currency 3" xfId="62"/>
    <cellStyle name="Currency 3 2" xfId="200"/>
    <cellStyle name="Currency 30" xfId="201"/>
    <cellStyle name="Currency 31" xfId="202"/>
    <cellStyle name="Currency 32" xfId="203"/>
    <cellStyle name="Currency 33" xfId="204"/>
    <cellStyle name="Currency 34" xfId="205"/>
    <cellStyle name="Currency 35" xfId="206"/>
    <cellStyle name="Currency 36" xfId="207"/>
    <cellStyle name="Currency 37" xfId="208"/>
    <cellStyle name="Currency 38" xfId="209"/>
    <cellStyle name="Currency 39" xfId="210"/>
    <cellStyle name="Currency 4" xfId="74"/>
    <cellStyle name="Currency 4 2" xfId="211"/>
    <cellStyle name="Currency 40" xfId="212"/>
    <cellStyle name="Currency 41" xfId="213"/>
    <cellStyle name="Currency 42" xfId="214"/>
    <cellStyle name="Currency 43" xfId="215"/>
    <cellStyle name="Currency 44" xfId="216"/>
    <cellStyle name="Currency 45" xfId="217"/>
    <cellStyle name="Currency 46" xfId="218"/>
    <cellStyle name="Currency 47" xfId="219"/>
    <cellStyle name="Currency 48" xfId="220"/>
    <cellStyle name="Currency 49" xfId="221"/>
    <cellStyle name="Currency 5" xfId="69"/>
    <cellStyle name="Currency 50" xfId="222"/>
    <cellStyle name="Currency 51" xfId="17"/>
    <cellStyle name="Currency 52" xfId="531"/>
    <cellStyle name="Currency 53" xfId="534"/>
    <cellStyle name="Currency 54" xfId="582"/>
    <cellStyle name="Currency 6" xfId="223"/>
    <cellStyle name="Currency 7" xfId="224"/>
    <cellStyle name="Currency 8" xfId="225"/>
    <cellStyle name="Currency 9" xfId="226"/>
    <cellStyle name="Cǚ䈀؀_xdac0__x0001_&gt;쀆 [0]" xfId="227"/>
    <cellStyle name="Dash" xfId="228"/>
    <cellStyle name="Euro" xfId="229"/>
    <cellStyle name="Explanatory Text 2" xfId="32"/>
    <cellStyle name="Good 2" xfId="22"/>
    <cellStyle name="Heading 1 2" xfId="18"/>
    <cellStyle name="Heading 2 2" xfId="19"/>
    <cellStyle name="Heading 3 2" xfId="20"/>
    <cellStyle name="Heading 4 2" xfId="21"/>
    <cellStyle name="Hyperlink" xfId="7" builtinId="8"/>
    <cellStyle name="Input 2" xfId="25"/>
    <cellStyle name="InputBlueFont" xfId="230"/>
    <cellStyle name="Linked Cell 2" xfId="28"/>
    <cellStyle name="Millares [0]_laroux" xfId="231"/>
    <cellStyle name="Millares_laroux" xfId="232"/>
    <cellStyle name="Moneda [0]_laroux" xfId="233"/>
    <cellStyle name="Moneda_laroux" xfId="234"/>
    <cellStyle name="Neutral 2" xfId="24"/>
    <cellStyle name="Normal" xfId="0" builtinId="0"/>
    <cellStyle name="Normal - Style1" xfId="235"/>
    <cellStyle name="Normal 10" xfId="236"/>
    <cellStyle name="Normal 100" xfId="544"/>
    <cellStyle name="Normal 11" xfId="237"/>
    <cellStyle name="Normal 11 2" xfId="238"/>
    <cellStyle name="Normal 11 3" xfId="239"/>
    <cellStyle name="Normal 11 4" xfId="240"/>
    <cellStyle name="Normal 11 5" xfId="241"/>
    <cellStyle name="Normal 11 6" xfId="242"/>
    <cellStyle name="Normal 11 7" xfId="243"/>
    <cellStyle name="Normal 12" xfId="244"/>
    <cellStyle name="Normal 12 2" xfId="245"/>
    <cellStyle name="Normal 12 3" xfId="246"/>
    <cellStyle name="Normal 12 4" xfId="247"/>
    <cellStyle name="Normal 12 5" xfId="248"/>
    <cellStyle name="Normal 12 6" xfId="249"/>
    <cellStyle name="Normal 12 7" xfId="250"/>
    <cellStyle name="Normal 13" xfId="251"/>
    <cellStyle name="Normal 13 2" xfId="252"/>
    <cellStyle name="Normal 13 3" xfId="253"/>
    <cellStyle name="Normal 13 4" xfId="254"/>
    <cellStyle name="Normal 13 5" xfId="255"/>
    <cellStyle name="Normal 13 6" xfId="256"/>
    <cellStyle name="Normal 13 7" xfId="257"/>
    <cellStyle name="Normal 14" xfId="258"/>
    <cellStyle name="Normal 14 2" xfId="259"/>
    <cellStyle name="Normal 14 3" xfId="260"/>
    <cellStyle name="Normal 14 4" xfId="261"/>
    <cellStyle name="Normal 14 5" xfId="262"/>
    <cellStyle name="Normal 14 6" xfId="263"/>
    <cellStyle name="Normal 14 7" xfId="264"/>
    <cellStyle name="Normal 15" xfId="265"/>
    <cellStyle name="Normal 15 2" xfId="266"/>
    <cellStyle name="Normal 15 3" xfId="267"/>
    <cellStyle name="Normal 15 4" xfId="268"/>
    <cellStyle name="Normal 15 5" xfId="269"/>
    <cellStyle name="Normal 15 6" xfId="270"/>
    <cellStyle name="Normal 15 7" xfId="271"/>
    <cellStyle name="Normal 16" xfId="272"/>
    <cellStyle name="Normal 16 2" xfId="273"/>
    <cellStyle name="Normal 16 3" xfId="274"/>
    <cellStyle name="Normal 16 4" xfId="275"/>
    <cellStyle name="Normal 16 5" xfId="276"/>
    <cellStyle name="Normal 16 6" xfId="277"/>
    <cellStyle name="Normal 16 7" xfId="278"/>
    <cellStyle name="Normal 17" xfId="279"/>
    <cellStyle name="Normal 17 2" xfId="280"/>
    <cellStyle name="Normal 17 3" xfId="281"/>
    <cellStyle name="Normal 17 4" xfId="282"/>
    <cellStyle name="Normal 17 5" xfId="283"/>
    <cellStyle name="Normal 17 6" xfId="284"/>
    <cellStyle name="Normal 17 7" xfId="285"/>
    <cellStyle name="Normal 18" xfId="286"/>
    <cellStyle name="Normal 18 2" xfId="287"/>
    <cellStyle name="Normal 18 3" xfId="288"/>
    <cellStyle name="Normal 18 4" xfId="289"/>
    <cellStyle name="Normal 18 5" xfId="290"/>
    <cellStyle name="Normal 18 6" xfId="291"/>
    <cellStyle name="Normal 18 7" xfId="292"/>
    <cellStyle name="Normal 19" xfId="293"/>
    <cellStyle name="Normal 19 2" xfId="294"/>
    <cellStyle name="Normal 19 3" xfId="295"/>
    <cellStyle name="Normal 19 4" xfId="296"/>
    <cellStyle name="Normal 19 5" xfId="297"/>
    <cellStyle name="Normal 19 6" xfId="298"/>
    <cellStyle name="Normal 19 7" xfId="299"/>
    <cellStyle name="Normal 2" xfId="5"/>
    <cellStyle name="Normal 2 2" xfId="58"/>
    <cellStyle name="Normal 2 2 2" xfId="59"/>
    <cellStyle name="Normal 2 2 3" xfId="536"/>
    <cellStyle name="Normal 2 3" xfId="65"/>
    <cellStyle name="Normal 2 3 2" xfId="300"/>
    <cellStyle name="Normal 2 4" xfId="72"/>
    <cellStyle name="Normal 2 5" xfId="301"/>
    <cellStyle name="Normal 2 6" xfId="302"/>
    <cellStyle name="Normal 2 7" xfId="303"/>
    <cellStyle name="Normal 20" xfId="304"/>
    <cellStyle name="Normal 20 2" xfId="305"/>
    <cellStyle name="Normal 20 3" xfId="306"/>
    <cellStyle name="Normal 20 4" xfId="307"/>
    <cellStyle name="Normal 20 5" xfId="308"/>
    <cellStyle name="Normal 20 6" xfId="309"/>
    <cellStyle name="Normal 20 7" xfId="310"/>
    <cellStyle name="Normal 21" xfId="311"/>
    <cellStyle name="Normal 21 2" xfId="312"/>
    <cellStyle name="Normal 21 3" xfId="313"/>
    <cellStyle name="Normal 21 4" xfId="314"/>
    <cellStyle name="Normal 21 5" xfId="315"/>
    <cellStyle name="Normal 21 6" xfId="316"/>
    <cellStyle name="Normal 21 7" xfId="317"/>
    <cellStyle name="Normal 22" xfId="318"/>
    <cellStyle name="Normal 22 2" xfId="319"/>
    <cellStyle name="Normal 22 3" xfId="320"/>
    <cellStyle name="Normal 22 4" xfId="321"/>
    <cellStyle name="Normal 22 5" xfId="322"/>
    <cellStyle name="Normal 22 6" xfId="323"/>
    <cellStyle name="Normal 22 7" xfId="324"/>
    <cellStyle name="Normal 23" xfId="325"/>
    <cellStyle name="Normal 23 2" xfId="326"/>
    <cellStyle name="Normal 23 3" xfId="327"/>
    <cellStyle name="Normal 23 4" xfId="328"/>
    <cellStyle name="Normal 23 5" xfId="329"/>
    <cellStyle name="Normal 23 6" xfId="330"/>
    <cellStyle name="Normal 23 7" xfId="331"/>
    <cellStyle name="Normal 24" xfId="332"/>
    <cellStyle name="Normal 24 2" xfId="333"/>
    <cellStyle name="Normal 24 3" xfId="334"/>
    <cellStyle name="Normal 24 4" xfId="335"/>
    <cellStyle name="Normal 24 5" xfId="336"/>
    <cellStyle name="Normal 24 6" xfId="337"/>
    <cellStyle name="Normal 24 7" xfId="338"/>
    <cellStyle name="Normal 25" xfId="339"/>
    <cellStyle name="Normal 25 2" xfId="340"/>
    <cellStyle name="Normal 25 3" xfId="341"/>
    <cellStyle name="Normal 25 4" xfId="342"/>
    <cellStyle name="Normal 25 5" xfId="343"/>
    <cellStyle name="Normal 25 6" xfId="344"/>
    <cellStyle name="Normal 25 7" xfId="345"/>
    <cellStyle name="Normal 26" xfId="346"/>
    <cellStyle name="Normal 26 2" xfId="347"/>
    <cellStyle name="Normal 26 3" xfId="348"/>
    <cellStyle name="Normal 26 4" xfId="349"/>
    <cellStyle name="Normal 26 5" xfId="350"/>
    <cellStyle name="Normal 26 6" xfId="351"/>
    <cellStyle name="Normal 26 7" xfId="352"/>
    <cellStyle name="Normal 27" xfId="353"/>
    <cellStyle name="Normal 27 2" xfId="354"/>
    <cellStyle name="Normal 27 3" xfId="355"/>
    <cellStyle name="Normal 27 4" xfId="356"/>
    <cellStyle name="Normal 27 5" xfId="357"/>
    <cellStyle name="Normal 27 6" xfId="358"/>
    <cellStyle name="Normal 27 7" xfId="359"/>
    <cellStyle name="Normal 28" xfId="360"/>
    <cellStyle name="Normal 28 2" xfId="361"/>
    <cellStyle name="Normal 28 3" xfId="362"/>
    <cellStyle name="Normal 28 4" xfId="363"/>
    <cellStyle name="Normal 28 5" xfId="364"/>
    <cellStyle name="Normal 28 6" xfId="365"/>
    <cellStyle name="Normal 28 7" xfId="366"/>
    <cellStyle name="Normal 29" xfId="367"/>
    <cellStyle name="Normal 3" xfId="6"/>
    <cellStyle name="Normal 3 2" xfId="368"/>
    <cellStyle name="Normal 3 3" xfId="369"/>
    <cellStyle name="Normal 3 4" xfId="370"/>
    <cellStyle name="Normal 3 5" xfId="371"/>
    <cellStyle name="Normal 3 6" xfId="372"/>
    <cellStyle name="Normal 3 7" xfId="373"/>
    <cellStyle name="Normal 3 8" xfId="131"/>
    <cellStyle name="Normal 3 9" xfId="60"/>
    <cellStyle name="Normal 30" xfId="374"/>
    <cellStyle name="Normal 31" xfId="375"/>
    <cellStyle name="Normal 32" xfId="376"/>
    <cellStyle name="Normal 33" xfId="377"/>
    <cellStyle name="Normal 34" xfId="378"/>
    <cellStyle name="Normal 35" xfId="379"/>
    <cellStyle name="Normal 36" xfId="380"/>
    <cellStyle name="Normal 37" xfId="381"/>
    <cellStyle name="Normal 38" xfId="382"/>
    <cellStyle name="Normal 39" xfId="383"/>
    <cellStyle name="Normal 4" xfId="8"/>
    <cellStyle name="Normal 4 2" xfId="76"/>
    <cellStyle name="Normal 4 3" xfId="384"/>
    <cellStyle name="Normal 4 4" xfId="385"/>
    <cellStyle name="Normal 4 5" xfId="386"/>
    <cellStyle name="Normal 4 6" xfId="387"/>
    <cellStyle name="Normal 4 7" xfId="388"/>
    <cellStyle name="Normal 40" xfId="389"/>
    <cellStyle name="Normal 41" xfId="10"/>
    <cellStyle name="Normal 42" xfId="529"/>
    <cellStyle name="Normal 43" xfId="533"/>
    <cellStyle name="Normal 44" xfId="542"/>
    <cellStyle name="Normal 45" xfId="546"/>
    <cellStyle name="Normal 46" xfId="547"/>
    <cellStyle name="Normal 47" xfId="550"/>
    <cellStyle name="Normal 48" xfId="552"/>
    <cellStyle name="Normal 49" xfId="554"/>
    <cellStyle name="Normal 5" xfId="70"/>
    <cellStyle name="Normal 5 2" xfId="391"/>
    <cellStyle name="Normal 5 3" xfId="392"/>
    <cellStyle name="Normal 5 4" xfId="393"/>
    <cellStyle name="Normal 5 5" xfId="394"/>
    <cellStyle name="Normal 5 6" xfId="395"/>
    <cellStyle name="Normal 5 7" xfId="396"/>
    <cellStyle name="Normal 5 8" xfId="390"/>
    <cellStyle name="Normal 50" xfId="556"/>
    <cellStyle name="Normal 51" xfId="558"/>
    <cellStyle name="Normal 52" xfId="560"/>
    <cellStyle name="Normal 53" xfId="562"/>
    <cellStyle name="Normal 54" xfId="564"/>
    <cellStyle name="Normal 55" xfId="566"/>
    <cellStyle name="Normal 56" xfId="568"/>
    <cellStyle name="Normal 57" xfId="570"/>
    <cellStyle name="Normal 58" xfId="572"/>
    <cellStyle name="Normal 59" xfId="574"/>
    <cellStyle name="Normal 6" xfId="68"/>
    <cellStyle name="Normal 6 2" xfId="397"/>
    <cellStyle name="Normal 6 3" xfId="398"/>
    <cellStyle name="Normal 6 4" xfId="399"/>
    <cellStyle name="Normal 6 5" xfId="400"/>
    <cellStyle name="Normal 6 6" xfId="401"/>
    <cellStyle name="Normal 6 7" xfId="402"/>
    <cellStyle name="Normal 60" xfId="576"/>
    <cellStyle name="Normal 61" xfId="578"/>
    <cellStyle name="Normal 62" xfId="579"/>
    <cellStyle name="Normal 7" xfId="67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03"/>
    <cellStyle name="Normal 8" xfId="410"/>
    <cellStyle name="Normal 8 2" xfId="411"/>
    <cellStyle name="Normal 8 3" xfId="412"/>
    <cellStyle name="Normal 8 4" xfId="413"/>
    <cellStyle name="Normal 8 5" xfId="414"/>
    <cellStyle name="Normal 8 6" xfId="415"/>
    <cellStyle name="Normal 8 7" xfId="416"/>
    <cellStyle name="Normal 9" xfId="417"/>
    <cellStyle name="Normal 9 2" xfId="418"/>
    <cellStyle name="Normal 9 3" xfId="419"/>
    <cellStyle name="Normal 9 4" xfId="420"/>
    <cellStyle name="Normal 9 5" xfId="421"/>
    <cellStyle name="Normal 9 6" xfId="422"/>
    <cellStyle name="Normal 9 7" xfId="423"/>
    <cellStyle name="Normal_2009 RW Allocations - with transfer - (final) 03.09.2009" xfId="540"/>
    <cellStyle name="Normal_2011 Pension Allocation" xfId="539"/>
    <cellStyle name="Normal_DSIC Adjustment for 2006" xfId="4"/>
    <cellStyle name="Normal_Employee Exp" xfId="535"/>
    <cellStyle name="Normal_Exhibits" xfId="541"/>
    <cellStyle name="Normal_Participant_Plan_001_FAS87_active 2" xfId="538"/>
    <cellStyle name="Note 2" xfId="75"/>
    <cellStyle name="Note 3" xfId="31"/>
    <cellStyle name="Numbers" xfId="424"/>
    <cellStyle name="Œ…‹æØ‚è [0.00]_PRODUCT DETAIL Q1" xfId="425"/>
    <cellStyle name="Œ…‹æØ‚è_PRODUCT DETAIL Q1" xfId="426"/>
    <cellStyle name="Output 2" xfId="26"/>
    <cellStyle name="Percent" xfId="3" builtinId="5"/>
    <cellStyle name="Percent 10" xfId="427"/>
    <cellStyle name="Percent 11" xfId="428"/>
    <cellStyle name="Percent 12" xfId="429"/>
    <cellStyle name="Percent 13" xfId="430"/>
    <cellStyle name="Percent 14" xfId="431"/>
    <cellStyle name="Percent 15" xfId="432"/>
    <cellStyle name="Percent 16" xfId="433"/>
    <cellStyle name="Percent 17" xfId="434"/>
    <cellStyle name="Percent 18" xfId="435"/>
    <cellStyle name="Percent 19" xfId="436"/>
    <cellStyle name="Percent 2" xfId="16"/>
    <cellStyle name="Percent 2 2" xfId="537"/>
    <cellStyle name="Percent 20" xfId="437"/>
    <cellStyle name="Percent 21" xfId="438"/>
    <cellStyle name="Percent 22" xfId="439"/>
    <cellStyle name="Percent 23" xfId="440"/>
    <cellStyle name="Percent 24" xfId="441"/>
    <cellStyle name="Percent 25" xfId="11"/>
    <cellStyle name="Percent 26" xfId="581"/>
    <cellStyle name="Percent 3" xfId="15"/>
    <cellStyle name="Percent 4" xfId="63"/>
    <cellStyle name="Percent 4 2" xfId="442"/>
    <cellStyle name="Percent 5" xfId="71"/>
    <cellStyle name="Percent 5 2" xfId="443"/>
    <cellStyle name="Percent 6" xfId="444"/>
    <cellStyle name="Percent 7" xfId="445"/>
    <cellStyle name="Percent 8" xfId="446"/>
    <cellStyle name="Percent 9" xfId="447"/>
    <cellStyle name="Price" xfId="448"/>
    <cellStyle name="producto" xfId="449"/>
    <cellStyle name="PSChar" xfId="450"/>
    <cellStyle name="PSDec" xfId="451"/>
    <cellStyle name="PSSpacer" xfId="452"/>
    <cellStyle name="s" xfId="453"/>
    <cellStyle name="s_B" xfId="454"/>
    <cellStyle name="s_Bal Sheets" xfId="455"/>
    <cellStyle name="s_Bal Sheets_1" xfId="456"/>
    <cellStyle name="s_Bal Sheets_2" xfId="457"/>
    <cellStyle name="s_Credit (2)" xfId="458"/>
    <cellStyle name="s_Credit (2)_1" xfId="459"/>
    <cellStyle name="s_Credit (2)_2" xfId="460"/>
    <cellStyle name="s_Earnings" xfId="461"/>
    <cellStyle name="s_Earnings (2)" xfId="462"/>
    <cellStyle name="s_Earnings (2)_1" xfId="463"/>
    <cellStyle name="s_Earnings_1" xfId="464"/>
    <cellStyle name="s_finsumm" xfId="465"/>
    <cellStyle name="s_finsumm_1" xfId="466"/>
    <cellStyle name="s_finsumm_2" xfId="467"/>
    <cellStyle name="s_GoroWipTax-to2050_fromCo_Oct21_99" xfId="468"/>
    <cellStyle name="s_Hist Inputs (2)" xfId="469"/>
    <cellStyle name="s_Hist Inputs (2)_1" xfId="470"/>
    <cellStyle name="s_IEL_finsumm" xfId="471"/>
    <cellStyle name="s_IEL_finsumm_1" xfId="472"/>
    <cellStyle name="s_IEL_finsumm_2" xfId="473"/>
    <cellStyle name="s_IEL_finsumm1" xfId="474"/>
    <cellStyle name="s_IEL_finsumm1_1" xfId="475"/>
    <cellStyle name="s_IEL_finsumm1_2" xfId="476"/>
    <cellStyle name="s_Lbo" xfId="477"/>
    <cellStyle name="s_LBO Summary" xfId="478"/>
    <cellStyle name="s_LBO Summary_1" xfId="479"/>
    <cellStyle name="s_LBO Summary_2" xfId="480"/>
    <cellStyle name="s_Lbo_1" xfId="481"/>
    <cellStyle name="s_rvr_analysis_andrew" xfId="482"/>
    <cellStyle name="s_Schedules" xfId="483"/>
    <cellStyle name="s_Schedules_1" xfId="484"/>
    <cellStyle name="s_Trans Assump" xfId="485"/>
    <cellStyle name="s_Trans Assump (2)" xfId="486"/>
    <cellStyle name="s_Trans Assump (2)_1" xfId="487"/>
    <cellStyle name="s_Trans Assump_1" xfId="488"/>
    <cellStyle name="s_Trans Sum" xfId="489"/>
    <cellStyle name="s_Trans Sum_1" xfId="490"/>
    <cellStyle name="s_Unit Price Sen. (2)" xfId="491"/>
    <cellStyle name="s_Unit Price Sen. (2)_1" xfId="492"/>
    <cellStyle name="s_Unit Price Sen. (2)_2" xfId="493"/>
    <cellStyle name="SAPBorder" xfId="95"/>
    <cellStyle name="SAPBorder 2" xfId="119"/>
    <cellStyle name="SAPDataCell" xfId="81"/>
    <cellStyle name="SAPDataCell 2" xfId="116"/>
    <cellStyle name="SAPDataCell 2 2" xfId="129"/>
    <cellStyle name="SAPDataCell 3" xfId="91"/>
    <cellStyle name="SAPDataTotalCell" xfId="84"/>
    <cellStyle name="SAPDataTotalCell 2" xfId="130"/>
    <cellStyle name="SAPDataTotalCell 3" xfId="118"/>
    <cellStyle name="SAPDataTotalCell 4" xfId="92"/>
    <cellStyle name="SAPDimensionCell" xfId="78"/>
    <cellStyle name="SAPDimensionCell 2" xfId="114"/>
    <cellStyle name="SAPDimensionCell 2 2" xfId="126"/>
    <cellStyle name="SAPDimensionCell 3" xfId="87"/>
    <cellStyle name="SAPEditableDataCell" xfId="96"/>
    <cellStyle name="SAPEditableDataTotalCell" xfId="97"/>
    <cellStyle name="SAPEmphasized" xfId="98"/>
    <cellStyle name="SAPExceptionLevel1" xfId="99"/>
    <cellStyle name="SAPExceptionLevel1 2" xfId="120"/>
    <cellStyle name="SAPExceptionLevel2" xfId="100"/>
    <cellStyle name="SAPExceptionLevel3" xfId="101"/>
    <cellStyle name="SAPExceptionLevel3 2" xfId="121"/>
    <cellStyle name="SAPExceptionLevel4" xfId="102"/>
    <cellStyle name="SAPExceptionLevel5" xfId="103"/>
    <cellStyle name="SAPExceptionLevel6" xfId="104"/>
    <cellStyle name="SAPExceptionLevel7" xfId="105"/>
    <cellStyle name="SAPExceptionLevel8" xfId="106"/>
    <cellStyle name="SAPExceptionLevel9" xfId="107"/>
    <cellStyle name="SAPHierarchyCell" xfId="108"/>
    <cellStyle name="SAPHierarchyCell0" xfId="82"/>
    <cellStyle name="SAPHierarchyCell1" xfId="80"/>
    <cellStyle name="SAPHierarchyCell2" xfId="94"/>
    <cellStyle name="SAPHierarchyCell3" xfId="93"/>
    <cellStyle name="SAPHierarchyCell4" xfId="90"/>
    <cellStyle name="SAPHierarchyOddCell" xfId="109"/>
    <cellStyle name="SAPLockedDataCell" xfId="110"/>
    <cellStyle name="SAPLockedDataCell 2" xfId="122"/>
    <cellStyle name="SAPLockedDataTotalCell" xfId="111"/>
    <cellStyle name="SAPLockedDataTotalCell 2" xfId="123"/>
    <cellStyle name="SAPMemberCell" xfId="79"/>
    <cellStyle name="SAPMemberCell 2" xfId="115"/>
    <cellStyle name="SAPMemberCell 2 2" xfId="127"/>
    <cellStyle name="SAPMemberCell 3" xfId="88"/>
    <cellStyle name="SAPMemberTotalCell" xfId="83"/>
    <cellStyle name="SAPMemberTotalCell 2" xfId="128"/>
    <cellStyle name="SAPMemberTotalCell 3" xfId="117"/>
    <cellStyle name="SAPMemberTotalCell 4" xfId="89"/>
    <cellStyle name="SAPReadonlyDataCell" xfId="112"/>
    <cellStyle name="SAPReadonlyDataCell 2" xfId="124"/>
    <cellStyle name="SAPReadonlyDataTotalCell" xfId="113"/>
    <cellStyle name="SAPReadonlyDataTotalCell 2" xfId="125"/>
    <cellStyle name="Standard_UB Power - Steuern" xfId="494"/>
    <cellStyle name="STYLE1" xfId="495"/>
    <cellStyle name="STYLE2" xfId="496"/>
    <cellStyle name="StyleName1" xfId="497"/>
    <cellStyle name="StyleName2" xfId="498"/>
    <cellStyle name="StyleName3" xfId="499"/>
    <cellStyle name="StyleName4" xfId="500"/>
    <cellStyle name="StyleName5" xfId="501"/>
    <cellStyle name="StyleName6" xfId="502"/>
    <cellStyle name="StyleName7" xfId="503"/>
    <cellStyle name="StyleName8" xfId="504"/>
    <cellStyle name="t" xfId="505"/>
    <cellStyle name="t 2" xfId="514"/>
    <cellStyle name="Title" xfId="9" builtinId="15" customBuiltin="1"/>
    <cellStyle name="Total 2" xfId="33"/>
    <cellStyle name="Warning Text 2" xfId="30"/>
  </cellStyles>
  <dxfs count="2">
    <dxf>
      <font>
        <i val="0"/>
        <condense val="0"/>
        <extend val="0"/>
        <color rgb="FFFF0000"/>
      </font>
    </dxf>
    <dxf>
      <font>
        <i val="0"/>
        <condense val="0"/>
        <extend val="0"/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111760</xdr:rowOff>
    </xdr:from>
    <xdr:to>
      <xdr:col>17</xdr:col>
      <xdr:colOff>303467</xdr:colOff>
      <xdr:row>42</xdr:row>
      <xdr:rowOff>72109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760"/>
          <a:ext cx="10666667" cy="7427949"/>
        </a:xfrm>
        <a:prstGeom prst="rect">
          <a:avLst/>
        </a:prstGeom>
      </xdr:spPr>
    </xdr:pic>
    <xdr:clientData/>
  </xdr:twoCellAnchor>
  <xdr:twoCellAnchor>
    <xdr:from>
      <xdr:col>11</xdr:col>
      <xdr:colOff>266700</xdr:colOff>
      <xdr:row>19</xdr:row>
      <xdr:rowOff>165100</xdr:rowOff>
    </xdr:from>
    <xdr:to>
      <xdr:col>13</xdr:col>
      <xdr:colOff>596900</xdr:colOff>
      <xdr:row>28</xdr:row>
      <xdr:rowOff>76200</xdr:rowOff>
    </xdr:to>
    <xdr:sp macro="" textlink="">
      <xdr:nvSpPr>
        <xdr:cNvPr id="4" name="Rectangle 3"/>
        <xdr:cNvSpPr/>
      </xdr:nvSpPr>
      <xdr:spPr>
        <a:xfrm>
          <a:off x="6972300" y="3543300"/>
          <a:ext cx="1549400" cy="1511300"/>
        </a:xfrm>
        <a:prstGeom prst="rect">
          <a:avLst/>
        </a:prstGeom>
        <a:solidFill>
          <a:srgbClr val="FFFF00">
            <a:alpha val="28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19</xdr:row>
      <xdr:rowOff>180974</xdr:rowOff>
    </xdr:from>
    <xdr:to>
      <xdr:col>9</xdr:col>
      <xdr:colOff>301333</xdr:colOff>
      <xdr:row>47</xdr:row>
      <xdr:rowOff>8737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6" y="4362449"/>
          <a:ext cx="9197682" cy="48950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KY\2015%20Water%20Rate%20Case\O&amp;M\Employee%20Data\WFP%20Model%202016%20Plan_KY_%2006%2025%20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2-3/Exhibits/2018%20KY%20Constants_Financi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ask List"/>
      <sheetName val="Input"/>
      <sheetName val="Consol Input"/>
      <sheetName val="Ad Hoc Assump Extract"/>
      <sheetName val="Assumptions"/>
      <sheetName val="BudgetYr1"/>
      <sheetName val="SummaryYr1"/>
      <sheetName val="BudgetYr2"/>
      <sheetName val="SummaryYr2"/>
      <sheetName val="BudgetYr3"/>
      <sheetName val="SummaryYr3"/>
      <sheetName val="BudgetYr4"/>
      <sheetName val="SummaryYr4"/>
      <sheetName val="BudgetYr5"/>
      <sheetName val="Hyp_Upload"/>
      <sheetName val="Hyp_Upload_Cap Cr CC"/>
      <sheetName val="SmartView Pre - Optional (2)"/>
      <sheetName val="SmartView Upload"/>
      <sheetName val="SV Upload Adjustments"/>
      <sheetName val="SmartView Post - Optional"/>
      <sheetName val="Sheet4"/>
      <sheetName val="Outer Yr Data"/>
      <sheetName val="Pensacola"/>
      <sheetName val="Alton"/>
      <sheetName val="CC - Upld Summary"/>
      <sheetName val="Sheet1"/>
    </sheetNames>
    <sheetDataSet>
      <sheetData sheetId="0"/>
      <sheetData sheetId="1"/>
      <sheetData sheetId="2"/>
      <sheetData sheetId="3"/>
      <sheetData sheetId="4">
        <row r="8">
          <cell r="D8" t="str">
            <v>GA0002</v>
          </cell>
        </row>
      </sheetData>
      <sheetData sheetId="5">
        <row r="1">
          <cell r="N1">
            <v>1</v>
          </cell>
          <cell r="O1" t="str">
            <v>Jan</v>
          </cell>
          <cell r="P1" t="str">
            <v>January</v>
          </cell>
        </row>
        <row r="2">
          <cell r="N2">
            <v>2</v>
          </cell>
          <cell r="O2" t="str">
            <v>Feb</v>
          </cell>
          <cell r="P2" t="str">
            <v>February</v>
          </cell>
        </row>
        <row r="3">
          <cell r="N3">
            <v>3</v>
          </cell>
          <cell r="O3" t="str">
            <v>Mar</v>
          </cell>
          <cell r="P3" t="str">
            <v>March</v>
          </cell>
        </row>
        <row r="4">
          <cell r="N4">
            <v>4</v>
          </cell>
          <cell r="O4" t="str">
            <v>Apr</v>
          </cell>
          <cell r="P4" t="str">
            <v>April</v>
          </cell>
        </row>
        <row r="5">
          <cell r="N5">
            <v>5</v>
          </cell>
          <cell r="O5" t="str">
            <v>May</v>
          </cell>
          <cell r="P5" t="str">
            <v>May</v>
          </cell>
        </row>
        <row r="6">
          <cell r="N6">
            <v>6</v>
          </cell>
          <cell r="O6" t="str">
            <v>Jun</v>
          </cell>
          <cell r="P6" t="str">
            <v>June</v>
          </cell>
        </row>
        <row r="7">
          <cell r="N7">
            <v>7</v>
          </cell>
          <cell r="O7" t="str">
            <v>Jul</v>
          </cell>
          <cell r="P7" t="str">
            <v>July</v>
          </cell>
        </row>
        <row r="8">
          <cell r="N8">
            <v>8</v>
          </cell>
          <cell r="O8" t="str">
            <v>Aug</v>
          </cell>
          <cell r="P8" t="str">
            <v>August</v>
          </cell>
        </row>
        <row r="9">
          <cell r="N9">
            <v>9</v>
          </cell>
          <cell r="O9" t="str">
            <v>Sep</v>
          </cell>
          <cell r="P9" t="str">
            <v>September</v>
          </cell>
        </row>
        <row r="10">
          <cell r="N10">
            <v>10</v>
          </cell>
          <cell r="O10" t="str">
            <v>Oct</v>
          </cell>
          <cell r="P10" t="str">
            <v>October</v>
          </cell>
        </row>
        <row r="11">
          <cell r="N11">
            <v>11</v>
          </cell>
          <cell r="O11" t="str">
            <v>Nov</v>
          </cell>
          <cell r="P11" t="str">
            <v>November</v>
          </cell>
        </row>
        <row r="12">
          <cell r="N12">
            <v>12</v>
          </cell>
          <cell r="O12" t="str">
            <v>Dec</v>
          </cell>
          <cell r="P12" t="str">
            <v>December</v>
          </cell>
        </row>
      </sheetData>
      <sheetData sheetId="6">
        <row r="11">
          <cell r="L11" t="str">
            <v>120000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  <sheetName val="Link Out Carlisle"/>
      <sheetName val="Link Out BY"/>
      <sheetName val="2018 KY Constants_Financial Dat"/>
    </sheetNames>
    <sheetDataSet>
      <sheetData sheetId="0">
        <row r="9">
          <cell r="A9" t="str">
            <v>Company Title:</v>
          </cell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3">
          <cell r="C23"/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1">
          <cell r="C31" t="str">
            <v>Witness Responsible:   Ann Bulkley</v>
          </cell>
        </row>
        <row r="32">
          <cell r="C32" t="str">
            <v>Witness Responsible:   Brent O'Neill</v>
          </cell>
        </row>
        <row r="33">
          <cell r="C33" t="str">
            <v>Witness Responsible:   Chuck Rea</v>
          </cell>
        </row>
        <row r="34">
          <cell r="C34" t="str">
            <v>Witness Responsible:   Ed Spitznagel</v>
          </cell>
        </row>
        <row r="35">
          <cell r="C35" t="str">
            <v>Witness Responsible:   John Wilde</v>
          </cell>
        </row>
        <row r="36">
          <cell r="C36" t="str">
            <v>Witness Responsible:   Kevin Rogers</v>
          </cell>
        </row>
        <row r="37">
          <cell r="C37" t="str">
            <v>Witness Responsible:   James Pellock</v>
          </cell>
        </row>
        <row r="38">
          <cell r="C38" t="str">
            <v>Witness Responsible:   Robert Mustich</v>
          </cell>
        </row>
        <row r="39">
          <cell r="C39" t="str">
            <v>Witness Responsible:   Melissa Schwarzell</v>
          </cell>
        </row>
        <row r="40">
          <cell r="C40" t="str">
            <v>Witness Responsible:   Pat Baryenbruch</v>
          </cell>
        </row>
        <row r="41">
          <cell r="C41" t="str">
            <v>Witness Responsible:   Nick Rowe</v>
          </cell>
        </row>
        <row r="42">
          <cell r="C42" t="str">
            <v>Witness Responsible:   Scott Rungren</v>
          </cell>
        </row>
        <row r="48">
          <cell r="C48">
            <v>133284</v>
          </cell>
        </row>
        <row r="49">
          <cell r="C49">
            <v>695</v>
          </cell>
        </row>
        <row r="50">
          <cell r="C50">
            <v>133979</v>
          </cell>
        </row>
        <row r="51">
          <cell r="C51">
            <v>-550</v>
          </cell>
        </row>
        <row r="52">
          <cell r="C52">
            <v>133429</v>
          </cell>
        </row>
        <row r="54">
          <cell r="C54">
            <v>0.99891327972179966</v>
          </cell>
        </row>
        <row r="55">
          <cell r="C55">
            <v>1.0867202782003371E-3</v>
          </cell>
        </row>
      </sheetData>
      <sheetData sheetId="1">
        <row r="21">
          <cell r="F21" t="str">
            <v>W/P - 1-10</v>
          </cell>
        </row>
        <row r="42">
          <cell r="D42" t="str">
            <v>Labor</v>
          </cell>
          <cell r="F42" t="str">
            <v>W/P - 3-1</v>
          </cell>
        </row>
        <row r="43">
          <cell r="F43" t="str">
            <v>W/P - 3-1a</v>
          </cell>
        </row>
        <row r="44">
          <cell r="F44" t="str">
            <v>W/P - 3-1b</v>
          </cell>
        </row>
        <row r="45">
          <cell r="F45" t="str">
            <v>W/P - 3-1c</v>
          </cell>
        </row>
        <row r="75">
          <cell r="F75" t="str">
            <v>W/P - 5-3</v>
          </cell>
        </row>
      </sheetData>
      <sheetData sheetId="2">
        <row r="1">
          <cell r="A1" t="str">
            <v>Kentucky American Water Company</v>
          </cell>
        </row>
        <row r="2">
          <cell r="A2" t="str">
            <v>Case No. 2018-00358</v>
          </cell>
        </row>
        <row r="5">
          <cell r="A5" t="str">
            <v>Type of Filing: __X__ Original  _____ Updated  _____ Revised</v>
          </cell>
        </row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  <cell r="R6" t="str">
            <v>Sum of Base Year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  <cell r="R7">
            <v>-49744539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518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456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-416113</v>
          </cell>
        </row>
        <row r="11">
          <cell r="A11" t="str">
            <v>P02 Total</v>
          </cell>
          <cell r="B11"/>
          <cell r="C11"/>
          <cell r="D11"/>
          <cell r="E11"/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  <cell r="R11">
            <v>-50159678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  <cell r="R12">
            <v>-22628762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-427146</v>
          </cell>
        </row>
        <row r="14">
          <cell r="A14" t="str">
            <v>P03 Total</v>
          </cell>
          <cell r="B14"/>
          <cell r="C14"/>
          <cell r="D14"/>
          <cell r="E14"/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  <cell r="R14">
            <v>-23055908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  <cell r="R15">
            <v>-2813213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-28117</v>
          </cell>
        </row>
        <row r="17">
          <cell r="A17" t="str">
            <v>P04 Total</v>
          </cell>
          <cell r="B17"/>
          <cell r="C17"/>
          <cell r="D17"/>
          <cell r="E17"/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  <cell r="R17">
            <v>-2841330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  <cell r="R18">
            <v>-3807205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6</v>
          </cell>
        </row>
        <row r="20">
          <cell r="A20" t="str">
            <v>P05 Total</v>
          </cell>
          <cell r="B20"/>
          <cell r="C20"/>
          <cell r="D20"/>
          <cell r="E20"/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  <cell r="R20">
            <v>-3807199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  <cell r="R21">
            <v>-2801452</v>
          </cell>
        </row>
        <row r="22">
          <cell r="A22"/>
          <cell r="B22"/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-11165</v>
          </cell>
        </row>
        <row r="24">
          <cell r="A24" t="str">
            <v>P06 Total</v>
          </cell>
          <cell r="B24"/>
          <cell r="C24"/>
          <cell r="D24"/>
          <cell r="E24"/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  <cell r="R24">
            <v>-2812617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  <cell r="R25">
            <v>-5785621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-271611</v>
          </cell>
        </row>
        <row r="27">
          <cell r="A27" t="str">
            <v>P07 Total</v>
          </cell>
          <cell r="B27"/>
          <cell r="C27"/>
          <cell r="D27"/>
          <cell r="E27"/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  <cell r="R27">
            <v>-6057232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  <cell r="R28">
            <v>-1882705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-15096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-39606</v>
          </cell>
        </row>
        <row r="31">
          <cell r="A31" t="str">
            <v>P08 Total</v>
          </cell>
          <cell r="B31"/>
          <cell r="C31"/>
          <cell r="D31"/>
          <cell r="E31"/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  <cell r="R31">
            <v>-1937407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  <cell r="R32">
            <v>-80697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-150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1430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-15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  <cell r="R36">
            <v>1363581</v>
          </cell>
        </row>
        <row r="37">
          <cell r="A37" t="str">
            <v>P09 Total</v>
          </cell>
          <cell r="B37"/>
          <cell r="C37"/>
          <cell r="D37"/>
          <cell r="E37"/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  <cell r="R37">
            <v>1284149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  <cell r="R38">
            <v>-837881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  <cell r="R39">
            <v>-95656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  <cell r="R40">
            <v>-154932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  <cell r="R42">
            <v>-30420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  <cell r="R43">
            <v>-776520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  <cell r="R44">
            <v>-51797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  <cell r="R45">
            <v>-573394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-165</v>
          </cell>
        </row>
        <row r="48">
          <cell r="A48" t="str">
            <v>P11 Total</v>
          </cell>
          <cell r="B48"/>
          <cell r="C48"/>
          <cell r="D48"/>
          <cell r="E48"/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  <cell r="R48">
            <v>-2520765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  <cell r="R49">
            <v>299237</v>
          </cell>
        </row>
        <row r="50">
          <cell r="A50"/>
          <cell r="B50"/>
          <cell r="C50">
            <v>51015000</v>
          </cell>
          <cell r="D50" t="str">
            <v>Purchased Water I/C</v>
          </cell>
          <cell r="E50" t="str">
            <v>610.1</v>
          </cell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>
            <v>0</v>
          </cell>
        </row>
        <row r="51">
          <cell r="A51" t="str">
            <v>P13 Total</v>
          </cell>
          <cell r="B51"/>
          <cell r="C51"/>
          <cell r="D51"/>
          <cell r="E51"/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  <cell r="R51">
            <v>299237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  <cell r="R52">
            <v>2141917.9799161823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91968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246430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1641892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8200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  <cell r="R57">
            <v>6000</v>
          </cell>
        </row>
        <row r="58">
          <cell r="A58" t="str">
            <v>P14 Total</v>
          </cell>
          <cell r="B58"/>
          <cell r="C58"/>
          <cell r="D58"/>
          <cell r="E58"/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  <cell r="R58">
            <v>4136407.9799161823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  <cell r="R59">
            <v>1902436.9872043957</v>
          </cell>
        </row>
        <row r="60">
          <cell r="A60" t="str">
            <v>P15 Total</v>
          </cell>
          <cell r="B60"/>
          <cell r="C60"/>
          <cell r="D60"/>
          <cell r="E60"/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  <cell r="R60">
            <v>1902436.9872043957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  <cell r="R61">
            <v>476720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  <cell r="R62">
            <v>33336</v>
          </cell>
        </row>
        <row r="63">
          <cell r="A63" t="str">
            <v>P16 Total</v>
          </cell>
          <cell r="B63"/>
          <cell r="C63"/>
          <cell r="D63"/>
          <cell r="E63"/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  <cell r="R63">
            <v>510056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  <cell r="R64">
            <v>5971937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-61217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964606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54871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97942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26402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34635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367652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13171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134277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102255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362686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>
            <v>161</v>
          </cell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96528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277315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>
            <v>0</v>
          </cell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23681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59903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17852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9575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  <cell r="R88">
            <v>-2447639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  <cell r="R89">
            <v>639111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145972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15804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>
            <v>0</v>
          </cell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5351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48078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1089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17862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6274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122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>
            <v>0</v>
          </cell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24399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93016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>
            <v>0</v>
          </cell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8862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>
            <v>0</v>
          </cell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16804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3539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1634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  <cell r="R109">
            <v>-359649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>
            <v>0</v>
          </cell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>
            <v>0</v>
          </cell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  <cell r="R114">
            <v>393701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453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  <cell r="R116">
            <v>15109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A118" t="str">
            <v>P17 Total</v>
          </cell>
          <cell r="B118"/>
          <cell r="C118"/>
          <cell r="D118"/>
          <cell r="E118"/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  <cell r="R118">
            <v>7184124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  <cell r="R119">
            <v>627714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  <cell r="R120">
            <v>-188553</v>
          </cell>
        </row>
        <row r="121">
          <cell r="A121" t="str">
            <v>P18 Total</v>
          </cell>
          <cell r="B121"/>
          <cell r="C121"/>
          <cell r="D121"/>
          <cell r="E121"/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  <cell r="R121">
            <v>439161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  <cell r="R122">
            <v>169677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  <cell r="R123">
            <v>-55076</v>
          </cell>
        </row>
        <row r="124">
          <cell r="A124" t="str">
            <v>P19 Total</v>
          </cell>
          <cell r="B124"/>
          <cell r="C124"/>
          <cell r="D124"/>
          <cell r="E124"/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  <cell r="R124">
            <v>114601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  <cell r="R125">
            <v>1978520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  <cell r="R126">
            <v>-563503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  <cell r="R127">
            <v>500</v>
          </cell>
        </row>
        <row r="128">
          <cell r="A128" t="str">
            <v>P20 Total</v>
          </cell>
          <cell r="B128"/>
          <cell r="C128"/>
          <cell r="D128"/>
          <cell r="E128"/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  <cell r="R128">
            <v>1415517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  <cell r="R129">
            <v>267244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  <cell r="R130">
            <v>-74367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  <cell r="R131">
            <v>307187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  <cell r="R132">
            <v>-80324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  <cell r="R133">
            <v>14837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  <cell r="R134">
            <v>24707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  <cell r="R135">
            <v>-4729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  <cell r="R136">
            <v>18405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1556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2022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13196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  <cell r="R141">
            <v>13063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  <cell r="R142">
            <v>8057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39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  <cell r="R144">
            <v>26053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  <cell r="R145">
            <v>39890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  <cell r="R146">
            <v>1301</v>
          </cell>
        </row>
        <row r="147">
          <cell r="A147" t="str">
            <v>P21 Total</v>
          </cell>
          <cell r="B147"/>
          <cell r="C147"/>
          <cell r="D147"/>
          <cell r="E147"/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  <cell r="R147">
            <v>578137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  <cell r="R148">
            <v>4778427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  <cell r="R149">
            <v>299355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  <cell r="R150">
            <v>579947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  <cell r="R151">
            <v>392082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  <cell r="R152">
            <v>698172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  <cell r="R153">
            <v>431481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  <cell r="R154">
            <v>65561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  <cell r="R155">
            <v>360212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  <cell r="R156">
            <v>102677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  <cell r="R157">
            <v>229269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274430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  <cell r="R159">
            <v>818645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  <cell r="R160">
            <v>328764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  <cell r="R161">
            <v>45533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  <cell r="R162">
            <v>-24705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5044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A178" t="str">
            <v>P22 Total</v>
          </cell>
          <cell r="B178"/>
          <cell r="C178"/>
          <cell r="D178"/>
          <cell r="E178"/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  <cell r="R178">
            <v>9384894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11564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3304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  <cell r="R183">
            <v>175587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10163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35239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79016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-913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72219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  <cell r="R189">
            <v>1668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7139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  <cell r="R192">
            <v>20972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  <cell r="R194">
            <v>149874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  <cell r="R195">
            <v>348693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</row>
        <row r="197">
          <cell r="A197" t="str">
            <v>P23 Total</v>
          </cell>
          <cell r="B197"/>
          <cell r="C197"/>
          <cell r="D197"/>
          <cell r="E197"/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  <cell r="R197">
            <v>914525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  <cell r="R198">
            <v>73193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3707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40646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36966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  <cell r="R203">
            <v>86401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4926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21727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21867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92413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  <cell r="R208">
            <v>13095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6898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2371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  <cell r="R212">
            <v>45117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1551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7637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32844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  <cell r="R216">
            <v>14487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14490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305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  <cell r="R220">
            <v>60566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  <cell r="R221">
            <v>12192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4184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3378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6345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  <cell r="R225">
            <v>43507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27668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5785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8903</v>
          </cell>
        </row>
        <row r="230">
          <cell r="A230" t="str">
            <v>P24 Total</v>
          </cell>
          <cell r="B230"/>
          <cell r="C230"/>
          <cell r="D230"/>
          <cell r="E230"/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  <cell r="R230">
            <v>693169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  <cell r="R231">
            <v>60307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13754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31001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7542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  <cell r="R236">
            <v>62084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2987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1605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  <cell r="R240">
            <v>19248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52154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120</v>
          </cell>
        </row>
        <row r="245">
          <cell r="A245" t="str">
            <v>P25 Total</v>
          </cell>
          <cell r="B245"/>
          <cell r="C245"/>
          <cell r="D245"/>
          <cell r="E245"/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  <cell r="R245">
            <v>250802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  <cell r="R246">
            <v>10832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10363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406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2218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  <cell r="R251">
            <v>1248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776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  <cell r="R253">
            <v>3353</v>
          </cell>
        </row>
        <row r="254">
          <cell r="A254" t="str">
            <v>P26 Total</v>
          </cell>
          <cell r="B254"/>
          <cell r="C254"/>
          <cell r="D254"/>
          <cell r="E254"/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  <cell r="R254">
            <v>29196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92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248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  <cell r="R258">
            <v>52682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  <cell r="R260">
            <v>1079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  <cell r="R261">
            <v>18640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33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9449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3818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10128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  <cell r="R267">
            <v>150263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  <cell r="R268">
            <v>18138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9332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10053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1304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</row>
        <row r="276">
          <cell r="A276" t="str">
            <v>P27 Total</v>
          </cell>
          <cell r="B276"/>
          <cell r="C276"/>
          <cell r="D276"/>
          <cell r="E276"/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  <cell r="R276">
            <v>285259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  <cell r="R277">
            <v>7988</v>
          </cell>
        </row>
        <row r="278">
          <cell r="A278" t="str">
            <v>P28 Total</v>
          </cell>
          <cell r="B278"/>
          <cell r="C278"/>
          <cell r="D278"/>
          <cell r="E278"/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  <cell r="R278">
            <v>7988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  <cell r="R279">
            <v>72245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  <cell r="R281">
            <v>8813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  <cell r="R282">
            <v>35622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10034</v>
          </cell>
        </row>
        <row r="285">
          <cell r="A285" t="str">
            <v>P29 Total</v>
          </cell>
          <cell r="B285"/>
          <cell r="C285"/>
          <cell r="D285"/>
          <cell r="E285"/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  <cell r="R285">
            <v>126714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  <cell r="R286">
            <v>78639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  <cell r="R287">
            <v>-70867.805123857834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129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-1088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31120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30078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504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21962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  <cell r="R294">
            <v>55070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1951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13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8243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64614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-81175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  <cell r="R301">
            <v>49472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  <cell r="R302">
            <v>36988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  <cell r="R303">
            <v>41694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  <cell r="R304">
            <v>11721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  <cell r="R305">
            <v>14387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  <cell r="R306">
            <v>57981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  <cell r="R307">
            <v>11153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  <cell r="R308">
            <v>1542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  <cell r="R309">
            <v>5672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  <cell r="R310">
            <v>9309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  <cell r="R311">
            <v>3469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250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  <cell r="R313">
            <v>94071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  <cell r="R314">
            <v>43350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  <cell r="R316">
            <v>574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500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  <cell r="R319">
            <v>-473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  <cell r="R320">
            <v>104150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  <cell r="R321">
            <v>67500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518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  <cell r="R323">
            <v>23632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21029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  <cell r="R325">
            <v>-81092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184</v>
          </cell>
        </row>
        <row r="327">
          <cell r="A327" t="str">
            <v>P30 Total</v>
          </cell>
          <cell r="B327"/>
          <cell r="C327"/>
          <cell r="D327"/>
          <cell r="E327"/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  <cell r="R327">
            <v>656773.1948761422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  <cell r="R328">
            <v>5057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7148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1500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  <cell r="R332">
            <v>1629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565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5740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483</v>
          </cell>
        </row>
        <row r="337">
          <cell r="A337" t="str">
            <v>P31 Total</v>
          </cell>
          <cell r="B337"/>
          <cell r="C337"/>
          <cell r="D337"/>
          <cell r="E337"/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  <cell r="R337">
            <v>22122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  <cell r="R338">
            <v>-2943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459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7814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517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80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  <cell r="R347">
            <v>-132201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  <cell r="R348">
            <v>42481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  <cell r="R349">
            <v>251570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  <cell r="R350">
            <v>184672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  <cell r="R352">
            <v>21145</v>
          </cell>
        </row>
        <row r="353">
          <cell r="A353" t="str">
            <v>P32 Total</v>
          </cell>
          <cell r="B353"/>
          <cell r="C353"/>
          <cell r="D353"/>
          <cell r="E353"/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  <cell r="R353">
            <v>373594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  <cell r="R355">
            <v>809767.83800327987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  <cell r="R356">
            <v>49371</v>
          </cell>
        </row>
        <row r="357">
          <cell r="A357" t="str">
            <v>P33 Total</v>
          </cell>
          <cell r="B357"/>
          <cell r="C357"/>
          <cell r="D357"/>
          <cell r="E357"/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  <cell r="R357">
            <v>859138.83800327987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  <cell r="R358">
            <v>1424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  <cell r="R359">
            <v>140647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  <cell r="R360">
            <v>10004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  <cell r="R361">
            <v>303523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  <cell r="R362">
            <v>135893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  <cell r="R363">
            <v>570456</v>
          </cell>
        </row>
        <row r="364">
          <cell r="A364" t="str">
            <v>P34 Total</v>
          </cell>
          <cell r="B364"/>
          <cell r="C364"/>
          <cell r="D364"/>
          <cell r="E364"/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  <cell r="R364">
            <v>1161947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  <cell r="R365">
            <v>289720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>
            <v>0</v>
          </cell>
        </row>
        <row r="369">
          <cell r="A369" t="str">
            <v>P35 Total</v>
          </cell>
          <cell r="B369"/>
          <cell r="C369"/>
          <cell r="D369"/>
          <cell r="E369"/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  <cell r="R369">
            <v>289720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  <cell r="R370">
            <v>29358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  <cell r="R372">
            <v>427078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  <cell r="R374">
            <v>105428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  <cell r="R375">
            <v>-45629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  <cell r="R377">
            <v>112354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57480</v>
          </cell>
        </row>
        <row r="380">
          <cell r="A380" t="str">
            <v>P36 Total</v>
          </cell>
          <cell r="B380"/>
          <cell r="C380"/>
          <cell r="D380"/>
          <cell r="E380"/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  <cell r="R380">
            <v>686069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  <cell r="R381">
            <v>11559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  <cell r="R382">
            <v>120941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  <cell r="R383">
            <v>172000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  <cell r="R385">
            <v>4425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  <cell r="R386">
            <v>77124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  <cell r="R387">
            <v>93955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  <cell r="R390">
            <v>358100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  <cell r="R392">
            <v>389394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122004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327830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  <cell r="R395">
            <v>15417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  <cell r="R397">
            <v>142571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22726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36773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39355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29871</v>
          </cell>
        </row>
        <row r="404">
          <cell r="A404" t="str">
            <v>P37 Total</v>
          </cell>
          <cell r="B404"/>
          <cell r="C404"/>
          <cell r="D404"/>
          <cell r="E404"/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  <cell r="R404">
            <v>1964045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</row>
        <row r="406">
          <cell r="A406" t="str">
            <v>P38 Total</v>
          </cell>
          <cell r="B406"/>
          <cell r="C406"/>
          <cell r="D406"/>
          <cell r="E406"/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12889419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2905781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1456579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-194586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712822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-55333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-404971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843844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690089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-972459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2085258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-1954571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-710057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-17291815</v>
          </cell>
        </row>
        <row r="421">
          <cell r="A421" t="str">
            <v>P39 Total</v>
          </cell>
          <cell r="B421"/>
          <cell r="C421"/>
          <cell r="D421"/>
          <cell r="E421"/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  <cell r="R422">
            <v>15662466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  <cell r="R424">
            <v>-272911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  <cell r="R425">
            <v>-1395137</v>
          </cell>
        </row>
        <row r="426">
          <cell r="A426" t="str">
            <v>P40 Total</v>
          </cell>
          <cell r="B426"/>
          <cell r="C426"/>
          <cell r="D426"/>
          <cell r="E426"/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  <cell r="R426">
            <v>13994418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  <cell r="R427">
            <v>203936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  <cell r="R428">
            <v>8556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  <cell r="R429">
            <v>57084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  <cell r="R430">
            <v>6900</v>
          </cell>
        </row>
        <row r="431">
          <cell r="A431" t="str">
            <v>P41 Total</v>
          </cell>
          <cell r="B431"/>
          <cell r="C431"/>
          <cell r="D431"/>
          <cell r="E431"/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  <cell r="R431">
            <v>276476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  <cell r="R432">
            <v>2841122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  <cell r="R433">
            <v>-154187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  <cell r="R434">
            <v>-406244</v>
          </cell>
        </row>
        <row r="435">
          <cell r="A435" t="str">
            <v>P42 Total</v>
          </cell>
          <cell r="B435"/>
          <cell r="C435"/>
          <cell r="D435"/>
          <cell r="E435"/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  <cell r="R435">
            <v>2280691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330768.24689799623</v>
          </cell>
          <cell r="M436">
            <v>548926.80856512208</v>
          </cell>
          <cell r="N436">
            <v>215261.50443389569</v>
          </cell>
          <cell r="O436">
            <v>170476.87575604825</v>
          </cell>
          <cell r="P436">
            <v>172830.92501241717</v>
          </cell>
          <cell r="Q436">
            <v>164205.58933678016</v>
          </cell>
          <cell r="R436">
            <v>4831489.9500022596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</row>
        <row r="438">
          <cell r="A438" t="str">
            <v>P43 Total</v>
          </cell>
          <cell r="B438"/>
          <cell r="C438"/>
          <cell r="D438"/>
          <cell r="E438"/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330768.24689799623</v>
          </cell>
          <cell r="M438">
            <v>548926.80856512208</v>
          </cell>
          <cell r="N438">
            <v>215261.50443389569</v>
          </cell>
          <cell r="O438">
            <v>170476.87575604825</v>
          </cell>
          <cell r="P438">
            <v>172830.92501241717</v>
          </cell>
          <cell r="Q438">
            <v>164205.58933678016</v>
          </cell>
          <cell r="R438">
            <v>4831489.9500022596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42437.469162761445</v>
          </cell>
          <cell r="M439">
            <v>70943.302158986378</v>
          </cell>
          <cell r="N439">
            <v>27344.704132326358</v>
          </cell>
          <cell r="O439">
            <v>21492.890955098959</v>
          </cell>
          <cell r="P439">
            <v>21800.484360804163</v>
          </cell>
          <cell r="Q439">
            <v>20673.449160227199</v>
          </cell>
          <cell r="R439">
            <v>1042164.2999302045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</row>
        <row r="441">
          <cell r="A441" t="str">
            <v>P44 Total</v>
          </cell>
          <cell r="B441"/>
          <cell r="C441"/>
          <cell r="D441"/>
          <cell r="E441"/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42437.469162761445</v>
          </cell>
          <cell r="M441">
            <v>70943.302158986378</v>
          </cell>
          <cell r="N441">
            <v>27344.704132326358</v>
          </cell>
          <cell r="O441">
            <v>21492.890955098959</v>
          </cell>
          <cell r="P441">
            <v>21800.484360804163</v>
          </cell>
          <cell r="Q441">
            <v>20673.449160227199</v>
          </cell>
          <cell r="R441">
            <v>1042164.2999302045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-10016.634358061474</v>
          </cell>
          <cell r="M444">
            <v>-16623.116584797375</v>
          </cell>
          <cell r="N444">
            <v>-6518.7508217664517</v>
          </cell>
          <cell r="O444">
            <v>-5162.5406820855096</v>
          </cell>
          <cell r="P444">
            <v>-5233.8282100844881</v>
          </cell>
          <cell r="Q444">
            <v>-4972.6277034196437</v>
          </cell>
          <cell r="R444">
            <v>-65942.498360214944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40491.060736390529</v>
          </cell>
          <cell r="M446">
            <v>67196.984456303384</v>
          </cell>
          <cell r="N446">
            <v>26351.279882459814</v>
          </cell>
          <cell r="O446">
            <v>20868.960654850776</v>
          </cell>
          <cell r="P446">
            <v>21157.132062807854</v>
          </cell>
          <cell r="Q446">
            <v>20101.259880428519</v>
          </cell>
          <cell r="R446">
            <v>-612910.32232675899</v>
          </cell>
        </row>
        <row r="447">
          <cell r="A447" t="str">
            <v>P45 Total</v>
          </cell>
          <cell r="B447"/>
          <cell r="C447"/>
          <cell r="D447"/>
          <cell r="E447"/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30474.426378329055</v>
          </cell>
          <cell r="M447">
            <v>50573.867871506009</v>
          </cell>
          <cell r="N447">
            <v>19832.529060693363</v>
          </cell>
          <cell r="O447">
            <v>15706.419972765267</v>
          </cell>
          <cell r="P447">
            <v>15923.303852723366</v>
          </cell>
          <cell r="Q447">
            <v>15128.632177008876</v>
          </cell>
          <cell r="R447">
            <v>-678852.82068697398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-6473.8752387277682</v>
          </cell>
          <cell r="M450">
            <v>-10822.466472709857</v>
          </cell>
          <cell r="N450">
            <v>-4171.4599500185004</v>
          </cell>
          <cell r="O450">
            <v>-3278.7604281781128</v>
          </cell>
          <cell r="P450">
            <v>-3325.6840872010744</v>
          </cell>
          <cell r="Q450">
            <v>-3153.7538231646836</v>
          </cell>
          <cell r="R450">
            <v>-62970.999999999993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55961.042626930895</v>
          </cell>
          <cell r="M452">
            <v>93550.846328460466</v>
          </cell>
          <cell r="N452">
            <v>36058.657214005143</v>
          </cell>
          <cell r="O452">
            <v>28342.043261375424</v>
          </cell>
          <cell r="P452">
            <v>28747.65764008433</v>
          </cell>
          <cell r="Q452">
            <v>27261.46946379029</v>
          </cell>
          <cell r="R452">
            <v>10837.716534646548</v>
          </cell>
        </row>
        <row r="453">
          <cell r="A453" t="str">
            <v>P46 Total</v>
          </cell>
          <cell r="B453"/>
          <cell r="C453"/>
          <cell r="D453"/>
          <cell r="E453"/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49487.167388203125</v>
          </cell>
          <cell r="M453">
            <v>82728.379855750609</v>
          </cell>
          <cell r="N453">
            <v>31887.197263986644</v>
          </cell>
          <cell r="O453">
            <v>25063.282833197311</v>
          </cell>
          <cell r="P453">
            <v>25421.973552883253</v>
          </cell>
          <cell r="Q453">
            <v>24107.715640625607</v>
          </cell>
          <cell r="R453">
            <v>-52133.283465353445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-638</v>
          </cell>
          <cell r="M455">
            <v>-638</v>
          </cell>
          <cell r="N455">
            <v>-638</v>
          </cell>
          <cell r="O455">
            <v>-638</v>
          </cell>
          <cell r="P455">
            <v>-638</v>
          </cell>
          <cell r="Q455">
            <v>-638</v>
          </cell>
          <cell r="R455">
            <v>-7656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-5903</v>
          </cell>
          <cell r="M457">
            <v>-5903</v>
          </cell>
          <cell r="N457">
            <v>-5903</v>
          </cell>
          <cell r="O457">
            <v>-5903</v>
          </cell>
          <cell r="P457">
            <v>-5903</v>
          </cell>
          <cell r="Q457">
            <v>-5903</v>
          </cell>
          <cell r="R457">
            <v>-70836</v>
          </cell>
        </row>
        <row r="458">
          <cell r="A458" t="str">
            <v>P47 Total</v>
          </cell>
          <cell r="B458"/>
          <cell r="C458"/>
          <cell r="D458"/>
          <cell r="E458"/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  <cell r="R458">
            <v>-78492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  <cell r="R459">
            <v>6602753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  <cell r="R460">
            <v>-503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  <cell r="R461">
            <v>7017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  <cell r="R462">
            <v>-2058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  <cell r="R463">
            <v>764592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  <cell r="R464">
            <v>-221558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  <cell r="R465">
            <v>25875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  <cell r="R466">
            <v>-7310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  <cell r="R467">
            <v>4263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  <cell r="R468">
            <v>2382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  <cell r="R469">
            <v>186974</v>
          </cell>
        </row>
        <row r="470">
          <cell r="A470" t="str">
            <v>P48 Total</v>
          </cell>
          <cell r="B470"/>
          <cell r="C470"/>
          <cell r="D470"/>
          <cell r="E470"/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  <cell r="R470">
            <v>7362427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-1900000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79392</v>
          </cell>
        </row>
        <row r="474">
          <cell r="A474" t="str">
            <v>P49 Total</v>
          </cell>
          <cell r="B474"/>
          <cell r="C474"/>
          <cell r="D474"/>
          <cell r="E474"/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-1820608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  <cell r="R475">
            <v>-655786</v>
          </cell>
        </row>
        <row r="476">
          <cell r="A476" t="str">
            <v>P52 Total</v>
          </cell>
          <cell r="B476"/>
          <cell r="C476"/>
          <cell r="D476"/>
          <cell r="E476"/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  <cell r="R476">
            <v>-655786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-14334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</row>
        <row r="486">
          <cell r="A486" t="str">
            <v>P53 Total</v>
          </cell>
          <cell r="B486"/>
          <cell r="C486"/>
          <cell r="D486"/>
          <cell r="E486"/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-14334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-210</v>
          </cell>
        </row>
        <row r="488">
          <cell r="A488" t="str">
            <v>P55 Total</v>
          </cell>
          <cell r="B488"/>
          <cell r="C488"/>
          <cell r="D488"/>
          <cell r="E488"/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-210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38843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15088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  <cell r="R491">
            <v>142410</v>
          </cell>
        </row>
        <row r="492">
          <cell r="A492" t="str">
            <v>P56</v>
          </cell>
          <cell r="B492" t="str">
            <v>Other miscellaneous deductions</v>
          </cell>
          <cell r="C492">
            <v>71820000</v>
          </cell>
          <cell r="D492" t="str">
            <v>Other PBOP Cost</v>
          </cell>
          <cell r="E492" t="str">
            <v>604.8</v>
          </cell>
          <cell r="R492">
            <v>-480989</v>
          </cell>
        </row>
        <row r="493">
          <cell r="A493" t="str">
            <v>P56</v>
          </cell>
          <cell r="B493" t="str">
            <v>Other miscellaneous deductions</v>
          </cell>
          <cell r="C493">
            <v>75811000</v>
          </cell>
          <cell r="D493" t="str">
            <v>Donations Ded Cust</v>
          </cell>
          <cell r="E493" t="str">
            <v>426.</v>
          </cell>
          <cell r="R493">
            <v>0</v>
          </cell>
        </row>
        <row r="494">
          <cell r="A494" t="str">
            <v>P56</v>
          </cell>
          <cell r="B494" t="str">
            <v>Other miscellaneous deductions</v>
          </cell>
          <cell r="C494">
            <v>75820000</v>
          </cell>
          <cell r="D494" t="str">
            <v>Othr Income Deductns</v>
          </cell>
          <cell r="E494" t="str">
            <v>426.</v>
          </cell>
          <cell r="R494">
            <v>28099</v>
          </cell>
        </row>
        <row r="495">
          <cell r="A495" t="str">
            <v>P56</v>
          </cell>
          <cell r="B495" t="str">
            <v>Other miscellaneous deductions</v>
          </cell>
          <cell r="C495">
            <v>75840000</v>
          </cell>
          <cell r="D495" t="str">
            <v>Lobbying Expenses</v>
          </cell>
          <cell r="E495" t="str">
            <v>426.</v>
          </cell>
          <cell r="R495">
            <v>73345</v>
          </cell>
        </row>
        <row r="496">
          <cell r="A496" t="str">
            <v>P56 Total</v>
          </cell>
          <cell r="B496"/>
          <cell r="C496"/>
          <cell r="D496"/>
          <cell r="E496"/>
          <cell r="R496">
            <v>-183204</v>
          </cell>
        </row>
        <row r="497">
          <cell r="A497" t="str">
            <v>P57</v>
          </cell>
          <cell r="B497" t="str">
            <v>Current federal income taxes - non-operating</v>
          </cell>
          <cell r="C497">
            <v>69031000</v>
          </cell>
          <cell r="D497" t="str">
            <v>FIT-Oth Inc&amp;Ded CY</v>
          </cell>
          <cell r="E497" t="str">
            <v>409.20</v>
          </cell>
          <cell r="R497">
            <v>-34224</v>
          </cell>
        </row>
        <row r="498">
          <cell r="A498" t="str">
            <v>P57 Total</v>
          </cell>
          <cell r="B498"/>
          <cell r="C498"/>
          <cell r="D498"/>
          <cell r="E498"/>
          <cell r="R498">
            <v>-34224</v>
          </cell>
        </row>
        <row r="499">
          <cell r="A499" t="str">
            <v>P58</v>
          </cell>
          <cell r="B499" t="str">
            <v>Current state income taxes - non-operating</v>
          </cell>
          <cell r="C499">
            <v>69041000</v>
          </cell>
          <cell r="D499" t="str">
            <v>SIT-Oth Inc&amp;Ded CY</v>
          </cell>
          <cell r="E499" t="str">
            <v>409.20</v>
          </cell>
          <cell r="R499">
            <v>-8934</v>
          </cell>
        </row>
        <row r="500">
          <cell r="A500" t="str">
            <v>P58 Total</v>
          </cell>
          <cell r="B500"/>
          <cell r="C500"/>
          <cell r="D500"/>
          <cell r="E500"/>
          <cell r="R500">
            <v>-8934</v>
          </cell>
        </row>
        <row r="501">
          <cell r="A501" t="str">
            <v>P59</v>
          </cell>
          <cell r="B501" t="str">
            <v>Interest on long-term debt</v>
          </cell>
          <cell r="C501">
            <v>81010000</v>
          </cell>
          <cell r="D501" t="str">
            <v>Interest LTD</v>
          </cell>
          <cell r="E501" t="str">
            <v>427.3</v>
          </cell>
          <cell r="R501">
            <v>1652556</v>
          </cell>
        </row>
        <row r="502">
          <cell r="A502" t="str">
            <v>P59</v>
          </cell>
          <cell r="B502" t="str">
            <v>Interest on long-term debt</v>
          </cell>
          <cell r="C502">
            <v>81015000</v>
          </cell>
          <cell r="D502" t="str">
            <v>Interest LTD Interco</v>
          </cell>
          <cell r="E502" t="str">
            <v>427.3</v>
          </cell>
          <cell r="R502">
            <v>10579484</v>
          </cell>
        </row>
        <row r="503">
          <cell r="A503" t="str">
            <v>P59</v>
          </cell>
          <cell r="B503" t="str">
            <v>Interest on long-term debt</v>
          </cell>
          <cell r="C503">
            <v>81016000</v>
          </cell>
          <cell r="D503" t="str">
            <v>Int exp-debt dis-ins</v>
          </cell>
          <cell r="E503" t="str">
            <v>427.3</v>
          </cell>
          <cell r="R503">
            <v>1264</v>
          </cell>
        </row>
        <row r="504">
          <cell r="A504" t="str">
            <v>P59</v>
          </cell>
          <cell r="B504" t="str">
            <v>Interest on long-term debt</v>
          </cell>
          <cell r="C504">
            <v>81020000</v>
          </cell>
          <cell r="D504" t="str">
            <v>Div Decl P/S w/ MRR</v>
          </cell>
          <cell r="E504" t="str">
            <v>437.</v>
          </cell>
          <cell r="R504">
            <v>127578</v>
          </cell>
        </row>
        <row r="505">
          <cell r="A505" t="str">
            <v>P59 Total</v>
          </cell>
          <cell r="B505"/>
          <cell r="C505"/>
          <cell r="D505"/>
          <cell r="E505"/>
          <cell r="R505">
            <v>12360882</v>
          </cell>
        </row>
        <row r="506">
          <cell r="A506" t="str">
            <v>P60</v>
          </cell>
          <cell r="B506" t="str">
            <v>Interest on short-term debt</v>
          </cell>
          <cell r="C506">
            <v>81315000</v>
          </cell>
          <cell r="D506" t="str">
            <v>Interest STD Interco</v>
          </cell>
          <cell r="E506" t="str">
            <v>427.2</v>
          </cell>
          <cell r="R506">
            <v>244370</v>
          </cell>
        </row>
        <row r="507">
          <cell r="A507" t="str">
            <v>P60 Total</v>
          </cell>
          <cell r="B507"/>
          <cell r="C507"/>
          <cell r="D507"/>
          <cell r="E507"/>
          <cell r="R507">
            <v>244370</v>
          </cell>
        </row>
        <row r="508">
          <cell r="A508" t="str">
            <v>P61</v>
          </cell>
          <cell r="B508" t="str">
            <v>Other interest expense</v>
          </cell>
          <cell r="C508">
            <v>81500000</v>
          </cell>
          <cell r="D508" t="str">
            <v>Interest Other</v>
          </cell>
          <cell r="E508" t="str">
            <v>427.5</v>
          </cell>
          <cell r="R508">
            <v>0</v>
          </cell>
        </row>
        <row r="509">
          <cell r="A509" t="str">
            <v>P61 Total</v>
          </cell>
          <cell r="B509"/>
          <cell r="C509"/>
          <cell r="D509"/>
          <cell r="E509"/>
          <cell r="R509">
            <v>0</v>
          </cell>
        </row>
        <row r="510">
          <cell r="A510" t="str">
            <v>P62</v>
          </cell>
          <cell r="B510" t="str">
            <v>Allowance for borrowed funds used during cons</v>
          </cell>
          <cell r="C510">
            <v>85000000</v>
          </cell>
          <cell r="D510" t="str">
            <v>AFUDC Debt</v>
          </cell>
          <cell r="E510" t="str">
            <v>420.</v>
          </cell>
          <cell r="R510">
            <v>-312965</v>
          </cell>
        </row>
        <row r="511">
          <cell r="A511" t="str">
            <v>P62 Total</v>
          </cell>
          <cell r="B511"/>
          <cell r="C511"/>
          <cell r="D511"/>
          <cell r="E511"/>
          <cell r="R511">
            <v>-312965</v>
          </cell>
        </row>
        <row r="512">
          <cell r="A512" t="str">
            <v>P63</v>
          </cell>
          <cell r="B512" t="str">
            <v>Amortization of debt expense</v>
          </cell>
          <cell r="C512">
            <v>82010000</v>
          </cell>
          <cell r="D512" t="str">
            <v>Amort Debt Disc&amp;Exp</v>
          </cell>
          <cell r="E512" t="str">
            <v>428.</v>
          </cell>
          <cell r="R512">
            <v>8046</v>
          </cell>
        </row>
        <row r="513">
          <cell r="A513" t="str">
            <v>P63</v>
          </cell>
          <cell r="B513" t="str">
            <v>Amortization of debt expense</v>
          </cell>
          <cell r="C513">
            <v>82015000</v>
          </cell>
          <cell r="D513" t="str">
            <v>Amort Dbt Dsc&amp;Ex I/C</v>
          </cell>
          <cell r="E513" t="str">
            <v>428.</v>
          </cell>
          <cell r="R513">
            <v>80267</v>
          </cell>
        </row>
        <row r="514">
          <cell r="A514" t="str">
            <v>P63</v>
          </cell>
          <cell r="B514" t="str">
            <v>Amortization of debt expense</v>
          </cell>
          <cell r="C514">
            <v>82016000</v>
          </cell>
          <cell r="D514" t="str">
            <v>Amort Dbt E-Insde CL</v>
          </cell>
          <cell r="E514" t="str">
            <v>428.</v>
          </cell>
          <cell r="R514">
            <v>24932</v>
          </cell>
        </row>
        <row r="515">
          <cell r="A515" t="str">
            <v>P63</v>
          </cell>
          <cell r="B515" t="str">
            <v>Amortization of debt expense</v>
          </cell>
          <cell r="C515">
            <v>82020000</v>
          </cell>
          <cell r="D515" t="str">
            <v>Amort P/S Exp w/ MRR</v>
          </cell>
          <cell r="E515" t="str">
            <v>428.</v>
          </cell>
          <cell r="R515">
            <v>256</v>
          </cell>
        </row>
        <row r="516">
          <cell r="A516" t="str">
            <v>P63 Total</v>
          </cell>
          <cell r="B516"/>
          <cell r="C516"/>
          <cell r="D516"/>
          <cell r="E516"/>
          <cell r="R516">
            <v>113501</v>
          </cell>
        </row>
        <row r="517">
          <cell r="A517" t="str">
            <v>P65</v>
          </cell>
          <cell r="B517" t="str">
            <v>Common Dividends</v>
          </cell>
          <cell r="C517">
            <v>86021500</v>
          </cell>
          <cell r="D517" t="str">
            <v>Div Decl Com Stk I/C</v>
          </cell>
          <cell r="E517" t="str">
            <v>438.</v>
          </cell>
          <cell r="R517">
            <v>11456643</v>
          </cell>
        </row>
        <row r="518">
          <cell r="A518" t="str">
            <v>P65 Total</v>
          </cell>
          <cell r="B518"/>
          <cell r="C518"/>
          <cell r="D518"/>
          <cell r="E518"/>
          <cell r="R518">
            <v>11456643</v>
          </cell>
        </row>
        <row r="519">
          <cell r="A519" t="str">
            <v>Grand Total</v>
          </cell>
          <cell r="B519"/>
          <cell r="C519"/>
          <cell r="D519"/>
          <cell r="E519"/>
          <cell r="R519">
            <v>-7499033.8542198539</v>
          </cell>
        </row>
      </sheetData>
      <sheetData sheetId="4">
        <row r="1">
          <cell r="D1" t="str">
            <v>Water Only</v>
          </cell>
        </row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-4004629</v>
          </cell>
          <cell r="M6">
            <v>-3819181</v>
          </cell>
          <cell r="N6">
            <v>-4033932</v>
          </cell>
          <cell r="O6">
            <v>-4056701</v>
          </cell>
          <cell r="P6">
            <v>-4419826</v>
          </cell>
          <cell r="Q6">
            <v>-4593399</v>
          </cell>
          <cell r="R6">
            <v>-52615223</v>
          </cell>
        </row>
        <row r="7">
          <cell r="A7" t="str">
            <v>P02 Total</v>
          </cell>
          <cell r="B7"/>
          <cell r="C7"/>
          <cell r="D7"/>
          <cell r="E7"/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-4004629</v>
          </cell>
          <cell r="M7">
            <v>-3819181</v>
          </cell>
          <cell r="N7">
            <v>-4033932</v>
          </cell>
          <cell r="O7">
            <v>-4056701</v>
          </cell>
          <cell r="P7">
            <v>-4419826</v>
          </cell>
          <cell r="Q7">
            <v>-4593399</v>
          </cell>
          <cell r="R7">
            <v>-52615223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-1873018</v>
          </cell>
          <cell r="M8">
            <v>-1786281</v>
          </cell>
          <cell r="N8">
            <v>-1886723</v>
          </cell>
          <cell r="O8">
            <v>-1897373</v>
          </cell>
          <cell r="P8">
            <v>-2067211</v>
          </cell>
          <cell r="Q8">
            <v>-2148393</v>
          </cell>
          <cell r="R8">
            <v>-24608835</v>
          </cell>
        </row>
        <row r="9">
          <cell r="A9" t="str">
            <v>P03 Total</v>
          </cell>
          <cell r="B9"/>
          <cell r="C9"/>
          <cell r="D9"/>
          <cell r="E9"/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-1873018</v>
          </cell>
          <cell r="M9">
            <v>-1786281</v>
          </cell>
          <cell r="N9">
            <v>-1886723</v>
          </cell>
          <cell r="O9">
            <v>-1897373</v>
          </cell>
          <cell r="P9">
            <v>-2067211</v>
          </cell>
          <cell r="Q9">
            <v>-2148393</v>
          </cell>
          <cell r="R9">
            <v>-24608835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-206286</v>
          </cell>
          <cell r="M10">
            <v>-196733</v>
          </cell>
          <cell r="N10">
            <v>-207795</v>
          </cell>
          <cell r="O10">
            <v>-208968</v>
          </cell>
          <cell r="P10">
            <v>-227673</v>
          </cell>
          <cell r="Q10">
            <v>-236614</v>
          </cell>
          <cell r="R10">
            <v>-2710305</v>
          </cell>
        </row>
        <row r="11">
          <cell r="A11" t="str">
            <v>P04 Total</v>
          </cell>
          <cell r="B11"/>
          <cell r="C11"/>
          <cell r="D11"/>
          <cell r="E11"/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-206286</v>
          </cell>
          <cell r="M11">
            <v>-196733</v>
          </cell>
          <cell r="N11">
            <v>-207795</v>
          </cell>
          <cell r="O11">
            <v>-208968</v>
          </cell>
          <cell r="P11">
            <v>-227673</v>
          </cell>
          <cell r="Q11">
            <v>-236614</v>
          </cell>
          <cell r="R11">
            <v>-2710305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-314968</v>
          </cell>
          <cell r="M12">
            <v>-300382</v>
          </cell>
          <cell r="N12">
            <v>-317273</v>
          </cell>
          <cell r="O12">
            <v>-319064</v>
          </cell>
          <cell r="P12">
            <v>-347624</v>
          </cell>
          <cell r="Q12">
            <v>-361275</v>
          </cell>
          <cell r="R12">
            <v>-4138239</v>
          </cell>
        </row>
        <row r="13">
          <cell r="A13" t="str">
            <v>P05 Total</v>
          </cell>
          <cell r="B13"/>
          <cell r="C13"/>
          <cell r="D13"/>
          <cell r="E13"/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-314968</v>
          </cell>
          <cell r="M13">
            <v>-300382</v>
          </cell>
          <cell r="N13">
            <v>-317273</v>
          </cell>
          <cell r="O13">
            <v>-319064</v>
          </cell>
          <cell r="P13">
            <v>-347624</v>
          </cell>
          <cell r="Q13">
            <v>-361275</v>
          </cell>
          <cell r="R13">
            <v>-4138239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-208736</v>
          </cell>
          <cell r="M14">
            <v>-199070</v>
          </cell>
          <cell r="N14">
            <v>-210264</v>
          </cell>
          <cell r="O14">
            <v>-211451</v>
          </cell>
          <cell r="P14">
            <v>-230378</v>
          </cell>
          <cell r="Q14">
            <v>-239425</v>
          </cell>
          <cell r="R14">
            <v>-2742504</v>
          </cell>
        </row>
        <row r="15">
          <cell r="A15" t="str">
            <v>P06 Total</v>
          </cell>
          <cell r="B15"/>
          <cell r="C15"/>
          <cell r="D15"/>
          <cell r="E15"/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-208736</v>
          </cell>
          <cell r="M15">
            <v>-199070</v>
          </cell>
          <cell r="N15">
            <v>-210264</v>
          </cell>
          <cell r="O15">
            <v>-211451</v>
          </cell>
          <cell r="P15">
            <v>-230378</v>
          </cell>
          <cell r="Q15">
            <v>-239425</v>
          </cell>
          <cell r="R15">
            <v>-2742504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-523242</v>
          </cell>
          <cell r="M16">
            <v>-499011</v>
          </cell>
          <cell r="N16">
            <v>-527071</v>
          </cell>
          <cell r="O16">
            <v>-530046</v>
          </cell>
          <cell r="P16">
            <v>-577492</v>
          </cell>
          <cell r="Q16">
            <v>-600170</v>
          </cell>
          <cell r="R16">
            <v>-6874669</v>
          </cell>
        </row>
        <row r="17">
          <cell r="A17" t="str">
            <v>P07 Total</v>
          </cell>
          <cell r="B17"/>
          <cell r="C17"/>
          <cell r="D17"/>
          <cell r="E17"/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-523242</v>
          </cell>
          <cell r="M17">
            <v>-499011</v>
          </cell>
          <cell r="N17">
            <v>-527071</v>
          </cell>
          <cell r="O17">
            <v>-530046</v>
          </cell>
          <cell r="P17">
            <v>-577492</v>
          </cell>
          <cell r="Q17">
            <v>-600170</v>
          </cell>
          <cell r="R17">
            <v>-6874669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-165694</v>
          </cell>
          <cell r="M18">
            <v>-158021</v>
          </cell>
          <cell r="N18">
            <v>-166907</v>
          </cell>
          <cell r="O18">
            <v>-167849</v>
          </cell>
          <cell r="P18">
            <v>-182874</v>
          </cell>
          <cell r="Q18">
            <v>-190055</v>
          </cell>
          <cell r="R18">
            <v>-2176993</v>
          </cell>
        </row>
        <row r="19">
          <cell r="A19" t="str">
            <v>P08 Total</v>
          </cell>
          <cell r="B19"/>
          <cell r="C19"/>
          <cell r="D19"/>
          <cell r="E19"/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-165694</v>
          </cell>
          <cell r="M19">
            <v>-158021</v>
          </cell>
          <cell r="N19">
            <v>-166907</v>
          </cell>
          <cell r="O19">
            <v>-167849</v>
          </cell>
          <cell r="P19">
            <v>-182874</v>
          </cell>
          <cell r="Q19">
            <v>-190055</v>
          </cell>
          <cell r="R19">
            <v>-2176993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-6693</v>
          </cell>
          <cell r="M20">
            <v>-6383</v>
          </cell>
          <cell r="N20">
            <v>-6742</v>
          </cell>
          <cell r="O20">
            <v>-6780</v>
          </cell>
          <cell r="P20">
            <v>-7387</v>
          </cell>
          <cell r="Q20">
            <v>-7677</v>
          </cell>
          <cell r="R20">
            <v>-87937</v>
          </cell>
        </row>
        <row r="21">
          <cell r="A21" t="str">
            <v>P09 Total</v>
          </cell>
          <cell r="B21"/>
          <cell r="C21"/>
          <cell r="D21"/>
          <cell r="E21"/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-6693</v>
          </cell>
          <cell r="M21">
            <v>-6383</v>
          </cell>
          <cell r="N21">
            <v>-6742</v>
          </cell>
          <cell r="O21">
            <v>-6780</v>
          </cell>
          <cell r="P21">
            <v>-7387</v>
          </cell>
          <cell r="Q21">
            <v>-7677</v>
          </cell>
          <cell r="R21">
            <v>-87937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B26"/>
          <cell r="C26"/>
          <cell r="D26"/>
          <cell r="E26"/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-68363</v>
          </cell>
          <cell r="M27">
            <v>-68063</v>
          </cell>
          <cell r="N27">
            <v>-69462</v>
          </cell>
          <cell r="O27">
            <v>-68489</v>
          </cell>
          <cell r="P27">
            <v>-77846</v>
          </cell>
          <cell r="Q27">
            <v>-80081</v>
          </cell>
          <cell r="R27">
            <v>-889460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-7096</v>
          </cell>
          <cell r="M28">
            <v>-7065</v>
          </cell>
          <cell r="N28">
            <v>-7210</v>
          </cell>
          <cell r="O28">
            <v>-7109</v>
          </cell>
          <cell r="P28">
            <v>-8080</v>
          </cell>
          <cell r="Q28">
            <v>-8312</v>
          </cell>
          <cell r="R28">
            <v>-92324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-11584</v>
          </cell>
          <cell r="M29">
            <v>-11534</v>
          </cell>
          <cell r="N29">
            <v>-11771</v>
          </cell>
          <cell r="O29">
            <v>-11606</v>
          </cell>
          <cell r="P29">
            <v>-13191</v>
          </cell>
          <cell r="Q29">
            <v>-13570</v>
          </cell>
          <cell r="R29">
            <v>-150722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-2177</v>
          </cell>
          <cell r="M31">
            <v>-2167</v>
          </cell>
          <cell r="N31">
            <v>-2212</v>
          </cell>
          <cell r="O31">
            <v>-2181</v>
          </cell>
          <cell r="P31">
            <v>-2479</v>
          </cell>
          <cell r="Q31">
            <v>-2550</v>
          </cell>
          <cell r="R31">
            <v>-28322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-63363</v>
          </cell>
          <cell r="M32">
            <v>-63087</v>
          </cell>
          <cell r="N32">
            <v>-64383</v>
          </cell>
          <cell r="O32">
            <v>-63482</v>
          </cell>
          <cell r="P32">
            <v>-72153</v>
          </cell>
          <cell r="Q32">
            <v>-74226</v>
          </cell>
          <cell r="R32">
            <v>-824421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-3490</v>
          </cell>
          <cell r="M33">
            <v>-3475</v>
          </cell>
          <cell r="N33">
            <v>-3546</v>
          </cell>
          <cell r="O33">
            <v>-3497</v>
          </cell>
          <cell r="P33">
            <v>-3974</v>
          </cell>
          <cell r="Q33">
            <v>-4089</v>
          </cell>
          <cell r="R33">
            <v>-45411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-45636</v>
          </cell>
          <cell r="M34">
            <v>-45437</v>
          </cell>
          <cell r="N34">
            <v>-46371</v>
          </cell>
          <cell r="O34">
            <v>-45722</v>
          </cell>
          <cell r="P34">
            <v>-51967</v>
          </cell>
          <cell r="Q34">
            <v>-53460</v>
          </cell>
          <cell r="R34">
            <v>-593776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B36"/>
          <cell r="C36"/>
          <cell r="D36"/>
          <cell r="E36"/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B38"/>
          <cell r="C38"/>
          <cell r="D38"/>
          <cell r="E38"/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B40"/>
          <cell r="C40"/>
          <cell r="D40"/>
          <cell r="E40"/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B42"/>
          <cell r="C42"/>
          <cell r="D42"/>
          <cell r="E42"/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B45"/>
          <cell r="C45"/>
          <cell r="D45"/>
          <cell r="E45"/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B52"/>
          <cell r="C52"/>
          <cell r="D52"/>
          <cell r="E52"/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B55"/>
          <cell r="C55"/>
          <cell r="D55"/>
          <cell r="E55"/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B58"/>
          <cell r="C58"/>
          <cell r="D58"/>
          <cell r="E58"/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B62"/>
          <cell r="C62"/>
          <cell r="D62"/>
          <cell r="E62"/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B76"/>
          <cell r="C76"/>
          <cell r="D76"/>
          <cell r="E76"/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B91"/>
          <cell r="C91"/>
          <cell r="D91"/>
          <cell r="E91"/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B98"/>
          <cell r="C98"/>
          <cell r="D98"/>
          <cell r="E98"/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B107"/>
          <cell r="C107"/>
          <cell r="D107"/>
          <cell r="E107"/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B111"/>
          <cell r="C111"/>
          <cell r="D111"/>
          <cell r="E111"/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B115"/>
          <cell r="C115"/>
          <cell r="D115"/>
          <cell r="E115"/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B121"/>
          <cell r="C121"/>
          <cell r="D121"/>
          <cell r="E121"/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B123"/>
          <cell r="C123"/>
          <cell r="D123"/>
          <cell r="E123"/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B128"/>
          <cell r="C128"/>
          <cell r="D128"/>
          <cell r="E128"/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B156"/>
          <cell r="C156"/>
          <cell r="D156"/>
          <cell r="E156"/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B159"/>
          <cell r="C159"/>
          <cell r="D159"/>
          <cell r="E159"/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B166"/>
          <cell r="C166"/>
          <cell r="D166"/>
          <cell r="E166"/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B170"/>
          <cell r="C170"/>
          <cell r="D170"/>
          <cell r="E170"/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B177"/>
          <cell r="C177"/>
          <cell r="D177"/>
          <cell r="E177"/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B180"/>
          <cell r="C180"/>
          <cell r="D180"/>
          <cell r="E180"/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B187"/>
          <cell r="C187"/>
          <cell r="D187"/>
          <cell r="E187"/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B201"/>
          <cell r="C201"/>
          <cell r="D201"/>
          <cell r="E201"/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B205"/>
          <cell r="C205"/>
          <cell r="D205"/>
          <cell r="E205"/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B211"/>
          <cell r="C211"/>
          <cell r="D211"/>
          <cell r="E211"/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B215"/>
          <cell r="C215"/>
          <cell r="D215"/>
          <cell r="E215"/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B217"/>
          <cell r="C217"/>
          <cell r="D217"/>
          <cell r="E217"/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B219"/>
          <cell r="C219"/>
          <cell r="D219"/>
          <cell r="E219"/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B223"/>
          <cell r="C223"/>
          <cell r="D223"/>
          <cell r="E223"/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B227"/>
          <cell r="C227"/>
          <cell r="D227"/>
          <cell r="E227"/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B229"/>
          <cell r="C229"/>
          <cell r="D229"/>
          <cell r="E229"/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B240"/>
          <cell r="C240"/>
          <cell r="D240"/>
          <cell r="E240"/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B243"/>
          <cell r="C243"/>
          <cell r="D243"/>
          <cell r="E243"/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B245"/>
          <cell r="C245"/>
          <cell r="D245"/>
          <cell r="E245"/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B247"/>
          <cell r="C247"/>
          <cell r="D247"/>
          <cell r="E247"/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  <row r="251">
          <cell r="A251" t="str">
            <v>P56</v>
          </cell>
          <cell r="B251" t="str">
            <v>Other miscellaneous deductions</v>
          </cell>
          <cell r="C251">
            <v>75840000</v>
          </cell>
          <cell r="D251" t="str">
            <v>Lobbying Expenses</v>
          </cell>
          <cell r="E251" t="str">
            <v>426.</v>
          </cell>
          <cell r="F251">
            <v>10500</v>
          </cell>
          <cell r="G251">
            <v>10500</v>
          </cell>
          <cell r="H251">
            <v>10500</v>
          </cell>
          <cell r="I251">
            <v>5500</v>
          </cell>
          <cell r="J251">
            <v>5500</v>
          </cell>
          <cell r="K251">
            <v>5500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48000</v>
          </cell>
        </row>
        <row r="252">
          <cell r="A252" t="str">
            <v>P56 Total</v>
          </cell>
          <cell r="B252"/>
          <cell r="C252"/>
          <cell r="D252"/>
          <cell r="E252"/>
          <cell r="F252">
            <v>-98341</v>
          </cell>
          <cell r="G252">
            <v>-93724</v>
          </cell>
          <cell r="H252">
            <v>-98341</v>
          </cell>
          <cell r="I252">
            <v>-103341</v>
          </cell>
          <cell r="J252">
            <v>-103341</v>
          </cell>
          <cell r="K252">
            <v>-103341</v>
          </cell>
          <cell r="L252">
            <v>-108990</v>
          </cell>
          <cell r="M252">
            <v>-108990</v>
          </cell>
          <cell r="N252">
            <v>-108990</v>
          </cell>
          <cell r="O252">
            <v>-108990</v>
          </cell>
          <cell r="P252">
            <v>-108990</v>
          </cell>
          <cell r="Q252">
            <v>-108990</v>
          </cell>
          <cell r="R252">
            <v>-1254369</v>
          </cell>
        </row>
        <row r="253">
          <cell r="A253" t="str">
            <v>P59</v>
          </cell>
          <cell r="B253" t="str">
            <v>Interest on long-term debt</v>
          </cell>
          <cell r="C253">
            <v>81010000</v>
          </cell>
          <cell r="D253" t="str">
            <v>Interest LTD</v>
          </cell>
          <cell r="E253" t="str">
            <v>427.3</v>
          </cell>
          <cell r="F253">
            <v>137713</v>
          </cell>
          <cell r="G253">
            <v>137713</v>
          </cell>
          <cell r="H253">
            <v>137713</v>
          </cell>
          <cell r="I253">
            <v>137713</v>
          </cell>
          <cell r="J253">
            <v>137713</v>
          </cell>
          <cell r="K253">
            <v>137713</v>
          </cell>
          <cell r="L253">
            <v>1044949</v>
          </cell>
          <cell r="M253">
            <v>1044949</v>
          </cell>
          <cell r="N253">
            <v>1044949</v>
          </cell>
          <cell r="O253">
            <v>1044949</v>
          </cell>
          <cell r="P253">
            <v>1066578</v>
          </cell>
          <cell r="Q253">
            <v>1088207</v>
          </cell>
          <cell r="R253">
            <v>7160859</v>
          </cell>
        </row>
        <row r="254">
          <cell r="A254" t="str">
            <v>P59</v>
          </cell>
          <cell r="B254" t="str">
            <v>Interest on long-term debt</v>
          </cell>
          <cell r="C254">
            <v>81015000</v>
          </cell>
          <cell r="D254" t="str">
            <v>Interest LTD Interco</v>
          </cell>
          <cell r="E254" t="str">
            <v>427.3</v>
          </cell>
          <cell r="F254">
            <v>918233</v>
          </cell>
          <cell r="G254">
            <v>918233</v>
          </cell>
          <cell r="H254">
            <v>918233</v>
          </cell>
          <cell r="I254">
            <v>918233</v>
          </cell>
          <cell r="J254">
            <v>918233</v>
          </cell>
          <cell r="K254">
            <v>918233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5509398</v>
          </cell>
        </row>
        <row r="255">
          <cell r="A255" t="str">
            <v>P59</v>
          </cell>
          <cell r="B255" t="str">
            <v>Interest on long-term debt</v>
          </cell>
          <cell r="C255">
            <v>81016000</v>
          </cell>
          <cell r="D255" t="str">
            <v>Int Exp_debt discount amort intercompany</v>
          </cell>
          <cell r="E255" t="str">
            <v>427.3</v>
          </cell>
          <cell r="F255">
            <v>158</v>
          </cell>
          <cell r="G255">
            <v>158</v>
          </cell>
          <cell r="H255">
            <v>158</v>
          </cell>
          <cell r="I255">
            <v>158</v>
          </cell>
          <cell r="J255">
            <v>158</v>
          </cell>
          <cell r="K255">
            <v>158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948</v>
          </cell>
        </row>
        <row r="256">
          <cell r="A256" t="str">
            <v>P59</v>
          </cell>
          <cell r="B256" t="str">
            <v>Interest on long-term debt</v>
          </cell>
          <cell r="C256">
            <v>81020000</v>
          </cell>
          <cell r="D256" t="str">
            <v>Div Decl P/S w/ MRR</v>
          </cell>
          <cell r="E256" t="str">
            <v>437.</v>
          </cell>
          <cell r="F256">
            <v>15881</v>
          </cell>
          <cell r="G256">
            <v>15881</v>
          </cell>
          <cell r="H256">
            <v>15881</v>
          </cell>
          <cell r="I256">
            <v>15881</v>
          </cell>
          <cell r="J256">
            <v>15881</v>
          </cell>
          <cell r="K256">
            <v>15881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95286</v>
          </cell>
        </row>
        <row r="257">
          <cell r="A257" t="str">
            <v>P59 Total</v>
          </cell>
          <cell r="B257"/>
          <cell r="C257"/>
          <cell r="D257"/>
          <cell r="E257"/>
          <cell r="F257">
            <v>1071985</v>
          </cell>
          <cell r="G257">
            <v>1071985</v>
          </cell>
          <cell r="H257">
            <v>1071985</v>
          </cell>
          <cell r="I257">
            <v>1071985</v>
          </cell>
          <cell r="J257">
            <v>1071985</v>
          </cell>
          <cell r="K257">
            <v>1071985</v>
          </cell>
          <cell r="L257">
            <v>1044949</v>
          </cell>
          <cell r="M257">
            <v>1044949</v>
          </cell>
          <cell r="N257">
            <v>1044949</v>
          </cell>
          <cell r="O257">
            <v>1044949</v>
          </cell>
          <cell r="P257">
            <v>1066578</v>
          </cell>
          <cell r="Q257">
            <v>1088207</v>
          </cell>
          <cell r="R257">
            <v>12766491</v>
          </cell>
        </row>
        <row r="258">
          <cell r="A258" t="str">
            <v>P60</v>
          </cell>
          <cell r="B258" t="str">
            <v>Interest on short-term debt</v>
          </cell>
          <cell r="C258">
            <v>81315000</v>
          </cell>
          <cell r="D258" t="str">
            <v>Interest STD Interco</v>
          </cell>
          <cell r="E258" t="str">
            <v>427.2</v>
          </cell>
          <cell r="F258">
            <v>-1654</v>
          </cell>
          <cell r="G258">
            <v>-7624</v>
          </cell>
          <cell r="H258">
            <v>640</v>
          </cell>
          <cell r="I258">
            <v>-4560</v>
          </cell>
          <cell r="J258">
            <v>-5147</v>
          </cell>
          <cell r="K258">
            <v>24564</v>
          </cell>
          <cell r="L258">
            <v>22380</v>
          </cell>
          <cell r="M258">
            <v>17044</v>
          </cell>
          <cell r="N258">
            <v>19532</v>
          </cell>
          <cell r="O258">
            <v>23359</v>
          </cell>
          <cell r="P258">
            <v>-9345</v>
          </cell>
          <cell r="Q258">
            <v>5919</v>
          </cell>
          <cell r="R258">
            <v>85108</v>
          </cell>
        </row>
        <row r="259">
          <cell r="A259" t="str">
            <v>P60 Total</v>
          </cell>
          <cell r="B259"/>
          <cell r="C259"/>
          <cell r="D259"/>
          <cell r="E259"/>
          <cell r="F259">
            <v>-1654</v>
          </cell>
          <cell r="G259">
            <v>-7624</v>
          </cell>
          <cell r="H259">
            <v>640</v>
          </cell>
          <cell r="I259">
            <v>-4560</v>
          </cell>
          <cell r="J259">
            <v>-5147</v>
          </cell>
          <cell r="K259">
            <v>24564</v>
          </cell>
          <cell r="L259">
            <v>22380</v>
          </cell>
          <cell r="M259">
            <v>17044</v>
          </cell>
          <cell r="N259">
            <v>19532</v>
          </cell>
          <cell r="O259">
            <v>23359</v>
          </cell>
          <cell r="P259">
            <v>-9345</v>
          </cell>
          <cell r="Q259">
            <v>5919</v>
          </cell>
          <cell r="R259">
            <v>85108</v>
          </cell>
        </row>
        <row r="260">
          <cell r="A260" t="str">
            <v>P62</v>
          </cell>
          <cell r="B260" t="str">
            <v>Allowance for borrowed funds used during cons</v>
          </cell>
          <cell r="C260">
            <v>85000000</v>
          </cell>
          <cell r="D260" t="str">
            <v>AFUDC Debt</v>
          </cell>
          <cell r="E260" t="str">
            <v>420.</v>
          </cell>
          <cell r="F260">
            <v>-28002</v>
          </cell>
          <cell r="G260">
            <v>-31446</v>
          </cell>
          <cell r="H260">
            <v>-32277</v>
          </cell>
          <cell r="I260">
            <v>-33638</v>
          </cell>
          <cell r="J260">
            <v>-36747</v>
          </cell>
          <cell r="K260">
            <v>-39909</v>
          </cell>
          <cell r="L260">
            <v>-19105</v>
          </cell>
          <cell r="M260">
            <v>-20924</v>
          </cell>
          <cell r="N260">
            <v>-22770</v>
          </cell>
          <cell r="O260">
            <v>-24859</v>
          </cell>
          <cell r="P260">
            <v>-31272</v>
          </cell>
          <cell r="Q260">
            <v>-39943</v>
          </cell>
          <cell r="R260">
            <v>-360892</v>
          </cell>
        </row>
        <row r="261">
          <cell r="A261" t="str">
            <v>P62 Total</v>
          </cell>
          <cell r="B261"/>
          <cell r="C261"/>
          <cell r="D261"/>
          <cell r="E261"/>
          <cell r="F261">
            <v>-28002</v>
          </cell>
          <cell r="G261">
            <v>-31446</v>
          </cell>
          <cell r="H261">
            <v>-32277</v>
          </cell>
          <cell r="I261">
            <v>-33638</v>
          </cell>
          <cell r="J261">
            <v>-36747</v>
          </cell>
          <cell r="K261">
            <v>-39909</v>
          </cell>
          <cell r="L261">
            <v>-19105</v>
          </cell>
          <cell r="M261">
            <v>-20924</v>
          </cell>
          <cell r="N261">
            <v>-22770</v>
          </cell>
          <cell r="O261">
            <v>-24859</v>
          </cell>
          <cell r="P261">
            <v>-31272</v>
          </cell>
          <cell r="Q261">
            <v>-39943</v>
          </cell>
          <cell r="R261">
            <v>-360892</v>
          </cell>
        </row>
        <row r="262">
          <cell r="A262" t="str">
            <v>P63</v>
          </cell>
          <cell r="B262" t="str">
            <v>Amortization of debt expense</v>
          </cell>
          <cell r="C262">
            <v>82010000</v>
          </cell>
          <cell r="D262" t="str">
            <v>Amort Debt Disc&amp;Exp</v>
          </cell>
          <cell r="E262" t="str">
            <v>428.</v>
          </cell>
          <cell r="F262">
            <v>665</v>
          </cell>
          <cell r="G262">
            <v>665</v>
          </cell>
          <cell r="H262">
            <v>665</v>
          </cell>
          <cell r="I262">
            <v>665</v>
          </cell>
          <cell r="J262">
            <v>665</v>
          </cell>
          <cell r="K262">
            <v>665</v>
          </cell>
          <cell r="L262">
            <v>9021</v>
          </cell>
          <cell r="M262">
            <v>9021</v>
          </cell>
          <cell r="N262">
            <v>9021</v>
          </cell>
          <cell r="O262">
            <v>9021</v>
          </cell>
          <cell r="P262">
            <v>9595</v>
          </cell>
          <cell r="Q262">
            <v>10170</v>
          </cell>
          <cell r="R262">
            <v>59839</v>
          </cell>
        </row>
        <row r="263">
          <cell r="A263" t="str">
            <v>P63</v>
          </cell>
          <cell r="B263" t="str">
            <v>Amortization of debt expense</v>
          </cell>
          <cell r="C263">
            <v>82015000</v>
          </cell>
          <cell r="D263" t="str">
            <v>Amort Dbt Dsc&amp;Ex I/C</v>
          </cell>
          <cell r="E263" t="str">
            <v>428.</v>
          </cell>
          <cell r="F263">
            <v>9042</v>
          </cell>
          <cell r="G263">
            <v>9042</v>
          </cell>
          <cell r="H263">
            <v>9042</v>
          </cell>
          <cell r="I263">
            <v>9042</v>
          </cell>
          <cell r="J263">
            <v>9042</v>
          </cell>
          <cell r="K263">
            <v>9042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54252</v>
          </cell>
        </row>
        <row r="264">
          <cell r="A264"/>
          <cell r="B264"/>
          <cell r="C264">
            <v>82020000</v>
          </cell>
          <cell r="D264" t="str">
            <v>Amort P/S Exp w/ Mandatory Redemptn Requiremts</v>
          </cell>
          <cell r="F264">
            <v>32</v>
          </cell>
          <cell r="G264">
            <v>32</v>
          </cell>
          <cell r="H264">
            <v>32</v>
          </cell>
          <cell r="I264">
            <v>32</v>
          </cell>
          <cell r="J264">
            <v>32</v>
          </cell>
          <cell r="K264">
            <v>32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192</v>
          </cell>
        </row>
        <row r="265">
          <cell r="A265" t="str">
            <v>P63 Total</v>
          </cell>
          <cell r="B265"/>
          <cell r="C265"/>
          <cell r="D265"/>
          <cell r="E265"/>
          <cell r="F265">
            <v>9739</v>
          </cell>
          <cell r="G265">
            <v>9739</v>
          </cell>
          <cell r="H265">
            <v>9739</v>
          </cell>
          <cell r="I265">
            <v>9739</v>
          </cell>
          <cell r="J265">
            <v>9739</v>
          </cell>
          <cell r="K265">
            <v>9739</v>
          </cell>
          <cell r="L265">
            <v>9021</v>
          </cell>
          <cell r="M265">
            <v>9021</v>
          </cell>
          <cell r="N265">
            <v>9021</v>
          </cell>
          <cell r="O265">
            <v>9021</v>
          </cell>
          <cell r="P265">
            <v>9595</v>
          </cell>
          <cell r="Q265">
            <v>10170</v>
          </cell>
          <cell r="R265">
            <v>114283</v>
          </cell>
        </row>
        <row r="266">
          <cell r="A266" t="str">
            <v>P65</v>
          </cell>
          <cell r="B266" t="str">
            <v>Common Dividends</v>
          </cell>
          <cell r="C266">
            <v>86021500</v>
          </cell>
          <cell r="D266" t="str">
            <v>Div Decl Com Stk I/C</v>
          </cell>
          <cell r="E266" t="str">
            <v>438.</v>
          </cell>
          <cell r="F266">
            <v>0</v>
          </cell>
          <cell r="G266">
            <v>0</v>
          </cell>
          <cell r="H266">
            <v>3360749</v>
          </cell>
          <cell r="I266">
            <v>0</v>
          </cell>
          <cell r="J266">
            <v>0</v>
          </cell>
          <cell r="K266">
            <v>5664426</v>
          </cell>
          <cell r="L266">
            <v>0</v>
          </cell>
          <cell r="M266">
            <v>0</v>
          </cell>
          <cell r="N266">
            <v>4086806</v>
          </cell>
          <cell r="O266">
            <v>0</v>
          </cell>
          <cell r="P266">
            <v>0</v>
          </cell>
          <cell r="Q266">
            <v>2302460</v>
          </cell>
          <cell r="R266">
            <v>15414441</v>
          </cell>
        </row>
        <row r="267">
          <cell r="A267" t="str">
            <v>P65 Total</v>
          </cell>
          <cell r="B267"/>
          <cell r="C267"/>
          <cell r="D267"/>
          <cell r="E267"/>
          <cell r="F267">
            <v>0</v>
          </cell>
          <cell r="G267">
            <v>0</v>
          </cell>
          <cell r="H267">
            <v>3360749</v>
          </cell>
          <cell r="I267">
            <v>0</v>
          </cell>
          <cell r="J267">
            <v>0</v>
          </cell>
          <cell r="K267">
            <v>5664426</v>
          </cell>
          <cell r="L267">
            <v>0</v>
          </cell>
          <cell r="M267">
            <v>0</v>
          </cell>
          <cell r="N267">
            <v>4086806</v>
          </cell>
          <cell r="O267">
            <v>0</v>
          </cell>
          <cell r="P267">
            <v>0</v>
          </cell>
          <cell r="Q267">
            <v>2302460</v>
          </cell>
          <cell r="R267">
            <v>15414441</v>
          </cell>
        </row>
        <row r="268">
          <cell r="A268" t="str">
            <v>Grand Total</v>
          </cell>
          <cell r="B268"/>
          <cell r="C268"/>
          <cell r="D268"/>
          <cell r="E268"/>
          <cell r="F268">
            <v>-2508073.0000000009</v>
          </cell>
          <cell r="G268">
            <v>-2633542</v>
          </cell>
          <cell r="H268">
            <v>933846.99999999907</v>
          </cell>
          <cell r="I268">
            <v>-2182503</v>
          </cell>
          <cell r="J268">
            <v>-1653699</v>
          </cell>
          <cell r="K268">
            <v>4251779</v>
          </cell>
          <cell r="L268">
            <v>-1069400.3755146759</v>
          </cell>
          <cell r="M268">
            <v>-985863.79437133018</v>
          </cell>
          <cell r="N268">
            <v>2965809.1624817513</v>
          </cell>
          <cell r="O268">
            <v>-1178683.0554268137</v>
          </cell>
          <cell r="P268">
            <v>-1698304.9777202997</v>
          </cell>
          <cell r="Q268">
            <v>355066.09154741839</v>
          </cell>
          <cell r="R268">
            <v>-5403567.9490039498</v>
          </cell>
        </row>
      </sheetData>
      <sheetData sheetId="5">
        <row r="8">
          <cell r="C8">
            <v>401</v>
          </cell>
        </row>
      </sheetData>
      <sheetData sheetId="6">
        <row r="5">
          <cell r="O5">
            <v>14320884.467466416</v>
          </cell>
        </row>
      </sheetData>
      <sheetData sheetId="7">
        <row r="14">
          <cell r="E14">
            <v>91956201</v>
          </cell>
        </row>
      </sheetData>
      <sheetData sheetId="8">
        <row r="8">
          <cell r="C8">
            <v>1096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4.bin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6.bin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37.bin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6"/>
  <sheetViews>
    <sheetView topLeftCell="A31" zoomScale="80" zoomScaleNormal="80" workbookViewId="0"/>
  </sheetViews>
  <sheetFormatPr defaultColWidth="9.109375" defaultRowHeight="13.8"/>
  <cols>
    <col min="1" max="1" width="48.33203125" style="104" bestFit="1" customWidth="1"/>
    <col min="2" max="2" width="38.5546875" style="204" bestFit="1" customWidth="1"/>
    <col min="3" max="3" width="12.33203125" style="104" bestFit="1" customWidth="1"/>
    <col min="4" max="4" width="1.6640625" style="104" customWidth="1"/>
    <col min="5" max="5" width="19.109375" style="104" bestFit="1" customWidth="1"/>
    <col min="6" max="6" width="1.6640625" style="104" customWidth="1"/>
    <col min="7" max="7" width="7.109375" style="104" bestFit="1" customWidth="1"/>
    <col min="8" max="8" width="1.6640625" style="104" customWidth="1"/>
    <col min="9" max="9" width="14.88671875" style="104" bestFit="1" customWidth="1"/>
    <col min="10" max="10" width="12" style="104" bestFit="1" customWidth="1"/>
    <col min="11" max="11" width="12.44140625" style="104" customWidth="1"/>
    <col min="12" max="12" width="38.5546875" style="104" customWidth="1"/>
    <col min="13" max="13" width="10.109375" style="104" bestFit="1" customWidth="1"/>
    <col min="14" max="14" width="18.44140625" style="104" bestFit="1" customWidth="1"/>
    <col min="15" max="15" width="6.6640625" style="104" bestFit="1" customWidth="1"/>
    <col min="16" max="16" width="14.109375" style="104" bestFit="1" customWidth="1"/>
    <col min="17" max="17" width="1.6640625" style="104" customWidth="1"/>
    <col min="18" max="18" width="14.109375" style="104" bestFit="1" customWidth="1"/>
    <col min="19" max="19" width="1.6640625" style="104" customWidth="1"/>
    <col min="20" max="20" width="14.109375" style="104" bestFit="1" customWidth="1"/>
    <col min="21" max="21" width="1.6640625" style="104" customWidth="1"/>
    <col min="22" max="22" width="14.109375" style="104" bestFit="1" customWidth="1"/>
    <col min="23" max="23" width="1.6640625" style="104" customWidth="1"/>
    <col min="24" max="24" width="14.109375" style="104" bestFit="1" customWidth="1"/>
    <col min="25" max="25" width="1.6640625" style="104" customWidth="1"/>
    <col min="26" max="26" width="14.109375" style="104" bestFit="1" customWidth="1"/>
    <col min="27" max="27" width="1.6640625" style="104" customWidth="1"/>
    <col min="28" max="28" width="14.109375" style="104" bestFit="1" customWidth="1"/>
    <col min="29" max="29" width="1.6640625" style="104" customWidth="1"/>
    <col min="30" max="30" width="14.109375" style="104" bestFit="1" customWidth="1"/>
    <col min="31" max="31" width="1.6640625" style="104" customWidth="1"/>
    <col min="32" max="32" width="14.109375" style="104" bestFit="1" customWidth="1"/>
    <col min="33" max="33" width="1.6640625" style="104" customWidth="1"/>
    <col min="34" max="34" width="14.109375" style="104" bestFit="1" customWidth="1"/>
    <col min="35" max="35" width="1.6640625" style="104" customWidth="1"/>
    <col min="36" max="36" width="14.109375" style="104" bestFit="1" customWidth="1"/>
    <col min="37" max="37" width="1.6640625" style="104" customWidth="1"/>
    <col min="38" max="38" width="14.109375" style="104" bestFit="1" customWidth="1"/>
    <col min="39" max="39" width="1.6640625" style="104" customWidth="1"/>
    <col min="40" max="40" width="15.109375" style="104" bestFit="1" customWidth="1"/>
    <col min="41" max="41" width="9.109375" style="104"/>
    <col min="42" max="42" width="12.44140625" style="104" bestFit="1" customWidth="1"/>
    <col min="43" max="43" width="14.109375" style="104" bestFit="1" customWidth="1"/>
    <col min="44" max="16384" width="9.109375" style="104"/>
  </cols>
  <sheetData>
    <row r="1" spans="1:40">
      <c r="A1" s="204" t="str">
        <f>'[2]Link Out Filing Exhibits'!$A$1</f>
        <v>Kentucky American Water Company</v>
      </c>
    </row>
    <row r="2" spans="1:40">
      <c r="A2" s="204" t="str">
        <f>'[2]Link Out Filing Exhibits'!$A$1</f>
        <v>Kentucky American Water Company</v>
      </c>
    </row>
    <row r="3" spans="1:40">
      <c r="A3" s="204" t="str">
        <f>'[2]Link Out Filing Exhibits'!$A$2</f>
        <v>Case No. 2018-00358</v>
      </c>
    </row>
    <row r="4" spans="1:40">
      <c r="A4" s="205">
        <f>'[2]Rate Case Constants'!$C$12</f>
        <v>43524</v>
      </c>
      <c r="B4" s="205"/>
    </row>
    <row r="5" spans="1:40">
      <c r="A5" s="206" t="str">
        <f>'[2]Rate Case Constants'!$C$13</f>
        <v>June 30, 2020</v>
      </c>
      <c r="B5" s="206"/>
    </row>
    <row r="6" spans="1:40">
      <c r="A6" s="206" t="str">
        <f>'[2]Rate Case Constants'!$C$14</f>
        <v>For the 12 Months Ending June 30, 2020</v>
      </c>
      <c r="B6" s="206"/>
    </row>
    <row r="7" spans="1:40">
      <c r="A7" s="204" t="str">
        <f>'[2]Rate Case Constants'!$C$15</f>
        <v>Base Year for the 12 Months Ended February 28, 2019</v>
      </c>
      <c r="B7" s="104" t="str">
        <f>'[2]Rate Case Constants'!$D$15</f>
        <v>Base Year at 2/28/19</v>
      </c>
      <c r="C7" s="104" t="str">
        <f>'[2]Rate Case Constants'!$E$15</f>
        <v>Base Year for the 12 Months Ended 2/28/19</v>
      </c>
    </row>
    <row r="8" spans="1:40">
      <c r="A8" s="204" t="str">
        <f>'[2]Rate Case Constants'!$C$16</f>
        <v>Base Year Adjustment</v>
      </c>
      <c r="C8" s="204"/>
    </row>
    <row r="9" spans="1:40" ht="14.4">
      <c r="A9" s="204" t="str">
        <f>'[2]Rate Case Constants'!$C$17</f>
        <v>Forecast Year for the 12 Months Ended June 30, 2020</v>
      </c>
      <c r="B9" s="104" t="str">
        <f>'[2]Rate Case Constants'!$D$17</f>
        <v>Forecast Year at 6/30/2020</v>
      </c>
      <c r="C9" s="104" t="str">
        <f>'[2]Rate Case Constants'!$E$17</f>
        <v>Forecasted Year at Present Rates</v>
      </c>
      <c r="G9" s="104" t="str">
        <f>'[2]Rate Case Constants'!$F$17</f>
        <v>Allocated Forecast Year at 6/30/2020</v>
      </c>
      <c r="K9" s="2" t="s">
        <v>586</v>
      </c>
      <c r="P9" s="104" t="str">
        <f>IFERROR(INDEX('[2]Rate Case Constants'!$D$6:$D$486,MATCH($C9,'[2]Rate Case Constants'!$C$6:$C$486,0),1),"")</f>
        <v/>
      </c>
      <c r="T9" s="104" t="str">
        <f>IFERROR(INDEX('[2]Rate Case Constants'!$E$6:$E$486,MATCH($C9,'[2]Rate Case Constants'!$C$6:$C$486,0),1),"")</f>
        <v/>
      </c>
      <c r="X9" s="90">
        <f>IFERROR(INDEX('[2]Rate Case Constants'!$F$6:$F$486,MATCH($C9,'[2]Rate Case Constants'!$C$6:$C$486,0),1),0)</f>
        <v>0</v>
      </c>
      <c r="Y9" s="90"/>
    </row>
    <row r="10" spans="1:40" ht="14.4">
      <c r="A10" s="204" t="str">
        <f>'[2]Rate Case Constants'!$C$18</f>
        <v>Attrition Year Adjustment at Present Rates:</v>
      </c>
      <c r="K10" s="207" t="s">
        <v>82</v>
      </c>
      <c r="L10" s="207" t="s">
        <v>587</v>
      </c>
      <c r="M10" s="207" t="s">
        <v>588</v>
      </c>
      <c r="N10" s="207" t="s">
        <v>589</v>
      </c>
      <c r="O10" s="107" t="s">
        <v>590</v>
      </c>
      <c r="P10" s="208">
        <v>43160</v>
      </c>
      <c r="Q10" s="208"/>
      <c r="R10" s="208">
        <v>43191</v>
      </c>
      <c r="S10" s="208"/>
      <c r="T10" s="208">
        <v>43221</v>
      </c>
      <c r="U10" s="208"/>
      <c r="V10" s="208">
        <v>43252</v>
      </c>
      <c r="W10" s="208"/>
      <c r="X10" s="208">
        <v>43282</v>
      </c>
      <c r="Y10" s="208"/>
      <c r="Z10" s="208">
        <v>43313</v>
      </c>
      <c r="AA10" s="208"/>
      <c r="AB10" s="208">
        <v>43344</v>
      </c>
      <c r="AC10" s="208"/>
      <c r="AD10" s="208">
        <v>43374</v>
      </c>
      <c r="AE10" s="208"/>
      <c r="AF10" s="208">
        <v>43405</v>
      </c>
      <c r="AG10" s="208"/>
      <c r="AH10" s="208">
        <v>43435</v>
      </c>
      <c r="AI10" s="208"/>
      <c r="AJ10" s="208">
        <v>43466</v>
      </c>
      <c r="AK10" s="208"/>
      <c r="AL10" s="208">
        <v>43497</v>
      </c>
      <c r="AM10" s="208"/>
      <c r="AN10" s="207" t="s">
        <v>476</v>
      </c>
    </row>
    <row r="11" spans="1:40">
      <c r="A11" s="209" t="str">
        <f>'[2]Rate Case Constants'!$C$19</f>
        <v>Attrition Year at Present Rates</v>
      </c>
      <c r="B11" s="209"/>
    </row>
    <row r="12" spans="1:40">
      <c r="A12" s="209" t="str">
        <f>'[2]Rate Case Constants'!$C$20</f>
        <v>Adjustments for Proposed Rates:</v>
      </c>
      <c r="B12" s="209"/>
      <c r="K12" s="104" t="str">
        <f>IFERROR(INDEX('[2]Link Out Monthly BY'!$A$6:$A$491,MATCH($M12,'[2]Link Out Monthly BY'!$C$6:$C$491,0),1),"")</f>
        <v/>
      </c>
      <c r="L12" s="104" t="str">
        <f>IFERROR(INDEX('[2]Link Out Monthly BY'!$B$6:$B$491,MATCH($M12,'[2]Link Out Monthly BY'!$C$6:$C$491,0),1),"")</f>
        <v/>
      </c>
      <c r="M12" s="210"/>
      <c r="N12" s="104" t="str">
        <f>IFERROR(INDEX('[2]Link Out Monthly BY'!$D$6:$D$491,MATCH($M12,'[2]Link Out Monthly BY'!$C$6:$C$491,0),1),"")</f>
        <v/>
      </c>
      <c r="O12" s="104" t="str">
        <f>IFERROR(INDEX('[2]Link Out Monthly BY'!$E$6:$E$491,MATCH($M12,'[2]Link Out Monthly BY'!$C$6:$C$491,0),1),"")</f>
        <v/>
      </c>
      <c r="P12" s="90" t="str">
        <f>IFERROR(INDEX('[2]Link Out Monthly BY'!$F$6:$F$491,MATCH($M12,'[2]Link Out Monthly BY'!$C$6:$C$491,0),1),"")</f>
        <v/>
      </c>
      <c r="Q12" s="90"/>
      <c r="R12" s="90" t="str">
        <f>IFERROR(INDEX('[2]Link Out Monthly BY'!$G$6:$G$491,MATCH($M12,'[2]Link Out Monthly BY'!$C$6:$C$491,0),1),"")</f>
        <v/>
      </c>
      <c r="S12" s="90"/>
      <c r="T12" s="90" t="str">
        <f>IFERROR(INDEX('[2]Link Out Monthly BY'!$H$6:$H$491,MATCH($M12,'[2]Link Out Monthly BY'!$C$6:$C$491,0),1),"")</f>
        <v/>
      </c>
      <c r="U12" s="90"/>
      <c r="V12" s="90" t="str">
        <f>IFERROR(INDEX('[2]Link Out Monthly BY'!$I$6:$I$491,MATCH($M12,'[2]Link Out Monthly BY'!$C$6:$C$491,0),1),"")</f>
        <v/>
      </c>
      <c r="W12" s="90"/>
      <c r="X12" s="90" t="str">
        <f>IFERROR(INDEX('[2]Link Out Monthly BY'!$J$6:$J$491,MATCH($M12,'[2]Link Out Monthly BY'!$C$6:$C$491,0),1),"")</f>
        <v/>
      </c>
      <c r="Y12" s="90"/>
      <c r="Z12" s="90" t="str">
        <f>IFERROR(INDEX('[2]Link Out Monthly BY'!$K$6:$K$491,MATCH($M12,'[2]Link Out Monthly BY'!$C$6:$C$491,0),1),"")</f>
        <v/>
      </c>
      <c r="AA12" s="90"/>
      <c r="AB12" s="90" t="str">
        <f>IFERROR(INDEX('[2]Link Out Monthly BY'!$L$6:$L$491,MATCH($M12,'[2]Link Out Monthly BY'!$C$6:$C$491,0),1),"")</f>
        <v/>
      </c>
      <c r="AC12" s="90"/>
      <c r="AD12" s="90" t="str">
        <f>IFERROR(INDEX('[2]Link Out Monthly BY'!$M$6:$M$491,MATCH($M12,'[2]Link Out Monthly BY'!$C$6:$C$491,0),1),"")</f>
        <v/>
      </c>
      <c r="AE12" s="90"/>
      <c r="AF12" s="90" t="str">
        <f>IFERROR(INDEX('[2]Link Out Monthly BY'!$N$6:$N$491,MATCH($M12,'[2]Link Out Monthly BY'!$C$6:$C$491,0),1),"")</f>
        <v/>
      </c>
      <c r="AG12" s="90"/>
      <c r="AH12" s="90" t="str">
        <f>IFERROR(INDEX('[2]Link Out Monthly BY'!$O$6:$O$491,MATCH($M12,'[2]Link Out Monthly BY'!$C$6:$C$491,0),1),"")</f>
        <v/>
      </c>
      <c r="AI12" s="90"/>
      <c r="AJ12" s="90" t="str">
        <f>IFERROR(INDEX('[2]Link Out Monthly BY'!$P$6:$P$491,MATCH($M12,'[2]Link Out Monthly BY'!$C$6:$C$491,0),1),"")</f>
        <v/>
      </c>
      <c r="AK12" s="90"/>
      <c r="AL12" s="90" t="str">
        <f>IFERROR(INDEX('[2]Link Out Monthly BY'!$Q$6:$Q$491,MATCH($M12,'[2]Link Out Monthly BY'!$C$6:$C$491,0),1),"")</f>
        <v/>
      </c>
      <c r="AM12" s="90"/>
      <c r="AN12" s="90">
        <f t="shared" ref="AN12:AN17" si="0">SUM(P12:AL12)</f>
        <v>0</v>
      </c>
    </row>
    <row r="13" spans="1:40">
      <c r="A13" s="209" t="str">
        <f>'[2]Rate Case Constants'!$C$21</f>
        <v>Attrition Year at Proposed Rates</v>
      </c>
      <c r="B13" s="209"/>
      <c r="K13" s="104" t="str">
        <f>IFERROR(INDEX('[2]Link Out Monthly BY'!$A$6:$A$491,MATCH($M13,'[2]Link Out Monthly BY'!$C$6:$C$491,0),1),"")</f>
        <v/>
      </c>
      <c r="L13" s="104" t="str">
        <f>IFERROR(INDEX('[2]Rate Case Constants'!$B$6:$B$491,MATCH($M13,'[2]Rate Case Constants'!$C$6:$C$491,0),1),"")</f>
        <v/>
      </c>
      <c r="M13" s="210"/>
      <c r="N13" s="104" t="str">
        <f>IFERROR(INDEX('[2]Link Out Monthly BY'!$D$6:$D$491,MATCH($M13,'[2]Link Out Monthly BY'!$C$6:$C$491,0),1),"")</f>
        <v/>
      </c>
      <c r="O13" s="104" t="str">
        <f>IFERROR(INDEX('[2]Link Out Monthly BY'!$E$6:$E$491,MATCH($M13,'[2]Link Out Monthly BY'!$C$6:$C$491,0),1),"")</f>
        <v/>
      </c>
      <c r="P13" s="90" t="str">
        <f>IFERROR(INDEX('[2]Link Out Monthly BY'!$F$6:$F$491,MATCH($M13,'[2]Link Out Monthly BY'!$C$6:$C$491,0),1),"")</f>
        <v/>
      </c>
      <c r="Q13" s="90"/>
      <c r="R13" s="90" t="str">
        <f>IFERROR(INDEX('[2]Link Out Monthly BY'!$G$6:$G$491,MATCH($M13,'[2]Link Out Monthly BY'!$C$6:$C$491,0),1),"")</f>
        <v/>
      </c>
      <c r="S13" s="90"/>
      <c r="T13" s="90" t="str">
        <f>IFERROR(INDEX('[2]Link Out Monthly BY'!$H$6:$H$491,MATCH($M13,'[2]Link Out Monthly BY'!$C$6:$C$491,0),1),"")</f>
        <v/>
      </c>
      <c r="U13" s="90"/>
      <c r="V13" s="90" t="str">
        <f>IFERROR(INDEX('[2]Link Out Monthly BY'!$I$6:$I$491,MATCH($M13,'[2]Link Out Monthly BY'!$C$6:$C$491,0),1),"")</f>
        <v/>
      </c>
      <c r="W13" s="90"/>
      <c r="X13" s="90" t="str">
        <f>IFERROR(INDEX('[2]Link Out Monthly BY'!$J$6:$J$491,MATCH($M13,'[2]Link Out Monthly BY'!$C$6:$C$491,0),1),"")</f>
        <v/>
      </c>
      <c r="Y13" s="90"/>
      <c r="Z13" s="90" t="str">
        <f>IFERROR(INDEX('[2]Link Out Monthly BY'!$K$6:$K$491,MATCH($M13,'[2]Link Out Monthly BY'!$C$6:$C$491,0),1),"")</f>
        <v/>
      </c>
      <c r="AA13" s="90"/>
      <c r="AB13" s="90" t="str">
        <f>IFERROR(INDEX('[2]Link Out Monthly BY'!$L$6:$L$491,MATCH($M13,'[2]Link Out Monthly BY'!$C$6:$C$491,0),1),"")</f>
        <v/>
      </c>
      <c r="AC13" s="90"/>
      <c r="AD13" s="90" t="str">
        <f>IFERROR(INDEX('[2]Link Out Monthly BY'!$M$6:$M$491,MATCH($M13,'[2]Link Out Monthly BY'!$C$6:$C$491,0),1),"")</f>
        <v/>
      </c>
      <c r="AE13" s="90"/>
      <c r="AF13" s="90" t="str">
        <f>IFERROR(INDEX('[2]Link Out Monthly BY'!$N$6:$N$491,MATCH($M13,'[2]Link Out Monthly BY'!$C$6:$C$491,0),1),"")</f>
        <v/>
      </c>
      <c r="AG13" s="90"/>
      <c r="AH13" s="90" t="str">
        <f>IFERROR(INDEX('[2]Link Out Monthly BY'!$O$6:$O$491,MATCH($M13,'[2]Link Out Monthly BY'!$C$6:$C$491,0),1),"")</f>
        <v/>
      </c>
      <c r="AI13" s="90"/>
      <c r="AJ13" s="90" t="str">
        <f>IFERROR(INDEX('[2]Link Out Monthly BY'!$P$6:$P$491,MATCH($M13,'[2]Link Out Monthly BY'!$C$6:$C$491,0),1),"")</f>
        <v/>
      </c>
      <c r="AK13" s="90"/>
      <c r="AL13" s="90" t="str">
        <f>IFERROR(INDEX('[2]Link Out Monthly BY'!$Q$6:$Q$491,MATCH($M13,'[2]Link Out Monthly BY'!$C$6:$C$491,0),1),"")</f>
        <v/>
      </c>
      <c r="AM13" s="90"/>
      <c r="AN13" s="90">
        <f t="shared" si="0"/>
        <v>0</v>
      </c>
    </row>
    <row r="14" spans="1:40">
      <c r="A14" s="204"/>
      <c r="K14" s="104" t="str">
        <f>IFERROR(INDEX('[2]Link Out Monthly BY'!$A$6:$A$491,MATCH($M14,'[2]Link Out Monthly BY'!$C$6:$C$491,0),1),"")</f>
        <v/>
      </c>
      <c r="L14" s="104" t="str">
        <f>IFERROR(INDEX('[2]Rate Case Constants'!$B$6:$B$491,MATCH($M14,'[2]Rate Case Constants'!$C$6:$C$491,0),1),"")</f>
        <v/>
      </c>
      <c r="M14" s="210"/>
      <c r="N14" s="104" t="str">
        <f>IFERROR(INDEX('[2]Link Out Monthly BY'!$D$6:$D$491,MATCH($M14,'[2]Link Out Monthly BY'!$C$6:$C$491,0),1),"")</f>
        <v/>
      </c>
      <c r="O14" s="104" t="str">
        <f>IFERROR(INDEX('[2]Link Out Monthly BY'!$E$6:$E$491,MATCH($M14,'[2]Link Out Monthly BY'!$C$6:$C$491,0),1),"")</f>
        <v/>
      </c>
      <c r="P14" s="90" t="str">
        <f>IFERROR(INDEX('[2]Link Out Monthly BY'!$F$6:$F$491,MATCH($M14,'[2]Link Out Monthly BY'!$C$6:$C$491,0),1),"")</f>
        <v/>
      </c>
      <c r="Q14" s="90"/>
      <c r="R14" s="90" t="str">
        <f>IFERROR(INDEX('[2]Link Out Monthly BY'!$G$6:$G$491,MATCH($M14,'[2]Link Out Monthly BY'!$C$6:$C$491,0),1),"")</f>
        <v/>
      </c>
      <c r="S14" s="90"/>
      <c r="T14" s="90" t="str">
        <f>IFERROR(INDEX('[2]Link Out Monthly BY'!$H$6:$H$491,MATCH($M14,'[2]Link Out Monthly BY'!$C$6:$C$491,0),1),"")</f>
        <v/>
      </c>
      <c r="U14" s="90"/>
      <c r="V14" s="90" t="str">
        <f>IFERROR(INDEX('[2]Link Out Monthly BY'!$I$6:$I$491,MATCH($M14,'[2]Link Out Monthly BY'!$C$6:$C$491,0),1),"")</f>
        <v/>
      </c>
      <c r="W14" s="90"/>
      <c r="X14" s="90" t="str">
        <f>IFERROR(INDEX('[2]Link Out Monthly BY'!$J$6:$J$491,MATCH($M14,'[2]Link Out Monthly BY'!$C$6:$C$491,0),1),"")</f>
        <v/>
      </c>
      <c r="Y14" s="90"/>
      <c r="Z14" s="90" t="str">
        <f>IFERROR(INDEX('[2]Link Out Monthly BY'!$K$6:$K$491,MATCH($M14,'[2]Link Out Monthly BY'!$C$6:$C$491,0),1),"")</f>
        <v/>
      </c>
      <c r="AA14" s="90"/>
      <c r="AB14" s="90" t="str">
        <f>IFERROR(INDEX('[2]Link Out Monthly BY'!$L$6:$L$491,MATCH($M14,'[2]Link Out Monthly BY'!$C$6:$C$491,0),1),"")</f>
        <v/>
      </c>
      <c r="AC14" s="90"/>
      <c r="AD14" s="90" t="str">
        <f>IFERROR(INDEX('[2]Link Out Monthly BY'!$M$6:$M$491,MATCH($M14,'[2]Link Out Monthly BY'!$C$6:$C$491,0),1),"")</f>
        <v/>
      </c>
      <c r="AE14" s="90"/>
      <c r="AF14" s="90" t="str">
        <f>IFERROR(INDEX('[2]Link Out Monthly BY'!$N$6:$N$491,MATCH($M14,'[2]Link Out Monthly BY'!$C$6:$C$491,0),1),"")</f>
        <v/>
      </c>
      <c r="AG14" s="90"/>
      <c r="AH14" s="90" t="str">
        <f>IFERROR(INDEX('[2]Link Out Monthly BY'!$O$6:$O$491,MATCH($M14,'[2]Link Out Monthly BY'!$C$6:$C$491,0),1),"")</f>
        <v/>
      </c>
      <c r="AI14" s="90"/>
      <c r="AJ14" s="90" t="str">
        <f>IFERROR(INDEX('[2]Link Out Monthly BY'!$P$6:$P$491,MATCH($M14,'[2]Link Out Monthly BY'!$C$6:$C$491,0),1),"")</f>
        <v/>
      </c>
      <c r="AK14" s="90"/>
      <c r="AL14" s="90" t="str">
        <f>IFERROR(INDEX('[2]Link Out Monthly BY'!$Q$6:$Q$491,MATCH($M14,'[2]Link Out Monthly BY'!$C$6:$C$491,0),1),"")</f>
        <v/>
      </c>
      <c r="AM14" s="90"/>
      <c r="AN14" s="90">
        <f t="shared" si="0"/>
        <v>0</v>
      </c>
    </row>
    <row r="15" spans="1:40" ht="14.4">
      <c r="A15" s="212" t="str">
        <f>'[2]Link Out Filing Exhibits'!$A$5</f>
        <v>Type of Filing: __X__ Original  _____ Updated  _____ Revised</v>
      </c>
      <c r="B15" s="212"/>
      <c r="K15" s="104" t="str">
        <f>IFERROR(INDEX('[2]Link Out Monthly BY'!$A$6:$A$491,MATCH($M15,'[2]Link Out Monthly BY'!$C$6:$C$491,0),1),"")</f>
        <v/>
      </c>
      <c r="L15" s="104" t="str">
        <f>IFERROR(INDEX('[2]Rate Case Constants'!$B$6:$B$491,MATCH($M15,'[2]Rate Case Constants'!$C$6:$C$491,0),1),"")</f>
        <v/>
      </c>
      <c r="M15" s="210"/>
      <c r="N15" s="104" t="str">
        <f>IFERROR(INDEX('[2]Link Out Monthly BY'!$D$6:$D$491,MATCH($M15,'[2]Link Out Monthly BY'!$C$6:$C$491,0),1),"")</f>
        <v/>
      </c>
      <c r="O15" s="104" t="str">
        <f>IFERROR(INDEX('[2]Link Out Monthly BY'!$E$6:$E$491,MATCH($M15,'[2]Link Out Monthly BY'!$C$6:$C$491,0),1),"")</f>
        <v/>
      </c>
      <c r="P15" s="90" t="str">
        <f>IFERROR(INDEX('[2]Link Out Monthly BY'!$F$6:$F$491,MATCH($M15,'[2]Link Out Monthly BY'!$C$6:$C$491,0),1),"")</f>
        <v/>
      </c>
      <c r="Q15" s="90"/>
      <c r="R15" s="90" t="str">
        <f>IFERROR(INDEX('[2]Link Out Monthly BY'!$G$6:$G$491,MATCH($M15,'[2]Link Out Monthly BY'!$C$6:$C$491,0),1),"")</f>
        <v/>
      </c>
      <c r="S15" s="90"/>
      <c r="T15" s="90" t="str">
        <f>IFERROR(INDEX('[2]Link Out Monthly BY'!$H$6:$H$491,MATCH($M15,'[2]Link Out Monthly BY'!$C$6:$C$491,0),1),"")</f>
        <v/>
      </c>
      <c r="U15" s="90"/>
      <c r="V15" s="90" t="str">
        <f>IFERROR(INDEX('[2]Link Out Monthly BY'!$I$6:$I$491,MATCH($M15,'[2]Link Out Monthly BY'!$C$6:$C$491,0),1),"")</f>
        <v/>
      </c>
      <c r="W15" s="90"/>
      <c r="X15" s="90" t="str">
        <f>IFERROR(INDEX('[2]Link Out Monthly BY'!$J$6:$J$491,MATCH($M15,'[2]Link Out Monthly BY'!$C$6:$C$491,0),1),"")</f>
        <v/>
      </c>
      <c r="Y15" s="90"/>
      <c r="Z15" s="90" t="str">
        <f>IFERROR(INDEX('[2]Link Out Monthly BY'!$K$6:$K$491,MATCH($M15,'[2]Link Out Monthly BY'!$C$6:$C$491,0),1),"")</f>
        <v/>
      </c>
      <c r="AA15" s="90"/>
      <c r="AB15" s="90" t="str">
        <f>IFERROR(INDEX('[2]Link Out Monthly BY'!$L$6:$L$491,MATCH($M15,'[2]Link Out Monthly BY'!$C$6:$C$491,0),1),"")</f>
        <v/>
      </c>
      <c r="AC15" s="90"/>
      <c r="AD15" s="90" t="str">
        <f>IFERROR(INDEX('[2]Link Out Monthly BY'!$M$6:$M$491,MATCH($M15,'[2]Link Out Monthly BY'!$C$6:$C$491,0),1),"")</f>
        <v/>
      </c>
      <c r="AE15" s="90"/>
      <c r="AF15" s="90" t="str">
        <f>IFERROR(INDEX('[2]Link Out Monthly BY'!$N$6:$N$491,MATCH($M15,'[2]Link Out Monthly BY'!$C$6:$C$491,0),1),"")</f>
        <v/>
      </c>
      <c r="AG15" s="90"/>
      <c r="AH15" s="90" t="str">
        <f>IFERROR(INDEX('[2]Link Out Monthly BY'!$O$6:$O$491,MATCH($M15,'[2]Link Out Monthly BY'!$C$6:$C$491,0),1),"")</f>
        <v/>
      </c>
      <c r="AI15" s="90"/>
      <c r="AJ15" s="90" t="str">
        <f>IFERROR(INDEX('[2]Link Out Monthly BY'!$P$6:$P$491,MATCH($M15,'[2]Link Out Monthly BY'!$C$6:$C$491,0),1),"")</f>
        <v/>
      </c>
      <c r="AK15" s="90"/>
      <c r="AL15" s="90" t="str">
        <f>IFERROR(INDEX('[2]Link Out Monthly BY'!$Q$6:$Q$491,MATCH($M15,'[2]Link Out Monthly BY'!$C$6:$C$491,0),1),"")</f>
        <v/>
      </c>
      <c r="AM15" s="90"/>
      <c r="AN15" s="90">
        <f t="shared" si="0"/>
        <v>0</v>
      </c>
    </row>
    <row r="16" spans="1:40" ht="14.4">
      <c r="A16" s="212"/>
      <c r="B16" s="212"/>
      <c r="K16" s="104" t="str">
        <f>IFERROR(INDEX('[2]Link Out Monthly BY'!$A$6:$A$491,MATCH($M16,'[2]Link Out Monthly BY'!$C$6:$C$491,0),1),"")</f>
        <v/>
      </c>
      <c r="L16" s="104" t="str">
        <f>IFERROR(INDEX('[2]Rate Case Constants'!$B$6:$B$491,MATCH($M16,'[2]Rate Case Constants'!$C$6:$C$491,0),1),"")</f>
        <v/>
      </c>
      <c r="M16" s="210"/>
      <c r="N16" s="104" t="str">
        <f>IFERROR(INDEX('[2]Link Out Monthly BY'!$D$6:$D$491,MATCH($M16,'[2]Link Out Monthly BY'!$C$6:$C$491,0),1),"")</f>
        <v/>
      </c>
      <c r="O16" s="104" t="str">
        <f>IFERROR(INDEX('[2]Link Out Monthly BY'!$E$6:$E$491,MATCH($M16,'[2]Link Out Monthly BY'!$C$6:$C$491,0),1),"")</f>
        <v/>
      </c>
      <c r="P16" s="90" t="str">
        <f>IFERROR(INDEX('[2]Link Out Monthly BY'!$F$6:$F$491,MATCH($M16,'[2]Link Out Monthly BY'!$C$6:$C$491,0),1),"")</f>
        <v/>
      </c>
      <c r="Q16" s="90"/>
      <c r="R16" s="90" t="str">
        <f>IFERROR(INDEX('[2]Link Out Monthly BY'!$G$6:$G$491,MATCH($M16,'[2]Link Out Monthly BY'!$C$6:$C$491,0),1),"")</f>
        <v/>
      </c>
      <c r="S16" s="90"/>
      <c r="T16" s="90" t="str">
        <f>IFERROR(INDEX('[2]Link Out Monthly BY'!$H$6:$H$491,MATCH($M16,'[2]Link Out Monthly BY'!$C$6:$C$491,0),1),"")</f>
        <v/>
      </c>
      <c r="U16" s="90"/>
      <c r="V16" s="90" t="str">
        <f>IFERROR(INDEX('[2]Link Out Monthly BY'!$I$6:$I$491,MATCH($M16,'[2]Link Out Monthly BY'!$C$6:$C$491,0),1),"")</f>
        <v/>
      </c>
      <c r="W16" s="90"/>
      <c r="X16" s="90" t="str">
        <f>IFERROR(INDEX('[2]Link Out Monthly BY'!$J$6:$J$491,MATCH($M16,'[2]Link Out Monthly BY'!$C$6:$C$491,0),1),"")</f>
        <v/>
      </c>
      <c r="Y16" s="90"/>
      <c r="Z16" s="90" t="str">
        <f>IFERROR(INDEX('[2]Link Out Monthly BY'!$K$6:$K$491,MATCH($M16,'[2]Link Out Monthly BY'!$C$6:$C$491,0),1),"")</f>
        <v/>
      </c>
      <c r="AA16" s="90"/>
      <c r="AB16" s="90" t="str">
        <f>IFERROR(INDEX('[2]Link Out Monthly BY'!$L$6:$L$491,MATCH($M16,'[2]Link Out Monthly BY'!$C$6:$C$491,0),1),"")</f>
        <v/>
      </c>
      <c r="AC16" s="90"/>
      <c r="AD16" s="90" t="str">
        <f>IFERROR(INDEX('[2]Link Out Monthly BY'!$M$6:$M$491,MATCH($M16,'[2]Link Out Monthly BY'!$C$6:$C$491,0),1),"")</f>
        <v/>
      </c>
      <c r="AE16" s="90"/>
      <c r="AF16" s="90" t="str">
        <f>IFERROR(INDEX('[2]Link Out Monthly BY'!$N$6:$N$491,MATCH($M16,'[2]Link Out Monthly BY'!$C$6:$C$491,0),1),"")</f>
        <v/>
      </c>
      <c r="AG16" s="90"/>
      <c r="AH16" s="90" t="str">
        <f>IFERROR(INDEX('[2]Link Out Monthly BY'!$O$6:$O$491,MATCH($M16,'[2]Link Out Monthly BY'!$C$6:$C$491,0),1),"")</f>
        <v/>
      </c>
      <c r="AI16" s="90"/>
      <c r="AJ16" s="90" t="str">
        <f>IFERROR(INDEX('[2]Link Out Monthly BY'!$P$6:$P$491,MATCH($M16,'[2]Link Out Monthly BY'!$C$6:$C$491,0),1),"")</f>
        <v/>
      </c>
      <c r="AK16" s="90"/>
      <c r="AL16" s="90" t="str">
        <f>IFERROR(INDEX('[2]Link Out Monthly BY'!$Q$6:$Q$491,MATCH($M16,'[2]Link Out Monthly BY'!$C$6:$C$491,0),1),"")</f>
        <v/>
      </c>
      <c r="AM16" s="90"/>
      <c r="AN16" s="90">
        <f t="shared" si="0"/>
        <v>0</v>
      </c>
    </row>
    <row r="17" spans="1:40" ht="14.4">
      <c r="A17" s="212"/>
      <c r="B17" s="212"/>
      <c r="K17" s="104" t="str">
        <f>IFERROR(INDEX('[2]Link Out Monthly BY'!$A$6:$A$491,MATCH($M17,'[2]Link Out Monthly BY'!$C$6:$C$491,0),1),"")</f>
        <v/>
      </c>
      <c r="L17" s="104" t="str">
        <f>IFERROR(INDEX('[2]Rate Case Constants'!$B$6:$B$491,MATCH($M17,'[2]Rate Case Constants'!$C$6:$C$491,0),1),"")</f>
        <v/>
      </c>
      <c r="M17" s="210"/>
      <c r="N17" s="104" t="str">
        <f>IFERROR(INDEX('[2]Link Out Monthly BY'!$D$6:$D$491,MATCH($M17,'[2]Link Out Monthly BY'!$C$6:$C$491,0),1),"")</f>
        <v/>
      </c>
      <c r="O17" s="104" t="str">
        <f>IFERROR(INDEX('[2]Link Out Monthly BY'!$E$6:$E$491,MATCH($M17,'[2]Link Out Monthly BY'!$C$6:$C$491,0),1),"")</f>
        <v/>
      </c>
      <c r="P17" s="90" t="str">
        <f>IFERROR(INDEX('[2]Link Out Monthly BY'!$F$6:$F$491,MATCH($M17,'[2]Link Out Monthly BY'!$C$6:$C$491,0),1),"")</f>
        <v/>
      </c>
      <c r="Q17" s="90"/>
      <c r="R17" s="90" t="str">
        <f>IFERROR(INDEX('[2]Link Out Monthly BY'!$G$6:$G$491,MATCH($M17,'[2]Link Out Monthly BY'!$C$6:$C$491,0),1),"")</f>
        <v/>
      </c>
      <c r="S17" s="90"/>
      <c r="T17" s="90" t="str">
        <f>IFERROR(INDEX('[2]Link Out Monthly BY'!$H$6:$H$491,MATCH($M17,'[2]Link Out Monthly BY'!$C$6:$C$491,0),1),"")</f>
        <v/>
      </c>
      <c r="U17" s="90"/>
      <c r="V17" s="90" t="str">
        <f>IFERROR(INDEX('[2]Link Out Monthly BY'!$I$6:$I$491,MATCH($M17,'[2]Link Out Monthly BY'!$C$6:$C$491,0),1),"")</f>
        <v/>
      </c>
      <c r="W17" s="90"/>
      <c r="X17" s="90" t="str">
        <f>IFERROR(INDEX('[2]Link Out Monthly BY'!$J$6:$J$491,MATCH($M17,'[2]Link Out Monthly BY'!$C$6:$C$491,0),1),"")</f>
        <v/>
      </c>
      <c r="Y17" s="90"/>
      <c r="Z17" s="90" t="str">
        <f>IFERROR(INDEX('[2]Link Out Monthly BY'!$K$6:$K$491,MATCH($M17,'[2]Link Out Monthly BY'!$C$6:$C$491,0),1),"")</f>
        <v/>
      </c>
      <c r="AA17" s="90"/>
      <c r="AB17" s="90" t="str">
        <f>IFERROR(INDEX('[2]Link Out Monthly BY'!$L$6:$L$491,MATCH($M17,'[2]Link Out Monthly BY'!$C$6:$C$491,0),1),"")</f>
        <v/>
      </c>
      <c r="AC17" s="90"/>
      <c r="AD17" s="90" t="str">
        <f>IFERROR(INDEX('[2]Link Out Monthly BY'!$M$6:$M$491,MATCH($M17,'[2]Link Out Monthly BY'!$C$6:$C$491,0),1),"")</f>
        <v/>
      </c>
      <c r="AE17" s="90"/>
      <c r="AF17" s="90" t="str">
        <f>IFERROR(INDEX('[2]Link Out Monthly BY'!$N$6:$N$491,MATCH($M17,'[2]Link Out Monthly BY'!$C$6:$C$491,0),1),"")</f>
        <v/>
      </c>
      <c r="AG17" s="90"/>
      <c r="AH17" s="90" t="str">
        <f>IFERROR(INDEX('[2]Link Out Monthly BY'!$O$6:$O$491,MATCH($M17,'[2]Link Out Monthly BY'!$C$6:$C$491,0),1),"")</f>
        <v/>
      </c>
      <c r="AI17" s="90"/>
      <c r="AJ17" s="90" t="str">
        <f>IFERROR(INDEX('[2]Link Out Monthly BY'!$P$6:$P$491,MATCH($M17,'[2]Link Out Monthly BY'!$C$6:$C$491,0),1),"")</f>
        <v/>
      </c>
      <c r="AK17" s="90"/>
      <c r="AL17" s="90" t="str">
        <f>IFERROR(INDEX('[2]Link Out Monthly BY'!$Q$6:$Q$491,MATCH($M17,'[2]Link Out Monthly BY'!$C$6:$C$491,0),1),"")</f>
        <v/>
      </c>
      <c r="AM17" s="90"/>
      <c r="AN17" s="90">
        <f t="shared" si="0"/>
        <v>0</v>
      </c>
    </row>
    <row r="18" spans="1:40">
      <c r="A18" s="204"/>
    </row>
    <row r="19" spans="1:40" ht="14.4">
      <c r="A19" s="212" t="str">
        <f>'[2]Rate Case Constants'!$A$30</f>
        <v>Witness Responsible:</v>
      </c>
      <c r="B19" s="212"/>
    </row>
    <row r="20" spans="1:40">
      <c r="A20" s="204" t="str">
        <f>'[2]Rate Case Constants'!$C$37</f>
        <v>Witness Responsible:   James Pellock</v>
      </c>
      <c r="P20" s="213">
        <f>SUM(P12:P19)</f>
        <v>0</v>
      </c>
      <c r="Q20" s="213"/>
      <c r="R20" s="213">
        <f t="shared" ref="R20:AN20" si="1">SUM(R12:R19)</f>
        <v>0</v>
      </c>
      <c r="S20" s="213"/>
      <c r="T20" s="213">
        <f t="shared" si="1"/>
        <v>0</v>
      </c>
      <c r="U20" s="213"/>
      <c r="V20" s="213">
        <f t="shared" si="1"/>
        <v>0</v>
      </c>
      <c r="W20" s="213"/>
      <c r="X20" s="213">
        <f t="shared" si="1"/>
        <v>0</v>
      </c>
      <c r="Y20" s="213"/>
      <c r="Z20" s="213">
        <f t="shared" si="1"/>
        <v>0</v>
      </c>
      <c r="AA20" s="213"/>
      <c r="AB20" s="213">
        <f t="shared" si="1"/>
        <v>0</v>
      </c>
      <c r="AC20" s="213"/>
      <c r="AD20" s="213">
        <f t="shared" si="1"/>
        <v>0</v>
      </c>
      <c r="AE20" s="213"/>
      <c r="AF20" s="213">
        <f t="shared" si="1"/>
        <v>0</v>
      </c>
      <c r="AG20" s="213"/>
      <c r="AH20" s="213">
        <f t="shared" si="1"/>
        <v>0</v>
      </c>
      <c r="AI20" s="213"/>
      <c r="AJ20" s="213">
        <f t="shared" si="1"/>
        <v>0</v>
      </c>
      <c r="AK20" s="213"/>
      <c r="AL20" s="213">
        <f t="shared" si="1"/>
        <v>0</v>
      </c>
      <c r="AM20" s="213"/>
      <c r="AN20" s="213">
        <f t="shared" si="1"/>
        <v>0</v>
      </c>
    </row>
    <row r="21" spans="1:40">
      <c r="A21" s="204"/>
    </row>
    <row r="22" spans="1:40" ht="14.4">
      <c r="A22" s="214" t="str">
        <f>'[2]Link Out WP'!$D$42</f>
        <v>Labor</v>
      </c>
      <c r="B22" s="214"/>
      <c r="C22" s="214"/>
      <c r="D22" s="204"/>
      <c r="E22" s="214"/>
      <c r="F22" s="204"/>
      <c r="G22" s="204"/>
    </row>
    <row r="23" spans="1:40" ht="14.4">
      <c r="A23" s="214" t="str">
        <f>CONCATENATE(A8, " ", A22)</f>
        <v>Base Year Adjustment Labor</v>
      </c>
      <c r="B23" s="214"/>
      <c r="C23" s="214"/>
      <c r="D23" s="204"/>
      <c r="E23" s="214"/>
      <c r="F23" s="204"/>
      <c r="G23" s="204"/>
    </row>
    <row r="24" spans="1:40" ht="14.4">
      <c r="A24" s="214"/>
      <c r="B24" s="214"/>
    </row>
    <row r="25" spans="1:40" ht="14.4">
      <c r="A25" s="214" t="str">
        <f>'[2]Link Out WP'!$F$42</f>
        <v>W/P - 3-1</v>
      </c>
      <c r="B25" s="214" t="s">
        <v>617</v>
      </c>
      <c r="C25" s="2" t="str">
        <f>CONCATENATE($A$8, " ", B25)</f>
        <v>Base Year Adjustment Labor</v>
      </c>
    </row>
    <row r="26" spans="1:40" ht="14.4">
      <c r="A26" s="214" t="str">
        <f>'[2]Link Out WP'!$F$43</f>
        <v>W/P - 3-1a</v>
      </c>
      <c r="B26" s="214" t="s">
        <v>618</v>
      </c>
      <c r="C26" s="2" t="str">
        <f>CONCATENATE($A$8, " ", B26)</f>
        <v>Base Year Adjustment Group Insurance and OPEB</v>
      </c>
    </row>
    <row r="27" spans="1:40" ht="14.4">
      <c r="A27" s="214" t="str">
        <f>'[2]Link Out WP'!$F$44</f>
        <v>W/P - 3-1b</v>
      </c>
      <c r="B27" s="214" t="s">
        <v>619</v>
      </c>
      <c r="C27" s="2" t="str">
        <f>CONCATENATE($A$8, " ", B27)</f>
        <v>Base Year Adjustment Other Benefits</v>
      </c>
    </row>
    <row r="28" spans="1:40" ht="14.4">
      <c r="A28" s="214" t="str">
        <f>'[2]Link Out WP'!$F$45</f>
        <v>W/P - 3-1c</v>
      </c>
      <c r="B28" s="214" t="s">
        <v>620</v>
      </c>
      <c r="C28" s="2" t="str">
        <f>CONCATENATE($A$8, " ", B28)</f>
        <v>Base Year Adjustment Pension</v>
      </c>
    </row>
    <row r="29" spans="1:40" ht="14.4">
      <c r="A29" s="214" t="str">
        <f>'[2]Link Out WP'!$F$75</f>
        <v>W/P - 5-3</v>
      </c>
      <c r="B29" s="214" t="s">
        <v>540</v>
      </c>
      <c r="C29" s="2" t="str">
        <f>CONCATENATE($A$8, " ", B29)</f>
        <v>Base Year Adjustment Payroll Taxes</v>
      </c>
    </row>
    <row r="30" spans="1:40" ht="14.4">
      <c r="A30" s="2" t="str">
        <f>'[2]Link Out Filing Exhibits'!$M$80</f>
        <v>Schedule D-2.3</v>
      </c>
      <c r="B30" s="214"/>
    </row>
    <row r="31" spans="1:40" ht="14.4">
      <c r="A31" s="2"/>
      <c r="B31" s="214"/>
    </row>
    <row r="32" spans="1:40" ht="14.4">
      <c r="A32" s="2" t="s">
        <v>591</v>
      </c>
      <c r="B32" s="214"/>
      <c r="K32" s="2" t="s">
        <v>592</v>
      </c>
      <c r="X32" s="90"/>
      <c r="Y32" s="90"/>
    </row>
    <row r="33" spans="1:43" ht="14.4">
      <c r="A33" s="207" t="s">
        <v>593</v>
      </c>
      <c r="B33" s="207" t="s">
        <v>587</v>
      </c>
      <c r="C33" s="207" t="s">
        <v>588</v>
      </c>
      <c r="D33" s="215"/>
      <c r="E33" s="107" t="s">
        <v>589</v>
      </c>
      <c r="F33" s="215"/>
      <c r="G33" s="107" t="s">
        <v>590</v>
      </c>
      <c r="H33" s="215"/>
      <c r="I33" s="107" t="s">
        <v>594</v>
      </c>
      <c r="J33" s="215"/>
      <c r="K33" s="207" t="s">
        <v>82</v>
      </c>
      <c r="L33" s="207" t="s">
        <v>587</v>
      </c>
      <c r="M33" s="207" t="s">
        <v>588</v>
      </c>
      <c r="N33" s="207" t="s">
        <v>589</v>
      </c>
      <c r="O33" s="107" t="s">
        <v>590</v>
      </c>
      <c r="P33" s="208">
        <v>43647</v>
      </c>
      <c r="Q33" s="208"/>
      <c r="R33" s="208">
        <v>43678</v>
      </c>
      <c r="S33" s="208"/>
      <c r="T33" s="208">
        <v>43709</v>
      </c>
      <c r="U33" s="208"/>
      <c r="V33" s="208">
        <v>43739</v>
      </c>
      <c r="W33" s="208"/>
      <c r="X33" s="208">
        <v>43770</v>
      </c>
      <c r="Y33" s="208"/>
      <c r="Z33" s="208">
        <v>43800</v>
      </c>
      <c r="AA33" s="208"/>
      <c r="AB33" s="208">
        <v>43831</v>
      </c>
      <c r="AC33" s="208"/>
      <c r="AD33" s="208">
        <v>43862</v>
      </c>
      <c r="AE33" s="208"/>
      <c r="AF33" s="208">
        <v>43891</v>
      </c>
      <c r="AG33" s="208"/>
      <c r="AH33" s="208">
        <v>43922</v>
      </c>
      <c r="AI33" s="208"/>
      <c r="AJ33" s="208">
        <v>43952</v>
      </c>
      <c r="AK33" s="208"/>
      <c r="AL33" s="208">
        <v>43983</v>
      </c>
      <c r="AM33" s="208"/>
      <c r="AN33" s="207" t="s">
        <v>476</v>
      </c>
    </row>
    <row r="35" spans="1:43">
      <c r="A35" s="104" t="str">
        <f>IFERROR(INDEX('[2]Link Out Monthly BY'!$A$6:$A$525,MATCH($C35,'[2]Link Out Monthly BY'!$C$6:$C$525,0),1),"")</f>
        <v>P17</v>
      </c>
      <c r="B35" s="104" t="str">
        <f>IFERROR(INDEX('[2]Link Out Monthly BY'!$B$6:$B$525,MATCH($C35,'[2]Link Out Monthly BY'!$C$6:$C$525,0),1),"")</f>
        <v>Salaries and wages</v>
      </c>
      <c r="C35" s="204">
        <v>50100000</v>
      </c>
      <c r="E35" s="104" t="str">
        <f>IFERROR(INDEX('[2]Link Out Monthly BY'!$D$6:$D$525,MATCH($C35,'[2]Link Out Monthly BY'!$C$6:$C$525,0),1),"")</f>
        <v>Labor Expense</v>
      </c>
      <c r="G35" s="104" t="str">
        <f>IFERROR(INDEX('[2]Link Out Monthly BY'!$E$6:$E$525,MATCH($C35,'[2]Link Out Monthly BY'!$C$6:$C$505,0),1),"")</f>
        <v>601.8</v>
      </c>
      <c r="I35" s="90">
        <f>IFERROR(INDEX('[2]Link Out Monthly BY'!$R$6:$R$525,MATCH($C35,'[2]Link Out Monthly BY'!$C$6:$C$525,0),1),0)</f>
        <v>5971937</v>
      </c>
      <c r="K35" s="104" t="str">
        <f>IFERROR(INDEX('[2]Link Out Forecast'!$A$6:$A$275,MATCH($M35,'[2]Link Out Forecast'!$C$6:$C$275,0),1),"")</f>
        <v>P17</v>
      </c>
      <c r="L35" s="104" t="str">
        <f>IFERROR(INDEX('[2]Link Out Forecast'!$B$6:$B$275,MATCH($M35,'[2]Link Out Forecast'!$C$6:$C$275,0),1),"")</f>
        <v>Salaries and wages</v>
      </c>
      <c r="M35" s="204">
        <v>50100000</v>
      </c>
      <c r="N35" s="104" t="str">
        <f>IFERROR(INDEX('[2]Link Out Forecast'!$D$6:$D$275,MATCH($M35,'[2]Link Out Forecast'!$C$6:$C$275,0),1),"")</f>
        <v>Labor Expense</v>
      </c>
      <c r="O35" s="104" t="str">
        <f>IFERROR(INDEX('[2]Link Out Forecast'!$E$6:$E$275,MATCH($M35,'[2]Link Out Forecast'!$C$6:$C$275,0),1),"")</f>
        <v>601.8</v>
      </c>
      <c r="P35" s="90">
        <f>IFERROR(INDEX('[2]Link Out Forecast'!$F$6:$F$275,MATCH($M35,'[2]Link Out Forecast'!$C$6:$C$275,0),1),"")</f>
        <v>816443</v>
      </c>
      <c r="Q35" s="90"/>
      <c r="R35" s="90">
        <f>IFERROR(INDEX('[2]Link Out Forecast'!$G$6:$G$275,MATCH($M35,'[2]Link Out Forecast'!$C$6:$C$275,0),1),"")</f>
        <v>780946</v>
      </c>
      <c r="S35" s="90"/>
      <c r="T35" s="90">
        <f>IFERROR(INDEX('[2]Link Out Forecast'!$H$6:$H$275,MATCH($M35,'[2]Link Out Forecast'!$C$6:$C$275,0),1),"")</f>
        <v>745448</v>
      </c>
      <c r="U35" s="90"/>
      <c r="V35" s="90">
        <f>IFERROR(INDEX('[2]Link Out Forecast'!$I$6:$I$275,MATCH($M35,'[2]Link Out Forecast'!$C$6:$C$275,0),1),"")</f>
        <v>816443</v>
      </c>
      <c r="W35" s="90"/>
      <c r="X35" s="90">
        <f>IFERROR(INDEX('[2]Link Out Forecast'!$J$6:$J$275,MATCH($M35,'[2]Link Out Forecast'!$C$6:$C$275,0),1),"")</f>
        <v>754427</v>
      </c>
      <c r="Y35" s="90"/>
      <c r="Z35" s="90">
        <f>IFERROR(INDEX('[2]Link Out Forecast'!$K$6:$K$275,MATCH($M35,'[2]Link Out Forecast'!$C$6:$C$275,0),1),"")</f>
        <v>790352</v>
      </c>
      <c r="AA35" s="90"/>
      <c r="AB35" s="90">
        <f>IFERROR(INDEX('[2]Link Out Forecast'!$L$6:$L$275,MATCH($M35,'[2]Link Out Forecast'!$C$6:$C$275,0),1),"")</f>
        <v>691080</v>
      </c>
      <c r="AC35" s="90"/>
      <c r="AD35" s="90">
        <f>IFERROR(INDEX('[2]Link Out Forecast'!$M$6:$M$275,MATCH($M35,'[2]Link Out Forecast'!$C$6:$C$275,0),1),"")</f>
        <v>605741</v>
      </c>
      <c r="AE35" s="90"/>
      <c r="AF35" s="90">
        <f>IFERROR(INDEX('[2]Link Out Forecast'!$N$6:$N$275,MATCH($M35,'[2]Link Out Forecast'!$C$6:$C$275,0),1),"")</f>
        <v>637940</v>
      </c>
      <c r="AG35" s="90"/>
      <c r="AH35" s="90">
        <f>IFERROR(INDEX('[2]Link Out Forecast'!$O$6:$O$275,MATCH($M35,'[2]Link Out Forecast'!$C$6:$C$275,0),1),"")</f>
        <v>671643</v>
      </c>
      <c r="AI35" s="90"/>
      <c r="AJ35" s="90">
        <f>IFERROR(INDEX('[2]Link Out Forecast'!$P$6:$P$275,MATCH($M35,'[2]Link Out Forecast'!$C$6:$C$275,0),1),"")</f>
        <v>700881</v>
      </c>
      <c r="AK35" s="90"/>
      <c r="AL35" s="90">
        <f>IFERROR(INDEX('[2]Link Out Forecast'!$Q$6:$Q$275,MATCH($M35,'[2]Link Out Forecast'!$C$6:$C$275,0),1),"")</f>
        <v>618369</v>
      </c>
      <c r="AM35" s="90"/>
      <c r="AN35" s="90">
        <f>IFERROR(INDEX('[2]Link Out Forecast'!$R$6:$R$275,MATCH($M35,'[2]Link Out Forecast'!$C$6:$C$275,0),1),"")</f>
        <v>8629713</v>
      </c>
      <c r="AP35" s="527"/>
      <c r="AQ35" s="527"/>
    </row>
    <row r="36" spans="1:43">
      <c r="A36" s="104" t="str">
        <f>IFERROR(INDEX('[2]Link Out Monthly BY'!$A$6:$A$525,MATCH($C36,'[2]Link Out Monthly BY'!$C$6:$C$525,0),1),"")</f>
        <v>P17</v>
      </c>
      <c r="B36" s="104" t="str">
        <f>IFERROR(INDEX('[2]Link Out Monthly BY'!$B$6:$B$525,MATCH($C36,'[2]Link Out Monthly BY'!$C$6:$C$525,0),1),"")</f>
        <v>Salaries and wages</v>
      </c>
      <c r="C36" s="204">
        <v>50100001</v>
      </c>
      <c r="E36" s="104" t="str">
        <f>IFERROR(INDEX('[2]Link Out Monthly BY'!$D$6:$D$525,MATCH($C36,'[2]Link Out Monthly BY'!$C$6:$C$525,0),1),"")</f>
        <v>Labor ExpenseAccrual</v>
      </c>
      <c r="G36" s="104" t="str">
        <f>IFERROR(INDEX('[2]Link Out Monthly BY'!$E$6:$E$525,MATCH($C36,'[2]Link Out Monthly BY'!$C$6:$C$505,0),1),"")</f>
        <v>601.8</v>
      </c>
      <c r="I36" s="90">
        <f>IFERROR(INDEX('[2]Link Out Monthly BY'!$R$6:$R$525,MATCH($C36,'[2]Link Out Monthly BY'!$C$6:$C$525,0),1),0)</f>
        <v>-61217</v>
      </c>
      <c r="K36" s="104" t="str">
        <f>IFERROR(INDEX('[2]Link Out Forecast'!$A$6:$A$275,MATCH($M36,'[2]Link Out Forecast'!$C$6:$C$275,0),1),"")</f>
        <v>P17</v>
      </c>
      <c r="L36" s="104" t="str">
        <f>IFERROR(INDEX('[2]Link Out Forecast'!$B$6:$B$275,MATCH($M36,'[2]Link Out Forecast'!$C$6:$C$275,0),1),"")</f>
        <v>Salaries and wages</v>
      </c>
      <c r="M36" s="204">
        <v>50109900</v>
      </c>
      <c r="N36" s="104" t="str">
        <f>IFERROR(INDEX('[2]Link Out Forecast'!$D$6:$D$275,MATCH($M36,'[2]Link Out Forecast'!$C$6:$C$275,0),1),"")</f>
        <v>Labor Cap Credits</v>
      </c>
      <c r="O36" s="104" t="str">
        <f>IFERROR(INDEX('[2]Link Out Forecast'!$E$6:$E$275,MATCH($M36,'[2]Link Out Forecast'!$C$6:$C$275,0),1),"")</f>
        <v>601.8</v>
      </c>
      <c r="P36" s="90">
        <f>IFERROR(INDEX('[2]Link Out Forecast'!$F$6:$F$275,MATCH($M36,'[2]Link Out Forecast'!$C$6:$C$275,0),1),"")</f>
        <v>-222148</v>
      </c>
      <c r="Q36" s="90"/>
      <c r="R36" s="90">
        <f>IFERROR(INDEX('[2]Link Out Forecast'!$G$6:$G$275,MATCH($M36,'[2]Link Out Forecast'!$C$6:$C$275,0),1),"")</f>
        <v>-212489</v>
      </c>
      <c r="S36" s="90"/>
      <c r="T36" s="90">
        <f>IFERROR(INDEX('[2]Link Out Forecast'!$H$6:$H$275,MATCH($M36,'[2]Link Out Forecast'!$C$6:$C$275,0),1),"")</f>
        <v>-202831</v>
      </c>
      <c r="U36" s="90"/>
      <c r="V36" s="90">
        <f>IFERROR(INDEX('[2]Link Out Forecast'!$I$6:$I$275,MATCH($M36,'[2]Link Out Forecast'!$C$6:$C$275,0),1),"")</f>
        <v>-222148</v>
      </c>
      <c r="W36" s="90"/>
      <c r="X36" s="90">
        <f>IFERROR(INDEX('[2]Link Out Forecast'!$J$6:$J$275,MATCH($M36,'[2]Link Out Forecast'!$C$6:$C$275,0),1),"")</f>
        <v>-204045</v>
      </c>
      <c r="Y36" s="90"/>
      <c r="Z36" s="90">
        <f>IFERROR(INDEX('[2]Link Out Forecast'!$K$6:$K$275,MATCH($M36,'[2]Link Out Forecast'!$C$6:$C$275,0),1),"")</f>
        <v>-213762</v>
      </c>
      <c r="AA36" s="90"/>
      <c r="AB36" s="90">
        <f>IFERROR(INDEX('[2]Link Out Forecast'!$L$6:$L$275,MATCH($M36,'[2]Link Out Forecast'!$C$6:$C$275,0),1),"")</f>
        <v>0</v>
      </c>
      <c r="AC36" s="90"/>
      <c r="AD36" s="90">
        <f>IFERROR(INDEX('[2]Link Out Forecast'!$M$6:$M$275,MATCH($M36,'[2]Link Out Forecast'!$C$6:$C$275,0),1),"")</f>
        <v>0</v>
      </c>
      <c r="AE36" s="90"/>
      <c r="AF36" s="90">
        <f>IFERROR(INDEX('[2]Link Out Forecast'!$N$6:$N$275,MATCH($M36,'[2]Link Out Forecast'!$C$6:$C$275,0),1),"")</f>
        <v>0</v>
      </c>
      <c r="AG36" s="90"/>
      <c r="AH36" s="90">
        <f>IFERROR(INDEX('[2]Link Out Forecast'!$O$6:$O$275,MATCH($M36,'[2]Link Out Forecast'!$C$6:$C$275,0),1),"")</f>
        <v>0</v>
      </c>
      <c r="AI36" s="90"/>
      <c r="AJ36" s="90">
        <f>IFERROR(INDEX('[2]Link Out Forecast'!$P$6:$P$275,MATCH($M36,'[2]Link Out Forecast'!$C$6:$C$275,0),1),"")</f>
        <v>0</v>
      </c>
      <c r="AK36" s="90"/>
      <c r="AL36" s="90">
        <f>IFERROR(INDEX('[2]Link Out Forecast'!$Q$6:$Q$275,MATCH($M36,'[2]Link Out Forecast'!$C$6:$C$275,0),1),"")</f>
        <v>0</v>
      </c>
      <c r="AM36" s="90"/>
      <c r="AN36" s="90">
        <f>IFERROR(INDEX('[2]Link Out Forecast'!$R$6:$R$275,MATCH($M36,'[2]Link Out Forecast'!$C$6:$C$275,0),1),"")</f>
        <v>-1277423</v>
      </c>
      <c r="AQ36" s="527"/>
    </row>
    <row r="37" spans="1:43">
      <c r="A37" s="104" t="str">
        <f>IFERROR(INDEX('[2]Link Out Monthly BY'!$A$6:$A$525,MATCH($C37,'[2]Link Out Monthly BY'!$C$6:$C$525,0),1),"")</f>
        <v>P17</v>
      </c>
      <c r="B37" s="104" t="str">
        <f>IFERROR(INDEX('[2]Link Out Monthly BY'!$B$6:$B$525,MATCH($C37,'[2]Link Out Monthly BY'!$C$6:$C$525,0),1),"")</f>
        <v>Salaries and wages</v>
      </c>
      <c r="C37" s="204">
        <v>50101210</v>
      </c>
      <c r="E37" s="104" t="str">
        <f>IFERROR(INDEX('[2]Link Out Monthly BY'!$D$6:$D$525,MATCH($C37,'[2]Link Out Monthly BY'!$C$6:$C$525,0),1),"")</f>
        <v>Labor Oper P PwrProd</v>
      </c>
      <c r="G37" s="104" t="str">
        <f>IFERROR(INDEX('[2]Link Out Monthly BY'!$E$6:$E$525,MATCH($C37,'[2]Link Out Monthly BY'!$C$6:$C$505,0),1),"")</f>
        <v>601.1</v>
      </c>
      <c r="I37" s="90">
        <f>IFERROR(INDEX('[2]Link Out Monthly BY'!$R$6:$R$525,MATCH($C37,'[2]Link Out Monthly BY'!$C$6:$C$525,0),1),0)</f>
        <v>0</v>
      </c>
      <c r="K37" s="104" t="str">
        <f>IFERROR(INDEX('[2]Link Out Forecast'!$A$6:$A$275,MATCH($M37,'[2]Link Out Forecast'!$C$6:$C$275,0),1),"")</f>
        <v>P17</v>
      </c>
      <c r="L37" s="104" t="str">
        <f>IFERROR(INDEX('[2]Link Out Forecast'!$B$6:$B$275,MATCH($M37,'[2]Link Out Forecast'!$C$6:$C$275,0),1),"")</f>
        <v>Salaries and wages</v>
      </c>
      <c r="M37" s="204">
        <v>50110000</v>
      </c>
      <c r="N37" s="104" t="str">
        <f>IFERROR(INDEX('[2]Link Out Forecast'!$D$6:$D$275,MATCH($M37,'[2]Link Out Forecast'!$C$6:$C$275,0),1),"")</f>
        <v>Labor NS OT -Natural</v>
      </c>
      <c r="O37" s="104" t="str">
        <f>IFERROR(INDEX('[2]Link Out Forecast'!$E$6:$E$275,MATCH($M37,'[2]Link Out Forecast'!$C$6:$C$275,0),1),"")</f>
        <v>601.8</v>
      </c>
      <c r="P37" s="90">
        <f>IFERROR(INDEX('[2]Link Out Forecast'!$F$6:$F$275,MATCH($M37,'[2]Link Out Forecast'!$C$6:$C$275,0),1),"")</f>
        <v>54272</v>
      </c>
      <c r="Q37" s="90"/>
      <c r="R37" s="90">
        <f>IFERROR(INDEX('[2]Link Out Forecast'!$G$6:$G$275,MATCH($M37,'[2]Link Out Forecast'!$C$6:$C$275,0),1),"")</f>
        <v>53599</v>
      </c>
      <c r="S37" s="90"/>
      <c r="T37" s="90">
        <f>IFERROR(INDEX('[2]Link Out Forecast'!$H$6:$H$275,MATCH($M37,'[2]Link Out Forecast'!$C$6:$C$275,0),1),"")</f>
        <v>53381</v>
      </c>
      <c r="U37" s="90"/>
      <c r="V37" s="90">
        <f>IFERROR(INDEX('[2]Link Out Forecast'!$I$6:$I$275,MATCH($M37,'[2]Link Out Forecast'!$C$6:$C$275,0),1),"")</f>
        <v>54272</v>
      </c>
      <c r="W37" s="90"/>
      <c r="X37" s="90">
        <f>IFERROR(INDEX('[2]Link Out Forecast'!$J$6:$J$275,MATCH($M37,'[2]Link Out Forecast'!$C$6:$C$275,0),1),"")</f>
        <v>54404</v>
      </c>
      <c r="Y37" s="90"/>
      <c r="Z37" s="90">
        <f>IFERROR(INDEX('[2]Link Out Forecast'!$K$6:$K$275,MATCH($M37,'[2]Link Out Forecast'!$C$6:$C$275,0),1),"")</f>
        <v>54621</v>
      </c>
      <c r="AA37" s="90"/>
      <c r="AB37" s="90">
        <f>IFERROR(INDEX('[2]Link Out Forecast'!$L$6:$L$275,MATCH($M37,'[2]Link Out Forecast'!$C$6:$C$275,0),1),"")</f>
        <v>0</v>
      </c>
      <c r="AC37" s="90"/>
      <c r="AD37" s="90">
        <f>IFERROR(INDEX('[2]Link Out Forecast'!$M$6:$M$275,MATCH($M37,'[2]Link Out Forecast'!$C$6:$C$275,0),1),"")</f>
        <v>0</v>
      </c>
      <c r="AE37" s="90"/>
      <c r="AF37" s="90">
        <f>IFERROR(INDEX('[2]Link Out Forecast'!$N$6:$N$275,MATCH($M37,'[2]Link Out Forecast'!$C$6:$C$275,0),1),"")</f>
        <v>0</v>
      </c>
      <c r="AG37" s="90"/>
      <c r="AH37" s="90">
        <f>IFERROR(INDEX('[2]Link Out Forecast'!$O$6:$O$275,MATCH($M37,'[2]Link Out Forecast'!$C$6:$C$275,0),1),"")</f>
        <v>0</v>
      </c>
      <c r="AI37" s="90"/>
      <c r="AJ37" s="90">
        <f>IFERROR(INDEX('[2]Link Out Forecast'!$P$6:$P$275,MATCH($M37,'[2]Link Out Forecast'!$C$6:$C$275,0),1),"")</f>
        <v>0</v>
      </c>
      <c r="AK37" s="90"/>
      <c r="AL37" s="90">
        <f>IFERROR(INDEX('[2]Link Out Forecast'!$Q$6:$Q$275,MATCH($M37,'[2]Link Out Forecast'!$C$6:$C$275,0),1),"")</f>
        <v>0</v>
      </c>
      <c r="AM37" s="90"/>
      <c r="AN37" s="90">
        <f>IFERROR(INDEX('[2]Link Out Forecast'!$R$6:$R$275,MATCH($M37,'[2]Link Out Forecast'!$C$6:$C$275,0),1),"")</f>
        <v>324549</v>
      </c>
      <c r="AP37" s="527"/>
      <c r="AQ37" s="527"/>
    </row>
    <row r="38" spans="1:43">
      <c r="A38" s="104" t="str">
        <f>IFERROR(INDEX('[2]Link Out Monthly BY'!$A$6:$A$525,MATCH($C38,'[2]Link Out Monthly BY'!$C$6:$C$525,0),1),"")</f>
        <v>P17</v>
      </c>
      <c r="B38" s="104" t="str">
        <f>IFERROR(INDEX('[2]Link Out Monthly BY'!$B$6:$B$525,MATCH($C38,'[2]Link Out Monthly BY'!$C$6:$C$525,0),1),"")</f>
        <v>Salaries and wages</v>
      </c>
      <c r="C38" s="204">
        <v>50101300</v>
      </c>
      <c r="E38" s="104" t="str">
        <f>IFERROR(INDEX('[2]Link Out Monthly BY'!$D$6:$D$525,MATCH($C38,'[2]Link Out Monthly BY'!$C$6:$C$525,0),1),"")</f>
        <v>Labor Oper WT</v>
      </c>
      <c r="G38" s="104" t="str">
        <f>IFERROR(INDEX('[2]Link Out Monthly BY'!$E$6:$E$525,MATCH($C38,'[2]Link Out Monthly BY'!$C$6:$C$505,0),1),"")</f>
        <v>601.3</v>
      </c>
      <c r="I38" s="90">
        <f>IFERROR(INDEX('[2]Link Out Monthly BY'!$R$6:$R$525,MATCH($C38,'[2]Link Out Monthly BY'!$C$6:$C$525,0),1),0)</f>
        <v>964606</v>
      </c>
      <c r="K38" s="104" t="str">
        <f>IFERROR(INDEX('[2]Link Out Forecast'!$A$6:$A$275,MATCH($M38,'[2]Link Out Forecast'!$C$6:$C$275,0),1),"")</f>
        <v>P17</v>
      </c>
      <c r="L38" s="104" t="str">
        <f>IFERROR(INDEX('[2]Link Out Forecast'!$B$6:$B$275,MATCH($M38,'[2]Link Out Forecast'!$C$6:$C$275,0),1),"")</f>
        <v>Salaries and wages</v>
      </c>
      <c r="M38" s="204">
        <v>50119900</v>
      </c>
      <c r="N38" s="104" t="str">
        <f>IFERROR(INDEX('[2]Link Out Forecast'!$D$6:$D$275,MATCH($M38,'[2]Link Out Forecast'!$C$6:$C$275,0),1),"")</f>
        <v>LaborNSOT CapCredits</v>
      </c>
      <c r="O38" s="104" t="str">
        <f>IFERROR(INDEX('[2]Link Out Forecast'!$E$6:$E$275,MATCH($M38,'[2]Link Out Forecast'!$C$6:$C$275,0),1),"")</f>
        <v>601.8</v>
      </c>
      <c r="P38" s="90">
        <f>IFERROR(INDEX('[2]Link Out Forecast'!$F$6:$F$275,MATCH($M38,'[2]Link Out Forecast'!$C$6:$C$275,0),1),"")</f>
        <v>-22006</v>
      </c>
      <c r="Q38" s="90"/>
      <c r="R38" s="90">
        <f>IFERROR(INDEX('[2]Link Out Forecast'!$G$6:$G$275,MATCH($M38,'[2]Link Out Forecast'!$C$6:$C$275,0),1),"")</f>
        <v>-20891</v>
      </c>
      <c r="S38" s="90"/>
      <c r="T38" s="90">
        <f>IFERROR(INDEX('[2]Link Out Forecast'!$H$6:$H$275,MATCH($M38,'[2]Link Out Forecast'!$C$6:$C$275,0),1),"")</f>
        <v>-20891</v>
      </c>
      <c r="U38" s="90"/>
      <c r="V38" s="90">
        <f>IFERROR(INDEX('[2]Link Out Forecast'!$I$6:$I$275,MATCH($M38,'[2]Link Out Forecast'!$C$6:$C$275,0),1),"")</f>
        <v>-22006</v>
      </c>
      <c r="W38" s="90"/>
      <c r="X38" s="90">
        <f>IFERROR(INDEX('[2]Link Out Forecast'!$J$6:$J$275,MATCH($M38,'[2]Link Out Forecast'!$C$6:$C$275,0),1),"")</f>
        <v>-21017</v>
      </c>
      <c r="Y38" s="90"/>
      <c r="Z38" s="90">
        <f>IFERROR(INDEX('[2]Link Out Forecast'!$K$6:$K$275,MATCH($M38,'[2]Link Out Forecast'!$C$6:$C$275,0),1),"")</f>
        <v>-21250</v>
      </c>
      <c r="AA38" s="90"/>
      <c r="AB38" s="90">
        <f>IFERROR(INDEX('[2]Link Out Forecast'!$L$6:$L$275,MATCH($M38,'[2]Link Out Forecast'!$C$6:$C$275,0),1),"")</f>
        <v>0</v>
      </c>
      <c r="AC38" s="90"/>
      <c r="AD38" s="90">
        <f>IFERROR(INDEX('[2]Link Out Forecast'!$M$6:$M$275,MATCH($M38,'[2]Link Out Forecast'!$C$6:$C$275,0),1),"")</f>
        <v>0</v>
      </c>
      <c r="AE38" s="90"/>
      <c r="AF38" s="90">
        <f>IFERROR(INDEX('[2]Link Out Forecast'!$N$6:$N$275,MATCH($M38,'[2]Link Out Forecast'!$C$6:$C$275,0),1),"")</f>
        <v>0</v>
      </c>
      <c r="AG38" s="90"/>
      <c r="AH38" s="90">
        <f>IFERROR(INDEX('[2]Link Out Forecast'!$O$6:$O$275,MATCH($M38,'[2]Link Out Forecast'!$C$6:$C$275,0),1),"")</f>
        <v>0</v>
      </c>
      <c r="AI38" s="90"/>
      <c r="AJ38" s="90">
        <f>IFERROR(INDEX('[2]Link Out Forecast'!$P$6:$P$275,MATCH($M38,'[2]Link Out Forecast'!$C$6:$C$275,0),1),"")</f>
        <v>0</v>
      </c>
      <c r="AK38" s="90"/>
      <c r="AL38" s="90">
        <f>IFERROR(INDEX('[2]Link Out Forecast'!$Q$6:$Q$275,MATCH($M38,'[2]Link Out Forecast'!$C$6:$C$275,0),1),"")</f>
        <v>0</v>
      </c>
      <c r="AM38" s="90"/>
      <c r="AN38" s="90">
        <f>IFERROR(INDEX('[2]Link Out Forecast'!$R$6:$R$275,MATCH($M38,'[2]Link Out Forecast'!$C$6:$C$275,0),1),"")</f>
        <v>-128061</v>
      </c>
      <c r="AQ38" s="527"/>
    </row>
    <row r="39" spans="1:43">
      <c r="A39" s="104" t="str">
        <f>IFERROR(INDEX('[2]Link Out Monthly BY'!$A$6:$A$525,MATCH($C39,'[2]Link Out Monthly BY'!$C$6:$C$525,0),1),"")</f>
        <v>P17</v>
      </c>
      <c r="B39" s="104" t="str">
        <f>IFERROR(INDEX('[2]Link Out Monthly BY'!$B$6:$B$525,MATCH($C39,'[2]Link Out Monthly BY'!$C$6:$C$525,0),1),"")</f>
        <v>Salaries and wages</v>
      </c>
      <c r="C39" s="204">
        <v>50101305</v>
      </c>
      <c r="E39" s="104" t="str">
        <f>IFERROR(INDEX('[2]Link Out Monthly BY'!$D$6:$D$525,MATCH($C39,'[2]Link Out Monthly BY'!$C$6:$C$525,0),1),"")</f>
        <v>Labor Oper WT SupEng</v>
      </c>
      <c r="G39" s="104" t="str">
        <f>IFERROR(INDEX('[2]Link Out Monthly BY'!$E$6:$E$525,MATCH($C39,'[2]Link Out Monthly BY'!$C$6:$C$505,0),1),"")</f>
        <v>601.3</v>
      </c>
      <c r="I39" s="90">
        <f>IFERROR(INDEX('[2]Link Out Monthly BY'!$R$6:$R$525,MATCH($C39,'[2]Link Out Monthly BY'!$C$6:$C$525,0),1),0)</f>
        <v>54871</v>
      </c>
      <c r="K39" s="104" t="str">
        <f>IFERROR(INDEX('[2]Link Out Forecast'!$A$6:$A$275,MATCH($M39,'[2]Link Out Forecast'!$C$6:$C$275,0),1),"")</f>
        <v>P17</v>
      </c>
      <c r="L39" s="104" t="str">
        <f>IFERROR(INDEX('[2]Link Out Forecast'!$B$6:$B$275,MATCH($M39,'[2]Link Out Forecast'!$C$6:$C$275,0),1),"")</f>
        <v>Salaries and wages</v>
      </c>
      <c r="M39" s="204">
        <v>50171000</v>
      </c>
      <c r="N39" s="104" t="str">
        <f>IFERROR(INDEX('[2]Link Out Forecast'!$D$6:$D$275,MATCH($M39,'[2]Link Out Forecast'!$C$6:$C$275,0),1),"")</f>
        <v>Annual Incent Plan</v>
      </c>
      <c r="O39" s="104" t="str">
        <f>IFERROR(INDEX('[2]Link Out Forecast'!$E$6:$E$275,MATCH($M39,'[2]Link Out Forecast'!$C$6:$C$275,0),1),"")</f>
        <v>601.8</v>
      </c>
      <c r="P39" s="90">
        <f>IFERROR(INDEX('[2]Link Out Forecast'!$F$6:$F$275,MATCH($M39,'[2]Link Out Forecast'!$C$6:$C$275,0),1),"")</f>
        <v>49697</v>
      </c>
      <c r="Q39" s="90"/>
      <c r="R39" s="90">
        <f>IFERROR(INDEX('[2]Link Out Forecast'!$G$6:$G$275,MATCH($M39,'[2]Link Out Forecast'!$C$6:$C$275,0),1),"")</f>
        <v>47537</v>
      </c>
      <c r="S39" s="90"/>
      <c r="T39" s="90">
        <f>IFERROR(INDEX('[2]Link Out Forecast'!$H$6:$H$275,MATCH($M39,'[2]Link Out Forecast'!$C$6:$C$275,0),1),"")</f>
        <v>45376</v>
      </c>
      <c r="U39" s="90"/>
      <c r="V39" s="90">
        <f>IFERROR(INDEX('[2]Link Out Forecast'!$I$6:$I$275,MATCH($M39,'[2]Link Out Forecast'!$C$6:$C$275,0),1),"")</f>
        <v>49697</v>
      </c>
      <c r="W39" s="90"/>
      <c r="X39" s="90">
        <f>IFERROR(INDEX('[2]Link Out Forecast'!$J$6:$J$275,MATCH($M39,'[2]Link Out Forecast'!$C$6:$C$275,0),1),"")</f>
        <v>45644</v>
      </c>
      <c r="Y39" s="90"/>
      <c r="Z39" s="90">
        <f>IFERROR(INDEX('[2]Link Out Forecast'!$K$6:$K$275,MATCH($M39,'[2]Link Out Forecast'!$C$6:$C$275,0),1),"")</f>
        <v>47818</v>
      </c>
      <c r="AA39" s="90"/>
      <c r="AB39" s="90">
        <f>IFERROR(INDEX('[2]Link Out Forecast'!$L$6:$L$275,MATCH($M39,'[2]Link Out Forecast'!$C$6:$C$275,0),1),"")</f>
        <v>0</v>
      </c>
      <c r="AC39" s="90"/>
      <c r="AD39" s="90">
        <f>IFERROR(INDEX('[2]Link Out Forecast'!$M$6:$M$275,MATCH($M39,'[2]Link Out Forecast'!$C$6:$C$275,0),1),"")</f>
        <v>0</v>
      </c>
      <c r="AE39" s="90"/>
      <c r="AF39" s="90">
        <f>IFERROR(INDEX('[2]Link Out Forecast'!$N$6:$N$275,MATCH($M39,'[2]Link Out Forecast'!$C$6:$C$275,0),1),"")</f>
        <v>0</v>
      </c>
      <c r="AG39" s="90"/>
      <c r="AH39" s="90">
        <f>IFERROR(INDEX('[2]Link Out Forecast'!$O$6:$O$275,MATCH($M39,'[2]Link Out Forecast'!$C$6:$C$275,0),1),"")</f>
        <v>0</v>
      </c>
      <c r="AI39" s="90"/>
      <c r="AJ39" s="90">
        <f>IFERROR(INDEX('[2]Link Out Forecast'!$P$6:$P$275,MATCH($M39,'[2]Link Out Forecast'!$C$6:$C$275,0),1),"")</f>
        <v>0</v>
      </c>
      <c r="AK39" s="90"/>
      <c r="AL39" s="90">
        <f>IFERROR(INDEX('[2]Link Out Forecast'!$Q$6:$Q$275,MATCH($M39,'[2]Link Out Forecast'!$C$6:$C$275,0),1),"")</f>
        <v>0</v>
      </c>
      <c r="AM39" s="90"/>
      <c r="AN39" s="90">
        <f>IFERROR(INDEX('[2]Link Out Forecast'!$R$6:$R$275,MATCH($M39,'[2]Link Out Forecast'!$C$6:$C$275,0),1),"")</f>
        <v>285769</v>
      </c>
      <c r="AQ39" s="527"/>
    </row>
    <row r="40" spans="1:43">
      <c r="A40" s="104" t="str">
        <f>IFERROR(INDEX('[2]Link Out Monthly BY'!$A$6:$A$525,MATCH($C40,'[2]Link Out Monthly BY'!$C$6:$C$525,0),1),"")</f>
        <v>P17</v>
      </c>
      <c r="B40" s="104" t="str">
        <f>IFERROR(INDEX('[2]Link Out Monthly BY'!$B$6:$B$525,MATCH($C40,'[2]Link Out Monthly BY'!$C$6:$C$525,0),1),"")</f>
        <v>Salaries and wages</v>
      </c>
      <c r="C40" s="204">
        <v>50101400</v>
      </c>
      <c r="E40" s="104" t="str">
        <f>IFERROR(INDEX('[2]Link Out Monthly BY'!$D$6:$D$525,MATCH($C40,'[2]Link Out Monthly BY'!$C$6:$C$525,0),1),"")</f>
        <v>Labor Oper TD</v>
      </c>
      <c r="G40" s="104" t="str">
        <f>IFERROR(INDEX('[2]Link Out Monthly BY'!$E$6:$E$525,MATCH($C40,'[2]Link Out Monthly BY'!$C$6:$C$505,0),1),"")</f>
        <v>601.5</v>
      </c>
      <c r="I40" s="90">
        <f>IFERROR(INDEX('[2]Link Out Monthly BY'!$R$6:$R$525,MATCH($C40,'[2]Link Out Monthly BY'!$C$6:$C$525,0),1),0)</f>
        <v>97942</v>
      </c>
      <c r="K40" s="104" t="str">
        <f>IFERROR(INDEX('[2]Link Out Forecast'!$A$6:$A$275,MATCH($M40,'[2]Link Out Forecast'!$C$6:$C$275,0),1),"")</f>
        <v>P17</v>
      </c>
      <c r="L40" s="104" t="str">
        <f>IFERROR(INDEX('[2]Link Out Forecast'!$B$6:$B$275,MATCH($M40,'[2]Link Out Forecast'!$C$6:$C$275,0),1),"")</f>
        <v>Salaries and wages</v>
      </c>
      <c r="M40" s="204">
        <v>50171800</v>
      </c>
      <c r="N40" s="104" t="str">
        <f>IFERROR(INDEX('[2]Link Out Forecast'!$D$6:$D$275,MATCH($M40,'[2]Link Out Forecast'!$C$6:$C$275,0),1),"")</f>
        <v>Comp Exp-RSU's</v>
      </c>
      <c r="O40" s="104" t="str">
        <f>IFERROR(INDEX('[2]Link Out Forecast'!$E$6:$E$275,MATCH($M40,'[2]Link Out Forecast'!$C$6:$C$275,0),1),"")</f>
        <v>601.8</v>
      </c>
      <c r="P40" s="90">
        <f>IFERROR(INDEX('[2]Link Out Forecast'!$F$6:$F$275,MATCH($M40,'[2]Link Out Forecast'!$C$6:$C$275,0),1),"")</f>
        <v>0</v>
      </c>
      <c r="Q40" s="90"/>
      <c r="R40" s="90">
        <f>IFERROR(INDEX('[2]Link Out Forecast'!$G$6:$G$275,MATCH($M40,'[2]Link Out Forecast'!$C$6:$C$275,0),1),"")</f>
        <v>0</v>
      </c>
      <c r="S40" s="90"/>
      <c r="T40" s="90">
        <f>IFERROR(INDEX('[2]Link Out Forecast'!$H$6:$H$275,MATCH($M40,'[2]Link Out Forecast'!$C$6:$C$275,0),1),"")</f>
        <v>4431</v>
      </c>
      <c r="U40" s="90"/>
      <c r="V40" s="90">
        <f>IFERROR(INDEX('[2]Link Out Forecast'!$I$6:$I$275,MATCH($M40,'[2]Link Out Forecast'!$C$6:$C$275,0),1),"")</f>
        <v>0</v>
      </c>
      <c r="W40" s="90"/>
      <c r="X40" s="90">
        <f>IFERROR(INDEX('[2]Link Out Forecast'!$J$6:$J$275,MATCH($M40,'[2]Link Out Forecast'!$C$6:$C$275,0),1),"")</f>
        <v>0</v>
      </c>
      <c r="Y40" s="90"/>
      <c r="Z40" s="90">
        <f>IFERROR(INDEX('[2]Link Out Forecast'!$K$6:$K$275,MATCH($M40,'[2]Link Out Forecast'!$C$6:$C$275,0),1),"")</f>
        <v>4431</v>
      </c>
      <c r="AA40" s="90"/>
      <c r="AB40" s="90">
        <f>IFERROR(INDEX('[2]Link Out Forecast'!$L$6:$L$275,MATCH($M40,'[2]Link Out Forecast'!$C$6:$C$275,0),1),"")</f>
        <v>0</v>
      </c>
      <c r="AC40" s="90"/>
      <c r="AD40" s="90">
        <f>IFERROR(INDEX('[2]Link Out Forecast'!$M$6:$M$275,MATCH($M40,'[2]Link Out Forecast'!$C$6:$C$275,0),1),"")</f>
        <v>0</v>
      </c>
      <c r="AE40" s="90"/>
      <c r="AF40" s="90">
        <f>IFERROR(INDEX('[2]Link Out Forecast'!$N$6:$N$275,MATCH($M40,'[2]Link Out Forecast'!$C$6:$C$275,0),1),"")</f>
        <v>0</v>
      </c>
      <c r="AG40" s="90"/>
      <c r="AH40" s="90">
        <f>IFERROR(INDEX('[2]Link Out Forecast'!$O$6:$O$275,MATCH($M40,'[2]Link Out Forecast'!$C$6:$C$275,0),1),"")</f>
        <v>0</v>
      </c>
      <c r="AI40" s="90"/>
      <c r="AJ40" s="90">
        <f>IFERROR(INDEX('[2]Link Out Forecast'!$P$6:$P$275,MATCH($M40,'[2]Link Out Forecast'!$C$6:$C$275,0),1),"")</f>
        <v>0</v>
      </c>
      <c r="AK40" s="90"/>
      <c r="AL40" s="90">
        <f>IFERROR(INDEX('[2]Link Out Forecast'!$Q$6:$Q$275,MATCH($M40,'[2]Link Out Forecast'!$C$6:$C$275,0),1),"")</f>
        <v>0</v>
      </c>
      <c r="AM40" s="90"/>
      <c r="AN40" s="90">
        <f>IFERROR(INDEX('[2]Link Out Forecast'!$R$6:$R$275,MATCH($M40,'[2]Link Out Forecast'!$C$6:$C$275,0),1),"")</f>
        <v>8862</v>
      </c>
      <c r="AQ40" s="527"/>
    </row>
    <row r="41" spans="1:43">
      <c r="A41" s="104" t="str">
        <f>IFERROR(INDEX('[2]Link Out Monthly BY'!$A$6:$A$525,MATCH($C41,'[2]Link Out Monthly BY'!$C$6:$C$525,0),1),"")</f>
        <v>P17</v>
      </c>
      <c r="B41" s="104" t="str">
        <f>IFERROR(INDEX('[2]Link Out Monthly BY'!$B$6:$B$525,MATCH($C41,'[2]Link Out Monthly BY'!$C$6:$C$525,0),1),"")</f>
        <v>Salaries and wages</v>
      </c>
      <c r="C41" s="104">
        <v>50101405</v>
      </c>
      <c r="E41" s="104" t="str">
        <f>IFERROR(INDEX('[2]Link Out Monthly BY'!$D$6:$D$525,MATCH($C41,'[2]Link Out Monthly BY'!$C$6:$C$525,0),1),"")</f>
        <v>Labor Oper TD SupEng</v>
      </c>
      <c r="G41" s="104" t="str">
        <f>IFERROR(INDEX('[2]Link Out Monthly BY'!$E$6:$E$525,MATCH($C41,'[2]Link Out Monthly BY'!$C$6:$C$505,0),1),"")</f>
        <v>601.5</v>
      </c>
      <c r="I41" s="90">
        <f>IFERROR(INDEX('[2]Link Out Monthly BY'!$R$6:$R$525,MATCH($C41,'[2]Link Out Monthly BY'!$C$6:$C$525,0),1),0)</f>
        <v>26402</v>
      </c>
      <c r="K41" s="104" t="str">
        <f>IFERROR(INDEX('[2]Link Out Forecast'!$A$6:$A$275,MATCH($M41,'[2]Link Out Forecast'!$C$6:$C$275,0),1),"")</f>
        <v/>
      </c>
      <c r="L41" s="104" t="str">
        <f>IFERROR(INDEX('[2]Link Out Forecast'!$B$6:$B$275,MATCH($M41,'[2]Link Out Forecast'!$C$6:$C$275,0),1),"")</f>
        <v/>
      </c>
      <c r="N41" s="104" t="str">
        <f>IFERROR(INDEX('[2]Link Out Forecast'!$D$6:$D$275,MATCH($M41,'[2]Link Out Forecast'!$C$6:$C$275,0),1),"")</f>
        <v/>
      </c>
      <c r="O41" s="104" t="str">
        <f>IFERROR(INDEX('[2]Link Out Forecast'!$E$6:$E$275,MATCH($M41,'[2]Link Out Forecast'!$C$6:$C$275,0),1),"")</f>
        <v/>
      </c>
      <c r="P41" s="90" t="str">
        <f>IFERROR(INDEX('[2]Link Out Forecast'!$F$6:$F$275,MATCH($M41,'[2]Link Out Forecast'!$C$6:$C$275,0),1),"")</f>
        <v/>
      </c>
      <c r="Q41" s="90"/>
      <c r="R41" s="90" t="str">
        <f>IFERROR(INDEX('[2]Link Out Forecast'!$G$6:$G$275,MATCH($M41,'[2]Link Out Forecast'!$C$6:$C$275,0),1),"")</f>
        <v/>
      </c>
      <c r="S41" s="90"/>
      <c r="T41" s="90" t="str">
        <f>IFERROR(INDEX('[2]Link Out Forecast'!$H$6:$H$275,MATCH($M41,'[2]Link Out Forecast'!$C$6:$C$275,0),1),"")</f>
        <v/>
      </c>
      <c r="U41" s="90"/>
      <c r="V41" s="90" t="str">
        <f>IFERROR(INDEX('[2]Link Out Forecast'!$I$6:$I$275,MATCH($M41,'[2]Link Out Forecast'!$C$6:$C$275,0),1),"")</f>
        <v/>
      </c>
      <c r="W41" s="90"/>
      <c r="X41" s="90" t="str">
        <f>IFERROR(INDEX('[2]Link Out Forecast'!$J$6:$J$275,MATCH($M41,'[2]Link Out Forecast'!$C$6:$C$275,0),1),"")</f>
        <v/>
      </c>
      <c r="Y41" s="90"/>
      <c r="Z41" s="90" t="str">
        <f>IFERROR(INDEX('[2]Link Out Forecast'!$K$6:$K$275,MATCH($M41,'[2]Link Out Forecast'!$C$6:$C$275,0),1),"")</f>
        <v/>
      </c>
      <c r="AA41" s="90"/>
      <c r="AB41" s="90" t="str">
        <f>IFERROR(INDEX('[2]Link Out Forecast'!$L$6:$L$275,MATCH($M41,'[2]Link Out Forecast'!$C$6:$C$275,0),1),"")</f>
        <v/>
      </c>
      <c r="AC41" s="90"/>
      <c r="AD41" s="90" t="str">
        <f>IFERROR(INDEX('[2]Link Out Forecast'!$M$6:$M$275,MATCH($M41,'[2]Link Out Forecast'!$C$6:$C$275,0),1),"")</f>
        <v/>
      </c>
      <c r="AE41" s="90"/>
      <c r="AF41" s="90" t="str">
        <f>IFERROR(INDEX('[2]Link Out Forecast'!$N$6:$N$275,MATCH($M41,'[2]Link Out Forecast'!$C$6:$C$275,0),1),"")</f>
        <v/>
      </c>
      <c r="AG41" s="90"/>
      <c r="AH41" s="90" t="str">
        <f>IFERROR(INDEX('[2]Link Out Forecast'!$O$6:$O$275,MATCH($M41,'[2]Link Out Forecast'!$C$6:$C$275,0),1),"")</f>
        <v/>
      </c>
      <c r="AI41" s="90"/>
      <c r="AJ41" s="90" t="str">
        <f>IFERROR(INDEX('[2]Link Out Forecast'!$P$6:$P$275,MATCH($M41,'[2]Link Out Forecast'!$C$6:$C$275,0),1),"")</f>
        <v/>
      </c>
      <c r="AK41" s="90"/>
      <c r="AL41" s="90" t="str">
        <f>IFERROR(INDEX('[2]Link Out Forecast'!$Q$6:$Q$275,MATCH($M41,'[2]Link Out Forecast'!$C$6:$C$275,0),1),"")</f>
        <v/>
      </c>
      <c r="AM41" s="90"/>
      <c r="AN41" s="90" t="str">
        <f>IFERROR(INDEX('[2]Link Out Forecast'!$R$6:$R$275,MATCH($M41,'[2]Link Out Forecast'!$C$6:$C$275,0),1),"")</f>
        <v/>
      </c>
      <c r="AP41" s="239"/>
      <c r="AQ41" s="527"/>
    </row>
    <row r="42" spans="1:43">
      <c r="A42" s="104" t="str">
        <f>IFERROR(INDEX('[2]Link Out Monthly BY'!$A$6:$A$525,MATCH($C42,'[2]Link Out Monthly BY'!$C$6:$C$525,0),1),"")</f>
        <v>P17</v>
      </c>
      <c r="B42" s="104" t="str">
        <f>IFERROR(INDEX('[2]Link Out Monthly BY'!$B$6:$B$525,MATCH($C42,'[2]Link Out Monthly BY'!$C$6:$C$525,0),1),"")</f>
        <v>Salaries and wages</v>
      </c>
      <c r="C42" s="104">
        <v>50101415</v>
      </c>
      <c r="E42" s="104" t="str">
        <f>IFERROR(INDEX('[2]Link Out Monthly BY'!$D$6:$D$525,MATCH($C42,'[2]Link Out Monthly BY'!$C$6:$C$525,0),1),"")</f>
        <v>Labor Oper TD Lines</v>
      </c>
      <c r="G42" s="104" t="str">
        <f>IFERROR(INDEX('[2]Link Out Monthly BY'!$E$6:$E$525,MATCH($C42,'[2]Link Out Monthly BY'!$C$6:$C$505,0),1),"")</f>
        <v>601.5</v>
      </c>
      <c r="I42" s="90">
        <f>IFERROR(INDEX('[2]Link Out Monthly BY'!$R$6:$R$525,MATCH($C42,'[2]Link Out Monthly BY'!$C$6:$C$525,0),1),0)</f>
        <v>34635</v>
      </c>
      <c r="K42" s="104" t="str">
        <f>IFERROR(INDEX('[2]Link Out Forecast'!$A$6:$A$275,MATCH($M42,'[2]Link Out Forecast'!$C$6:$C$275,0),1),"")</f>
        <v>P18</v>
      </c>
      <c r="L42" s="104" t="str">
        <f>IFERROR(INDEX('[2]Link Out Forecast'!$B$6:$B$275,MATCH($M42,'[2]Link Out Forecast'!$C$6:$C$275,0),1),"")</f>
        <v>Pension expense</v>
      </c>
      <c r="M42" s="104">
        <v>50610000</v>
      </c>
      <c r="N42" s="104" t="str">
        <f>IFERROR(INDEX('[2]Link Out Forecast'!$D$6:$D$275,MATCH($M42,'[2]Link Out Forecast'!$C$6:$C$275,0),1),"")</f>
        <v>Pension Expense</v>
      </c>
      <c r="O42" s="104" t="str">
        <f>IFERROR(INDEX('[2]Link Out Forecast'!$E$6:$E$275,MATCH($M42,'[2]Link Out Forecast'!$C$6:$C$275,0),1),"")</f>
        <v>604.8</v>
      </c>
      <c r="P42" s="90">
        <f>IFERROR(INDEX('[2]Link Out Forecast'!$F$6:$F$275,MATCH($M42,'[2]Link Out Forecast'!$C$6:$C$275,0),1),"")</f>
        <v>40266</v>
      </c>
      <c r="Q42" s="90"/>
      <c r="R42" s="90">
        <f>IFERROR(INDEX('[2]Link Out Forecast'!$G$6:$G$275,MATCH($M42,'[2]Link Out Forecast'!$C$6:$C$275,0),1),"")</f>
        <v>40266</v>
      </c>
      <c r="S42" s="90"/>
      <c r="T42" s="90">
        <f>IFERROR(INDEX('[2]Link Out Forecast'!$H$6:$H$275,MATCH($M42,'[2]Link Out Forecast'!$C$6:$C$275,0),1),"")</f>
        <v>40266</v>
      </c>
      <c r="U42" s="90"/>
      <c r="V42" s="90">
        <f>IFERROR(INDEX('[2]Link Out Forecast'!$I$6:$I$275,MATCH($M42,'[2]Link Out Forecast'!$C$6:$C$275,0),1),"")</f>
        <v>40266</v>
      </c>
      <c r="W42" s="90"/>
      <c r="X42" s="90">
        <f>IFERROR(INDEX('[2]Link Out Forecast'!$J$6:$J$275,MATCH($M42,'[2]Link Out Forecast'!$C$6:$C$275,0),1),"")</f>
        <v>40266</v>
      </c>
      <c r="Y42" s="90"/>
      <c r="Z42" s="90">
        <f>IFERROR(INDEX('[2]Link Out Forecast'!$K$6:$K$275,MATCH($M42,'[2]Link Out Forecast'!$C$6:$C$275,0),1),"")</f>
        <v>40266</v>
      </c>
      <c r="AA42" s="90"/>
      <c r="AB42" s="90">
        <f>IFERROR(INDEX('[2]Link Out Forecast'!$L$6:$L$275,MATCH($M42,'[2]Link Out Forecast'!$C$6:$C$275,0),1),"")</f>
        <v>31154</v>
      </c>
      <c r="AC42" s="90"/>
      <c r="AD42" s="90">
        <f>IFERROR(INDEX('[2]Link Out Forecast'!$M$6:$M$275,MATCH($M42,'[2]Link Out Forecast'!$C$6:$C$275,0),1),"")</f>
        <v>31154</v>
      </c>
      <c r="AE42" s="90"/>
      <c r="AF42" s="90">
        <f>IFERROR(INDEX('[2]Link Out Forecast'!$N$6:$N$275,MATCH($M42,'[2]Link Out Forecast'!$C$6:$C$275,0),1),"")</f>
        <v>31154</v>
      </c>
      <c r="AG42" s="90"/>
      <c r="AH42" s="90">
        <f>IFERROR(INDEX('[2]Link Out Forecast'!$O$6:$O$275,MATCH($M42,'[2]Link Out Forecast'!$C$6:$C$275,0),1),"")</f>
        <v>31154</v>
      </c>
      <c r="AI42" s="90"/>
      <c r="AJ42" s="90">
        <f>IFERROR(INDEX('[2]Link Out Forecast'!$P$6:$P$275,MATCH($M42,'[2]Link Out Forecast'!$C$6:$C$275,0),1),"")</f>
        <v>31154</v>
      </c>
      <c r="AK42" s="90"/>
      <c r="AL42" s="90">
        <f>IFERROR(INDEX('[2]Link Out Forecast'!$Q$6:$Q$275,MATCH($M42,'[2]Link Out Forecast'!$C$6:$C$275,0),1),"")</f>
        <v>31154</v>
      </c>
      <c r="AM42" s="90"/>
      <c r="AN42" s="90">
        <f>IFERROR(INDEX('[2]Link Out Forecast'!$R$6:$R$275,MATCH($M42,'[2]Link Out Forecast'!$C$6:$C$275,0),1),"")</f>
        <v>428520</v>
      </c>
    </row>
    <row r="43" spans="1:43">
      <c r="A43" s="104" t="str">
        <f>IFERROR(INDEX('[2]Link Out Monthly BY'!$A$6:$A$525,MATCH($C43,'[2]Link Out Monthly BY'!$C$6:$C$525,0),1),"")</f>
        <v>P17</v>
      </c>
      <c r="B43" s="104" t="str">
        <f>IFERROR(INDEX('[2]Link Out Monthly BY'!$B$6:$B$525,MATCH($C43,'[2]Link Out Monthly BY'!$C$6:$C$525,0),1),"")</f>
        <v>Salaries and wages</v>
      </c>
      <c r="C43" s="104">
        <v>50101420</v>
      </c>
      <c r="E43" s="104" t="str">
        <f>IFERROR(INDEX('[2]Link Out Monthly BY'!$D$6:$D$525,MATCH($C43,'[2]Link Out Monthly BY'!$C$6:$C$525,0),1),"")</f>
        <v>Labor Oper TD Meter</v>
      </c>
      <c r="G43" s="104" t="str">
        <f>IFERROR(INDEX('[2]Link Out Monthly BY'!$E$6:$E$525,MATCH($C43,'[2]Link Out Monthly BY'!$C$6:$C$505,0),1),"")</f>
        <v>601.5</v>
      </c>
      <c r="I43" s="90">
        <f>IFERROR(INDEX('[2]Link Out Monthly BY'!$R$6:$R$525,MATCH($C43,'[2]Link Out Monthly BY'!$C$6:$C$525,0),1),0)</f>
        <v>367652</v>
      </c>
      <c r="K43" s="104" t="str">
        <f>IFERROR(INDEX('[2]Link Out Forecast'!$A$6:$A$275,MATCH($M43,'[2]Link Out Forecast'!$C$6:$C$275,0),1),"")</f>
        <v>P18</v>
      </c>
      <c r="L43" s="104" t="str">
        <f>IFERROR(INDEX('[2]Link Out Forecast'!$B$6:$B$275,MATCH($M43,'[2]Link Out Forecast'!$C$6:$C$275,0),1),"")</f>
        <v>Pension expense</v>
      </c>
      <c r="M43" s="104">
        <v>50610100</v>
      </c>
      <c r="N43" s="104" t="str">
        <f>IFERROR(INDEX('[2]Link Out Forecast'!$D$6:$D$275,MATCH($M43,'[2]Link Out Forecast'!$C$6:$C$275,0),1),"")</f>
        <v>Pension Cap Credits</v>
      </c>
      <c r="O43" s="104" t="str">
        <f>IFERROR(INDEX('[2]Link Out Forecast'!$E$6:$E$275,MATCH($M43,'[2]Link Out Forecast'!$C$6:$C$275,0),1),"")</f>
        <v>604.8</v>
      </c>
      <c r="P43" s="90">
        <f>IFERROR(INDEX('[2]Link Out Forecast'!$F$6:$F$275,MATCH($M43,'[2]Link Out Forecast'!$C$6:$C$275,0),1),"")</f>
        <v>-10265</v>
      </c>
      <c r="Q43" s="90"/>
      <c r="R43" s="90">
        <f>IFERROR(INDEX('[2]Link Out Forecast'!$G$6:$G$275,MATCH($M43,'[2]Link Out Forecast'!$C$6:$C$275,0),1),"")</f>
        <v>-10265</v>
      </c>
      <c r="S43" s="90"/>
      <c r="T43" s="90">
        <f>IFERROR(INDEX('[2]Link Out Forecast'!$H$6:$H$275,MATCH($M43,'[2]Link Out Forecast'!$C$6:$C$275,0),1),"")</f>
        <v>-10265</v>
      </c>
      <c r="U43" s="90"/>
      <c r="V43" s="90">
        <f>IFERROR(INDEX('[2]Link Out Forecast'!$I$6:$I$275,MATCH($M43,'[2]Link Out Forecast'!$C$6:$C$275,0),1),"")</f>
        <v>-10265</v>
      </c>
      <c r="W43" s="90"/>
      <c r="X43" s="90">
        <f>IFERROR(INDEX('[2]Link Out Forecast'!$J$6:$J$275,MATCH($M43,'[2]Link Out Forecast'!$C$6:$C$275,0),1),"")</f>
        <v>-10265</v>
      </c>
      <c r="Y43" s="90"/>
      <c r="Z43" s="90">
        <f>IFERROR(INDEX('[2]Link Out Forecast'!$K$6:$K$275,MATCH($M43,'[2]Link Out Forecast'!$C$6:$C$275,0),1),"")</f>
        <v>-10265</v>
      </c>
      <c r="AA43" s="90"/>
      <c r="AB43" s="90">
        <f>IFERROR(INDEX('[2]Link Out Forecast'!$L$6:$L$275,MATCH($M43,'[2]Link Out Forecast'!$C$6:$C$275,0),1),"")</f>
        <v>0</v>
      </c>
      <c r="AC43" s="90"/>
      <c r="AD43" s="90">
        <f>IFERROR(INDEX('[2]Link Out Forecast'!$M$6:$M$275,MATCH($M43,'[2]Link Out Forecast'!$C$6:$C$275,0),1),"")</f>
        <v>0</v>
      </c>
      <c r="AE43" s="90"/>
      <c r="AF43" s="90">
        <f>IFERROR(INDEX('[2]Link Out Forecast'!$N$6:$N$275,MATCH($M43,'[2]Link Out Forecast'!$C$6:$C$275,0),1),"")</f>
        <v>0</v>
      </c>
      <c r="AG43" s="90"/>
      <c r="AH43" s="90">
        <f>IFERROR(INDEX('[2]Link Out Forecast'!$O$6:$O$275,MATCH($M43,'[2]Link Out Forecast'!$C$6:$C$275,0),1),"")</f>
        <v>0</v>
      </c>
      <c r="AI43" s="90"/>
      <c r="AJ43" s="90">
        <f>IFERROR(INDEX('[2]Link Out Forecast'!$P$6:$P$275,MATCH($M43,'[2]Link Out Forecast'!$C$6:$C$275,0),1),"")</f>
        <v>0</v>
      </c>
      <c r="AK43" s="90"/>
      <c r="AL43" s="90">
        <f>IFERROR(INDEX('[2]Link Out Forecast'!$Q$6:$Q$275,MATCH($M43,'[2]Link Out Forecast'!$C$6:$C$275,0),1),"")</f>
        <v>0</v>
      </c>
      <c r="AM43" s="90"/>
      <c r="AN43" s="90">
        <f>IFERROR(INDEX('[2]Link Out Forecast'!$R$6:$R$275,MATCH($M43,'[2]Link Out Forecast'!$C$6:$C$275,0),1),"")</f>
        <v>-61590</v>
      </c>
    </row>
    <row r="44" spans="1:43">
      <c r="A44" s="104" t="str">
        <f>IFERROR(INDEX('[2]Link Out Monthly BY'!$A$6:$A$525,MATCH($C44,'[2]Link Out Monthly BY'!$C$6:$C$525,0),1),"")</f>
        <v>P17</v>
      </c>
      <c r="B44" s="104" t="str">
        <f>IFERROR(INDEX('[2]Link Out Monthly BY'!$B$6:$B$525,MATCH($C44,'[2]Link Out Monthly BY'!$C$6:$C$525,0),1),"")</f>
        <v>Salaries and wages</v>
      </c>
      <c r="C44" s="104">
        <v>50101500</v>
      </c>
      <c r="E44" s="104" t="str">
        <f>IFERROR(INDEX('[2]Link Out Monthly BY'!$D$6:$D$525,MATCH($C44,'[2]Link Out Monthly BY'!$C$6:$C$525,0),1),"")</f>
        <v>Labor Oper CA</v>
      </c>
      <c r="G44" s="104" t="str">
        <f>IFERROR(INDEX('[2]Link Out Monthly BY'!$E$6:$E$525,MATCH($C44,'[2]Link Out Monthly BY'!$C$6:$C$505,0),1),"")</f>
        <v>601.7</v>
      </c>
      <c r="I44" s="90">
        <f>IFERROR(INDEX('[2]Link Out Monthly BY'!$R$6:$R$525,MATCH($C44,'[2]Link Out Monthly BY'!$C$6:$C$525,0),1),0)</f>
        <v>13171</v>
      </c>
      <c r="K44" s="104" t="str">
        <f>IFERROR(INDEX('[2]Link Out Forecast'!$A$6:$A$275,MATCH($M44,'[2]Link Out Forecast'!$C$6:$C$275,0),1),"")</f>
        <v/>
      </c>
      <c r="L44" s="104" t="str">
        <f>IFERROR(INDEX('[2]Link Out Forecast'!$B$6:$B$275,MATCH($M44,'[2]Link Out Forecast'!$C$6:$C$275,0),1),"")</f>
        <v/>
      </c>
      <c r="N44" s="104" t="str">
        <f>IFERROR(INDEX('[2]Link Out Forecast'!$D$6:$D$275,MATCH($M44,'[2]Link Out Forecast'!$C$6:$C$275,0),1),"")</f>
        <v/>
      </c>
      <c r="O44" s="104" t="str">
        <f>IFERROR(INDEX('[2]Link Out Forecast'!$E$6:$E$275,MATCH($M44,'[2]Link Out Forecast'!$C$6:$C$275,0),1),"")</f>
        <v/>
      </c>
      <c r="P44" s="90" t="str">
        <f>IFERROR(INDEX('[2]Link Out Forecast'!$F$6:$F$275,MATCH($M44,'[2]Link Out Forecast'!$C$6:$C$275,0),1),"")</f>
        <v/>
      </c>
      <c r="Q44" s="90"/>
      <c r="R44" s="90" t="str">
        <f>IFERROR(INDEX('[2]Link Out Forecast'!$G$6:$G$275,MATCH($M44,'[2]Link Out Forecast'!$C$6:$C$275,0),1),"")</f>
        <v/>
      </c>
      <c r="S44" s="90"/>
      <c r="T44" s="90" t="str">
        <f>IFERROR(INDEX('[2]Link Out Forecast'!$H$6:$H$275,MATCH($M44,'[2]Link Out Forecast'!$C$6:$C$275,0),1),"")</f>
        <v/>
      </c>
      <c r="U44" s="90"/>
      <c r="V44" s="90" t="str">
        <f>IFERROR(INDEX('[2]Link Out Forecast'!$I$6:$I$275,MATCH($M44,'[2]Link Out Forecast'!$C$6:$C$275,0),1),"")</f>
        <v/>
      </c>
      <c r="W44" s="90"/>
      <c r="X44" s="90" t="str">
        <f>IFERROR(INDEX('[2]Link Out Forecast'!$J$6:$J$275,MATCH($M44,'[2]Link Out Forecast'!$C$6:$C$275,0),1),"")</f>
        <v/>
      </c>
      <c r="Y44" s="90"/>
      <c r="Z44" s="90" t="str">
        <f>IFERROR(INDEX('[2]Link Out Forecast'!$K$6:$K$275,MATCH($M44,'[2]Link Out Forecast'!$C$6:$C$275,0),1),"")</f>
        <v/>
      </c>
      <c r="AA44" s="90"/>
      <c r="AB44" s="90" t="str">
        <f>IFERROR(INDEX('[2]Link Out Forecast'!$L$6:$L$275,MATCH($M44,'[2]Link Out Forecast'!$C$6:$C$275,0),1),"")</f>
        <v/>
      </c>
      <c r="AC44" s="90"/>
      <c r="AD44" s="90" t="str">
        <f>IFERROR(INDEX('[2]Link Out Forecast'!$M$6:$M$275,MATCH($M44,'[2]Link Out Forecast'!$C$6:$C$275,0),1),"")</f>
        <v/>
      </c>
      <c r="AE44" s="90"/>
      <c r="AF44" s="90" t="str">
        <f>IFERROR(INDEX('[2]Link Out Forecast'!$N$6:$N$275,MATCH($M44,'[2]Link Out Forecast'!$C$6:$C$275,0),1),"")</f>
        <v/>
      </c>
      <c r="AG44" s="90"/>
      <c r="AH44" s="90" t="str">
        <f>IFERROR(INDEX('[2]Link Out Forecast'!$O$6:$O$275,MATCH($M44,'[2]Link Out Forecast'!$C$6:$C$275,0),1),"")</f>
        <v/>
      </c>
      <c r="AI44" s="90"/>
      <c r="AJ44" s="90" t="str">
        <f>IFERROR(INDEX('[2]Link Out Forecast'!$P$6:$P$275,MATCH($M44,'[2]Link Out Forecast'!$C$6:$C$275,0),1),"")</f>
        <v/>
      </c>
      <c r="AK44" s="90"/>
      <c r="AL44" s="90" t="str">
        <f>IFERROR(INDEX('[2]Link Out Forecast'!$Q$6:$Q$275,MATCH($M44,'[2]Link Out Forecast'!$C$6:$C$275,0),1),"")</f>
        <v/>
      </c>
      <c r="AM44" s="90"/>
      <c r="AN44" s="90" t="str">
        <f>IFERROR(INDEX('[2]Link Out Forecast'!$R$6:$R$275,MATCH($M44,'[2]Link Out Forecast'!$C$6:$C$275,0),1),"")</f>
        <v/>
      </c>
    </row>
    <row r="45" spans="1:43">
      <c r="A45" s="104" t="str">
        <f>IFERROR(INDEX('[2]Link Out Monthly BY'!$A$6:$A$525,MATCH($C45,'[2]Link Out Monthly BY'!$C$6:$C$525,0),1),"")</f>
        <v>P17</v>
      </c>
      <c r="B45" s="104" t="str">
        <f>IFERROR(INDEX('[2]Link Out Monthly BY'!$B$6:$B$525,MATCH($C45,'[2]Link Out Monthly BY'!$C$6:$C$525,0),1),"")</f>
        <v>Salaries and wages</v>
      </c>
      <c r="C45" s="104">
        <v>50101510</v>
      </c>
      <c r="E45" s="104" t="str">
        <f>IFERROR(INDEX('[2]Link Out Monthly BY'!$D$6:$D$525,MATCH($C45,'[2]Link Out Monthly BY'!$C$6:$C$525,0),1),"")</f>
        <v>Labor Oper CA MtrRd</v>
      </c>
      <c r="G45" s="104" t="str">
        <f>IFERROR(INDEX('[2]Link Out Monthly BY'!$E$6:$E$525,MATCH($C45,'[2]Link Out Monthly BY'!$C$6:$C$505,0),1),"")</f>
        <v>601.7</v>
      </c>
      <c r="I45" s="90">
        <f>IFERROR(INDEX('[2]Link Out Monthly BY'!$R$6:$R$525,MATCH($C45,'[2]Link Out Monthly BY'!$C$6:$C$525,0),1),0)</f>
        <v>134277</v>
      </c>
      <c r="K45" s="104" t="str">
        <f>IFERROR(INDEX('[2]Link Out Forecast'!$A$6:$A$275,MATCH($M45,'[2]Link Out Forecast'!$C$6:$C$275,0),1),"")</f>
        <v>P19</v>
      </c>
      <c r="L45" s="104" t="str">
        <f>IFERROR(INDEX('[2]Link Out Forecast'!$B$6:$B$275,MATCH($M45,'[2]Link Out Forecast'!$C$6:$C$275,0),1),"")</f>
        <v>OPEB expense</v>
      </c>
      <c r="M45" s="104">
        <v>50510000</v>
      </c>
      <c r="N45" s="104" t="str">
        <f>IFERROR(INDEX('[2]Link Out Forecast'!$D$6:$D$275,MATCH($M45,'[2]Link Out Forecast'!$C$6:$C$275,0),1),"")</f>
        <v>PBOP Expense</v>
      </c>
      <c r="O45" s="104" t="str">
        <f>IFERROR(INDEX('[2]Link Out Forecast'!$E$6:$E$275,MATCH($M45,'[2]Link Out Forecast'!$C$6:$C$275,0),1),"")</f>
        <v>604.8</v>
      </c>
      <c r="P45" s="90">
        <f>IFERROR(INDEX('[2]Link Out Forecast'!$F$6:$F$275,MATCH($M45,'[2]Link Out Forecast'!$C$6:$C$275,0),1),"")</f>
        <v>7844</v>
      </c>
      <c r="Q45" s="90"/>
      <c r="R45" s="90">
        <f>IFERROR(INDEX('[2]Link Out Forecast'!$G$6:$G$275,MATCH($M45,'[2]Link Out Forecast'!$C$6:$C$275,0),1),"")</f>
        <v>7844</v>
      </c>
      <c r="S45" s="90"/>
      <c r="T45" s="90">
        <f>IFERROR(INDEX('[2]Link Out Forecast'!$H$6:$H$275,MATCH($M45,'[2]Link Out Forecast'!$C$6:$C$275,0),1),"")</f>
        <v>7844</v>
      </c>
      <c r="U45" s="90"/>
      <c r="V45" s="90">
        <f>IFERROR(INDEX('[2]Link Out Forecast'!$I$6:$I$275,MATCH($M45,'[2]Link Out Forecast'!$C$6:$C$275,0),1),"")</f>
        <v>7844</v>
      </c>
      <c r="W45" s="90"/>
      <c r="X45" s="90">
        <f>IFERROR(INDEX('[2]Link Out Forecast'!$J$6:$J$275,MATCH($M45,'[2]Link Out Forecast'!$C$6:$C$275,0),1),"")</f>
        <v>7844</v>
      </c>
      <c r="Y45" s="90"/>
      <c r="Z45" s="90">
        <f>IFERROR(INDEX('[2]Link Out Forecast'!$K$6:$K$275,MATCH($M45,'[2]Link Out Forecast'!$C$6:$C$275,0),1),"")</f>
        <v>7844</v>
      </c>
      <c r="AA45" s="90"/>
      <c r="AB45" s="90">
        <f>IFERROR(INDEX('[2]Link Out Forecast'!$L$6:$L$275,MATCH($M45,'[2]Link Out Forecast'!$C$6:$C$275,0),1),"")</f>
        <v>5930</v>
      </c>
      <c r="AC45" s="90"/>
      <c r="AD45" s="90">
        <f>IFERROR(INDEX('[2]Link Out Forecast'!$M$6:$M$275,MATCH($M45,'[2]Link Out Forecast'!$C$6:$C$275,0),1),"")</f>
        <v>5930</v>
      </c>
      <c r="AE45" s="90"/>
      <c r="AF45" s="90">
        <f>IFERROR(INDEX('[2]Link Out Forecast'!$N$6:$N$275,MATCH($M45,'[2]Link Out Forecast'!$C$6:$C$275,0),1),"")</f>
        <v>5930</v>
      </c>
      <c r="AG45" s="90"/>
      <c r="AH45" s="90">
        <f>IFERROR(INDEX('[2]Link Out Forecast'!$O$6:$O$275,MATCH($M45,'[2]Link Out Forecast'!$C$6:$C$275,0),1),"")</f>
        <v>5930</v>
      </c>
      <c r="AI45" s="90"/>
      <c r="AJ45" s="90">
        <f>IFERROR(INDEX('[2]Link Out Forecast'!$P$6:$P$275,MATCH($M45,'[2]Link Out Forecast'!$C$6:$C$275,0),1),"")</f>
        <v>5930</v>
      </c>
      <c r="AK45" s="90"/>
      <c r="AL45" s="90">
        <f>IFERROR(INDEX('[2]Link Out Forecast'!$Q$6:$Q$275,MATCH($M45,'[2]Link Out Forecast'!$C$6:$C$275,0),1),"")</f>
        <v>5930</v>
      </c>
      <c r="AM45" s="90"/>
      <c r="AN45" s="90">
        <f>IFERROR(INDEX('[2]Link Out Forecast'!$R$6:$R$275,MATCH($M45,'[2]Link Out Forecast'!$C$6:$C$275,0),1),"")</f>
        <v>82644</v>
      </c>
    </row>
    <row r="46" spans="1:43">
      <c r="A46" s="104" t="str">
        <f>IFERROR(INDEX('[2]Link Out Monthly BY'!$A$6:$A$525,MATCH($C46,'[2]Link Out Monthly BY'!$C$6:$C$525,0),1),"")</f>
        <v>P17</v>
      </c>
      <c r="B46" s="104" t="str">
        <f>IFERROR(INDEX('[2]Link Out Monthly BY'!$B$6:$B$525,MATCH($C46,'[2]Link Out Monthly BY'!$C$6:$C$525,0),1),"")</f>
        <v>Salaries and wages</v>
      </c>
      <c r="C46" s="104">
        <v>50101515</v>
      </c>
      <c r="E46" s="104" t="str">
        <f>IFERROR(INDEX('[2]Link Out Monthly BY'!$D$6:$D$525,MATCH($C46,'[2]Link Out Monthly BY'!$C$6:$C$525,0),1),"")</f>
        <v>Labor Oper CA CstRec</v>
      </c>
      <c r="G46" s="104" t="str">
        <f>IFERROR(INDEX('[2]Link Out Monthly BY'!$E$6:$E$525,MATCH($C46,'[2]Link Out Monthly BY'!$C$6:$C$505,0),1),"")</f>
        <v>601.7</v>
      </c>
      <c r="I46" s="90">
        <f>IFERROR(INDEX('[2]Link Out Monthly BY'!$R$6:$R$525,MATCH($C46,'[2]Link Out Monthly BY'!$C$6:$C$525,0),1),0)</f>
        <v>0</v>
      </c>
      <c r="K46" s="104" t="str">
        <f>IFERROR(INDEX('[2]Link Out Forecast'!$A$6:$A$275,MATCH($M46,'[2]Link Out Forecast'!$C$6:$C$275,0),1),"")</f>
        <v>P19</v>
      </c>
      <c r="L46" s="104" t="str">
        <f>IFERROR(INDEX('[2]Link Out Forecast'!$B$6:$B$275,MATCH($M46,'[2]Link Out Forecast'!$C$6:$C$275,0),1),"")</f>
        <v>OPEB expense</v>
      </c>
      <c r="M46" s="104">
        <v>50510100</v>
      </c>
      <c r="N46" s="104" t="str">
        <f>IFERROR(INDEX('[2]Link Out Forecast'!$D$6:$D$275,MATCH($M46,'[2]Link Out Forecast'!$C$6:$C$275,0),1),"")</f>
        <v>PBOP Cap Credits</v>
      </c>
      <c r="O46" s="104" t="str">
        <f>IFERROR(INDEX('[2]Link Out Forecast'!$E$6:$E$275,MATCH($M46,'[2]Link Out Forecast'!$C$6:$C$275,0),1),"")</f>
        <v>604.8</v>
      </c>
      <c r="P46" s="90">
        <f>IFERROR(INDEX('[2]Link Out Forecast'!$F$6:$F$275,MATCH($M46,'[2]Link Out Forecast'!$C$6:$C$275,0),1),"")</f>
        <v>-2118</v>
      </c>
      <c r="Q46" s="90"/>
      <c r="R46" s="90">
        <f>IFERROR(INDEX('[2]Link Out Forecast'!$G$6:$G$275,MATCH($M46,'[2]Link Out Forecast'!$C$6:$C$275,0),1),"")</f>
        <v>-2118</v>
      </c>
      <c r="S46" s="90"/>
      <c r="T46" s="90">
        <f>IFERROR(INDEX('[2]Link Out Forecast'!$H$6:$H$275,MATCH($M46,'[2]Link Out Forecast'!$C$6:$C$275,0),1),"")</f>
        <v>-2118</v>
      </c>
      <c r="U46" s="90"/>
      <c r="V46" s="90">
        <f>IFERROR(INDEX('[2]Link Out Forecast'!$I$6:$I$275,MATCH($M46,'[2]Link Out Forecast'!$C$6:$C$275,0),1),"")</f>
        <v>-2118</v>
      </c>
      <c r="W46" s="90"/>
      <c r="X46" s="90">
        <f>IFERROR(INDEX('[2]Link Out Forecast'!$J$6:$J$275,MATCH($M46,'[2]Link Out Forecast'!$C$6:$C$275,0),1),"")</f>
        <v>-2118</v>
      </c>
      <c r="Y46" s="90"/>
      <c r="Z46" s="90">
        <f>IFERROR(INDEX('[2]Link Out Forecast'!$K$6:$K$275,MATCH($M46,'[2]Link Out Forecast'!$C$6:$C$275,0),1),"")</f>
        <v>-2118</v>
      </c>
      <c r="AA46" s="90"/>
      <c r="AB46" s="90">
        <f>IFERROR(INDEX('[2]Link Out Forecast'!$L$6:$L$275,MATCH($M46,'[2]Link Out Forecast'!$C$6:$C$275,0),1),"")</f>
        <v>0</v>
      </c>
      <c r="AC46" s="90"/>
      <c r="AD46" s="90">
        <f>IFERROR(INDEX('[2]Link Out Forecast'!$M$6:$M$275,MATCH($M46,'[2]Link Out Forecast'!$C$6:$C$275,0),1),"")</f>
        <v>0</v>
      </c>
      <c r="AE46" s="90"/>
      <c r="AF46" s="90">
        <f>IFERROR(INDEX('[2]Link Out Forecast'!$N$6:$N$275,MATCH($M46,'[2]Link Out Forecast'!$C$6:$C$275,0),1),"")</f>
        <v>0</v>
      </c>
      <c r="AG46" s="90"/>
      <c r="AH46" s="90">
        <f>IFERROR(INDEX('[2]Link Out Forecast'!$O$6:$O$275,MATCH($M46,'[2]Link Out Forecast'!$C$6:$C$275,0),1),"")</f>
        <v>0</v>
      </c>
      <c r="AI46" s="90"/>
      <c r="AJ46" s="90">
        <f>IFERROR(INDEX('[2]Link Out Forecast'!$P$6:$P$275,MATCH($M46,'[2]Link Out Forecast'!$C$6:$C$275,0),1),"")</f>
        <v>0</v>
      </c>
      <c r="AK46" s="90"/>
      <c r="AL46" s="90">
        <f>IFERROR(INDEX('[2]Link Out Forecast'!$Q$6:$Q$275,MATCH($M46,'[2]Link Out Forecast'!$C$6:$C$275,0),1),"")</f>
        <v>0</v>
      </c>
      <c r="AM46" s="90"/>
      <c r="AN46" s="90">
        <f>IFERROR(INDEX('[2]Link Out Forecast'!$R$6:$R$275,MATCH($M46,'[2]Link Out Forecast'!$C$6:$C$275,0),1),"")</f>
        <v>-12708</v>
      </c>
    </row>
    <row r="47" spans="1:43">
      <c r="A47" s="104" t="str">
        <f>IFERROR(INDEX('[2]Link Out Monthly BY'!$A$6:$A$525,MATCH($C47,'[2]Link Out Monthly BY'!$C$6:$C$525,0),1),"")</f>
        <v>P17</v>
      </c>
      <c r="B47" s="104" t="str">
        <f>IFERROR(INDEX('[2]Link Out Monthly BY'!$B$6:$B$525,MATCH($C47,'[2]Link Out Monthly BY'!$C$6:$C$525,0),1),"")</f>
        <v>Salaries and wages</v>
      </c>
      <c r="C47" s="104">
        <v>50101520</v>
      </c>
      <c r="E47" s="104" t="str">
        <f>IFERROR(INDEX('[2]Link Out Monthly BY'!$D$6:$D$525,MATCH($C47,'[2]Link Out Monthly BY'!$C$6:$C$525,0),1),"")</f>
        <v>Labor Oper CA CstSrv</v>
      </c>
      <c r="G47" s="104" t="str">
        <f>IFERROR(INDEX('[2]Link Out Monthly BY'!$E$6:$E$525,MATCH($C47,'[2]Link Out Monthly BY'!$C$6:$C$505,0),1),"")</f>
        <v>601.7</v>
      </c>
      <c r="I47" s="90">
        <f>IFERROR(INDEX('[2]Link Out Monthly BY'!$R$6:$R$525,MATCH($C47,'[2]Link Out Monthly BY'!$C$6:$C$525,0),1),0)</f>
        <v>102255</v>
      </c>
      <c r="K47" s="104" t="str">
        <f>IFERROR(INDEX('[2]Link Out Forecast'!$A$6:$A$275,MATCH($M47,'[2]Link Out Forecast'!$C$6:$C$275,0),1),"")</f>
        <v>P20</v>
      </c>
      <c r="L47" s="104" t="str">
        <f>IFERROR(INDEX('[2]Link Out Forecast'!$B$6:$B$275,MATCH($M47,'[2]Link Out Forecast'!$C$6:$C$275,0),1),"")</f>
        <v>Group insurance expense</v>
      </c>
      <c r="M47" s="104">
        <v>50550000</v>
      </c>
      <c r="N47" s="104" t="str">
        <f>IFERROR(INDEX('[2]Link Out Forecast'!$D$6:$D$275,MATCH($M47,'[2]Link Out Forecast'!$C$6:$C$275,0),1),"")</f>
        <v>Group Insur Expense</v>
      </c>
      <c r="O47" s="104" t="str">
        <f>IFERROR(INDEX('[2]Link Out Forecast'!$E$6:$E$275,MATCH($M47,'[2]Link Out Forecast'!$C$6:$C$275,0),1),"")</f>
        <v>604.8</v>
      </c>
      <c r="P47" s="90">
        <f>IFERROR(INDEX('[2]Link Out Forecast'!$F$6:$F$275,MATCH($M47,'[2]Link Out Forecast'!$C$6:$C$275,0),1),"")</f>
        <v>169522</v>
      </c>
      <c r="Q47" s="90"/>
      <c r="R47" s="90">
        <f>IFERROR(INDEX('[2]Link Out Forecast'!$G$6:$G$275,MATCH($M47,'[2]Link Out Forecast'!$C$6:$C$275,0),1),"")</f>
        <v>169522</v>
      </c>
      <c r="S47" s="90"/>
      <c r="T47" s="90">
        <f>IFERROR(INDEX('[2]Link Out Forecast'!$H$6:$H$275,MATCH($M47,'[2]Link Out Forecast'!$C$6:$C$275,0),1),"")</f>
        <v>169522</v>
      </c>
      <c r="U47" s="90"/>
      <c r="V47" s="90">
        <f>IFERROR(INDEX('[2]Link Out Forecast'!$I$6:$I$275,MATCH($M47,'[2]Link Out Forecast'!$C$6:$C$275,0),1),"")</f>
        <v>169522</v>
      </c>
      <c r="W47" s="90"/>
      <c r="X47" s="90">
        <f>IFERROR(INDEX('[2]Link Out Forecast'!$J$6:$J$275,MATCH($M47,'[2]Link Out Forecast'!$C$6:$C$275,0),1),"")</f>
        <v>169518</v>
      </c>
      <c r="Y47" s="90"/>
      <c r="Z47" s="90">
        <f>IFERROR(INDEX('[2]Link Out Forecast'!$K$6:$K$275,MATCH($M47,'[2]Link Out Forecast'!$C$6:$C$275,0),1),"")</f>
        <v>169518</v>
      </c>
      <c r="AA47" s="90"/>
      <c r="AB47" s="90">
        <f>IFERROR(INDEX('[2]Link Out Forecast'!$L$6:$L$275,MATCH($M47,'[2]Link Out Forecast'!$C$6:$C$275,0),1),"")</f>
        <v>130854</v>
      </c>
      <c r="AC47" s="90"/>
      <c r="AD47" s="90">
        <f>IFERROR(INDEX('[2]Link Out Forecast'!$M$6:$M$275,MATCH($M47,'[2]Link Out Forecast'!$C$6:$C$275,0),1),"")</f>
        <v>130336</v>
      </c>
      <c r="AE47" s="90"/>
      <c r="AF47" s="90">
        <f>IFERROR(INDEX('[2]Link Out Forecast'!$N$6:$N$275,MATCH($M47,'[2]Link Out Forecast'!$C$6:$C$275,0),1),"")</f>
        <v>130224</v>
      </c>
      <c r="AG47" s="90"/>
      <c r="AH47" s="90">
        <f>IFERROR(INDEX('[2]Link Out Forecast'!$O$6:$O$275,MATCH($M47,'[2]Link Out Forecast'!$C$6:$C$275,0),1),"")</f>
        <v>130224</v>
      </c>
      <c r="AI47" s="90"/>
      <c r="AJ47" s="90">
        <f>IFERROR(INDEX('[2]Link Out Forecast'!$P$6:$P$275,MATCH($M47,'[2]Link Out Forecast'!$C$6:$C$275,0),1),"")</f>
        <v>130224</v>
      </c>
      <c r="AK47" s="90"/>
      <c r="AL47" s="90">
        <f>IFERROR(INDEX('[2]Link Out Forecast'!$Q$6:$Q$275,MATCH($M47,'[2]Link Out Forecast'!$C$6:$C$275,0),1),"")</f>
        <v>130742</v>
      </c>
      <c r="AM47" s="90"/>
      <c r="AN47" s="90">
        <f>IFERROR(INDEX('[2]Link Out Forecast'!$R$6:$R$275,MATCH($M47,'[2]Link Out Forecast'!$C$6:$C$275,0),1),"")</f>
        <v>1799728</v>
      </c>
      <c r="AP47" s="239">
        <v>124799</v>
      </c>
    </row>
    <row r="48" spans="1:43">
      <c r="A48" s="104" t="str">
        <f>IFERROR(INDEX('[2]Link Out Monthly BY'!$A$6:$A$525,MATCH($C48,'[2]Link Out Monthly BY'!$C$6:$C$525,0),1),"")</f>
        <v>P17</v>
      </c>
      <c r="B48" s="104" t="str">
        <f>IFERROR(INDEX('[2]Link Out Monthly BY'!$B$6:$B$525,MATCH($C48,'[2]Link Out Monthly BY'!$C$6:$C$525,0),1),"")</f>
        <v>Salaries and wages</v>
      </c>
      <c r="C48" s="104">
        <v>50101600</v>
      </c>
      <c r="E48" s="104" t="str">
        <f>IFERROR(INDEX('[2]Link Out Monthly BY'!$D$6:$D$525,MATCH($C48,'[2]Link Out Monthly BY'!$C$6:$C$525,0),1),"")</f>
        <v>Labor Oper AG</v>
      </c>
      <c r="G48" s="104" t="str">
        <f>IFERROR(INDEX('[2]Link Out Monthly BY'!$E$6:$E$525,MATCH($C48,'[2]Link Out Monthly BY'!$C$6:$C$505,0),1),"")</f>
        <v>601.8</v>
      </c>
      <c r="I48" s="90">
        <f>IFERROR(INDEX('[2]Link Out Monthly BY'!$R$6:$R$525,MATCH($C48,'[2]Link Out Monthly BY'!$C$6:$C$525,0),1),0)</f>
        <v>362686</v>
      </c>
      <c r="K48" s="104" t="str">
        <f>IFERROR(INDEX('[2]Link Out Forecast'!$A$6:$A$275,MATCH($M48,'[2]Link Out Forecast'!$C$6:$C$275,0),1),"")</f>
        <v>P20</v>
      </c>
      <c r="L48" s="104" t="str">
        <f>IFERROR(INDEX('[2]Link Out Forecast'!$B$6:$B$275,MATCH($M48,'[2]Link Out Forecast'!$C$6:$C$275,0),1),"")</f>
        <v>Group insurance expense</v>
      </c>
      <c r="M48" s="104">
        <v>50550100</v>
      </c>
      <c r="N48" s="104" t="str">
        <f>IFERROR(INDEX('[2]Link Out Forecast'!$D$6:$D$275,MATCH($M48,'[2]Link Out Forecast'!$C$6:$C$275,0),1),"")</f>
        <v>Group Ins Cap Credts</v>
      </c>
      <c r="O48" s="104" t="str">
        <f>IFERROR(INDEX('[2]Link Out Forecast'!$E$6:$E$275,MATCH($M48,'[2]Link Out Forecast'!$C$6:$C$275,0),1),"")</f>
        <v>604.8</v>
      </c>
      <c r="P48" s="90">
        <f>IFERROR(INDEX('[2]Link Out Forecast'!$F$6:$F$275,MATCH($M48,'[2]Link Out Forecast'!$C$6:$C$275,0),1),"")</f>
        <v>-44831</v>
      </c>
      <c r="Q48" s="90"/>
      <c r="R48" s="90">
        <f>IFERROR(INDEX('[2]Link Out Forecast'!$G$6:$G$275,MATCH($M48,'[2]Link Out Forecast'!$C$6:$C$275,0),1),"")</f>
        <v>-44831</v>
      </c>
      <c r="S48" s="90"/>
      <c r="T48" s="90">
        <f>IFERROR(INDEX('[2]Link Out Forecast'!$H$6:$H$275,MATCH($M48,'[2]Link Out Forecast'!$C$6:$C$275,0),1),"")</f>
        <v>-44831</v>
      </c>
      <c r="U48" s="90"/>
      <c r="V48" s="90">
        <f>IFERROR(INDEX('[2]Link Out Forecast'!$I$6:$I$275,MATCH($M48,'[2]Link Out Forecast'!$C$6:$C$275,0),1),"")</f>
        <v>-44831</v>
      </c>
      <c r="W48" s="90"/>
      <c r="X48" s="90">
        <f>IFERROR(INDEX('[2]Link Out Forecast'!$J$6:$J$275,MATCH($M48,'[2]Link Out Forecast'!$C$6:$C$275,0),1),"")</f>
        <v>-44719</v>
      </c>
      <c r="Y48" s="90"/>
      <c r="Z48" s="90">
        <f>IFERROR(INDEX('[2]Link Out Forecast'!$K$6:$K$275,MATCH($M48,'[2]Link Out Forecast'!$C$6:$C$275,0),1),"")</f>
        <v>-44719</v>
      </c>
      <c r="AA48" s="90"/>
      <c r="AB48" s="90">
        <f>IFERROR(INDEX('[2]Link Out Forecast'!$L$6:$L$275,MATCH($M48,'[2]Link Out Forecast'!$C$6:$C$275,0),1),"")</f>
        <v>0</v>
      </c>
      <c r="AC48" s="90"/>
      <c r="AD48" s="90">
        <f>IFERROR(INDEX('[2]Link Out Forecast'!$M$6:$M$275,MATCH($M48,'[2]Link Out Forecast'!$C$6:$C$275,0),1),"")</f>
        <v>0</v>
      </c>
      <c r="AE48" s="90"/>
      <c r="AF48" s="90">
        <f>IFERROR(INDEX('[2]Link Out Forecast'!$N$6:$N$275,MATCH($M48,'[2]Link Out Forecast'!$C$6:$C$275,0),1),"")</f>
        <v>0</v>
      </c>
      <c r="AG48" s="90"/>
      <c r="AH48" s="90">
        <f>IFERROR(INDEX('[2]Link Out Forecast'!$O$6:$O$275,MATCH($M48,'[2]Link Out Forecast'!$C$6:$C$275,0),1),"")</f>
        <v>0</v>
      </c>
      <c r="AI48" s="90"/>
      <c r="AJ48" s="90">
        <f>IFERROR(INDEX('[2]Link Out Forecast'!$P$6:$P$275,MATCH($M48,'[2]Link Out Forecast'!$C$6:$C$275,0),1),"")</f>
        <v>0</v>
      </c>
      <c r="AK48" s="90"/>
      <c r="AL48" s="90">
        <f>IFERROR(INDEX('[2]Link Out Forecast'!$Q$6:$Q$275,MATCH($M48,'[2]Link Out Forecast'!$C$6:$C$275,0),1),"")</f>
        <v>0</v>
      </c>
      <c r="AM48" s="90"/>
      <c r="AN48" s="90">
        <f>IFERROR(INDEX('[2]Link Out Forecast'!$R$6:$R$275,MATCH($M48,'[2]Link Out Forecast'!$C$6:$C$275,0),1),"")</f>
        <v>-268762</v>
      </c>
      <c r="AP48" s="239">
        <f>AVERAGE(AB47:AL47)</f>
        <v>130434</v>
      </c>
    </row>
    <row r="49" spans="1:42">
      <c r="A49" s="104" t="str">
        <f>IFERROR(INDEX('[2]Link Out Monthly BY'!$A$6:$A$525,MATCH($C49,'[2]Link Out Monthly BY'!$C$6:$C$525,0),1),"")</f>
        <v>P17</v>
      </c>
      <c r="B49" s="104" t="str">
        <f>IFERROR(INDEX('[2]Link Out Monthly BY'!$B$6:$B$525,MATCH($C49,'[2]Link Out Monthly BY'!$C$6:$C$525,0),1),"")</f>
        <v>Salaries and wages</v>
      </c>
      <c r="C49" s="104">
        <v>50101601</v>
      </c>
      <c r="E49" s="104" t="str">
        <f>IFERROR(INDEX('[2]Link Out Monthly BY'!$D$6:$D$525,MATCH($C49,'[2]Link Out Monthly BY'!$C$6:$C$525,0),1),"")</f>
        <v>Labor Oper AG Dir&amp;Of</v>
      </c>
      <c r="G49" s="104" t="str">
        <f>IFERROR(INDEX('[2]Link Out Monthly BY'!$E$6:$E$525,MATCH($C49,'[2]Link Out Monthly BY'!$C$6:$C$505,0),1),"")</f>
        <v>603.8</v>
      </c>
      <c r="I49" s="90">
        <f>IFERROR(INDEX('[2]Link Out Monthly BY'!$R$6:$R$525,MATCH($C49,'[2]Link Out Monthly BY'!$C$6:$C$525,0),1),0)</f>
        <v>161</v>
      </c>
      <c r="K49" s="104" t="str">
        <f>IFERROR(INDEX('[2]Link Out Forecast'!$A$6:$A$275,MATCH($M49,'[2]Link Out Forecast'!$C$6:$C$275,0),1),"")</f>
        <v>P20</v>
      </c>
      <c r="L49" s="104" t="str">
        <f>IFERROR(INDEX('[2]Link Out Forecast'!$B$6:$B$275,MATCH($M49,'[2]Link Out Forecast'!$C$6:$C$275,0),1),"")</f>
        <v>Group insurance expense</v>
      </c>
      <c r="M49" s="104">
        <v>50560000</v>
      </c>
      <c r="N49" s="104" t="str">
        <f>IFERROR(INDEX('[2]Link Out Forecast'!$D$6:$D$275,MATCH($M49,'[2]Link Out Forecast'!$C$6:$C$275,0),1),"")</f>
        <v>Health Savings Account Expense</v>
      </c>
      <c r="O49" s="104" t="str">
        <f>IFERROR(INDEX('[2]Link Out Forecast'!$E$6:$E$275,MATCH($M49,'[2]Link Out Forecast'!$C$6:$C$275,0),1),"")</f>
        <v>604.8</v>
      </c>
      <c r="P49" s="90">
        <f>IFERROR(INDEX('[2]Link Out Forecast'!$F$6:$F$275,MATCH($M49,'[2]Link Out Forecast'!$C$6:$C$275,0),1),"")</f>
        <v>0</v>
      </c>
      <c r="Q49" s="90"/>
      <c r="R49" s="90">
        <f>IFERROR(INDEX('[2]Link Out Forecast'!$G$6:$G$275,MATCH($M49,'[2]Link Out Forecast'!$C$6:$C$275,0),1),"")</f>
        <v>0</v>
      </c>
      <c r="S49" s="90"/>
      <c r="T49" s="90">
        <f>IFERROR(INDEX('[2]Link Out Forecast'!$H$6:$H$275,MATCH($M49,'[2]Link Out Forecast'!$C$6:$C$275,0),1),"")</f>
        <v>0</v>
      </c>
      <c r="U49" s="90"/>
      <c r="V49" s="90">
        <f>IFERROR(INDEX('[2]Link Out Forecast'!$I$6:$I$275,MATCH($M49,'[2]Link Out Forecast'!$C$6:$C$275,0),1),"")</f>
        <v>0</v>
      </c>
      <c r="W49" s="90"/>
      <c r="X49" s="90">
        <f>IFERROR(INDEX('[2]Link Out Forecast'!$J$6:$J$275,MATCH($M49,'[2]Link Out Forecast'!$C$6:$C$275,0),1),"")</f>
        <v>500</v>
      </c>
      <c r="Y49" s="90"/>
      <c r="Z49" s="90">
        <f>IFERROR(INDEX('[2]Link Out Forecast'!$K$6:$K$275,MATCH($M49,'[2]Link Out Forecast'!$C$6:$C$275,0),1),"")</f>
        <v>0</v>
      </c>
      <c r="AA49" s="90"/>
      <c r="AB49" s="90">
        <f>IFERROR(INDEX('[2]Link Out Forecast'!$L$6:$L$275,MATCH($M49,'[2]Link Out Forecast'!$C$6:$C$275,0),1),"")</f>
        <v>0</v>
      </c>
      <c r="AC49" s="90"/>
      <c r="AD49" s="90">
        <f>IFERROR(INDEX('[2]Link Out Forecast'!$M$6:$M$275,MATCH($M49,'[2]Link Out Forecast'!$C$6:$C$275,0),1),"")</f>
        <v>0</v>
      </c>
      <c r="AE49" s="90"/>
      <c r="AF49" s="90">
        <f>IFERROR(INDEX('[2]Link Out Forecast'!$N$6:$N$275,MATCH($M49,'[2]Link Out Forecast'!$C$6:$C$275,0),1),"")</f>
        <v>0</v>
      </c>
      <c r="AG49" s="90"/>
      <c r="AH49" s="90">
        <f>IFERROR(INDEX('[2]Link Out Forecast'!$O$6:$O$275,MATCH($M49,'[2]Link Out Forecast'!$C$6:$C$275,0),1),"")</f>
        <v>0</v>
      </c>
      <c r="AI49" s="90"/>
      <c r="AJ49" s="90">
        <f>IFERROR(INDEX('[2]Link Out Forecast'!$P$6:$P$275,MATCH($M49,'[2]Link Out Forecast'!$C$6:$C$275,0),1),"")</f>
        <v>0</v>
      </c>
      <c r="AK49" s="90"/>
      <c r="AL49" s="90">
        <f>IFERROR(INDEX('[2]Link Out Forecast'!$Q$6:$Q$275,MATCH($M49,'[2]Link Out Forecast'!$C$6:$C$275,0),1),"")</f>
        <v>0</v>
      </c>
      <c r="AM49" s="90"/>
      <c r="AN49" s="90">
        <f>IFERROR(INDEX('[2]Link Out Forecast'!$R$6:$R$275,MATCH($M49,'[2]Link Out Forecast'!$C$6:$C$275,0),1),"")</f>
        <v>500</v>
      </c>
    </row>
    <row r="50" spans="1:42">
      <c r="A50" s="104" t="str">
        <f>IFERROR(INDEX('[2]Link Out Monthly BY'!$A$6:$A$525,MATCH($C50,'[2]Link Out Monthly BY'!$C$6:$C$525,0),1),"")</f>
        <v>P17</v>
      </c>
      <c r="B50" s="104" t="str">
        <f>IFERROR(INDEX('[2]Link Out Monthly BY'!$B$6:$B$525,MATCH($C50,'[2]Link Out Monthly BY'!$C$6:$C$525,0),1),"")</f>
        <v>Salaries and wages</v>
      </c>
      <c r="C50" s="104">
        <v>50102300</v>
      </c>
      <c r="E50" s="104" t="str">
        <f>IFERROR(INDEX('[2]Link Out Monthly BY'!$D$6:$D$525,MATCH($C50,'[2]Link Out Monthly BY'!$C$6:$C$525,0),1),"")</f>
        <v>Labor Maint WT</v>
      </c>
      <c r="G50" s="104" t="str">
        <f>IFERROR(INDEX('[2]Link Out Monthly BY'!$E$6:$E$525,MATCH($C50,'[2]Link Out Monthly BY'!$C$6:$C$505,0),1),"")</f>
        <v>601.4</v>
      </c>
      <c r="I50" s="90">
        <f>IFERROR(INDEX('[2]Link Out Monthly BY'!$R$6:$R$525,MATCH($C50,'[2]Link Out Monthly BY'!$C$6:$C$525,0),1),0)</f>
        <v>96528</v>
      </c>
      <c r="K50" s="104" t="str">
        <f>IFERROR(INDEX('[2]Link Out Forecast'!$A$6:$A$275,MATCH($M50,'[2]Link Out Forecast'!$C$6:$C$275,0),1),"")</f>
        <v/>
      </c>
      <c r="L50" s="104" t="str">
        <f>IFERROR(INDEX('[2]Link Out Forecast'!$B$6:$B$275,MATCH($M50,'[2]Link Out Forecast'!$C$6:$C$275,0),1),"")</f>
        <v/>
      </c>
      <c r="N50" s="104" t="str">
        <f>IFERROR(INDEX('[2]Link Out Forecast'!$D$6:$D$275,MATCH($M50,'[2]Link Out Forecast'!$C$6:$C$275,0),1),"")</f>
        <v/>
      </c>
      <c r="O50" s="104" t="str">
        <f>IFERROR(INDEX('[2]Link Out Forecast'!$E$6:$E$275,MATCH($M50,'[2]Link Out Forecast'!$C$6:$C$275,0),1),"")</f>
        <v/>
      </c>
      <c r="P50" s="90" t="str">
        <f>IFERROR(INDEX('[2]Link Out Forecast'!$F$6:$F$275,MATCH($M50,'[2]Link Out Forecast'!$C$6:$C$275,0),1),"")</f>
        <v/>
      </c>
      <c r="Q50" s="90"/>
      <c r="R50" s="90" t="str">
        <f>IFERROR(INDEX('[2]Link Out Forecast'!$G$6:$G$275,MATCH($M50,'[2]Link Out Forecast'!$C$6:$C$275,0),1),"")</f>
        <v/>
      </c>
      <c r="S50" s="90"/>
      <c r="T50" s="90" t="str">
        <f>IFERROR(INDEX('[2]Link Out Forecast'!$H$6:$H$275,MATCH($M50,'[2]Link Out Forecast'!$C$6:$C$275,0),1),"")</f>
        <v/>
      </c>
      <c r="U50" s="90"/>
      <c r="V50" s="90" t="str">
        <f>IFERROR(INDEX('[2]Link Out Forecast'!$I$6:$I$275,MATCH($M50,'[2]Link Out Forecast'!$C$6:$C$275,0),1),"")</f>
        <v/>
      </c>
      <c r="W50" s="90"/>
      <c r="X50" s="90" t="str">
        <f>IFERROR(INDEX('[2]Link Out Forecast'!$J$6:$J$275,MATCH($M50,'[2]Link Out Forecast'!$C$6:$C$275,0),1),"")</f>
        <v/>
      </c>
      <c r="Y50" s="90"/>
      <c r="Z50" s="90" t="str">
        <f>IFERROR(INDEX('[2]Link Out Forecast'!$K$6:$K$275,MATCH($M50,'[2]Link Out Forecast'!$C$6:$C$275,0),1),"")</f>
        <v/>
      </c>
      <c r="AA50" s="90"/>
      <c r="AB50" s="90" t="str">
        <f>IFERROR(INDEX('[2]Link Out Forecast'!$L$6:$L$275,MATCH($M50,'[2]Link Out Forecast'!$C$6:$C$275,0),1),"")</f>
        <v/>
      </c>
      <c r="AC50" s="90"/>
      <c r="AD50" s="90" t="str">
        <f>IFERROR(INDEX('[2]Link Out Forecast'!$M$6:$M$275,MATCH($M50,'[2]Link Out Forecast'!$C$6:$C$275,0),1),"")</f>
        <v/>
      </c>
      <c r="AE50" s="90"/>
      <c r="AF50" s="90" t="str">
        <f>IFERROR(INDEX('[2]Link Out Forecast'!$N$6:$N$275,MATCH($M50,'[2]Link Out Forecast'!$C$6:$C$275,0),1),"")</f>
        <v/>
      </c>
      <c r="AG50" s="90"/>
      <c r="AH50" s="90" t="str">
        <f>IFERROR(INDEX('[2]Link Out Forecast'!$O$6:$O$275,MATCH($M50,'[2]Link Out Forecast'!$C$6:$C$275,0),1),"")</f>
        <v/>
      </c>
      <c r="AI50" s="90"/>
      <c r="AJ50" s="90" t="str">
        <f>IFERROR(INDEX('[2]Link Out Forecast'!$P$6:$P$275,MATCH($M50,'[2]Link Out Forecast'!$C$6:$C$275,0),1),"")</f>
        <v/>
      </c>
      <c r="AK50" s="90"/>
      <c r="AL50" s="90" t="str">
        <f>IFERROR(INDEX('[2]Link Out Forecast'!$Q$6:$Q$275,MATCH($M50,'[2]Link Out Forecast'!$C$6:$C$275,0),1),"")</f>
        <v/>
      </c>
      <c r="AM50" s="90"/>
      <c r="AN50" s="90" t="str">
        <f>IFERROR(INDEX('[2]Link Out Forecast'!$R$6:$R$275,MATCH($M50,'[2]Link Out Forecast'!$C$6:$C$275,0),1),"")</f>
        <v/>
      </c>
      <c r="AP50" s="527">
        <f>+AP48/AP47-1</f>
        <v>4.5152605389466194E-2</v>
      </c>
    </row>
    <row r="51" spans="1:42">
      <c r="A51" s="104" t="str">
        <f>IFERROR(INDEX('[2]Link Out Monthly BY'!$A$6:$A$525,MATCH($C51,'[2]Link Out Monthly BY'!$C$6:$C$525,0),1),"")</f>
        <v>P17</v>
      </c>
      <c r="B51" s="104" t="str">
        <f>IFERROR(INDEX('[2]Link Out Monthly BY'!$B$6:$B$525,MATCH($C51,'[2]Link Out Monthly BY'!$C$6:$C$525,0),1),"")</f>
        <v>Salaries and wages</v>
      </c>
      <c r="C51" s="104">
        <v>50102400</v>
      </c>
      <c r="E51" s="104" t="str">
        <f>IFERROR(INDEX('[2]Link Out Monthly BY'!$D$6:$D$525,MATCH($C51,'[2]Link Out Monthly BY'!$C$6:$C$525,0),1),"")</f>
        <v>Labor Maint TD</v>
      </c>
      <c r="G51" s="104" t="str">
        <f>IFERROR(INDEX('[2]Link Out Monthly BY'!$E$6:$E$525,MATCH($C51,'[2]Link Out Monthly BY'!$C$6:$C$505,0),1),"")</f>
        <v>601.6</v>
      </c>
      <c r="I51" s="90">
        <f>IFERROR(INDEX('[2]Link Out Monthly BY'!$R$6:$R$525,MATCH($C51,'[2]Link Out Monthly BY'!$C$6:$C$525,0),1),0)</f>
        <v>277315</v>
      </c>
      <c r="K51" s="104" t="str">
        <f>IFERROR(INDEX('[2]Link Out Forecast'!$A$6:$A$275,MATCH($M51,'[2]Link Out Forecast'!$C$6:$C$275,0),1),"")</f>
        <v>P21</v>
      </c>
      <c r="L51" s="104" t="str">
        <f>IFERROR(INDEX('[2]Link Out Forecast'!$B$6:$B$275,MATCH($M51,'[2]Link Out Forecast'!$C$6:$C$275,0),1),"")</f>
        <v>Other benefits</v>
      </c>
      <c r="M51" s="104">
        <v>50421000</v>
      </c>
      <c r="N51" s="104" t="str">
        <f>IFERROR(INDEX('[2]Link Out Forecast'!$D$6:$D$275,MATCH($M51,'[2]Link Out Forecast'!$C$6:$C$275,0),1),"")</f>
        <v>401k Expense</v>
      </c>
      <c r="O51" s="104" t="str">
        <f>IFERROR(INDEX('[2]Link Out Forecast'!$E$6:$E$275,MATCH($M51,'[2]Link Out Forecast'!$C$6:$C$275,0),1),"")</f>
        <v>604.8</v>
      </c>
      <c r="P51" s="90">
        <f>IFERROR(INDEX('[2]Link Out Forecast'!$F$6:$F$275,MATCH($M51,'[2]Link Out Forecast'!$C$6:$C$275,0),1),"")</f>
        <v>22425</v>
      </c>
      <c r="Q51" s="90"/>
      <c r="R51" s="90">
        <f>IFERROR(INDEX('[2]Link Out Forecast'!$G$6:$G$275,MATCH($M51,'[2]Link Out Forecast'!$C$6:$C$275,0),1),"")</f>
        <v>21494</v>
      </c>
      <c r="S51" s="90"/>
      <c r="T51" s="90">
        <f>IFERROR(INDEX('[2]Link Out Forecast'!$H$6:$H$275,MATCH($M51,'[2]Link Out Forecast'!$C$6:$C$275,0),1),"")</f>
        <v>20574</v>
      </c>
      <c r="U51" s="90"/>
      <c r="V51" s="90">
        <f>IFERROR(INDEX('[2]Link Out Forecast'!$I$6:$I$275,MATCH($M51,'[2]Link Out Forecast'!$C$6:$C$275,0),1),"")</f>
        <v>22425</v>
      </c>
      <c r="W51" s="90"/>
      <c r="X51" s="90">
        <f>IFERROR(INDEX('[2]Link Out Forecast'!$J$6:$J$275,MATCH($M51,'[2]Link Out Forecast'!$C$6:$C$275,0),1),"")</f>
        <v>20833</v>
      </c>
      <c r="Y51" s="90"/>
      <c r="Z51" s="90">
        <f>IFERROR(INDEX('[2]Link Out Forecast'!$K$6:$K$275,MATCH($M51,'[2]Link Out Forecast'!$C$6:$C$275,0),1),"")</f>
        <v>21763</v>
      </c>
      <c r="AA51" s="90"/>
      <c r="AB51" s="90">
        <f>IFERROR(INDEX('[2]Link Out Forecast'!$L$6:$L$275,MATCH($M51,'[2]Link Out Forecast'!$C$6:$C$275,0),1),"")</f>
        <v>44409</v>
      </c>
      <c r="AC51" s="90"/>
      <c r="AD51" s="90">
        <f>IFERROR(INDEX('[2]Link Out Forecast'!$M$6:$M$275,MATCH($M51,'[2]Link Out Forecast'!$C$6:$C$275,0),1),"")</f>
        <v>47674</v>
      </c>
      <c r="AE51" s="90"/>
      <c r="AF51" s="90">
        <f>IFERROR(INDEX('[2]Link Out Forecast'!$N$6:$N$275,MATCH($M51,'[2]Link Out Forecast'!$C$6:$C$275,0),1),"")</f>
        <v>58805</v>
      </c>
      <c r="AG51" s="90"/>
      <c r="AH51" s="90">
        <f>IFERROR(INDEX('[2]Link Out Forecast'!$O$6:$O$275,MATCH($M51,'[2]Link Out Forecast'!$C$6:$C$275,0),1),"")</f>
        <v>52936</v>
      </c>
      <c r="AI51" s="90"/>
      <c r="AJ51" s="90">
        <f>IFERROR(INDEX('[2]Link Out Forecast'!$P$6:$P$275,MATCH($M51,'[2]Link Out Forecast'!$C$6:$C$275,0),1),"")</f>
        <v>46680</v>
      </c>
      <c r="AK51" s="90"/>
      <c r="AL51" s="90">
        <f>IFERROR(INDEX('[2]Link Out Forecast'!$Q$6:$Q$275,MATCH($M51,'[2]Link Out Forecast'!$C$6:$C$275,0),1),"")</f>
        <v>41636</v>
      </c>
      <c r="AM51" s="90"/>
      <c r="AN51" s="90">
        <f>IFERROR(INDEX('[2]Link Out Forecast'!$R$6:$R$275,MATCH($M51,'[2]Link Out Forecast'!$C$6:$C$275,0),1),"")</f>
        <v>421654</v>
      </c>
      <c r="AP51" s="239">
        <f>+AP47*AP50</f>
        <v>5634.9999999999918</v>
      </c>
    </row>
    <row r="52" spans="1:42">
      <c r="A52" s="104" t="str">
        <f>IFERROR(INDEX('[2]Link Out Monthly BY'!$A$6:$A$525,MATCH($C52,'[2]Link Out Monthly BY'!$C$6:$C$525,0),1),"")</f>
        <v>P17</v>
      </c>
      <c r="B52" s="104" t="str">
        <f>IFERROR(INDEX('[2]Link Out Monthly BY'!$B$6:$B$525,MATCH($C52,'[2]Link Out Monthly BY'!$C$6:$C$525,0),1),"")</f>
        <v>Salaries and wages</v>
      </c>
      <c r="C52" s="104">
        <v>50102410</v>
      </c>
      <c r="E52" s="104" t="str">
        <f>IFERROR(INDEX('[2]Link Out Monthly BY'!$D$6:$D$525,MATCH($C52,'[2]Link Out Monthly BY'!$C$6:$C$525,0),1),"")</f>
        <v>Labor Mnt TD Str&amp;Imp</v>
      </c>
      <c r="G52" s="104" t="str">
        <f>IFERROR(INDEX('[2]Link Out Monthly BY'!$E$6:$E$525,MATCH($C52,'[2]Link Out Monthly BY'!$C$6:$C$505,0),1),"")</f>
        <v>601.6</v>
      </c>
      <c r="I52" s="90">
        <f>IFERROR(INDEX('[2]Link Out Monthly BY'!$R$6:$R$525,MATCH($C52,'[2]Link Out Monthly BY'!$C$6:$C$525,0),1),0)</f>
        <v>0</v>
      </c>
      <c r="K52" s="104" t="str">
        <f>IFERROR(INDEX('[2]Link Out Forecast'!$A$6:$A$275,MATCH($M52,'[2]Link Out Forecast'!$C$6:$C$275,0),1),"")</f>
        <v>P21</v>
      </c>
      <c r="L52" s="104" t="str">
        <f>IFERROR(INDEX('[2]Link Out Forecast'!$B$6:$B$275,MATCH($M52,'[2]Link Out Forecast'!$C$6:$C$275,0),1),"")</f>
        <v>Other benefits</v>
      </c>
      <c r="M52" s="104">
        <v>50421100</v>
      </c>
      <c r="N52" s="104" t="str">
        <f>IFERROR(INDEX('[2]Link Out Forecast'!$D$6:$D$275,MATCH($M52,'[2]Link Out Forecast'!$C$6:$C$275,0),1),"")</f>
        <v>401k Exp Cap Credits</v>
      </c>
      <c r="O52" s="104" t="str">
        <f>IFERROR(INDEX('[2]Link Out Forecast'!$E$6:$E$275,MATCH($M52,'[2]Link Out Forecast'!$C$6:$C$275,0),1),"")</f>
        <v>604.8</v>
      </c>
      <c r="P52" s="90">
        <f>IFERROR(INDEX('[2]Link Out Forecast'!$F$6:$F$275,MATCH($M52,'[2]Link Out Forecast'!$C$6:$C$275,0),1),"")</f>
        <v>-5886</v>
      </c>
      <c r="Q52" s="90"/>
      <c r="R52" s="90">
        <f>IFERROR(INDEX('[2]Link Out Forecast'!$G$6:$G$275,MATCH($M52,'[2]Link Out Forecast'!$C$6:$C$275,0),1),"")</f>
        <v>-5619</v>
      </c>
      <c r="S52" s="90"/>
      <c r="T52" s="90">
        <f>IFERROR(INDEX('[2]Link Out Forecast'!$H$6:$H$275,MATCH($M52,'[2]Link Out Forecast'!$C$6:$C$275,0),1),"")</f>
        <v>-5375</v>
      </c>
      <c r="U52" s="90"/>
      <c r="V52" s="90">
        <f>IFERROR(INDEX('[2]Link Out Forecast'!$I$6:$I$275,MATCH($M52,'[2]Link Out Forecast'!$C$6:$C$275,0),1),"")</f>
        <v>-5886</v>
      </c>
      <c r="W52" s="90"/>
      <c r="X52" s="90">
        <f>IFERROR(INDEX('[2]Link Out Forecast'!$J$6:$J$275,MATCH($M52,'[2]Link Out Forecast'!$C$6:$C$275,0),1),"")</f>
        <v>-5410</v>
      </c>
      <c r="Y52" s="90"/>
      <c r="Z52" s="90">
        <f>IFERROR(INDEX('[2]Link Out Forecast'!$K$6:$K$275,MATCH($M52,'[2]Link Out Forecast'!$C$6:$C$275,0),1),"")</f>
        <v>-5660</v>
      </c>
      <c r="AA52" s="90"/>
      <c r="AB52" s="90">
        <f>IFERROR(INDEX('[2]Link Out Forecast'!$L$6:$L$275,MATCH($M52,'[2]Link Out Forecast'!$C$6:$C$275,0),1),"")</f>
        <v>0</v>
      </c>
      <c r="AC52" s="90"/>
      <c r="AD52" s="90">
        <f>IFERROR(INDEX('[2]Link Out Forecast'!$M$6:$M$275,MATCH($M52,'[2]Link Out Forecast'!$C$6:$C$275,0),1),"")</f>
        <v>0</v>
      </c>
      <c r="AE52" s="90"/>
      <c r="AF52" s="90">
        <f>IFERROR(INDEX('[2]Link Out Forecast'!$N$6:$N$275,MATCH($M52,'[2]Link Out Forecast'!$C$6:$C$275,0),1),"")</f>
        <v>0</v>
      </c>
      <c r="AG52" s="90"/>
      <c r="AH52" s="90">
        <f>IFERROR(INDEX('[2]Link Out Forecast'!$O$6:$O$275,MATCH($M52,'[2]Link Out Forecast'!$C$6:$C$275,0),1),"")</f>
        <v>0</v>
      </c>
      <c r="AI52" s="90"/>
      <c r="AJ52" s="90">
        <f>IFERROR(INDEX('[2]Link Out Forecast'!$P$6:$P$275,MATCH($M52,'[2]Link Out Forecast'!$C$6:$C$275,0),1),"")</f>
        <v>0</v>
      </c>
      <c r="AK52" s="90"/>
      <c r="AL52" s="90">
        <f>IFERROR(INDEX('[2]Link Out Forecast'!$Q$6:$Q$275,MATCH($M52,'[2]Link Out Forecast'!$C$6:$C$275,0),1),"")</f>
        <v>0</v>
      </c>
      <c r="AM52" s="90"/>
      <c r="AN52" s="90">
        <f>IFERROR(INDEX('[2]Link Out Forecast'!$R$6:$R$275,MATCH($M52,'[2]Link Out Forecast'!$C$6:$C$275,0),1),"")</f>
        <v>-33836</v>
      </c>
      <c r="AP52" s="239">
        <f>+AP47+AP51</f>
        <v>130433.99999999999</v>
      </c>
    </row>
    <row r="53" spans="1:42">
      <c r="A53" s="104" t="str">
        <f>IFERROR(INDEX('[2]Link Out Monthly BY'!$A$6:$A$525,MATCH($C53,'[2]Link Out Monthly BY'!$C$6:$C$525,0),1),"")</f>
        <v>P17</v>
      </c>
      <c r="B53" s="104" t="str">
        <f>IFERROR(INDEX('[2]Link Out Monthly BY'!$B$6:$B$525,MATCH($C53,'[2]Link Out Monthly BY'!$C$6:$C$525,0),1),"")</f>
        <v>Salaries and wages</v>
      </c>
      <c r="C53" s="104">
        <v>50102415</v>
      </c>
      <c r="E53" s="104" t="str">
        <f>IFERROR(INDEX('[2]Link Out Monthly BY'!$D$6:$D$525,MATCH($C53,'[2]Link Out Monthly BY'!$C$6:$C$525,0),1),"")</f>
        <v>Labor Mnt TD DistRes</v>
      </c>
      <c r="G53" s="104" t="str">
        <f>IFERROR(INDEX('[2]Link Out Monthly BY'!$E$6:$E$525,MATCH($C53,'[2]Link Out Monthly BY'!$C$6:$C$505,0),1),"")</f>
        <v>601.6</v>
      </c>
      <c r="I53" s="90">
        <f>IFERROR(INDEX('[2]Link Out Monthly BY'!$R$6:$R$525,MATCH($C53,'[2]Link Out Monthly BY'!$C$6:$C$525,0),1),0)</f>
        <v>0</v>
      </c>
      <c r="K53" s="104" t="str">
        <f>IFERROR(INDEX('[2]Link Out Forecast'!$A$6:$A$275,MATCH($M53,'[2]Link Out Forecast'!$C$6:$C$275,0),1),"")</f>
        <v>P21</v>
      </c>
      <c r="L53" s="104" t="str">
        <f>IFERROR(INDEX('[2]Link Out Forecast'!$B$6:$B$275,MATCH($M53,'[2]Link Out Forecast'!$C$6:$C$275,0),1),"")</f>
        <v>Other benefits</v>
      </c>
      <c r="M53" s="104">
        <v>50422000</v>
      </c>
      <c r="N53" s="104" t="str">
        <f>IFERROR(INDEX('[2]Link Out Forecast'!$D$6:$D$275,MATCH($M53,'[2]Link Out Forecast'!$C$6:$C$275,0),1),"")</f>
        <v>DCP Expense</v>
      </c>
      <c r="O53" s="104" t="str">
        <f>IFERROR(INDEX('[2]Link Out Forecast'!$E$6:$E$275,MATCH($M53,'[2]Link Out Forecast'!$C$6:$C$275,0),1),"")</f>
        <v>604.8</v>
      </c>
      <c r="P53" s="90">
        <f>IFERROR(INDEX('[2]Link Out Forecast'!$F$6:$F$275,MATCH($M53,'[2]Link Out Forecast'!$C$6:$C$275,0),1),"")</f>
        <v>28740</v>
      </c>
      <c r="Q53" s="90"/>
      <c r="R53" s="90">
        <f>IFERROR(INDEX('[2]Link Out Forecast'!$G$6:$G$275,MATCH($M53,'[2]Link Out Forecast'!$C$6:$C$275,0),1),"")</f>
        <v>27491</v>
      </c>
      <c r="S53" s="90"/>
      <c r="T53" s="90">
        <f>IFERROR(INDEX('[2]Link Out Forecast'!$H$6:$H$275,MATCH($M53,'[2]Link Out Forecast'!$C$6:$C$275,0),1),"")</f>
        <v>26241</v>
      </c>
      <c r="U53" s="90"/>
      <c r="V53" s="90">
        <f>IFERROR(INDEX('[2]Link Out Forecast'!$I$6:$I$275,MATCH($M53,'[2]Link Out Forecast'!$C$6:$C$275,0),1),"")</f>
        <v>28740</v>
      </c>
      <c r="W53" s="90"/>
      <c r="X53" s="90">
        <f>IFERROR(INDEX('[2]Link Out Forecast'!$J$6:$J$275,MATCH($M53,'[2]Link Out Forecast'!$C$6:$C$275,0),1),"")</f>
        <v>26567</v>
      </c>
      <c r="Y53" s="90"/>
      <c r="Z53" s="90">
        <f>IFERROR(INDEX('[2]Link Out Forecast'!$K$6:$K$275,MATCH($M53,'[2]Link Out Forecast'!$C$6:$C$275,0),1),"")</f>
        <v>27832</v>
      </c>
      <c r="AA53" s="90"/>
      <c r="AB53" s="90">
        <f>IFERROR(INDEX('[2]Link Out Forecast'!$L$6:$L$275,MATCH($M53,'[2]Link Out Forecast'!$C$6:$C$275,0),1),"")</f>
        <v>0</v>
      </c>
      <c r="AC53" s="90"/>
      <c r="AD53" s="90">
        <f>IFERROR(INDEX('[2]Link Out Forecast'!$M$6:$M$275,MATCH($M53,'[2]Link Out Forecast'!$C$6:$C$275,0),1),"")</f>
        <v>0</v>
      </c>
      <c r="AE53" s="90"/>
      <c r="AF53" s="90">
        <f>IFERROR(INDEX('[2]Link Out Forecast'!$N$6:$N$275,MATCH($M53,'[2]Link Out Forecast'!$C$6:$C$275,0),1),"")</f>
        <v>0</v>
      </c>
      <c r="AG53" s="90"/>
      <c r="AH53" s="90">
        <f>IFERROR(INDEX('[2]Link Out Forecast'!$O$6:$O$275,MATCH($M53,'[2]Link Out Forecast'!$C$6:$C$275,0),1),"")</f>
        <v>0</v>
      </c>
      <c r="AI53" s="90"/>
      <c r="AJ53" s="90">
        <f>IFERROR(INDEX('[2]Link Out Forecast'!$P$6:$P$275,MATCH($M53,'[2]Link Out Forecast'!$C$6:$C$275,0),1),"")</f>
        <v>0</v>
      </c>
      <c r="AK53" s="90"/>
      <c r="AL53" s="90">
        <f>IFERROR(INDEX('[2]Link Out Forecast'!$Q$6:$Q$275,MATCH($M53,'[2]Link Out Forecast'!$C$6:$C$275,0),1),"")</f>
        <v>0</v>
      </c>
      <c r="AM53" s="90"/>
      <c r="AN53" s="90">
        <f>IFERROR(INDEX('[2]Link Out Forecast'!$R$6:$R$275,MATCH($M53,'[2]Link Out Forecast'!$C$6:$C$275,0),1),"")</f>
        <v>165611</v>
      </c>
    </row>
    <row r="54" spans="1:42">
      <c r="A54" s="104" t="str">
        <f>IFERROR(INDEX('[2]Link Out Monthly BY'!$A$6:$A$525,MATCH($C54,'[2]Link Out Monthly BY'!$C$6:$C$525,0),1),"")</f>
        <v>P17</v>
      </c>
      <c r="B54" s="104" t="str">
        <f>IFERROR(INDEX('[2]Link Out Monthly BY'!$B$6:$B$525,MATCH($C54,'[2]Link Out Monthly BY'!$C$6:$C$525,0),1),"")</f>
        <v>Salaries and wages</v>
      </c>
      <c r="C54" s="104">
        <v>50102420</v>
      </c>
      <c r="E54" s="104" t="str">
        <f>IFERROR(INDEX('[2]Link Out Monthly BY'!$D$6:$D$525,MATCH($C54,'[2]Link Out Monthly BY'!$C$6:$C$525,0),1),"")</f>
        <v>Labor Mnt TD Mains</v>
      </c>
      <c r="G54" s="104" t="str">
        <f>IFERROR(INDEX('[2]Link Out Monthly BY'!$E$6:$E$525,MATCH($C54,'[2]Link Out Monthly BY'!$C$6:$C$505,0),1),"")</f>
        <v>601.6</v>
      </c>
      <c r="I54" s="90">
        <f>IFERROR(INDEX('[2]Link Out Monthly BY'!$R$6:$R$525,MATCH($C54,'[2]Link Out Monthly BY'!$C$6:$C$525,0),1),0)</f>
        <v>23681</v>
      </c>
      <c r="K54" s="104" t="str">
        <f>IFERROR(INDEX('[2]Link Out Forecast'!$A$6:$A$275,MATCH($M54,'[2]Link Out Forecast'!$C$6:$C$275,0),1),"")</f>
        <v>P21</v>
      </c>
      <c r="L54" s="104" t="str">
        <f>IFERROR(INDEX('[2]Link Out Forecast'!$B$6:$B$275,MATCH($M54,'[2]Link Out Forecast'!$C$6:$C$275,0),1),"")</f>
        <v>Other benefits</v>
      </c>
      <c r="M54" s="104">
        <v>50422100</v>
      </c>
      <c r="N54" s="104" t="str">
        <f>IFERROR(INDEX('[2]Link Out Forecast'!$D$6:$D$275,MATCH($M54,'[2]Link Out Forecast'!$C$6:$C$275,0),1),"")</f>
        <v>DCP Exp Cap Credits</v>
      </c>
      <c r="O54" s="104" t="str">
        <f>IFERROR(INDEX('[2]Link Out Forecast'!$E$6:$E$275,MATCH($M54,'[2]Link Out Forecast'!$C$6:$C$275,0),1),"")</f>
        <v>604.8</v>
      </c>
      <c r="P54" s="90">
        <f>IFERROR(INDEX('[2]Link Out Forecast'!$F$6:$F$275,MATCH($M54,'[2]Link Out Forecast'!$C$6:$C$275,0),1),"")</f>
        <v>-7080</v>
      </c>
      <c r="Q54" s="90"/>
      <c r="R54" s="90">
        <f>IFERROR(INDEX('[2]Link Out Forecast'!$G$6:$G$275,MATCH($M54,'[2]Link Out Forecast'!$C$6:$C$275,0),1),"")</f>
        <v>-6772</v>
      </c>
      <c r="S54" s="90"/>
      <c r="T54" s="90">
        <f>IFERROR(INDEX('[2]Link Out Forecast'!$H$6:$H$275,MATCH($M54,'[2]Link Out Forecast'!$C$6:$C$275,0),1),"")</f>
        <v>-6464</v>
      </c>
      <c r="U54" s="90"/>
      <c r="V54" s="90">
        <f>IFERROR(INDEX('[2]Link Out Forecast'!$I$6:$I$275,MATCH($M54,'[2]Link Out Forecast'!$C$6:$C$275,0),1),"")</f>
        <v>-7080</v>
      </c>
      <c r="W54" s="90"/>
      <c r="X54" s="90">
        <f>IFERROR(INDEX('[2]Link Out Forecast'!$J$6:$J$275,MATCH($M54,'[2]Link Out Forecast'!$C$6:$C$275,0),1),"")</f>
        <v>-6511</v>
      </c>
      <c r="Y54" s="90"/>
      <c r="Z54" s="90">
        <f>IFERROR(INDEX('[2]Link Out Forecast'!$K$6:$K$275,MATCH($M54,'[2]Link Out Forecast'!$C$6:$C$275,0),1),"")</f>
        <v>-6821</v>
      </c>
      <c r="AA54" s="90"/>
      <c r="AB54" s="90">
        <f>IFERROR(INDEX('[2]Link Out Forecast'!$L$6:$L$275,MATCH($M54,'[2]Link Out Forecast'!$C$6:$C$275,0),1),"")</f>
        <v>0</v>
      </c>
      <c r="AC54" s="90"/>
      <c r="AD54" s="90">
        <f>IFERROR(INDEX('[2]Link Out Forecast'!$M$6:$M$275,MATCH($M54,'[2]Link Out Forecast'!$C$6:$C$275,0),1),"")</f>
        <v>0</v>
      </c>
      <c r="AE54" s="90"/>
      <c r="AF54" s="90">
        <f>IFERROR(INDEX('[2]Link Out Forecast'!$N$6:$N$275,MATCH($M54,'[2]Link Out Forecast'!$C$6:$C$275,0),1),"")</f>
        <v>0</v>
      </c>
      <c r="AG54" s="90"/>
      <c r="AH54" s="90">
        <f>IFERROR(INDEX('[2]Link Out Forecast'!$O$6:$O$275,MATCH($M54,'[2]Link Out Forecast'!$C$6:$C$275,0),1),"")</f>
        <v>0</v>
      </c>
      <c r="AI54" s="90"/>
      <c r="AJ54" s="90">
        <f>IFERROR(INDEX('[2]Link Out Forecast'!$P$6:$P$275,MATCH($M54,'[2]Link Out Forecast'!$C$6:$C$275,0),1),"")</f>
        <v>0</v>
      </c>
      <c r="AK54" s="90"/>
      <c r="AL54" s="90">
        <f>IFERROR(INDEX('[2]Link Out Forecast'!$Q$6:$Q$275,MATCH($M54,'[2]Link Out Forecast'!$C$6:$C$275,0),1),"")</f>
        <v>0</v>
      </c>
      <c r="AM54" s="90"/>
      <c r="AN54" s="90">
        <f>IFERROR(INDEX('[2]Link Out Forecast'!$R$6:$R$275,MATCH($M54,'[2]Link Out Forecast'!$C$6:$C$275,0),1),"")</f>
        <v>-40728</v>
      </c>
    </row>
    <row r="55" spans="1:42">
      <c r="A55" s="104" t="str">
        <f>IFERROR(INDEX('[2]Link Out Monthly BY'!$A$6:$A$525,MATCH($C55,'[2]Link Out Monthly BY'!$C$6:$C$525,0),1),"")</f>
        <v>P17</v>
      </c>
      <c r="B55" s="104" t="str">
        <f>IFERROR(INDEX('[2]Link Out Monthly BY'!$B$6:$B$525,MATCH($C55,'[2]Link Out Monthly BY'!$C$6:$C$525,0),1),"")</f>
        <v>Salaries and wages</v>
      </c>
      <c r="C55" s="104">
        <v>50102425</v>
      </c>
      <c r="E55" s="104" t="str">
        <f>IFERROR(INDEX('[2]Link Out Monthly BY'!$D$6:$D$525,MATCH($C55,'[2]Link Out Monthly BY'!$C$6:$C$525,0),1),"")</f>
        <v>Labor Mnt TD FireMn</v>
      </c>
      <c r="G55" s="104" t="str">
        <f>IFERROR(INDEX('[2]Link Out Monthly BY'!$E$6:$E$525,MATCH($C55,'[2]Link Out Monthly BY'!$C$6:$C$505,0),1),"")</f>
        <v>601.6</v>
      </c>
      <c r="I55" s="90">
        <f>IFERROR(INDEX('[2]Link Out Monthly BY'!$R$6:$R$525,MATCH($C55,'[2]Link Out Monthly BY'!$C$6:$C$525,0),1),0)</f>
        <v>0</v>
      </c>
      <c r="K55" s="104" t="str">
        <f>IFERROR(INDEX('[2]Link Out Forecast'!$A$6:$A$275,MATCH($M55,'[2]Link Out Forecast'!$C$6:$C$275,0),1),"")</f>
        <v>P21</v>
      </c>
      <c r="L55" s="104" t="str">
        <f>IFERROR(INDEX('[2]Link Out Forecast'!$B$6:$B$275,MATCH($M55,'[2]Link Out Forecast'!$C$6:$C$275,0),1),"")</f>
        <v>Other benefits</v>
      </c>
      <c r="M55" s="104">
        <v>50423000</v>
      </c>
      <c r="N55" s="104" t="str">
        <f>IFERROR(INDEX('[2]Link Out Forecast'!$D$6:$D$275,MATCH($M55,'[2]Link Out Forecast'!$C$6:$C$275,0),1),"")</f>
        <v>ESPP Expense</v>
      </c>
      <c r="O55" s="104" t="str">
        <f>IFERROR(INDEX('[2]Link Out Forecast'!$E$6:$E$275,MATCH($M55,'[2]Link Out Forecast'!$C$6:$C$275,0),1),"")</f>
        <v>604.8</v>
      </c>
      <c r="P55" s="90">
        <f>IFERROR(INDEX('[2]Link Out Forecast'!$F$6:$F$275,MATCH($M55,'[2]Link Out Forecast'!$C$6:$C$275,0),1),"")</f>
        <v>0</v>
      </c>
      <c r="Q55" s="90"/>
      <c r="R55" s="90">
        <f>IFERROR(INDEX('[2]Link Out Forecast'!$G$6:$G$275,MATCH($M55,'[2]Link Out Forecast'!$C$6:$C$275,0),1),"")</f>
        <v>2500</v>
      </c>
      <c r="S55" s="90"/>
      <c r="T55" s="90">
        <f>IFERROR(INDEX('[2]Link Out Forecast'!$H$6:$H$275,MATCH($M55,'[2]Link Out Forecast'!$C$6:$C$275,0),1),"")</f>
        <v>0</v>
      </c>
      <c r="U55" s="90"/>
      <c r="V55" s="90">
        <f>IFERROR(INDEX('[2]Link Out Forecast'!$I$6:$I$275,MATCH($M55,'[2]Link Out Forecast'!$C$6:$C$275,0),1),"")</f>
        <v>0</v>
      </c>
      <c r="W55" s="90"/>
      <c r="X55" s="90">
        <f>IFERROR(INDEX('[2]Link Out Forecast'!$J$6:$J$275,MATCH($M55,'[2]Link Out Forecast'!$C$6:$C$275,0),1),"")</f>
        <v>2500</v>
      </c>
      <c r="Y55" s="90"/>
      <c r="Z55" s="90">
        <f>IFERROR(INDEX('[2]Link Out Forecast'!$K$6:$K$275,MATCH($M55,'[2]Link Out Forecast'!$C$6:$C$275,0),1),"")</f>
        <v>2000</v>
      </c>
      <c r="AA55" s="90"/>
      <c r="AB55" s="90">
        <f>IFERROR(INDEX('[2]Link Out Forecast'!$L$6:$L$275,MATCH($M55,'[2]Link Out Forecast'!$C$6:$C$275,0),1),"")</f>
        <v>0</v>
      </c>
      <c r="AC55" s="90"/>
      <c r="AD55" s="90">
        <f>IFERROR(INDEX('[2]Link Out Forecast'!$M$6:$M$275,MATCH($M55,'[2]Link Out Forecast'!$C$6:$C$275,0),1),"")</f>
        <v>0</v>
      </c>
      <c r="AE55" s="90"/>
      <c r="AF55" s="90">
        <f>IFERROR(INDEX('[2]Link Out Forecast'!$N$6:$N$275,MATCH($M55,'[2]Link Out Forecast'!$C$6:$C$275,0),1),"")</f>
        <v>0</v>
      </c>
      <c r="AG55" s="90"/>
      <c r="AH55" s="90">
        <f>IFERROR(INDEX('[2]Link Out Forecast'!$O$6:$O$275,MATCH($M55,'[2]Link Out Forecast'!$C$6:$C$275,0),1),"")</f>
        <v>0</v>
      </c>
      <c r="AI55" s="90"/>
      <c r="AJ55" s="90">
        <f>IFERROR(INDEX('[2]Link Out Forecast'!$P$6:$P$275,MATCH($M55,'[2]Link Out Forecast'!$C$6:$C$275,0),1),"")</f>
        <v>0</v>
      </c>
      <c r="AK55" s="90"/>
      <c r="AL55" s="90">
        <f>IFERROR(INDEX('[2]Link Out Forecast'!$Q$6:$Q$275,MATCH($M55,'[2]Link Out Forecast'!$C$6:$C$275,0),1),"")</f>
        <v>0</v>
      </c>
      <c r="AM55" s="90"/>
      <c r="AN55" s="90">
        <f>IFERROR(INDEX('[2]Link Out Forecast'!$R$6:$R$275,MATCH($M55,'[2]Link Out Forecast'!$C$6:$C$275,0),1),"")</f>
        <v>7000</v>
      </c>
    </row>
    <row r="56" spans="1:42">
      <c r="A56" s="104" t="str">
        <f>IFERROR(INDEX('[2]Link Out Monthly BY'!$A$6:$A$525,MATCH($C56,'[2]Link Out Monthly BY'!$C$6:$C$525,0),1),"")</f>
        <v>P17</v>
      </c>
      <c r="B56" s="104" t="str">
        <f>IFERROR(INDEX('[2]Link Out Monthly BY'!$B$6:$B$525,MATCH($C56,'[2]Link Out Monthly BY'!$C$6:$C$525,0),1),"")</f>
        <v>Salaries and wages</v>
      </c>
      <c r="C56" s="104">
        <v>50102430</v>
      </c>
      <c r="E56" s="104" t="str">
        <f>IFERROR(INDEX('[2]Link Out Monthly BY'!$D$6:$D$525,MATCH($C56,'[2]Link Out Monthly BY'!$C$6:$C$525,0),1),"")</f>
        <v>Labor Mnt TD Service</v>
      </c>
      <c r="G56" s="104" t="str">
        <f>IFERROR(INDEX('[2]Link Out Monthly BY'!$E$6:$E$525,MATCH($C56,'[2]Link Out Monthly BY'!$C$6:$C$505,0),1),"")</f>
        <v>601.6</v>
      </c>
      <c r="I56" s="90">
        <f>IFERROR(INDEX('[2]Link Out Monthly BY'!$R$6:$R$525,MATCH($C56,'[2]Link Out Monthly BY'!$C$6:$C$525,0),1),0)</f>
        <v>59903</v>
      </c>
      <c r="K56" s="104" t="str">
        <f>IFERROR(INDEX('[2]Link Out Forecast'!$A$6:$A$275,MATCH($M56,'[2]Link Out Forecast'!$C$6:$C$275,0),1),"")</f>
        <v>P21</v>
      </c>
      <c r="L56" s="104" t="str">
        <f>IFERROR(INDEX('[2]Link Out Forecast'!$B$6:$B$275,MATCH($M56,'[2]Link Out Forecast'!$C$6:$C$275,0),1),"")</f>
        <v>Other benefits</v>
      </c>
      <c r="M56" s="104">
        <v>50426000</v>
      </c>
      <c r="N56" s="104" t="str">
        <f>IFERROR(INDEX('[2]Link Out Forecast'!$D$6:$D$275,MATCH($M56,'[2]Link Out Forecast'!$C$6:$C$275,0),1),"")</f>
        <v>Retiree Medical Exp</v>
      </c>
      <c r="O56" s="104" t="str">
        <f>IFERROR(INDEX('[2]Link Out Forecast'!$E$6:$E$275,MATCH($M56,'[2]Link Out Forecast'!$C$6:$C$275,0),1),"")</f>
        <v>604.8</v>
      </c>
      <c r="P56" s="90">
        <f>IFERROR(INDEX('[2]Link Out Forecast'!$F$6:$F$275,MATCH($M56,'[2]Link Out Forecast'!$C$6:$C$275,0),1),"")</f>
        <v>1839</v>
      </c>
      <c r="Q56" s="90"/>
      <c r="R56" s="90">
        <f>IFERROR(INDEX('[2]Link Out Forecast'!$G$6:$G$275,MATCH($M56,'[2]Link Out Forecast'!$C$6:$C$275,0),1),"")</f>
        <v>2045</v>
      </c>
      <c r="S56" s="90"/>
      <c r="T56" s="90">
        <f>IFERROR(INDEX('[2]Link Out Forecast'!$H$6:$H$275,MATCH($M56,'[2]Link Out Forecast'!$C$6:$C$275,0),1),"")</f>
        <v>492</v>
      </c>
      <c r="U56" s="90"/>
      <c r="V56" s="90">
        <f>IFERROR(INDEX('[2]Link Out Forecast'!$I$6:$I$275,MATCH($M56,'[2]Link Out Forecast'!$C$6:$C$275,0),1),"")</f>
        <v>1510</v>
      </c>
      <c r="W56" s="90"/>
      <c r="X56" s="90">
        <f>IFERROR(INDEX('[2]Link Out Forecast'!$J$6:$J$275,MATCH($M56,'[2]Link Out Forecast'!$C$6:$C$275,0),1),"")</f>
        <v>1774</v>
      </c>
      <c r="Y56" s="90"/>
      <c r="Z56" s="90">
        <f>IFERROR(INDEX('[2]Link Out Forecast'!$K$6:$K$275,MATCH($M56,'[2]Link Out Forecast'!$C$6:$C$275,0),1),"")</f>
        <v>1591</v>
      </c>
      <c r="AA56" s="90"/>
      <c r="AB56" s="90">
        <f>IFERROR(INDEX('[2]Link Out Forecast'!$L$6:$L$275,MATCH($M56,'[2]Link Out Forecast'!$C$6:$C$275,0),1),"")</f>
        <v>0</v>
      </c>
      <c r="AC56" s="90"/>
      <c r="AD56" s="90">
        <f>IFERROR(INDEX('[2]Link Out Forecast'!$M$6:$M$275,MATCH($M56,'[2]Link Out Forecast'!$C$6:$C$275,0),1),"")</f>
        <v>0</v>
      </c>
      <c r="AE56" s="90"/>
      <c r="AF56" s="90">
        <f>IFERROR(INDEX('[2]Link Out Forecast'!$N$6:$N$275,MATCH($M56,'[2]Link Out Forecast'!$C$6:$C$275,0),1),"")</f>
        <v>0</v>
      </c>
      <c r="AG56" s="90"/>
      <c r="AH56" s="90">
        <f>IFERROR(INDEX('[2]Link Out Forecast'!$O$6:$O$275,MATCH($M56,'[2]Link Out Forecast'!$C$6:$C$275,0),1),"")</f>
        <v>0</v>
      </c>
      <c r="AI56" s="90"/>
      <c r="AJ56" s="90">
        <f>IFERROR(INDEX('[2]Link Out Forecast'!$P$6:$P$275,MATCH($M56,'[2]Link Out Forecast'!$C$6:$C$275,0),1),"")</f>
        <v>0</v>
      </c>
      <c r="AK56" s="90"/>
      <c r="AL56" s="90">
        <f>IFERROR(INDEX('[2]Link Out Forecast'!$Q$6:$Q$275,MATCH($M56,'[2]Link Out Forecast'!$C$6:$C$275,0),1),"")</f>
        <v>0</v>
      </c>
      <c r="AM56" s="90"/>
      <c r="AN56" s="90">
        <f>IFERROR(INDEX('[2]Link Out Forecast'!$R$6:$R$275,MATCH($M56,'[2]Link Out Forecast'!$C$6:$C$275,0),1),"")</f>
        <v>9251</v>
      </c>
    </row>
    <row r="57" spans="1:42">
      <c r="A57" s="104" t="str">
        <f>IFERROR(INDEX('[2]Link Out Monthly BY'!$A$6:$A$525,MATCH($C57,'[2]Link Out Monthly BY'!$C$6:$C$525,0),1),"")</f>
        <v>P17</v>
      </c>
      <c r="B57" s="104" t="str">
        <f>IFERROR(INDEX('[2]Link Out Monthly BY'!$B$6:$B$525,MATCH($C57,'[2]Link Out Monthly BY'!$C$6:$C$525,0),1),"")</f>
        <v>Salaries and wages</v>
      </c>
      <c r="C57" s="104">
        <v>50102435</v>
      </c>
      <c r="E57" s="104" t="str">
        <f>IFERROR(INDEX('[2]Link Out Monthly BY'!$D$6:$D$525,MATCH($C57,'[2]Link Out Monthly BY'!$C$6:$C$525,0),1),"")</f>
        <v>Labor Mnt TD Meter</v>
      </c>
      <c r="G57" s="104" t="str">
        <f>IFERROR(INDEX('[2]Link Out Monthly BY'!$E$6:$E$525,MATCH($C57,'[2]Link Out Monthly BY'!$C$6:$C$505,0),1),"")</f>
        <v>601.6</v>
      </c>
      <c r="I57" s="90">
        <f>IFERROR(INDEX('[2]Link Out Monthly BY'!$R$6:$R$525,MATCH($C57,'[2]Link Out Monthly BY'!$C$6:$C$525,0),1),0)</f>
        <v>17852</v>
      </c>
      <c r="K57" s="104" t="str">
        <f>IFERROR(INDEX('[2]Link Out Forecast'!$A$6:$A$275,MATCH($M57,'[2]Link Out Forecast'!$C$6:$C$275,0),1),"")</f>
        <v>P21</v>
      </c>
      <c r="L57" s="104" t="str">
        <f>IFERROR(INDEX('[2]Link Out Forecast'!$B$6:$B$275,MATCH($M57,'[2]Link Out Forecast'!$C$6:$C$275,0),1),"")</f>
        <v>Other benefits</v>
      </c>
      <c r="M57" s="104">
        <v>50426100</v>
      </c>
      <c r="N57" s="104" t="str">
        <f>IFERROR(INDEX('[2]Link Out Forecast'!$D$6:$D$275,MATCH($M57,'[2]Link Out Forecast'!$C$6:$C$275,0),1),"")</f>
        <v>Retiree Medical Cap Cr</v>
      </c>
      <c r="O57" s="104" t="str">
        <f>IFERROR(INDEX('[2]Link Out Forecast'!$E$6:$E$275,MATCH($M57,'[2]Link Out Forecast'!$C$6:$C$275,0),1),"")</f>
        <v>604.8</v>
      </c>
      <c r="P57" s="90">
        <f>IFERROR(INDEX('[2]Link Out Forecast'!$F$6:$F$275,MATCH($M57,'[2]Link Out Forecast'!$C$6:$C$275,0),1),"")</f>
        <v>-372</v>
      </c>
      <c r="Q57" s="90"/>
      <c r="R57" s="90">
        <f>IFERROR(INDEX('[2]Link Out Forecast'!$G$6:$G$275,MATCH($M57,'[2]Link Out Forecast'!$C$6:$C$275,0),1),"")</f>
        <v>-489</v>
      </c>
      <c r="S57" s="90"/>
      <c r="T57" s="90">
        <f>IFERROR(INDEX('[2]Link Out Forecast'!$H$6:$H$275,MATCH($M57,'[2]Link Out Forecast'!$C$6:$C$275,0),1),"")</f>
        <v>-137</v>
      </c>
      <c r="U57" s="90"/>
      <c r="V57" s="90">
        <f>IFERROR(INDEX('[2]Link Out Forecast'!$I$6:$I$275,MATCH($M57,'[2]Link Out Forecast'!$C$6:$C$275,0),1),"")</f>
        <v>-254</v>
      </c>
      <c r="W57" s="90"/>
      <c r="X57" s="90">
        <f>IFERROR(INDEX('[2]Link Out Forecast'!$J$6:$J$275,MATCH($M57,'[2]Link Out Forecast'!$C$6:$C$275,0),1),"")</f>
        <v>-404</v>
      </c>
      <c r="Y57" s="90"/>
      <c r="Z57" s="90">
        <f>IFERROR(INDEX('[2]Link Out Forecast'!$K$6:$K$275,MATCH($M57,'[2]Link Out Forecast'!$C$6:$C$275,0),1),"")</f>
        <v>-362</v>
      </c>
      <c r="AA57" s="90"/>
      <c r="AB57" s="90">
        <f>IFERROR(INDEX('[2]Link Out Forecast'!$L$6:$L$275,MATCH($M57,'[2]Link Out Forecast'!$C$6:$C$275,0),1),"")</f>
        <v>0</v>
      </c>
      <c r="AC57" s="90"/>
      <c r="AD57" s="90">
        <f>IFERROR(INDEX('[2]Link Out Forecast'!$M$6:$M$275,MATCH($M57,'[2]Link Out Forecast'!$C$6:$C$275,0),1),"")</f>
        <v>0</v>
      </c>
      <c r="AE57" s="90"/>
      <c r="AF57" s="90">
        <f>IFERROR(INDEX('[2]Link Out Forecast'!$N$6:$N$275,MATCH($M57,'[2]Link Out Forecast'!$C$6:$C$275,0),1),"")</f>
        <v>0</v>
      </c>
      <c r="AG57" s="90"/>
      <c r="AH57" s="90">
        <f>IFERROR(INDEX('[2]Link Out Forecast'!$O$6:$O$275,MATCH($M57,'[2]Link Out Forecast'!$C$6:$C$275,0),1),"")</f>
        <v>0</v>
      </c>
      <c r="AI57" s="90"/>
      <c r="AJ57" s="90">
        <f>IFERROR(INDEX('[2]Link Out Forecast'!$P$6:$P$275,MATCH($M57,'[2]Link Out Forecast'!$C$6:$C$275,0),1),"")</f>
        <v>0</v>
      </c>
      <c r="AK57" s="90"/>
      <c r="AL57" s="90">
        <f>IFERROR(INDEX('[2]Link Out Forecast'!$Q$6:$Q$275,MATCH($M57,'[2]Link Out Forecast'!$C$6:$C$275,0),1),"")</f>
        <v>0</v>
      </c>
      <c r="AM57" s="90"/>
      <c r="AN57" s="90">
        <f>IFERROR(INDEX('[2]Link Out Forecast'!$R$6:$R$275,MATCH($M57,'[2]Link Out Forecast'!$C$6:$C$275,0),1),"")</f>
        <v>-2018</v>
      </c>
    </row>
    <row r="58" spans="1:42">
      <c r="A58" s="104" t="str">
        <f>IFERROR(INDEX('[2]Link Out Monthly BY'!$A$6:$A$525,MATCH($C58,'[2]Link Out Monthly BY'!$C$6:$C$525,0),1),"")</f>
        <v>P17</v>
      </c>
      <c r="B58" s="104" t="str">
        <f>IFERROR(INDEX('[2]Link Out Monthly BY'!$B$6:$B$525,MATCH($C58,'[2]Link Out Monthly BY'!$C$6:$C$525,0),1),"")</f>
        <v>Salaries and wages</v>
      </c>
      <c r="C58" s="104">
        <v>50102440</v>
      </c>
      <c r="E58" s="104" t="str">
        <f>IFERROR(INDEX('[2]Link Out Monthly BY'!$D$6:$D$525,MATCH($C58,'[2]Link Out Monthly BY'!$C$6:$C$525,0),1),"")</f>
        <v>Labor Mnt TD Hydrant</v>
      </c>
      <c r="G58" s="104" t="str">
        <f>IFERROR(INDEX('[2]Link Out Monthly BY'!$E$6:$E$525,MATCH($C58,'[2]Link Out Monthly BY'!$C$6:$C$505,0),1),"")</f>
        <v>601.6</v>
      </c>
      <c r="I58" s="90">
        <f>IFERROR(INDEX('[2]Link Out Monthly BY'!$R$6:$R$525,MATCH($C58,'[2]Link Out Monthly BY'!$C$6:$C$525,0),1),0)</f>
        <v>9575</v>
      </c>
      <c r="K58" s="104" t="str">
        <f>IFERROR(INDEX('[2]Link Out Forecast'!$A$6:$A$275,MATCH($M58,'[2]Link Out Forecast'!$C$6:$C$275,0),1),"")</f>
        <v>P21</v>
      </c>
      <c r="L58" s="104" t="str">
        <f>IFERROR(INDEX('[2]Link Out Forecast'!$B$6:$B$275,MATCH($M58,'[2]Link Out Forecast'!$C$6:$C$275,0),1),"")</f>
        <v>Other benefits</v>
      </c>
      <c r="M58" s="104">
        <v>50450000</v>
      </c>
      <c r="N58" s="104" t="str">
        <f>IFERROR(INDEX('[2]Link Out Forecast'!$D$6:$D$275,MATCH($M58,'[2]Link Out Forecast'!$C$6:$C$275,0),1),"")</f>
        <v>Other Welfare</v>
      </c>
      <c r="O58" s="104" t="str">
        <f>IFERROR(INDEX('[2]Link Out Forecast'!$E$6:$E$275,MATCH($M58,'[2]Link Out Forecast'!$C$6:$C$275,0),1),"")</f>
        <v>604.8</v>
      </c>
      <c r="P58" s="90">
        <f>IFERROR(INDEX('[2]Link Out Forecast'!$F$6:$F$275,MATCH($M58,'[2]Link Out Forecast'!$C$6:$C$275,0),1),"")</f>
        <v>2280</v>
      </c>
      <c r="Q58" s="90"/>
      <c r="R58" s="90">
        <f>IFERROR(INDEX('[2]Link Out Forecast'!$G$6:$G$275,MATCH($M58,'[2]Link Out Forecast'!$C$6:$C$275,0),1),"")</f>
        <v>2480</v>
      </c>
      <c r="S58" s="90"/>
      <c r="T58" s="90">
        <f>IFERROR(INDEX('[2]Link Out Forecast'!$H$6:$H$275,MATCH($M58,'[2]Link Out Forecast'!$C$6:$C$275,0),1),"")</f>
        <v>3280</v>
      </c>
      <c r="U58" s="90"/>
      <c r="V58" s="90">
        <f>IFERROR(INDEX('[2]Link Out Forecast'!$I$6:$I$275,MATCH($M58,'[2]Link Out Forecast'!$C$6:$C$275,0),1),"")</f>
        <v>10280</v>
      </c>
      <c r="W58" s="90"/>
      <c r="X58" s="90">
        <f>IFERROR(INDEX('[2]Link Out Forecast'!$J$6:$J$275,MATCH($M58,'[2]Link Out Forecast'!$C$6:$C$275,0),1),"")</f>
        <v>2280</v>
      </c>
      <c r="Y58" s="90"/>
      <c r="Z58" s="90">
        <f>IFERROR(INDEX('[2]Link Out Forecast'!$K$6:$K$275,MATCH($M58,'[2]Link Out Forecast'!$C$6:$C$275,0),1),"")</f>
        <v>3280</v>
      </c>
      <c r="AA58" s="90"/>
      <c r="AB58" s="90">
        <f>IFERROR(INDEX('[2]Link Out Forecast'!$L$6:$L$275,MATCH($M58,'[2]Link Out Forecast'!$C$6:$C$275,0),1),"")</f>
        <v>0</v>
      </c>
      <c r="AC58" s="90"/>
      <c r="AD58" s="90">
        <f>IFERROR(INDEX('[2]Link Out Forecast'!$M$6:$M$275,MATCH($M58,'[2]Link Out Forecast'!$C$6:$C$275,0),1),"")</f>
        <v>0</v>
      </c>
      <c r="AE58" s="90"/>
      <c r="AF58" s="90">
        <f>IFERROR(INDEX('[2]Link Out Forecast'!$N$6:$N$275,MATCH($M58,'[2]Link Out Forecast'!$C$6:$C$275,0),1),"")</f>
        <v>0</v>
      </c>
      <c r="AG58" s="90"/>
      <c r="AH58" s="90">
        <f>IFERROR(INDEX('[2]Link Out Forecast'!$O$6:$O$275,MATCH($M58,'[2]Link Out Forecast'!$C$6:$C$275,0),1),"")</f>
        <v>0</v>
      </c>
      <c r="AI58" s="90"/>
      <c r="AJ58" s="90">
        <f>IFERROR(INDEX('[2]Link Out Forecast'!$P$6:$P$275,MATCH($M58,'[2]Link Out Forecast'!$C$6:$C$275,0),1),"")</f>
        <v>0</v>
      </c>
      <c r="AK58" s="90"/>
      <c r="AL58" s="90">
        <f>IFERROR(INDEX('[2]Link Out Forecast'!$Q$6:$Q$275,MATCH($M58,'[2]Link Out Forecast'!$C$6:$C$275,0),1),"")</f>
        <v>0</v>
      </c>
      <c r="AM58" s="90"/>
      <c r="AN58" s="90">
        <f>IFERROR(INDEX('[2]Link Out Forecast'!$R$6:$R$275,MATCH($M58,'[2]Link Out Forecast'!$C$6:$C$275,0),1),"")</f>
        <v>23880</v>
      </c>
    </row>
    <row r="59" spans="1:42">
      <c r="A59" s="104" t="str">
        <f>IFERROR(INDEX('[2]Link Out Monthly BY'!$A$6:$A$525,MATCH($C59,'[2]Link Out Monthly BY'!$C$6:$C$525,0),1),"")</f>
        <v>P17</v>
      </c>
      <c r="B59" s="104" t="str">
        <f>IFERROR(INDEX('[2]Link Out Monthly BY'!$B$6:$B$525,MATCH($C59,'[2]Link Out Monthly BY'!$C$6:$C$525,0),1),"")</f>
        <v>Salaries and wages</v>
      </c>
      <c r="C59" s="104">
        <v>50109900</v>
      </c>
      <c r="E59" s="104" t="str">
        <f>IFERROR(INDEX('[2]Link Out Monthly BY'!$D$6:$D$525,MATCH($C59,'[2]Link Out Monthly BY'!$C$6:$C$525,0),1),"")</f>
        <v>Labor Cap Credits</v>
      </c>
      <c r="G59" s="104" t="str">
        <f>IFERROR(INDEX('[2]Link Out Monthly BY'!$E$6:$E$525,MATCH($C59,'[2]Link Out Monthly BY'!$C$6:$C$505,0),1),"")</f>
        <v>601.8</v>
      </c>
      <c r="I59" s="90">
        <f>IFERROR(INDEX('[2]Link Out Monthly BY'!$R$6:$R$525,MATCH($C59,'[2]Link Out Monthly BY'!$C$6:$C$525,0),1),0)</f>
        <v>-2447639</v>
      </c>
      <c r="K59" s="104" t="str">
        <f>IFERROR(INDEX('[2]Link Out Forecast'!$A$6:$A$275,MATCH($M59,'[2]Link Out Forecast'!$C$6:$C$275,0),1),"")</f>
        <v>P21</v>
      </c>
      <c r="L59" s="104" t="str">
        <f>IFERROR(INDEX('[2]Link Out Forecast'!$B$6:$B$275,MATCH($M59,'[2]Link Out Forecast'!$C$6:$C$275,0),1),"")</f>
        <v>Other benefits</v>
      </c>
      <c r="M59" s="104">
        <v>50451000</v>
      </c>
      <c r="N59" s="104" t="str">
        <f>IFERROR(INDEX('[2]Link Out Forecast'!$D$6:$D$275,MATCH($M59,'[2]Link Out Forecast'!$C$6:$C$275,0),1),"")</f>
        <v>Employee Awards</v>
      </c>
      <c r="O59" s="104" t="str">
        <f>IFERROR(INDEX('[2]Link Out Forecast'!$E$6:$E$275,MATCH($M59,'[2]Link Out Forecast'!$C$6:$C$275,0),1),"")</f>
        <v>604.8</v>
      </c>
      <c r="P59" s="90">
        <f>IFERROR(INDEX('[2]Link Out Forecast'!$F$6:$F$275,MATCH($M59,'[2]Link Out Forecast'!$C$6:$C$275,0),1),"")</f>
        <v>2050</v>
      </c>
      <c r="Q59" s="90"/>
      <c r="R59" s="90">
        <f>IFERROR(INDEX('[2]Link Out Forecast'!$G$6:$G$275,MATCH($M59,'[2]Link Out Forecast'!$C$6:$C$275,0),1),"")</f>
        <v>1632</v>
      </c>
      <c r="S59" s="90"/>
      <c r="T59" s="90">
        <f>IFERROR(INDEX('[2]Link Out Forecast'!$H$6:$H$275,MATCH($M59,'[2]Link Out Forecast'!$C$6:$C$275,0),1),"")</f>
        <v>410</v>
      </c>
      <c r="U59" s="90"/>
      <c r="V59" s="90">
        <f>IFERROR(INDEX('[2]Link Out Forecast'!$I$6:$I$275,MATCH($M59,'[2]Link Out Forecast'!$C$6:$C$275,0),1),"")</f>
        <v>123</v>
      </c>
      <c r="W59" s="90"/>
      <c r="X59" s="90">
        <f>IFERROR(INDEX('[2]Link Out Forecast'!$J$6:$J$275,MATCH($M59,'[2]Link Out Forecast'!$C$6:$C$275,0),1),"")</f>
        <v>4087</v>
      </c>
      <c r="Y59" s="90"/>
      <c r="Z59" s="90">
        <f>IFERROR(INDEX('[2]Link Out Forecast'!$K$6:$K$275,MATCH($M59,'[2]Link Out Forecast'!$C$6:$C$275,0),1),"")</f>
        <v>1026</v>
      </c>
      <c r="AA59" s="90"/>
      <c r="AB59" s="90">
        <f>IFERROR(INDEX('[2]Link Out Forecast'!$L$6:$L$275,MATCH($M59,'[2]Link Out Forecast'!$C$6:$C$275,0),1),"")</f>
        <v>0</v>
      </c>
      <c r="AC59" s="90"/>
      <c r="AD59" s="90">
        <f>IFERROR(INDEX('[2]Link Out Forecast'!$M$6:$M$275,MATCH($M59,'[2]Link Out Forecast'!$C$6:$C$275,0),1),"")</f>
        <v>0</v>
      </c>
      <c r="AE59" s="90"/>
      <c r="AF59" s="90">
        <f>IFERROR(INDEX('[2]Link Out Forecast'!$N$6:$N$275,MATCH($M59,'[2]Link Out Forecast'!$C$6:$C$275,0),1),"")</f>
        <v>0</v>
      </c>
      <c r="AG59" s="90"/>
      <c r="AH59" s="90">
        <f>IFERROR(INDEX('[2]Link Out Forecast'!$O$6:$O$275,MATCH($M59,'[2]Link Out Forecast'!$C$6:$C$275,0),1),"")</f>
        <v>0</v>
      </c>
      <c r="AI59" s="90"/>
      <c r="AJ59" s="90">
        <f>IFERROR(INDEX('[2]Link Out Forecast'!$P$6:$P$275,MATCH($M59,'[2]Link Out Forecast'!$C$6:$C$275,0),1),"")</f>
        <v>0</v>
      </c>
      <c r="AK59" s="90"/>
      <c r="AL59" s="90">
        <f>IFERROR(INDEX('[2]Link Out Forecast'!$Q$6:$Q$275,MATCH($M59,'[2]Link Out Forecast'!$C$6:$C$275,0),1),"")</f>
        <v>0</v>
      </c>
      <c r="AM59" s="90"/>
      <c r="AN59" s="90">
        <f>IFERROR(INDEX('[2]Link Out Forecast'!$R$6:$R$275,MATCH($M59,'[2]Link Out Forecast'!$C$6:$C$275,0),1),"")</f>
        <v>9328</v>
      </c>
    </row>
    <row r="60" spans="1:42">
      <c r="A60" s="104" t="str">
        <f>IFERROR(INDEX('[2]Link Out Monthly BY'!$A$6:$A$525,MATCH($C60,'[2]Link Out Monthly BY'!$C$6:$C$525,0),1),"")</f>
        <v>P17</v>
      </c>
      <c r="B60" s="104" t="str">
        <f>IFERROR(INDEX('[2]Link Out Monthly BY'!$B$6:$B$525,MATCH($C60,'[2]Link Out Monthly BY'!$C$6:$C$525,0),1),"")</f>
        <v>Salaries and wages</v>
      </c>
      <c r="C60" s="104">
        <v>50110000</v>
      </c>
      <c r="E60" s="104" t="str">
        <f>IFERROR(INDEX('[2]Link Out Monthly BY'!$D$6:$D$525,MATCH($C60,'[2]Link Out Monthly BY'!$C$6:$C$525,0),1),"")</f>
        <v>Labor NS OT -Natural</v>
      </c>
      <c r="G60" s="104" t="str">
        <f>IFERROR(INDEX('[2]Link Out Monthly BY'!$E$6:$E$525,MATCH($C60,'[2]Link Out Monthly BY'!$C$6:$C$505,0),1),"")</f>
        <v>601.8</v>
      </c>
      <c r="I60" s="90">
        <f>IFERROR(INDEX('[2]Link Out Monthly BY'!$R$6:$R$525,MATCH($C60,'[2]Link Out Monthly BY'!$C$6:$C$525,0),1),0)</f>
        <v>639111</v>
      </c>
      <c r="K60" s="104" t="str">
        <f>IFERROR(INDEX('[2]Link Out Forecast'!$A$6:$A$275,MATCH($M60,'[2]Link Out Forecast'!$C$6:$C$275,0),1),"")</f>
        <v>P21</v>
      </c>
      <c r="L60" s="104" t="str">
        <f>IFERROR(INDEX('[2]Link Out Forecast'!$B$6:$B$275,MATCH($M60,'[2]Link Out Forecast'!$C$6:$C$275,0),1),"")</f>
        <v>Other benefits</v>
      </c>
      <c r="M60" s="104">
        <v>50452000</v>
      </c>
      <c r="N60" s="104" t="str">
        <f>IFERROR(INDEX('[2]Link Out Forecast'!$D$6:$D$275,MATCH($M60,'[2]Link Out Forecast'!$C$6:$C$275,0),1),"")</f>
        <v>Emp Physical Exams</v>
      </c>
      <c r="O60" s="104" t="str">
        <f>IFERROR(INDEX('[2]Link Out Forecast'!$E$6:$E$275,MATCH($M60,'[2]Link Out Forecast'!$C$6:$C$275,0),1),"")</f>
        <v>604.8</v>
      </c>
      <c r="P60" s="90">
        <f>IFERROR(INDEX('[2]Link Out Forecast'!$F$6:$F$275,MATCH($M60,'[2]Link Out Forecast'!$C$6:$C$275,0),1),"")</f>
        <v>142</v>
      </c>
      <c r="Q60" s="90"/>
      <c r="R60" s="90">
        <f>IFERROR(INDEX('[2]Link Out Forecast'!$G$6:$G$275,MATCH($M60,'[2]Link Out Forecast'!$C$6:$C$275,0),1),"")</f>
        <v>1126</v>
      </c>
      <c r="S60" s="90"/>
      <c r="T60" s="90">
        <f>IFERROR(INDEX('[2]Link Out Forecast'!$H$6:$H$275,MATCH($M60,'[2]Link Out Forecast'!$C$6:$C$275,0),1),"")</f>
        <v>167</v>
      </c>
      <c r="U60" s="90"/>
      <c r="V60" s="90">
        <f>IFERROR(INDEX('[2]Link Out Forecast'!$I$6:$I$275,MATCH($M60,'[2]Link Out Forecast'!$C$6:$C$275,0),1),"")</f>
        <v>442</v>
      </c>
      <c r="W60" s="90"/>
      <c r="X60" s="90">
        <f>IFERROR(INDEX('[2]Link Out Forecast'!$J$6:$J$275,MATCH($M60,'[2]Link Out Forecast'!$C$6:$C$275,0),1),"")</f>
        <v>292</v>
      </c>
      <c r="Y60" s="90"/>
      <c r="Z60" s="90">
        <f>IFERROR(INDEX('[2]Link Out Forecast'!$K$6:$K$275,MATCH($M60,'[2]Link Out Forecast'!$C$6:$C$275,0),1),"")</f>
        <v>662</v>
      </c>
      <c r="AA60" s="90"/>
      <c r="AB60" s="90">
        <f>IFERROR(INDEX('[2]Link Out Forecast'!$L$6:$L$275,MATCH($M60,'[2]Link Out Forecast'!$C$6:$C$275,0),1),"")</f>
        <v>0</v>
      </c>
      <c r="AC60" s="90"/>
      <c r="AD60" s="90">
        <f>IFERROR(INDEX('[2]Link Out Forecast'!$M$6:$M$275,MATCH($M60,'[2]Link Out Forecast'!$C$6:$C$275,0),1),"")</f>
        <v>0</v>
      </c>
      <c r="AE60" s="90"/>
      <c r="AF60" s="90">
        <f>IFERROR(INDEX('[2]Link Out Forecast'!$N$6:$N$275,MATCH($M60,'[2]Link Out Forecast'!$C$6:$C$275,0),1),"")</f>
        <v>0</v>
      </c>
      <c r="AG60" s="90"/>
      <c r="AH60" s="90">
        <f>IFERROR(INDEX('[2]Link Out Forecast'!$O$6:$O$275,MATCH($M60,'[2]Link Out Forecast'!$C$6:$C$275,0),1),"")</f>
        <v>0</v>
      </c>
      <c r="AI60" s="90"/>
      <c r="AJ60" s="90">
        <f>IFERROR(INDEX('[2]Link Out Forecast'!$P$6:$P$275,MATCH($M60,'[2]Link Out Forecast'!$C$6:$C$275,0),1),"")</f>
        <v>0</v>
      </c>
      <c r="AK60" s="90"/>
      <c r="AL60" s="90">
        <f>IFERROR(INDEX('[2]Link Out Forecast'!$Q$6:$Q$275,MATCH($M60,'[2]Link Out Forecast'!$C$6:$C$275,0),1),"")</f>
        <v>0</v>
      </c>
      <c r="AM60" s="90"/>
      <c r="AN60" s="90">
        <f>IFERROR(INDEX('[2]Link Out Forecast'!$R$6:$R$275,MATCH($M60,'[2]Link Out Forecast'!$C$6:$C$275,0),1),"")</f>
        <v>2831</v>
      </c>
    </row>
    <row r="61" spans="1:42">
      <c r="A61" s="104" t="str">
        <f>IFERROR(INDEX('[2]Link Out Monthly BY'!$A$6:$A$525,MATCH($C61,'[2]Link Out Monthly BY'!$C$6:$C$525,0),1),"")</f>
        <v>P17</v>
      </c>
      <c r="B61" s="104" t="str">
        <f>IFERROR(INDEX('[2]Link Out Monthly BY'!$B$6:$B$525,MATCH($C61,'[2]Link Out Monthly BY'!$C$6:$C$525,0),1),"")</f>
        <v>Salaries and wages</v>
      </c>
      <c r="C61" s="104">
        <v>50111210</v>
      </c>
      <c r="E61" s="104" t="str">
        <f>IFERROR(INDEX('[2]Link Out Monthly BY'!$D$6:$D$525,MATCH($C61,'[2]Link Out Monthly BY'!$C$6:$C$525,0),1),"")</f>
        <v>LaborOperNS OT P PP</v>
      </c>
      <c r="G61" s="104" t="str">
        <f>IFERROR(INDEX('[2]Link Out Monthly BY'!$E$6:$E$525,MATCH($C61,'[2]Link Out Monthly BY'!$C$6:$C$505,0),1),"")</f>
        <v>601.1</v>
      </c>
      <c r="I61" s="90">
        <f>IFERROR(INDEX('[2]Link Out Monthly BY'!$R$6:$R$525,MATCH($C61,'[2]Link Out Monthly BY'!$C$6:$C$525,0),1),0)</f>
        <v>0</v>
      </c>
      <c r="K61" s="104" t="str">
        <f>IFERROR(INDEX('[2]Link Out Forecast'!$A$6:$A$275,MATCH($M61,'[2]Link Out Forecast'!$C$6:$C$275,0),1),"")</f>
        <v>P21</v>
      </c>
      <c r="L61" s="104" t="str">
        <f>IFERROR(INDEX('[2]Link Out Forecast'!$B$6:$B$275,MATCH($M61,'[2]Link Out Forecast'!$C$6:$C$275,0),1),"")</f>
        <v>Other benefits</v>
      </c>
      <c r="M61" s="104">
        <v>50454000</v>
      </c>
      <c r="N61" s="104" t="str">
        <f>IFERROR(INDEX('[2]Link Out Forecast'!$D$6:$D$275,MATCH($M61,'[2]Link Out Forecast'!$C$6:$C$275,0),1),"")</f>
        <v>Safety Incent Awards</v>
      </c>
      <c r="O61" s="104" t="str">
        <f>IFERROR(INDEX('[2]Link Out Forecast'!$E$6:$E$275,MATCH($M61,'[2]Link Out Forecast'!$C$6:$C$275,0),1),"")</f>
        <v>604.8</v>
      </c>
      <c r="P61" s="90">
        <f>IFERROR(INDEX('[2]Link Out Forecast'!$F$6:$F$275,MATCH($M61,'[2]Link Out Forecast'!$C$6:$C$275,0),1),"")</f>
        <v>0</v>
      </c>
      <c r="Q61" s="90"/>
      <c r="R61" s="90">
        <f>IFERROR(INDEX('[2]Link Out Forecast'!$G$6:$G$275,MATCH($M61,'[2]Link Out Forecast'!$C$6:$C$275,0),1),"")</f>
        <v>0</v>
      </c>
      <c r="S61" s="90"/>
      <c r="T61" s="90">
        <f>IFERROR(INDEX('[2]Link Out Forecast'!$H$6:$H$275,MATCH($M61,'[2]Link Out Forecast'!$C$6:$C$275,0),1),"")</f>
        <v>0</v>
      </c>
      <c r="U61" s="90"/>
      <c r="V61" s="90">
        <f>IFERROR(INDEX('[2]Link Out Forecast'!$I$6:$I$275,MATCH($M61,'[2]Link Out Forecast'!$C$6:$C$275,0),1),"")</f>
        <v>0</v>
      </c>
      <c r="W61" s="90"/>
      <c r="X61" s="90">
        <f>IFERROR(INDEX('[2]Link Out Forecast'!$J$6:$J$275,MATCH($M61,'[2]Link Out Forecast'!$C$6:$C$275,0),1),"")</f>
        <v>0</v>
      </c>
      <c r="Y61" s="90"/>
      <c r="Z61" s="90">
        <f>IFERROR(INDEX('[2]Link Out Forecast'!$K$6:$K$275,MATCH($M61,'[2]Link Out Forecast'!$C$6:$C$275,0),1),"")</f>
        <v>0</v>
      </c>
      <c r="AA61" s="90"/>
      <c r="AB61" s="90">
        <f>IFERROR(INDEX('[2]Link Out Forecast'!$L$6:$L$275,MATCH($M61,'[2]Link Out Forecast'!$C$6:$C$275,0),1),"")</f>
        <v>0</v>
      </c>
      <c r="AC61" s="90"/>
      <c r="AD61" s="90">
        <f>IFERROR(INDEX('[2]Link Out Forecast'!$M$6:$M$275,MATCH($M61,'[2]Link Out Forecast'!$C$6:$C$275,0),1),"")</f>
        <v>0</v>
      </c>
      <c r="AE61" s="90"/>
      <c r="AF61" s="90">
        <f>IFERROR(INDEX('[2]Link Out Forecast'!$N$6:$N$275,MATCH($M61,'[2]Link Out Forecast'!$C$6:$C$275,0),1),"")</f>
        <v>0</v>
      </c>
      <c r="AG61" s="90"/>
      <c r="AH61" s="90">
        <f>IFERROR(INDEX('[2]Link Out Forecast'!$O$6:$O$275,MATCH($M61,'[2]Link Out Forecast'!$C$6:$C$275,0),1),"")</f>
        <v>0</v>
      </c>
      <c r="AI61" s="90"/>
      <c r="AJ61" s="90">
        <f>IFERROR(INDEX('[2]Link Out Forecast'!$P$6:$P$275,MATCH($M61,'[2]Link Out Forecast'!$C$6:$C$275,0),1),"")</f>
        <v>0</v>
      </c>
      <c r="AK61" s="90"/>
      <c r="AL61" s="90">
        <f>IFERROR(INDEX('[2]Link Out Forecast'!$Q$6:$Q$275,MATCH($M61,'[2]Link Out Forecast'!$C$6:$C$275,0),1),"")</f>
        <v>0</v>
      </c>
      <c r="AM61" s="90"/>
      <c r="AN61" s="90">
        <f>IFERROR(INDEX('[2]Link Out Forecast'!$R$6:$R$275,MATCH($M61,'[2]Link Out Forecast'!$C$6:$C$275,0),1),"")</f>
        <v>0</v>
      </c>
    </row>
    <row r="62" spans="1:42">
      <c r="A62" s="104" t="str">
        <f>IFERROR(INDEX('[2]Link Out Monthly BY'!$A$6:$A$525,MATCH($C62,'[2]Link Out Monthly BY'!$C$6:$C$525,0),1),"")</f>
        <v>P17</v>
      </c>
      <c r="B62" s="104" t="str">
        <f>IFERROR(INDEX('[2]Link Out Monthly BY'!$B$6:$B$525,MATCH($C62,'[2]Link Out Monthly BY'!$C$6:$C$525,0),1),"")</f>
        <v>Salaries and wages</v>
      </c>
      <c r="C62" s="104">
        <v>50111300</v>
      </c>
      <c r="E62" s="104" t="str">
        <f>IFERROR(INDEX('[2]Link Out Monthly BY'!$D$6:$D$525,MATCH($C62,'[2]Link Out Monthly BY'!$C$6:$C$525,0),1),"")</f>
        <v>LaborOper NS OT WT</v>
      </c>
      <c r="G62" s="104" t="str">
        <f>IFERROR(INDEX('[2]Link Out Monthly BY'!$E$6:$E$525,MATCH($C62,'[2]Link Out Monthly BY'!$C$6:$C$505,0),1),"")</f>
        <v>601.3</v>
      </c>
      <c r="I62" s="90">
        <f>IFERROR(INDEX('[2]Link Out Monthly BY'!$R$6:$R$525,MATCH($C62,'[2]Link Out Monthly BY'!$C$6:$C$525,0),1),0)</f>
        <v>145972</v>
      </c>
      <c r="K62" s="104" t="str">
        <f>IFERROR(INDEX('[2]Link Out Forecast'!$A$6:$A$275,MATCH($M62,'[2]Link Out Forecast'!$C$6:$C$275,0),1),"")</f>
        <v>P21</v>
      </c>
      <c r="L62" s="104" t="str">
        <f>IFERROR(INDEX('[2]Link Out Forecast'!$B$6:$B$275,MATCH($M62,'[2]Link Out Forecast'!$C$6:$C$275,0),1),"")</f>
        <v>Other benefits</v>
      </c>
      <c r="M62" s="104">
        <v>50456000</v>
      </c>
      <c r="N62" s="104" t="str">
        <f>IFERROR(INDEX('[2]Link Out Forecast'!$D$6:$D$275,MATCH($M62,'[2]Link Out Forecast'!$C$6:$C$275,0),1),"")</f>
        <v>Tuition Aid</v>
      </c>
      <c r="O62" s="104" t="str">
        <f>IFERROR(INDEX('[2]Link Out Forecast'!$E$6:$E$275,MATCH($M62,'[2]Link Out Forecast'!$C$6:$C$275,0),1),"")</f>
        <v>604.8</v>
      </c>
      <c r="P62" s="90">
        <f>IFERROR(INDEX('[2]Link Out Forecast'!$F$6:$F$275,MATCH($M62,'[2]Link Out Forecast'!$C$6:$C$275,0),1),"")</f>
        <v>0</v>
      </c>
      <c r="Q62" s="90"/>
      <c r="R62" s="90">
        <f>IFERROR(INDEX('[2]Link Out Forecast'!$G$6:$G$275,MATCH($M62,'[2]Link Out Forecast'!$C$6:$C$275,0),1),"")</f>
        <v>3500</v>
      </c>
      <c r="S62" s="90"/>
      <c r="T62" s="90">
        <f>IFERROR(INDEX('[2]Link Out Forecast'!$H$6:$H$275,MATCH($M62,'[2]Link Out Forecast'!$C$6:$C$275,0),1),"")</f>
        <v>5500</v>
      </c>
      <c r="U62" s="90"/>
      <c r="V62" s="90">
        <f>IFERROR(INDEX('[2]Link Out Forecast'!$I$6:$I$275,MATCH($M62,'[2]Link Out Forecast'!$C$6:$C$275,0),1),"")</f>
        <v>6000</v>
      </c>
      <c r="W62" s="90"/>
      <c r="X62" s="90">
        <f>IFERROR(INDEX('[2]Link Out Forecast'!$J$6:$J$275,MATCH($M62,'[2]Link Out Forecast'!$C$6:$C$275,0),1),"")</f>
        <v>0</v>
      </c>
      <c r="Y62" s="90"/>
      <c r="Z62" s="90">
        <f>IFERROR(INDEX('[2]Link Out Forecast'!$K$6:$K$275,MATCH($M62,'[2]Link Out Forecast'!$C$6:$C$275,0),1),"")</f>
        <v>3500</v>
      </c>
      <c r="AA62" s="90"/>
      <c r="AB62" s="90">
        <f>IFERROR(INDEX('[2]Link Out Forecast'!$L$6:$L$275,MATCH($M62,'[2]Link Out Forecast'!$C$6:$C$275,0),1),"")</f>
        <v>0</v>
      </c>
      <c r="AC62" s="90"/>
      <c r="AD62" s="90">
        <f>IFERROR(INDEX('[2]Link Out Forecast'!$M$6:$M$275,MATCH($M62,'[2]Link Out Forecast'!$C$6:$C$275,0),1),"")</f>
        <v>0</v>
      </c>
      <c r="AE62" s="90"/>
      <c r="AF62" s="90">
        <f>IFERROR(INDEX('[2]Link Out Forecast'!$N$6:$N$275,MATCH($M62,'[2]Link Out Forecast'!$C$6:$C$275,0),1),"")</f>
        <v>0</v>
      </c>
      <c r="AG62" s="90"/>
      <c r="AH62" s="90">
        <f>IFERROR(INDEX('[2]Link Out Forecast'!$O$6:$O$275,MATCH($M62,'[2]Link Out Forecast'!$C$6:$C$275,0),1),"")</f>
        <v>0</v>
      </c>
      <c r="AI62" s="90"/>
      <c r="AJ62" s="90">
        <f>IFERROR(INDEX('[2]Link Out Forecast'!$P$6:$P$275,MATCH($M62,'[2]Link Out Forecast'!$C$6:$C$275,0),1),"")</f>
        <v>0</v>
      </c>
      <c r="AK62" s="90"/>
      <c r="AL62" s="90">
        <f>IFERROR(INDEX('[2]Link Out Forecast'!$Q$6:$Q$275,MATCH($M62,'[2]Link Out Forecast'!$C$6:$C$275,0),1),"")</f>
        <v>0</v>
      </c>
      <c r="AM62" s="90"/>
      <c r="AN62" s="90">
        <f>IFERROR(INDEX('[2]Link Out Forecast'!$R$6:$R$275,MATCH($M62,'[2]Link Out Forecast'!$C$6:$C$275,0),1),"")</f>
        <v>18500</v>
      </c>
    </row>
    <row r="63" spans="1:42">
      <c r="A63" s="104" t="str">
        <f>IFERROR(INDEX('[2]Link Out Monthly BY'!$A$6:$A$525,MATCH($C63,'[2]Link Out Monthly BY'!$C$6:$C$525,0),1),"")</f>
        <v>P17</v>
      </c>
      <c r="B63" s="104" t="str">
        <f>IFERROR(INDEX('[2]Link Out Monthly BY'!$B$6:$B$525,MATCH($C63,'[2]Link Out Monthly BY'!$C$6:$C$525,0),1),"")</f>
        <v>Salaries and wages</v>
      </c>
      <c r="C63" s="104">
        <v>50111400</v>
      </c>
      <c r="E63" s="104" t="str">
        <f>IFERROR(INDEX('[2]Link Out Monthly BY'!$D$6:$D$525,MATCH($C63,'[2]Link Out Monthly BY'!$C$6:$C$525,0),1),"")</f>
        <v>LaborOper NS OT TD</v>
      </c>
      <c r="G63" s="104" t="str">
        <f>IFERROR(INDEX('[2]Link Out Monthly BY'!$E$6:$E$525,MATCH($C63,'[2]Link Out Monthly BY'!$C$6:$C$505,0),1),"")</f>
        <v>601.5</v>
      </c>
      <c r="I63" s="90">
        <f>IFERROR(INDEX('[2]Link Out Monthly BY'!$R$6:$R$525,MATCH($C63,'[2]Link Out Monthly BY'!$C$6:$C$525,0),1),0)</f>
        <v>15804</v>
      </c>
      <c r="K63" s="104" t="str">
        <f>IFERROR(INDEX('[2]Link Out Forecast'!$A$6:$A$275,MATCH($M63,'[2]Link Out Forecast'!$C$6:$C$275,0),1),"")</f>
        <v>P21</v>
      </c>
      <c r="L63" s="104" t="str">
        <f>IFERROR(INDEX('[2]Link Out Forecast'!$B$6:$B$275,MATCH($M63,'[2]Link Out Forecast'!$C$6:$C$275,0),1),"")</f>
        <v>Other benefits</v>
      </c>
      <c r="M63" s="104">
        <v>50457000</v>
      </c>
      <c r="N63" s="104" t="str">
        <f>IFERROR(INDEX('[2]Link Out Forecast'!$D$6:$D$275,MATCH($M63,'[2]Link Out Forecast'!$C$6:$C$275,0),1),"")</f>
        <v>Training</v>
      </c>
      <c r="O63" s="104" t="str">
        <f>IFERROR(INDEX('[2]Link Out Forecast'!$E$6:$E$275,MATCH($M63,'[2]Link Out Forecast'!$C$6:$C$275,0),1),"")</f>
        <v>604.8</v>
      </c>
      <c r="P63" s="90">
        <f>IFERROR(INDEX('[2]Link Out Forecast'!$F$6:$F$275,MATCH($M63,'[2]Link Out Forecast'!$C$6:$C$275,0),1),"")</f>
        <v>167</v>
      </c>
      <c r="Q63" s="90"/>
      <c r="R63" s="90">
        <f>IFERROR(INDEX('[2]Link Out Forecast'!$G$6:$G$275,MATCH($M63,'[2]Link Out Forecast'!$C$6:$C$275,0),1),"")</f>
        <v>3783</v>
      </c>
      <c r="S63" s="90"/>
      <c r="T63" s="90">
        <f>IFERROR(INDEX('[2]Link Out Forecast'!$H$6:$H$275,MATCH($M63,'[2]Link Out Forecast'!$C$6:$C$275,0),1),"")</f>
        <v>624</v>
      </c>
      <c r="U63" s="90"/>
      <c r="V63" s="90">
        <f>IFERROR(INDEX('[2]Link Out Forecast'!$I$6:$I$275,MATCH($M63,'[2]Link Out Forecast'!$C$6:$C$275,0),1),"")</f>
        <v>731</v>
      </c>
      <c r="W63" s="90"/>
      <c r="X63" s="90">
        <f>IFERROR(INDEX('[2]Link Out Forecast'!$J$6:$J$275,MATCH($M63,'[2]Link Out Forecast'!$C$6:$C$275,0),1),"")</f>
        <v>1291</v>
      </c>
      <c r="Y63" s="90"/>
      <c r="Z63" s="90">
        <f>IFERROR(INDEX('[2]Link Out Forecast'!$K$6:$K$275,MATCH($M63,'[2]Link Out Forecast'!$C$6:$C$275,0),1),"")</f>
        <v>267</v>
      </c>
      <c r="AA63" s="90"/>
      <c r="AB63" s="90">
        <f>IFERROR(INDEX('[2]Link Out Forecast'!$L$6:$L$275,MATCH($M63,'[2]Link Out Forecast'!$C$6:$C$275,0),1),"")</f>
        <v>0</v>
      </c>
      <c r="AC63" s="90"/>
      <c r="AD63" s="90">
        <f>IFERROR(INDEX('[2]Link Out Forecast'!$M$6:$M$275,MATCH($M63,'[2]Link Out Forecast'!$C$6:$C$275,0),1),"")</f>
        <v>0</v>
      </c>
      <c r="AE63" s="90"/>
      <c r="AF63" s="90">
        <f>IFERROR(INDEX('[2]Link Out Forecast'!$N$6:$N$275,MATCH($M63,'[2]Link Out Forecast'!$C$6:$C$275,0),1),"")</f>
        <v>0</v>
      </c>
      <c r="AG63" s="90"/>
      <c r="AH63" s="90">
        <f>IFERROR(INDEX('[2]Link Out Forecast'!$O$6:$O$275,MATCH($M63,'[2]Link Out Forecast'!$C$6:$C$275,0),1),"")</f>
        <v>0</v>
      </c>
      <c r="AI63" s="90"/>
      <c r="AJ63" s="90">
        <f>IFERROR(INDEX('[2]Link Out Forecast'!$P$6:$P$275,MATCH($M63,'[2]Link Out Forecast'!$C$6:$C$275,0),1),"")</f>
        <v>0</v>
      </c>
      <c r="AK63" s="90"/>
      <c r="AL63" s="90">
        <f>IFERROR(INDEX('[2]Link Out Forecast'!$Q$6:$Q$275,MATCH($M63,'[2]Link Out Forecast'!$C$6:$C$275,0),1),"")</f>
        <v>0</v>
      </c>
      <c r="AM63" s="90"/>
      <c r="AN63" s="90">
        <f>IFERROR(INDEX('[2]Link Out Forecast'!$R$6:$R$275,MATCH($M63,'[2]Link Out Forecast'!$C$6:$C$275,0),1),"")</f>
        <v>6863</v>
      </c>
    </row>
    <row r="64" spans="1:42">
      <c r="A64" s="104" t="str">
        <f>IFERROR(INDEX('[2]Link Out Monthly BY'!$A$6:$A$525,MATCH($C64,'[2]Link Out Monthly BY'!$C$6:$C$525,0),1),"")</f>
        <v>P17</v>
      </c>
      <c r="B64" s="104" t="str">
        <f>IFERROR(INDEX('[2]Link Out Monthly BY'!$B$6:$B$525,MATCH($C64,'[2]Link Out Monthly BY'!$C$6:$C$525,0),1),"")</f>
        <v>Salaries and wages</v>
      </c>
      <c r="C64" s="104">
        <v>50111405</v>
      </c>
      <c r="E64" s="104" t="str">
        <f>IFERROR(INDEX('[2]Link Out Monthly BY'!$D$6:$D$525,MATCH($C64,'[2]Link Out Monthly BY'!$C$6:$C$525,0),1),"")</f>
        <v>LaborOperNS OT TD SE</v>
      </c>
      <c r="G64" s="104" t="str">
        <f>IFERROR(INDEX('[2]Link Out Monthly BY'!$E$6:$E$525,MATCH($C64,'[2]Link Out Monthly BY'!$C$6:$C$505,0),1),"")</f>
        <v>601.5</v>
      </c>
      <c r="I64" s="90">
        <f>IFERROR(INDEX('[2]Link Out Monthly BY'!$R$6:$R$525,MATCH($C64,'[2]Link Out Monthly BY'!$C$6:$C$525,0),1),0)</f>
        <v>0</v>
      </c>
      <c r="K64" s="104" t="str">
        <f>IFERROR(INDEX('[2]Link Out Forecast'!$A$6:$A$275,MATCH($M64,'[2]Link Out Forecast'!$C$6:$C$275,0),1),"")</f>
        <v/>
      </c>
      <c r="L64" s="104" t="str">
        <f>IFERROR(INDEX('[2]Link Out Forecast'!$B$6:$B$275,MATCH($M64,'[2]Link Out Forecast'!$C$6:$C$275,0),1),"")</f>
        <v/>
      </c>
      <c r="N64" s="104" t="str">
        <f>IFERROR(INDEX('[2]Link Out Forecast'!$D$6:$D$275,MATCH($M64,'[2]Link Out Forecast'!$C$6:$C$275,0),1),"")</f>
        <v/>
      </c>
      <c r="O64" s="104" t="str">
        <f>IFERROR(INDEX('[2]Link Out Forecast'!$E$6:$E$275,MATCH($M64,'[2]Link Out Forecast'!$C$6:$C$275,0),1),"")</f>
        <v/>
      </c>
      <c r="P64" s="90" t="str">
        <f>IFERROR(INDEX('[2]Link Out Forecast'!$F$6:$F$275,MATCH($M64,'[2]Link Out Forecast'!$C$6:$C$275,0),1),"")</f>
        <v/>
      </c>
      <c r="Q64" s="90"/>
      <c r="R64" s="90" t="str">
        <f>IFERROR(INDEX('[2]Link Out Forecast'!$G$6:$G$275,MATCH($M64,'[2]Link Out Forecast'!$C$6:$C$275,0),1),"")</f>
        <v/>
      </c>
      <c r="S64" s="90"/>
      <c r="T64" s="90" t="str">
        <f>IFERROR(INDEX('[2]Link Out Forecast'!$H$6:$H$275,MATCH($M64,'[2]Link Out Forecast'!$C$6:$C$275,0),1),"")</f>
        <v/>
      </c>
      <c r="U64" s="90"/>
      <c r="V64" s="90" t="str">
        <f>IFERROR(INDEX('[2]Link Out Forecast'!$I$6:$I$275,MATCH($M64,'[2]Link Out Forecast'!$C$6:$C$275,0),1),"")</f>
        <v/>
      </c>
      <c r="W64" s="90"/>
      <c r="X64" s="90" t="str">
        <f>IFERROR(INDEX('[2]Link Out Forecast'!$J$6:$J$275,MATCH($M64,'[2]Link Out Forecast'!$C$6:$C$275,0),1),"")</f>
        <v/>
      </c>
      <c r="Y64" s="90"/>
      <c r="Z64" s="90" t="str">
        <f>IFERROR(INDEX('[2]Link Out Forecast'!$K$6:$K$275,MATCH($M64,'[2]Link Out Forecast'!$C$6:$C$275,0),1),"")</f>
        <v/>
      </c>
      <c r="AA64" s="90"/>
      <c r="AB64" s="90" t="str">
        <f>IFERROR(INDEX('[2]Link Out Forecast'!$L$6:$L$275,MATCH($M64,'[2]Link Out Forecast'!$C$6:$C$275,0),1),"")</f>
        <v/>
      </c>
      <c r="AC64" s="90"/>
      <c r="AD64" s="90" t="str">
        <f>IFERROR(INDEX('[2]Link Out Forecast'!$M$6:$M$275,MATCH($M64,'[2]Link Out Forecast'!$C$6:$C$275,0),1),"")</f>
        <v/>
      </c>
      <c r="AE64" s="90"/>
      <c r="AF64" s="90" t="str">
        <f>IFERROR(INDEX('[2]Link Out Forecast'!$N$6:$N$275,MATCH($M64,'[2]Link Out Forecast'!$C$6:$C$275,0),1),"")</f>
        <v/>
      </c>
      <c r="AG64" s="90"/>
      <c r="AH64" s="90" t="str">
        <f>IFERROR(INDEX('[2]Link Out Forecast'!$O$6:$O$275,MATCH($M64,'[2]Link Out Forecast'!$C$6:$C$275,0),1),"")</f>
        <v/>
      </c>
      <c r="AI64" s="90"/>
      <c r="AJ64" s="90" t="str">
        <f>IFERROR(INDEX('[2]Link Out Forecast'!$P$6:$P$275,MATCH($M64,'[2]Link Out Forecast'!$C$6:$C$275,0),1),"")</f>
        <v/>
      </c>
      <c r="AK64" s="90"/>
      <c r="AL64" s="90" t="str">
        <f>IFERROR(INDEX('[2]Link Out Forecast'!$Q$6:$Q$275,MATCH($M64,'[2]Link Out Forecast'!$C$6:$C$275,0),1),"")</f>
        <v/>
      </c>
      <c r="AM64" s="90"/>
      <c r="AN64" s="90" t="str">
        <f>IFERROR(INDEX('[2]Link Out Forecast'!$R$6:$R$275,MATCH($M64,'[2]Link Out Forecast'!$C$6:$C$275,0),1),"")</f>
        <v/>
      </c>
    </row>
    <row r="65" spans="1:40">
      <c r="A65" s="104" t="str">
        <f>IFERROR(INDEX('[2]Link Out Monthly BY'!$A$6:$A$525,MATCH($C65,'[2]Link Out Monthly BY'!$C$6:$C$525,0),1),"")</f>
        <v>P17</v>
      </c>
      <c r="B65" s="104" t="str">
        <f>IFERROR(INDEX('[2]Link Out Monthly BY'!$B$6:$B$525,MATCH($C65,'[2]Link Out Monthly BY'!$C$6:$C$525,0),1),"")</f>
        <v>Salaries and wages</v>
      </c>
      <c r="C65" s="104">
        <v>50111415</v>
      </c>
      <c r="E65" s="104" t="str">
        <f>IFERROR(INDEX('[2]Link Out Monthly BY'!$D$6:$D$525,MATCH($C65,'[2]Link Out Monthly BY'!$C$6:$C$525,0),1),"")</f>
        <v>LaborOperNS OT TD Ln</v>
      </c>
      <c r="G65" s="104" t="str">
        <f>IFERROR(INDEX('[2]Link Out Monthly BY'!$E$6:$E$525,MATCH($C65,'[2]Link Out Monthly BY'!$C$6:$C$505,0),1),"")</f>
        <v>601.5</v>
      </c>
      <c r="I65" s="90">
        <f>IFERROR(INDEX('[2]Link Out Monthly BY'!$R$6:$R$525,MATCH($C65,'[2]Link Out Monthly BY'!$C$6:$C$525,0),1),0)</f>
        <v>5351</v>
      </c>
      <c r="K65" s="104" t="str">
        <f>IFERROR(INDEX('[2]Link Out Forecast'!$A$6:$A$275,MATCH($M65,'[2]Link Out Forecast'!$C$6:$C$275,0),1),"")</f>
        <v>P48</v>
      </c>
      <c r="L65" s="104" t="str">
        <f>IFERROR(INDEX('[2]Link Out Forecast'!$B$6:$B$275,MATCH($M65,'[2]Link Out Forecast'!$C$6:$C$275,0),1),"")</f>
        <v>General taxes</v>
      </c>
      <c r="M65" s="104">
        <v>68532000</v>
      </c>
      <c r="N65" s="104" t="str">
        <f>IFERROR(INDEX('[2]Link Out Forecast'!$D$6:$D$275,MATCH($M65,'[2]Link Out Forecast'!$C$6:$C$275,0),1),"")</f>
        <v>FUTA</v>
      </c>
      <c r="O65" s="104" t="str">
        <f>IFERROR(INDEX('[2]Link Out Forecast'!$E$6:$E$275,MATCH($M65,'[2]Link Out Forecast'!$C$6:$C$275,0),1),"")</f>
        <v>408.12</v>
      </c>
      <c r="P65" s="90">
        <f>IFERROR(INDEX('[2]Link Out Forecast'!$F$6:$F$275,MATCH($M65,'[2]Link Out Forecast'!$C$6:$C$275,0),1),"")</f>
        <v>0</v>
      </c>
      <c r="Q65" s="90"/>
      <c r="R65" s="90">
        <f>IFERROR(INDEX('[2]Link Out Forecast'!$G$6:$G$275,MATCH($M65,'[2]Link Out Forecast'!$C$6:$C$275,0),1),"")</f>
        <v>0</v>
      </c>
      <c r="S65" s="90"/>
      <c r="T65" s="90">
        <f>IFERROR(INDEX('[2]Link Out Forecast'!$H$6:$H$275,MATCH($M65,'[2]Link Out Forecast'!$C$6:$C$275,0),1),"")</f>
        <v>0</v>
      </c>
      <c r="U65" s="90"/>
      <c r="V65" s="90">
        <f>IFERROR(INDEX('[2]Link Out Forecast'!$I$6:$I$275,MATCH($M65,'[2]Link Out Forecast'!$C$6:$C$275,0),1),"")</f>
        <v>0</v>
      </c>
      <c r="W65" s="90"/>
      <c r="X65" s="90">
        <f>IFERROR(INDEX('[2]Link Out Forecast'!$J$6:$J$275,MATCH($M65,'[2]Link Out Forecast'!$C$6:$C$275,0),1),"")</f>
        <v>0</v>
      </c>
      <c r="Y65" s="90"/>
      <c r="Z65" s="90">
        <f>IFERROR(INDEX('[2]Link Out Forecast'!$K$6:$K$275,MATCH($M65,'[2]Link Out Forecast'!$C$6:$C$275,0),1),"")</f>
        <v>0</v>
      </c>
      <c r="AA65" s="90"/>
      <c r="AB65" s="90">
        <f>IFERROR(INDEX('[2]Link Out Forecast'!$L$6:$L$275,MATCH($M65,'[2]Link Out Forecast'!$C$6:$C$275,0),1),"")</f>
        <v>0</v>
      </c>
      <c r="AC65" s="90"/>
      <c r="AD65" s="90">
        <f>IFERROR(INDEX('[2]Link Out Forecast'!$M$6:$M$275,MATCH($M65,'[2]Link Out Forecast'!$C$6:$C$275,0),1),"")</f>
        <v>0</v>
      </c>
      <c r="AE65" s="90"/>
      <c r="AF65" s="90">
        <f>IFERROR(INDEX('[2]Link Out Forecast'!$N$6:$N$275,MATCH($M65,'[2]Link Out Forecast'!$C$6:$C$275,0),1),"")</f>
        <v>0</v>
      </c>
      <c r="AG65" s="90"/>
      <c r="AH65" s="90">
        <f>IFERROR(INDEX('[2]Link Out Forecast'!$O$6:$O$275,MATCH($M65,'[2]Link Out Forecast'!$C$6:$C$275,0),1),"")</f>
        <v>0</v>
      </c>
      <c r="AI65" s="90"/>
      <c r="AJ65" s="90">
        <f>IFERROR(INDEX('[2]Link Out Forecast'!$P$6:$P$275,MATCH($M65,'[2]Link Out Forecast'!$C$6:$C$275,0),1),"")</f>
        <v>0</v>
      </c>
      <c r="AK65" s="90"/>
      <c r="AL65" s="90">
        <f>IFERROR(INDEX('[2]Link Out Forecast'!$Q$6:$Q$275,MATCH($M65,'[2]Link Out Forecast'!$C$6:$C$275,0),1),"")</f>
        <v>0</v>
      </c>
      <c r="AM65" s="90"/>
      <c r="AN65" s="90">
        <f>IFERROR(INDEX('[2]Link Out Forecast'!$R$6:$R$275,MATCH($M65,'[2]Link Out Forecast'!$C$6:$C$275,0),1),"")</f>
        <v>0</v>
      </c>
    </row>
    <row r="66" spans="1:40">
      <c r="A66" s="104" t="str">
        <f>IFERROR(INDEX('[2]Link Out Monthly BY'!$A$6:$A$525,MATCH($C66,'[2]Link Out Monthly BY'!$C$6:$C$525,0),1),"")</f>
        <v>P17</v>
      </c>
      <c r="B66" s="104" t="str">
        <f>IFERROR(INDEX('[2]Link Out Monthly BY'!$B$6:$B$525,MATCH($C66,'[2]Link Out Monthly BY'!$C$6:$C$525,0),1),"")</f>
        <v>Salaries and wages</v>
      </c>
      <c r="C66" s="104">
        <v>50111420</v>
      </c>
      <c r="E66" s="104" t="str">
        <f>IFERROR(INDEX('[2]Link Out Monthly BY'!$D$6:$D$525,MATCH($C66,'[2]Link Out Monthly BY'!$C$6:$C$525,0),1),"")</f>
        <v>LaborOperNS OT TD Mt</v>
      </c>
      <c r="G66" s="104" t="str">
        <f>IFERROR(INDEX('[2]Link Out Monthly BY'!$E$6:$E$525,MATCH($C66,'[2]Link Out Monthly BY'!$C$6:$C$505,0),1),"")</f>
        <v>601.5</v>
      </c>
      <c r="I66" s="90">
        <f>IFERROR(INDEX('[2]Link Out Monthly BY'!$R$6:$R$525,MATCH($C66,'[2]Link Out Monthly BY'!$C$6:$C$525,0),1),0)</f>
        <v>48078</v>
      </c>
      <c r="K66" s="104" t="str">
        <f>IFERROR(INDEX('[2]Link Out Forecast'!$A$6:$A$275,MATCH($M66,'[2]Link Out Forecast'!$C$6:$C$275,0),1),"")</f>
        <v>P48</v>
      </c>
      <c r="L66" s="104" t="str">
        <f>IFERROR(INDEX('[2]Link Out Forecast'!$B$6:$B$275,MATCH($M66,'[2]Link Out Forecast'!$C$6:$C$275,0),1),"")</f>
        <v>General taxes</v>
      </c>
      <c r="M66" s="104">
        <v>68532100</v>
      </c>
      <c r="N66" s="104" t="str">
        <f>IFERROR(INDEX('[2]Link Out Forecast'!$D$6:$D$275,MATCH($M66,'[2]Link Out Forecast'!$C$6:$C$275,0),1),"")</f>
        <v>FUTA Cap Credits</v>
      </c>
      <c r="O66" s="104" t="str">
        <f>IFERROR(INDEX('[2]Link Out Forecast'!$E$6:$E$275,MATCH($M66,'[2]Link Out Forecast'!$C$6:$C$275,0),1),"")</f>
        <v>408.12</v>
      </c>
      <c r="P66" s="90">
        <f>IFERROR(INDEX('[2]Link Out Forecast'!$F$6:$F$275,MATCH($M66,'[2]Link Out Forecast'!$C$6:$C$275,0),1),"")</f>
        <v>0</v>
      </c>
      <c r="Q66" s="90"/>
      <c r="R66" s="90">
        <f>IFERROR(INDEX('[2]Link Out Forecast'!$G$6:$G$275,MATCH($M66,'[2]Link Out Forecast'!$C$6:$C$275,0),1),"")</f>
        <v>0</v>
      </c>
      <c r="S66" s="90"/>
      <c r="T66" s="90">
        <f>IFERROR(INDEX('[2]Link Out Forecast'!$H$6:$H$275,MATCH($M66,'[2]Link Out Forecast'!$C$6:$C$275,0),1),"")</f>
        <v>0</v>
      </c>
      <c r="U66" s="90"/>
      <c r="V66" s="90">
        <f>IFERROR(INDEX('[2]Link Out Forecast'!$I$6:$I$275,MATCH($M66,'[2]Link Out Forecast'!$C$6:$C$275,0),1),"")</f>
        <v>0</v>
      </c>
      <c r="W66" s="90"/>
      <c r="X66" s="90">
        <f>IFERROR(INDEX('[2]Link Out Forecast'!$J$6:$J$275,MATCH($M66,'[2]Link Out Forecast'!$C$6:$C$275,0),1),"")</f>
        <v>0</v>
      </c>
      <c r="Y66" s="90"/>
      <c r="Z66" s="90">
        <f>IFERROR(INDEX('[2]Link Out Forecast'!$K$6:$K$275,MATCH($M66,'[2]Link Out Forecast'!$C$6:$C$275,0),1),"")</f>
        <v>0</v>
      </c>
      <c r="AA66" s="90"/>
      <c r="AB66" s="90">
        <f>IFERROR(INDEX('[2]Link Out Forecast'!$L$6:$L$275,MATCH($M66,'[2]Link Out Forecast'!$C$6:$C$275,0),1),"")</f>
        <v>0</v>
      </c>
      <c r="AC66" s="90"/>
      <c r="AD66" s="90">
        <f>IFERROR(INDEX('[2]Link Out Forecast'!$M$6:$M$275,MATCH($M66,'[2]Link Out Forecast'!$C$6:$C$275,0),1),"")</f>
        <v>0</v>
      </c>
      <c r="AE66" s="90"/>
      <c r="AF66" s="90">
        <f>IFERROR(INDEX('[2]Link Out Forecast'!$N$6:$N$275,MATCH($M66,'[2]Link Out Forecast'!$C$6:$C$275,0),1),"")</f>
        <v>0</v>
      </c>
      <c r="AG66" s="90"/>
      <c r="AH66" s="90">
        <f>IFERROR(INDEX('[2]Link Out Forecast'!$O$6:$O$275,MATCH($M66,'[2]Link Out Forecast'!$C$6:$C$275,0),1),"")</f>
        <v>0</v>
      </c>
      <c r="AI66" s="90"/>
      <c r="AJ66" s="90">
        <f>IFERROR(INDEX('[2]Link Out Forecast'!$P$6:$P$275,MATCH($M66,'[2]Link Out Forecast'!$C$6:$C$275,0),1),"")</f>
        <v>0</v>
      </c>
      <c r="AK66" s="90"/>
      <c r="AL66" s="90">
        <f>IFERROR(INDEX('[2]Link Out Forecast'!$Q$6:$Q$275,MATCH($M66,'[2]Link Out Forecast'!$C$6:$C$275,0),1),"")</f>
        <v>0</v>
      </c>
      <c r="AM66" s="90"/>
      <c r="AN66" s="90">
        <f>IFERROR(INDEX('[2]Link Out Forecast'!$R$6:$R$275,MATCH($M66,'[2]Link Out Forecast'!$C$6:$C$275,0),1),"")</f>
        <v>0</v>
      </c>
    </row>
    <row r="67" spans="1:40">
      <c r="A67" s="104" t="str">
        <f>IFERROR(INDEX('[2]Link Out Monthly BY'!$A$6:$A$525,MATCH($C67,'[2]Link Out Monthly BY'!$C$6:$C$525,0),1),"")</f>
        <v>P17</v>
      </c>
      <c r="B67" s="104" t="str">
        <f>IFERROR(INDEX('[2]Link Out Monthly BY'!$B$6:$B$525,MATCH($C67,'[2]Link Out Monthly BY'!$C$6:$C$525,0),1),"")</f>
        <v>Salaries and wages</v>
      </c>
      <c r="C67" s="104">
        <v>50111500</v>
      </c>
      <c r="E67" s="104" t="str">
        <f>IFERROR(INDEX('[2]Link Out Monthly BY'!$D$6:$D$525,MATCH($C67,'[2]Link Out Monthly BY'!$C$6:$C$525,0),1),"")</f>
        <v>LaborOper NS OT CA</v>
      </c>
      <c r="G67" s="104" t="str">
        <f>IFERROR(INDEX('[2]Link Out Monthly BY'!$E$6:$E$525,MATCH($C67,'[2]Link Out Monthly BY'!$C$6:$C$505,0),1),"")</f>
        <v>601.7</v>
      </c>
      <c r="I67" s="90">
        <f>IFERROR(INDEX('[2]Link Out Monthly BY'!$R$6:$R$525,MATCH($C67,'[2]Link Out Monthly BY'!$C$6:$C$525,0),1),0)</f>
        <v>1089</v>
      </c>
      <c r="K67" s="104" t="str">
        <f>IFERROR(INDEX('[2]Link Out Forecast'!$A$6:$A$275,MATCH($M67,'[2]Link Out Forecast'!$C$6:$C$275,0),1),"")</f>
        <v>P48</v>
      </c>
      <c r="L67" s="104" t="str">
        <f>IFERROR(INDEX('[2]Link Out Forecast'!$B$6:$B$275,MATCH($M67,'[2]Link Out Forecast'!$C$6:$C$275,0),1),"")</f>
        <v>General taxes</v>
      </c>
      <c r="M67" s="104">
        <v>68533000</v>
      </c>
      <c r="N67" s="104" t="str">
        <f>IFERROR(INDEX('[2]Link Out Forecast'!$D$6:$D$275,MATCH($M67,'[2]Link Out Forecast'!$C$6:$C$275,0),1),"")</f>
        <v>FICA</v>
      </c>
      <c r="O67" s="104" t="str">
        <f>IFERROR(INDEX('[2]Link Out Forecast'!$E$6:$E$275,MATCH($M67,'[2]Link Out Forecast'!$C$6:$C$275,0),1),"")</f>
        <v>408.12</v>
      </c>
      <c r="P67" s="90">
        <f>IFERROR(INDEX('[2]Link Out Forecast'!$F$6:$F$275,MATCH($M67,'[2]Link Out Forecast'!$C$6:$C$275,0),1),"")</f>
        <v>70438</v>
      </c>
      <c r="Q67" s="90"/>
      <c r="R67" s="90">
        <f>IFERROR(INDEX('[2]Link Out Forecast'!$G$6:$G$275,MATCH($M67,'[2]Link Out Forecast'!$C$6:$C$275,0),1),"")</f>
        <v>67505</v>
      </c>
      <c r="S67" s="90"/>
      <c r="T67" s="90">
        <f>IFERROR(INDEX('[2]Link Out Forecast'!$H$6:$H$275,MATCH($M67,'[2]Link Out Forecast'!$C$6:$C$275,0),1),"")</f>
        <v>63662</v>
      </c>
      <c r="U67" s="90"/>
      <c r="V67" s="90">
        <f>IFERROR(INDEX('[2]Link Out Forecast'!$I$6:$I$275,MATCH($M67,'[2]Link Out Forecast'!$C$6:$C$275,0),1),"")</f>
        <v>69404</v>
      </c>
      <c r="W67" s="90"/>
      <c r="X67" s="90">
        <f>IFERROR(INDEX('[2]Link Out Forecast'!$J$6:$J$275,MATCH($M67,'[2]Link Out Forecast'!$C$6:$C$275,0),1),"")</f>
        <v>64004</v>
      </c>
      <c r="Y67" s="90"/>
      <c r="Z67" s="90">
        <f>IFERROR(INDEX('[2]Link Out Forecast'!$K$6:$K$275,MATCH($M67,'[2]Link Out Forecast'!$C$6:$C$275,0),1),"")</f>
        <v>66109</v>
      </c>
      <c r="AA67" s="90"/>
      <c r="AB67" s="90">
        <f>IFERROR(INDEX('[2]Link Out Forecast'!$L$6:$L$275,MATCH($M67,'[2]Link Out Forecast'!$C$6:$C$275,0),1),"")</f>
        <v>0</v>
      </c>
      <c r="AC67" s="90"/>
      <c r="AD67" s="90">
        <f>IFERROR(INDEX('[2]Link Out Forecast'!$M$6:$M$275,MATCH($M67,'[2]Link Out Forecast'!$C$6:$C$275,0),1),"")</f>
        <v>0</v>
      </c>
      <c r="AE67" s="90"/>
      <c r="AF67" s="90">
        <f>IFERROR(INDEX('[2]Link Out Forecast'!$N$6:$N$275,MATCH($M67,'[2]Link Out Forecast'!$C$6:$C$275,0),1),"")</f>
        <v>0</v>
      </c>
      <c r="AG67" s="90"/>
      <c r="AH67" s="90">
        <f>IFERROR(INDEX('[2]Link Out Forecast'!$O$6:$O$275,MATCH($M67,'[2]Link Out Forecast'!$C$6:$C$275,0),1),"")</f>
        <v>0</v>
      </c>
      <c r="AI67" s="90"/>
      <c r="AJ67" s="90">
        <f>IFERROR(INDEX('[2]Link Out Forecast'!$P$6:$P$275,MATCH($M67,'[2]Link Out Forecast'!$C$6:$C$275,0),1),"")</f>
        <v>0</v>
      </c>
      <c r="AK67" s="90"/>
      <c r="AL67" s="90">
        <f>IFERROR(INDEX('[2]Link Out Forecast'!$Q$6:$Q$275,MATCH($M67,'[2]Link Out Forecast'!$C$6:$C$275,0),1),"")</f>
        <v>0</v>
      </c>
      <c r="AM67" s="90"/>
      <c r="AN67" s="90">
        <f>IFERROR(INDEX('[2]Link Out Forecast'!$R$6:$R$275,MATCH($M67,'[2]Link Out Forecast'!$C$6:$C$275,0),1),"")</f>
        <v>401122</v>
      </c>
    </row>
    <row r="68" spans="1:40">
      <c r="A68" s="104" t="str">
        <f>IFERROR(INDEX('[2]Link Out Monthly BY'!$A$6:$A$525,MATCH($C68,'[2]Link Out Monthly BY'!$C$6:$C$525,0),1),"")</f>
        <v>P17</v>
      </c>
      <c r="B68" s="104" t="str">
        <f>IFERROR(INDEX('[2]Link Out Monthly BY'!$B$6:$B$525,MATCH($C68,'[2]Link Out Monthly BY'!$C$6:$C$525,0),1),"")</f>
        <v>Salaries and wages</v>
      </c>
      <c r="C68" s="104">
        <v>50111510</v>
      </c>
      <c r="E68" s="104" t="str">
        <f>IFERROR(INDEX('[2]Link Out Monthly BY'!$D$6:$D$525,MATCH($C68,'[2]Link Out Monthly BY'!$C$6:$C$525,0),1),"")</f>
        <v>LaborOperNS OT CA MR</v>
      </c>
      <c r="G68" s="104" t="str">
        <f>IFERROR(INDEX('[2]Link Out Monthly BY'!$E$6:$E$525,MATCH($C68,'[2]Link Out Monthly BY'!$C$6:$C$505,0),1),"")</f>
        <v>601.7</v>
      </c>
      <c r="I68" s="90">
        <f>IFERROR(INDEX('[2]Link Out Monthly BY'!$R$6:$R$525,MATCH($C68,'[2]Link Out Monthly BY'!$C$6:$C$525,0),1),0)</f>
        <v>17862</v>
      </c>
      <c r="K68" s="104" t="str">
        <f>IFERROR(INDEX('[2]Link Out Forecast'!$A$6:$A$275,MATCH($M68,'[2]Link Out Forecast'!$C$6:$C$275,0),1),"")</f>
        <v>P48</v>
      </c>
      <c r="L68" s="104" t="str">
        <f>IFERROR(INDEX('[2]Link Out Forecast'!$B$6:$B$275,MATCH($M68,'[2]Link Out Forecast'!$C$6:$C$275,0),1),"")</f>
        <v>General taxes</v>
      </c>
      <c r="M68" s="104">
        <v>68533100</v>
      </c>
      <c r="N68" s="104" t="str">
        <f>IFERROR(INDEX('[2]Link Out Forecast'!$D$6:$D$275,MATCH($M68,'[2]Link Out Forecast'!$C$6:$C$275,0),1),"")</f>
        <v>FICA Cap Credits</v>
      </c>
      <c r="O68" s="104" t="str">
        <f>IFERROR(INDEX('[2]Link Out Forecast'!$E$6:$E$275,MATCH($M68,'[2]Link Out Forecast'!$C$6:$C$275,0),1),"")</f>
        <v>408.12</v>
      </c>
      <c r="P68" s="90">
        <f>IFERROR(INDEX('[2]Link Out Forecast'!$F$6:$F$275,MATCH($M68,'[2]Link Out Forecast'!$C$6:$C$275,0),1),"")</f>
        <v>-18944</v>
      </c>
      <c r="Q68" s="90"/>
      <c r="R68" s="90">
        <f>IFERROR(INDEX('[2]Link Out Forecast'!$G$6:$G$275,MATCH($M68,'[2]Link Out Forecast'!$C$6:$C$275,0),1),"")</f>
        <v>-18088</v>
      </c>
      <c r="S68" s="90"/>
      <c r="T68" s="90">
        <f>IFERROR(INDEX('[2]Link Out Forecast'!$H$6:$H$275,MATCH($M68,'[2]Link Out Forecast'!$C$6:$C$275,0),1),"")</f>
        <v>-17028</v>
      </c>
      <c r="U68" s="90"/>
      <c r="V68" s="90">
        <f>IFERROR(INDEX('[2]Link Out Forecast'!$I$6:$I$275,MATCH($M68,'[2]Link Out Forecast'!$C$6:$C$275,0),1),"")</f>
        <v>-18648</v>
      </c>
      <c r="W68" s="90"/>
      <c r="X68" s="90">
        <f>IFERROR(INDEX('[2]Link Out Forecast'!$J$6:$J$275,MATCH($M68,'[2]Link Out Forecast'!$C$6:$C$275,0),1),"")</f>
        <v>-17133</v>
      </c>
      <c r="Y68" s="90"/>
      <c r="Z68" s="90">
        <f>IFERROR(INDEX('[2]Link Out Forecast'!$K$6:$K$275,MATCH($M68,'[2]Link Out Forecast'!$C$6:$C$275,0),1),"")</f>
        <v>-17930</v>
      </c>
      <c r="AA68" s="90"/>
      <c r="AB68" s="90">
        <f>IFERROR(INDEX('[2]Link Out Forecast'!$L$6:$L$275,MATCH($M68,'[2]Link Out Forecast'!$C$6:$C$275,0),1),"")</f>
        <v>0</v>
      </c>
      <c r="AC68" s="90"/>
      <c r="AD68" s="90">
        <f>IFERROR(INDEX('[2]Link Out Forecast'!$M$6:$M$275,MATCH($M68,'[2]Link Out Forecast'!$C$6:$C$275,0),1),"")</f>
        <v>0</v>
      </c>
      <c r="AE68" s="90"/>
      <c r="AF68" s="90">
        <f>IFERROR(INDEX('[2]Link Out Forecast'!$N$6:$N$275,MATCH($M68,'[2]Link Out Forecast'!$C$6:$C$275,0),1),"")</f>
        <v>0</v>
      </c>
      <c r="AG68" s="90"/>
      <c r="AH68" s="90">
        <f>IFERROR(INDEX('[2]Link Out Forecast'!$O$6:$O$275,MATCH($M68,'[2]Link Out Forecast'!$C$6:$C$275,0),1),"")</f>
        <v>0</v>
      </c>
      <c r="AI68" s="90"/>
      <c r="AJ68" s="90">
        <f>IFERROR(INDEX('[2]Link Out Forecast'!$P$6:$P$275,MATCH($M68,'[2]Link Out Forecast'!$C$6:$C$275,0),1),"")</f>
        <v>0</v>
      </c>
      <c r="AK68" s="90"/>
      <c r="AL68" s="90">
        <f>IFERROR(INDEX('[2]Link Out Forecast'!$Q$6:$Q$275,MATCH($M68,'[2]Link Out Forecast'!$C$6:$C$275,0),1),"")</f>
        <v>0</v>
      </c>
      <c r="AM68" s="90"/>
      <c r="AN68" s="90">
        <f>IFERROR(INDEX('[2]Link Out Forecast'!$R$6:$R$275,MATCH($M68,'[2]Link Out Forecast'!$C$6:$C$275,0),1),"")</f>
        <v>-107771</v>
      </c>
    </row>
    <row r="69" spans="1:40">
      <c r="A69" s="104" t="str">
        <f>IFERROR(INDEX('[2]Link Out Monthly BY'!$A$6:$A$525,MATCH($C69,'[2]Link Out Monthly BY'!$C$6:$C$525,0),1),"")</f>
        <v>P17</v>
      </c>
      <c r="B69" s="104" t="str">
        <f>IFERROR(INDEX('[2]Link Out Monthly BY'!$B$6:$B$525,MATCH($C69,'[2]Link Out Monthly BY'!$C$6:$C$525,0),1),"")</f>
        <v>Salaries and wages</v>
      </c>
      <c r="C69" s="104">
        <v>50111520</v>
      </c>
      <c r="E69" s="104" t="str">
        <f>IFERROR(INDEX('[2]Link Out Monthly BY'!$D$6:$D$525,MATCH($C69,'[2]Link Out Monthly BY'!$C$6:$C$525,0),1),"")</f>
        <v>LaborOperNS OT CA CS</v>
      </c>
      <c r="G69" s="104" t="str">
        <f>IFERROR(INDEX('[2]Link Out Monthly BY'!$E$6:$E$525,MATCH($C69,'[2]Link Out Monthly BY'!$C$6:$C$505,0),1),"")</f>
        <v>601.7</v>
      </c>
      <c r="I69" s="90">
        <f>IFERROR(INDEX('[2]Link Out Monthly BY'!$R$6:$R$525,MATCH($C69,'[2]Link Out Monthly BY'!$C$6:$C$525,0),1),0)</f>
        <v>6274</v>
      </c>
      <c r="K69" s="104" t="str">
        <f>IFERROR(INDEX('[2]Link Out Forecast'!$A$6:$A$275,MATCH($M69,'[2]Link Out Forecast'!$C$6:$C$275,0),1),"")</f>
        <v>P48</v>
      </c>
      <c r="L69" s="104" t="str">
        <f>IFERROR(INDEX('[2]Link Out Forecast'!$B$6:$B$275,MATCH($M69,'[2]Link Out Forecast'!$C$6:$C$275,0),1),"")</f>
        <v>General taxes</v>
      </c>
      <c r="M69" s="104">
        <v>68535000</v>
      </c>
      <c r="N69" s="104" t="str">
        <f>IFERROR(INDEX('[2]Link Out Forecast'!$D$6:$D$275,MATCH($M69,'[2]Link Out Forecast'!$C$6:$C$275,0),1),"")</f>
        <v>SUTA</v>
      </c>
      <c r="O69" s="104" t="str">
        <f>IFERROR(INDEX('[2]Link Out Forecast'!$E$6:$E$275,MATCH($M69,'[2]Link Out Forecast'!$C$6:$C$275,0),1),"")</f>
        <v>408.12</v>
      </c>
      <c r="P69" s="90">
        <f>IFERROR(INDEX('[2]Link Out Forecast'!$F$6:$F$275,MATCH($M69,'[2]Link Out Forecast'!$C$6:$C$275,0),1),"")</f>
        <v>0</v>
      </c>
      <c r="Q69" s="90"/>
      <c r="R69" s="90">
        <f>IFERROR(INDEX('[2]Link Out Forecast'!$G$6:$G$275,MATCH($M69,'[2]Link Out Forecast'!$C$6:$C$275,0),1),"")</f>
        <v>0</v>
      </c>
      <c r="S69" s="90"/>
      <c r="T69" s="90">
        <f>IFERROR(INDEX('[2]Link Out Forecast'!$H$6:$H$275,MATCH($M69,'[2]Link Out Forecast'!$C$6:$C$275,0),1),"")</f>
        <v>0</v>
      </c>
      <c r="U69" s="90"/>
      <c r="V69" s="90">
        <f>IFERROR(INDEX('[2]Link Out Forecast'!$I$6:$I$275,MATCH($M69,'[2]Link Out Forecast'!$C$6:$C$275,0),1),"")</f>
        <v>0</v>
      </c>
      <c r="W69" s="90"/>
      <c r="X69" s="90">
        <f>IFERROR(INDEX('[2]Link Out Forecast'!$J$6:$J$275,MATCH($M69,'[2]Link Out Forecast'!$C$6:$C$275,0),1),"")</f>
        <v>0</v>
      </c>
      <c r="Y69" s="90"/>
      <c r="Z69" s="90">
        <f>IFERROR(INDEX('[2]Link Out Forecast'!$K$6:$K$275,MATCH($M69,'[2]Link Out Forecast'!$C$6:$C$275,0),1),"")</f>
        <v>0</v>
      </c>
      <c r="AA69" s="90"/>
      <c r="AB69" s="90">
        <f>IFERROR(INDEX('[2]Link Out Forecast'!$L$6:$L$275,MATCH($M69,'[2]Link Out Forecast'!$C$6:$C$275,0),1),"")</f>
        <v>0</v>
      </c>
      <c r="AC69" s="90"/>
      <c r="AD69" s="90">
        <f>IFERROR(INDEX('[2]Link Out Forecast'!$M$6:$M$275,MATCH($M69,'[2]Link Out Forecast'!$C$6:$C$275,0),1),"")</f>
        <v>0</v>
      </c>
      <c r="AE69" s="90"/>
      <c r="AF69" s="90">
        <f>IFERROR(INDEX('[2]Link Out Forecast'!$N$6:$N$275,MATCH($M69,'[2]Link Out Forecast'!$C$6:$C$275,0),1),"")</f>
        <v>0</v>
      </c>
      <c r="AG69" s="90"/>
      <c r="AH69" s="90">
        <f>IFERROR(INDEX('[2]Link Out Forecast'!$O$6:$O$275,MATCH($M69,'[2]Link Out Forecast'!$C$6:$C$275,0),1),"")</f>
        <v>0</v>
      </c>
      <c r="AI69" s="90"/>
      <c r="AJ69" s="90">
        <f>IFERROR(INDEX('[2]Link Out Forecast'!$P$6:$P$275,MATCH($M69,'[2]Link Out Forecast'!$C$6:$C$275,0),1),"")</f>
        <v>0</v>
      </c>
      <c r="AK69" s="90"/>
      <c r="AL69" s="90">
        <f>IFERROR(INDEX('[2]Link Out Forecast'!$Q$6:$Q$275,MATCH($M69,'[2]Link Out Forecast'!$C$6:$C$275,0),1),"")</f>
        <v>0</v>
      </c>
      <c r="AM69" s="90"/>
      <c r="AN69" s="90">
        <f>IFERROR(INDEX('[2]Link Out Forecast'!$R$6:$R$275,MATCH($M69,'[2]Link Out Forecast'!$C$6:$C$275,0),1),"")</f>
        <v>0</v>
      </c>
    </row>
    <row r="70" spans="1:40">
      <c r="A70" s="104" t="str">
        <f>IFERROR(INDEX('[2]Link Out Monthly BY'!$A$6:$A$525,MATCH($C70,'[2]Link Out Monthly BY'!$C$6:$C$525,0),1),"")</f>
        <v>P17</v>
      </c>
      <c r="B70" s="104" t="str">
        <f>IFERROR(INDEX('[2]Link Out Monthly BY'!$B$6:$B$525,MATCH($C70,'[2]Link Out Monthly BY'!$C$6:$C$525,0),1),"")</f>
        <v>Salaries and wages</v>
      </c>
      <c r="C70" s="104">
        <v>50111600</v>
      </c>
      <c r="E70" s="104" t="str">
        <f>IFERROR(INDEX('[2]Link Out Monthly BY'!$D$6:$D$525,MATCH($C70,'[2]Link Out Monthly BY'!$C$6:$C$525,0),1),"")</f>
        <v>LaborOper NS OT AG</v>
      </c>
      <c r="G70" s="104" t="str">
        <f>IFERROR(INDEX('[2]Link Out Monthly BY'!$E$6:$E$525,MATCH($C70,'[2]Link Out Monthly BY'!$C$6:$C$505,0),1),"")</f>
        <v>601.8</v>
      </c>
      <c r="I70" s="90">
        <f>IFERROR(INDEX('[2]Link Out Monthly BY'!$R$6:$R$525,MATCH($C70,'[2]Link Out Monthly BY'!$C$6:$C$525,0),1),0)</f>
        <v>122</v>
      </c>
      <c r="K70" s="104" t="str">
        <f>IFERROR(INDEX('[2]Link Out Forecast'!$A$6:$A$275,MATCH($M70,'[2]Link Out Forecast'!$C$6:$C$275,0),1),"")</f>
        <v>P48</v>
      </c>
      <c r="L70" s="104" t="str">
        <f>IFERROR(INDEX('[2]Link Out Forecast'!$B$6:$B$275,MATCH($M70,'[2]Link Out Forecast'!$C$6:$C$275,0),1),"")</f>
        <v>General taxes</v>
      </c>
      <c r="M70" s="104">
        <v>68535100</v>
      </c>
      <c r="N70" s="104" t="str">
        <f>IFERROR(INDEX('[2]Link Out Forecast'!$D$6:$D$275,MATCH($M70,'[2]Link Out Forecast'!$C$6:$C$275,0),1),"")</f>
        <v>SUTA Cap Credits</v>
      </c>
      <c r="O70" s="104" t="str">
        <f>IFERROR(INDEX('[2]Link Out Forecast'!$E$6:$E$275,MATCH($M70,'[2]Link Out Forecast'!$C$6:$C$275,0),1),"")</f>
        <v>408.12</v>
      </c>
      <c r="P70" s="90">
        <f>IFERROR(INDEX('[2]Link Out Forecast'!$F$6:$F$275,MATCH($M70,'[2]Link Out Forecast'!$C$6:$C$275,0),1),"")</f>
        <v>0</v>
      </c>
      <c r="Q70" s="90"/>
      <c r="R70" s="90">
        <f>IFERROR(INDEX('[2]Link Out Forecast'!$G$6:$G$275,MATCH($M70,'[2]Link Out Forecast'!$C$6:$C$275,0),1),"")</f>
        <v>0</v>
      </c>
      <c r="S70" s="90"/>
      <c r="T70" s="90">
        <f>IFERROR(INDEX('[2]Link Out Forecast'!$H$6:$H$275,MATCH($M70,'[2]Link Out Forecast'!$C$6:$C$275,0),1),"")</f>
        <v>0</v>
      </c>
      <c r="U70" s="90"/>
      <c r="V70" s="90">
        <f>IFERROR(INDEX('[2]Link Out Forecast'!$I$6:$I$275,MATCH($M70,'[2]Link Out Forecast'!$C$6:$C$275,0),1),"")</f>
        <v>0</v>
      </c>
      <c r="W70" s="90"/>
      <c r="X70" s="90">
        <f>IFERROR(INDEX('[2]Link Out Forecast'!$J$6:$J$275,MATCH($M70,'[2]Link Out Forecast'!$C$6:$C$275,0),1),"")</f>
        <v>0</v>
      </c>
      <c r="Y70" s="90"/>
      <c r="Z70" s="90">
        <f>IFERROR(INDEX('[2]Link Out Forecast'!$K$6:$K$275,MATCH($M70,'[2]Link Out Forecast'!$C$6:$C$275,0),1),"")</f>
        <v>0</v>
      </c>
      <c r="AA70" s="90"/>
      <c r="AB70" s="90">
        <f>IFERROR(INDEX('[2]Link Out Forecast'!$L$6:$L$275,MATCH($M70,'[2]Link Out Forecast'!$C$6:$C$275,0),1),"")</f>
        <v>0</v>
      </c>
      <c r="AC70" s="90"/>
      <c r="AD70" s="90">
        <f>IFERROR(INDEX('[2]Link Out Forecast'!$M$6:$M$275,MATCH($M70,'[2]Link Out Forecast'!$C$6:$C$275,0),1),"")</f>
        <v>0</v>
      </c>
      <c r="AE70" s="90"/>
      <c r="AF70" s="90">
        <f>IFERROR(INDEX('[2]Link Out Forecast'!$N$6:$N$275,MATCH($M70,'[2]Link Out Forecast'!$C$6:$C$275,0),1),"")</f>
        <v>0</v>
      </c>
      <c r="AG70" s="90"/>
      <c r="AH70" s="90">
        <f>IFERROR(INDEX('[2]Link Out Forecast'!$O$6:$O$275,MATCH($M70,'[2]Link Out Forecast'!$C$6:$C$275,0),1),"")</f>
        <v>0</v>
      </c>
      <c r="AI70" s="90"/>
      <c r="AJ70" s="90">
        <f>IFERROR(INDEX('[2]Link Out Forecast'!$P$6:$P$275,MATCH($M70,'[2]Link Out Forecast'!$C$6:$C$275,0),1),"")</f>
        <v>0</v>
      </c>
      <c r="AK70" s="90"/>
      <c r="AL70" s="90">
        <f>IFERROR(INDEX('[2]Link Out Forecast'!$Q$6:$Q$275,MATCH($M70,'[2]Link Out Forecast'!$C$6:$C$275,0),1),"")</f>
        <v>0</v>
      </c>
      <c r="AM70" s="90"/>
      <c r="AN70" s="90">
        <f>IFERROR(INDEX('[2]Link Out Forecast'!$R$6:$R$275,MATCH($M70,'[2]Link Out Forecast'!$C$6:$C$275,0),1),"")</f>
        <v>0</v>
      </c>
    </row>
    <row r="71" spans="1:40">
      <c r="A71" s="104" t="str">
        <f>IFERROR(INDEX('[2]Link Out Monthly BY'!$A$6:$A$525,MATCH($C71,'[2]Link Out Monthly BY'!$C$6:$C$525,0),1),"")</f>
        <v>P17</v>
      </c>
      <c r="B71" s="104" t="str">
        <f>IFERROR(INDEX('[2]Link Out Monthly BY'!$B$6:$B$525,MATCH($C71,'[2]Link Out Monthly BY'!$C$6:$C$525,0),1),"")</f>
        <v>Salaries and wages</v>
      </c>
      <c r="C71" s="104">
        <v>50112215</v>
      </c>
      <c r="E71" s="104" t="str">
        <f>IFERROR(INDEX('[2]Link Out Monthly BY'!$D$6:$D$525,MATCH($C71,'[2]Link Out Monthly BY'!$C$6:$C$525,0),1),"")</f>
        <v>LaborMaintNSOT P PP</v>
      </c>
      <c r="G71" s="104" t="str">
        <f>IFERROR(INDEX('[2]Link Out Monthly BY'!$E$6:$E$525,MATCH($C71,'[2]Link Out Monthly BY'!$C$6:$C$505,0),1),"")</f>
        <v>601.2</v>
      </c>
      <c r="I71" s="90">
        <f>IFERROR(INDEX('[2]Link Out Monthly BY'!$R$6:$R$525,MATCH($C71,'[2]Link Out Monthly BY'!$C$6:$C$525,0),1),0)</f>
        <v>0</v>
      </c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</row>
    <row r="72" spans="1:40" ht="14.4" thickBot="1">
      <c r="A72" s="104" t="str">
        <f>IFERROR(INDEX('[2]Link Out Monthly BY'!$A$6:$A$525,MATCH($C72,'[2]Link Out Monthly BY'!$C$6:$C$525,0),1),"")</f>
        <v>P17</v>
      </c>
      <c r="B72" s="104" t="str">
        <f>IFERROR(INDEX('[2]Link Out Monthly BY'!$B$6:$B$525,MATCH($C72,'[2]Link Out Monthly BY'!$C$6:$C$525,0),1),"")</f>
        <v>Salaries and wages</v>
      </c>
      <c r="C72" s="104">
        <v>50112300</v>
      </c>
      <c r="E72" s="104" t="str">
        <f>IFERROR(INDEX('[2]Link Out Monthly BY'!$D$6:$D$525,MATCH($C72,'[2]Link Out Monthly BY'!$C$6:$C$525,0),1),"")</f>
        <v>LaborMaint NS OT WT</v>
      </c>
      <c r="G72" s="104" t="str">
        <f>IFERROR(INDEX('[2]Link Out Monthly BY'!$E$6:$E$525,MATCH($C72,'[2]Link Out Monthly BY'!$C$6:$C$505,0),1),"")</f>
        <v>601.4</v>
      </c>
      <c r="I72" s="90">
        <f>IFERROR(INDEX('[2]Link Out Monthly BY'!$R$6:$R$525,MATCH($C72,'[2]Link Out Monthly BY'!$C$6:$C$525,0),1),0)</f>
        <v>24399</v>
      </c>
      <c r="N72" s="104" t="s">
        <v>476</v>
      </c>
      <c r="P72" s="216">
        <f>SUM(P35:P71)</f>
        <v>932475</v>
      </c>
      <c r="Q72" s="216"/>
      <c r="R72" s="216">
        <f>SUM(R35:R71)</f>
        <v>911708</v>
      </c>
      <c r="S72" s="216"/>
      <c r="T72" s="216">
        <f>SUM(T35:T71)</f>
        <v>877278</v>
      </c>
      <c r="U72" s="216"/>
      <c r="V72" s="216">
        <f>SUM(V35:V71)</f>
        <v>944463</v>
      </c>
      <c r="W72" s="216"/>
      <c r="X72" s="216">
        <f>SUM(X35:X71)</f>
        <v>884609</v>
      </c>
      <c r="Y72" s="216"/>
      <c r="Z72" s="216">
        <f>SUM(Z35:Z71)</f>
        <v>919993</v>
      </c>
      <c r="AA72" s="216"/>
      <c r="AB72" s="216">
        <f>SUM(AB35:AB71)</f>
        <v>903427</v>
      </c>
      <c r="AC72" s="216"/>
      <c r="AD72" s="216">
        <f>SUM(AD35:AD71)</f>
        <v>820835</v>
      </c>
      <c r="AE72" s="216"/>
      <c r="AF72" s="216">
        <f>SUM(AF35:AF71)</f>
        <v>864053</v>
      </c>
      <c r="AG72" s="216"/>
      <c r="AH72" s="216">
        <f>SUM(AH35:AH71)</f>
        <v>891887</v>
      </c>
      <c r="AI72" s="216"/>
      <c r="AJ72" s="216">
        <f>SUM(AJ35:AJ71)</f>
        <v>914869</v>
      </c>
      <c r="AK72" s="216"/>
      <c r="AL72" s="216">
        <f>SUM(AL35:AL71)</f>
        <v>827831</v>
      </c>
      <c r="AM72" s="216"/>
      <c r="AN72" s="216">
        <f>SUM(AN35:AN71)</f>
        <v>10693428</v>
      </c>
    </row>
    <row r="73" spans="1:40" ht="14.4" thickTop="1">
      <c r="A73" s="104" t="str">
        <f>IFERROR(INDEX('[2]Link Out Monthly BY'!$A$6:$A$525,MATCH($C73,'[2]Link Out Monthly BY'!$C$6:$C$525,0),1),"")</f>
        <v>P17</v>
      </c>
      <c r="B73" s="104" t="str">
        <f>IFERROR(INDEX('[2]Link Out Monthly BY'!$B$6:$B$525,MATCH($C73,'[2]Link Out Monthly BY'!$C$6:$C$525,0),1),"")</f>
        <v>Salaries and wages</v>
      </c>
      <c r="C73" s="104">
        <v>50112400</v>
      </c>
      <c r="E73" s="104" t="str">
        <f>IFERROR(INDEX('[2]Link Out Monthly BY'!$D$6:$D$525,MATCH($C73,'[2]Link Out Monthly BY'!$C$6:$C$525,0),1),"")</f>
        <v>LaborMaint NS OT TD</v>
      </c>
      <c r="G73" s="104" t="str">
        <f>IFERROR(INDEX('[2]Link Out Monthly BY'!$E$6:$E$525,MATCH($C73,'[2]Link Out Monthly BY'!$C$6:$C$505,0),1),"")</f>
        <v>601.6</v>
      </c>
      <c r="I73" s="90">
        <f>IFERROR(INDEX('[2]Link Out Monthly BY'!$R$6:$R$525,MATCH($C73,'[2]Link Out Monthly BY'!$C$6:$C$525,0),1),0)</f>
        <v>93016</v>
      </c>
    </row>
    <row r="74" spans="1:40">
      <c r="A74" s="104" t="str">
        <f>IFERROR(INDEX('[2]Link Out Monthly BY'!$A$6:$A$525,MATCH($C74,'[2]Link Out Monthly BY'!$C$6:$C$525,0),1),"")</f>
        <v>P17</v>
      </c>
      <c r="B74" s="104" t="str">
        <f>IFERROR(INDEX('[2]Link Out Monthly BY'!$B$6:$B$525,MATCH($C74,'[2]Link Out Monthly BY'!$C$6:$C$525,0),1),"")</f>
        <v>Salaries and wages</v>
      </c>
      <c r="C74" s="104">
        <v>50112415</v>
      </c>
      <c r="E74" s="104" t="str">
        <f>IFERROR(INDEX('[2]Link Out Monthly BY'!$D$6:$D$525,MATCH($C74,'[2]Link Out Monthly BY'!$C$6:$C$525,0),1),"")</f>
        <v>LaborMaintNSOT TD DR</v>
      </c>
      <c r="G74" s="104" t="str">
        <f>IFERROR(INDEX('[2]Link Out Monthly BY'!$E$6:$E$525,MATCH($C74,'[2]Link Out Monthly BY'!$C$6:$C$505,0),1),"")</f>
        <v>601.6</v>
      </c>
      <c r="I74" s="90">
        <f>IFERROR(INDEX('[2]Link Out Monthly BY'!$R$6:$R$525,MATCH($C74,'[2]Link Out Monthly BY'!$C$6:$C$525,0),1),0)</f>
        <v>0</v>
      </c>
      <c r="L74" s="239">
        <f>I78+I79</f>
        <v>5173</v>
      </c>
    </row>
    <row r="75" spans="1:40">
      <c r="A75" s="104" t="str">
        <f>IFERROR(INDEX('[2]Link Out Monthly BY'!$A$6:$A$525,MATCH($C75,'[2]Link Out Monthly BY'!$C$6:$C$525,0),1),"")</f>
        <v>P17</v>
      </c>
      <c r="B75" s="104" t="str">
        <f>IFERROR(INDEX('[2]Link Out Monthly BY'!$B$6:$B$525,MATCH($C75,'[2]Link Out Monthly BY'!$C$6:$C$525,0),1),"")</f>
        <v>Salaries and wages</v>
      </c>
      <c r="C75" s="104">
        <v>50112420</v>
      </c>
      <c r="E75" s="104" t="str">
        <f>IFERROR(INDEX('[2]Link Out Monthly BY'!$D$6:$D$525,MATCH($C75,'[2]Link Out Monthly BY'!$C$6:$C$525,0),1),"")</f>
        <v>LaborMaintNSOT TD Mn</v>
      </c>
      <c r="G75" s="104" t="str">
        <f>IFERROR(INDEX('[2]Link Out Monthly BY'!$E$6:$E$525,MATCH($C75,'[2]Link Out Monthly BY'!$C$6:$C$505,0),1),"")</f>
        <v>601.6</v>
      </c>
      <c r="I75" s="90">
        <f>IFERROR(INDEX('[2]Link Out Monthly BY'!$R$6:$R$525,MATCH($C75,'[2]Link Out Monthly BY'!$C$6:$C$525,0),1),0)</f>
        <v>8862</v>
      </c>
      <c r="L75" s="239">
        <f>I59:I76</f>
        <v>8862</v>
      </c>
    </row>
    <row r="76" spans="1:40">
      <c r="A76" s="104" t="str">
        <f>IFERROR(INDEX('[2]Link Out Monthly BY'!$A$6:$A$525,MATCH($C76,'[2]Link Out Monthly BY'!$C$6:$C$525,0),1),"")</f>
        <v>P17</v>
      </c>
      <c r="B76" s="104" t="str">
        <f>IFERROR(INDEX('[2]Link Out Monthly BY'!$B$6:$B$525,MATCH($C76,'[2]Link Out Monthly BY'!$C$6:$C$525,0),1),"")</f>
        <v>Salaries and wages</v>
      </c>
      <c r="C76" s="104">
        <v>50112425</v>
      </c>
      <c r="E76" s="104" t="str">
        <f>IFERROR(INDEX('[2]Link Out Monthly BY'!$D$6:$D$525,MATCH($C76,'[2]Link Out Monthly BY'!$C$6:$C$525,0),1),"")</f>
        <v>LaborMaintNSOT TD FM</v>
      </c>
      <c r="G76" s="104" t="str">
        <f>IFERROR(INDEX('[2]Link Out Monthly BY'!$E$6:$E$525,MATCH($C76,'[2]Link Out Monthly BY'!$C$6:$C$505,0),1),"")</f>
        <v>601.6</v>
      </c>
      <c r="I76" s="90">
        <f>IFERROR(INDEX('[2]Link Out Monthly BY'!$R$6:$R$525,MATCH($C76,'[2]Link Out Monthly BY'!$C$6:$C$525,0),1),0)</f>
        <v>0</v>
      </c>
    </row>
    <row r="77" spans="1:40">
      <c r="A77" s="104" t="str">
        <f>IFERROR(INDEX('[2]Link Out Monthly BY'!$A$6:$A$525,MATCH($C77,'[2]Link Out Monthly BY'!$C$6:$C$525,0),1),"")</f>
        <v>P17</v>
      </c>
      <c r="B77" s="104" t="str">
        <f>IFERROR(INDEX('[2]Link Out Monthly BY'!$B$6:$B$525,MATCH($C77,'[2]Link Out Monthly BY'!$C$6:$C$525,0),1),"")</f>
        <v>Salaries and wages</v>
      </c>
      <c r="C77" s="104">
        <v>50112430</v>
      </c>
      <c r="E77" s="104" t="str">
        <f>IFERROR(INDEX('[2]Link Out Monthly BY'!$D$6:$D$525,MATCH($C77,'[2]Link Out Monthly BY'!$C$6:$C$525,0),1),"")</f>
        <v>LaborMaintNSOT TD Sv</v>
      </c>
      <c r="G77" s="104" t="str">
        <f>IFERROR(INDEX('[2]Link Out Monthly BY'!$E$6:$E$525,MATCH($C77,'[2]Link Out Monthly BY'!$C$6:$C$505,0),1),"")</f>
        <v>601.6</v>
      </c>
      <c r="I77" s="90">
        <f>IFERROR(INDEX('[2]Link Out Monthly BY'!$R$6:$R$525,MATCH($C77,'[2]Link Out Monthly BY'!$C$6:$C$525,0),1),0)</f>
        <v>16804</v>
      </c>
      <c r="L77" s="239">
        <f>SUM(I35:I36)+I48+I70+I85+I86+I87+I88</f>
        <v>6682791</v>
      </c>
      <c r="M77" s="104" t="s">
        <v>750</v>
      </c>
    </row>
    <row r="78" spans="1:40">
      <c r="A78" s="104" t="str">
        <f>IFERROR(INDEX('[2]Link Out Monthly BY'!$A$6:$A$525,MATCH($C78,'[2]Link Out Monthly BY'!$C$6:$C$525,0),1),"")</f>
        <v>P17</v>
      </c>
      <c r="B78" s="104" t="str">
        <f>IFERROR(INDEX('[2]Link Out Monthly BY'!$B$6:$B$525,MATCH($C78,'[2]Link Out Monthly BY'!$C$6:$C$525,0),1),"")</f>
        <v>Salaries and wages</v>
      </c>
      <c r="C78" s="104">
        <v>50112435</v>
      </c>
      <c r="E78" s="104" t="str">
        <f>IFERROR(INDEX('[2]Link Out Monthly BY'!$D$6:$D$525,MATCH($C78,'[2]Link Out Monthly BY'!$C$6:$C$525,0),1),"")</f>
        <v>LaborMaintNSOT TD Mt</v>
      </c>
      <c r="G78" s="104" t="str">
        <f>IFERROR(INDEX('[2]Link Out Monthly BY'!$E$6:$E$525,MATCH($C78,'[2]Link Out Monthly BY'!$C$6:$C$505,0),1),"")</f>
        <v>601.6</v>
      </c>
      <c r="I78" s="90">
        <f>IFERROR(INDEX('[2]Link Out Monthly BY'!$R$6:$R$525,MATCH($C78,'[2]Link Out Monthly BY'!$C$6:$C$525,0),1),0)</f>
        <v>3539</v>
      </c>
      <c r="L78" s="239">
        <f>SUM(I38:I39)+I50+I62+I72+I82</f>
        <v>1286376</v>
      </c>
      <c r="M78" s="104" t="s">
        <v>751</v>
      </c>
    </row>
    <row r="79" spans="1:40">
      <c r="A79" s="104" t="str">
        <f>IFERROR(INDEX('[2]Link Out Monthly BY'!$A$6:$A$525,MATCH($C79,'[2]Link Out Monthly BY'!$C$6:$C$525,0),1),"")</f>
        <v>P17</v>
      </c>
      <c r="B79" s="104" t="str">
        <f>IFERROR(INDEX('[2]Link Out Monthly BY'!$B$6:$B$525,MATCH($C79,'[2]Link Out Monthly BY'!$C$6:$C$525,0),1),"")</f>
        <v>Salaries and wages</v>
      </c>
      <c r="C79" s="104">
        <v>50112440</v>
      </c>
      <c r="E79" s="104" t="str">
        <f>IFERROR(INDEX('[2]Link Out Monthly BY'!$D$6:$D$525,MATCH($C79,'[2]Link Out Monthly BY'!$C$6:$C$525,0),1),"")</f>
        <v>LaborMaintNSOT TD Hy</v>
      </c>
      <c r="G79" s="104" t="str">
        <f>IFERROR(INDEX('[2]Link Out Monthly BY'!$E$6:$E$525,MATCH($C79,'[2]Link Out Monthly BY'!$C$6:$C$505,0),1),"")</f>
        <v>601.6</v>
      </c>
      <c r="I79" s="90">
        <f>IFERROR(INDEX('[2]Link Out Monthly BY'!$R$6:$R$525,MATCH($C79,'[2]Link Out Monthly BY'!$C$6:$C$525,0),1),0)</f>
        <v>1634</v>
      </c>
      <c r="L79" s="239">
        <f>SUM(I40:I43)+SUM(I51:I58)+SUM(I63:I66)+SUM(I73:I79)</f>
        <v>1108045</v>
      </c>
      <c r="M79" s="104" t="s">
        <v>752</v>
      </c>
    </row>
    <row r="80" spans="1:40">
      <c r="A80" s="104" t="str">
        <f>IFERROR(INDEX('[2]Link Out Monthly BY'!$A$6:$A$525,MATCH($C80,'[2]Link Out Monthly BY'!$C$6:$C$525,0),1),"")</f>
        <v>P17</v>
      </c>
      <c r="B80" s="104" t="str">
        <f>IFERROR(INDEX('[2]Link Out Monthly BY'!$B$6:$B$525,MATCH($C80,'[2]Link Out Monthly BY'!$C$6:$C$525,0),1),"")</f>
        <v>Salaries and wages</v>
      </c>
      <c r="C80" s="104">
        <v>50119900</v>
      </c>
      <c r="E80" s="104" t="str">
        <f>IFERROR(INDEX('[2]Link Out Monthly BY'!$D$6:$D$525,MATCH($C80,'[2]Link Out Monthly BY'!$C$6:$C$525,0),1),"")</f>
        <v>LaborNSOT CapCredits</v>
      </c>
      <c r="G80" s="104" t="str">
        <f>IFERROR(INDEX('[2]Link Out Monthly BY'!$E$6:$E$525,MATCH($C80,'[2]Link Out Monthly BY'!$C$6:$C$505,0),1),"")</f>
        <v>601.8</v>
      </c>
      <c r="I80" s="90">
        <f>IFERROR(INDEX('[2]Link Out Monthly BY'!$R$6:$R$525,MATCH($C80,'[2]Link Out Monthly BY'!$C$6:$C$525,0),1),0)</f>
        <v>-359649</v>
      </c>
      <c r="L80" s="239">
        <f>SUM(I44:I47)+SUM(I67:I69)</f>
        <v>274928</v>
      </c>
      <c r="M80" s="104" t="s">
        <v>753</v>
      </c>
    </row>
    <row r="81" spans="1:13">
      <c r="A81" s="104" t="str">
        <f>IFERROR(INDEX('[2]Link Out Monthly BY'!$A$6:$A$525,MATCH($C81,'[2]Link Out Monthly BY'!$C$6:$C$525,0),1),"")</f>
        <v>P17</v>
      </c>
      <c r="B81" s="104" t="str">
        <f>IFERROR(INDEX('[2]Link Out Monthly BY'!$B$6:$B$525,MATCH($C81,'[2]Link Out Monthly BY'!$C$6:$C$525,0),1),"")</f>
        <v>Salaries and wages</v>
      </c>
      <c r="C81" s="104">
        <v>50120000</v>
      </c>
      <c r="E81" s="104" t="str">
        <f>IFERROR(INDEX('[2]Link Out Monthly BY'!$D$6:$D$525,MATCH($C81,'[2]Link Out Monthly BY'!$C$6:$C$525,0),1),"")</f>
        <v>Labor OT - Natural</v>
      </c>
      <c r="G81" s="104" t="str">
        <f>IFERROR(INDEX('[2]Link Out Monthly BY'!$E$6:$E$525,MATCH($C81,'[2]Link Out Monthly BY'!$C$6:$C$505,0),1),"")</f>
        <v>601.8</v>
      </c>
      <c r="I81" s="90">
        <f>IFERROR(INDEX('[2]Link Out Monthly BY'!$R$6:$R$525,MATCH($C81,'[2]Link Out Monthly BY'!$C$6:$C$525,0),1),0)</f>
        <v>0</v>
      </c>
      <c r="L81" s="239">
        <f>+I59+I80</f>
        <v>-2807288</v>
      </c>
      <c r="M81" s="104" t="s">
        <v>754</v>
      </c>
    </row>
    <row r="82" spans="1:13">
      <c r="A82" s="104" t="str">
        <f>IFERROR(INDEX('[2]Link Out Monthly BY'!$A$6:$A$525,MATCH($C82,'[2]Link Out Monthly BY'!$C$6:$C$525,0),1),"")</f>
        <v>P17</v>
      </c>
      <c r="B82" s="104" t="str">
        <f>IFERROR(INDEX('[2]Link Out Monthly BY'!$B$6:$B$525,MATCH($C82,'[2]Link Out Monthly BY'!$C$6:$C$525,0),1),"")</f>
        <v>Salaries and wages</v>
      </c>
      <c r="C82" s="104">
        <v>50121300</v>
      </c>
      <c r="E82" s="104" t="str">
        <f>IFERROR(INDEX('[2]Link Out Monthly BY'!$D$6:$D$525,MATCH($C82,'[2]Link Out Monthly BY'!$C$6:$C$525,0),1),"")</f>
        <v>LaborOper OT WT</v>
      </c>
      <c r="G82" s="104" t="str">
        <f>IFERROR(INDEX('[2]Link Out Monthly BY'!$E$6:$E$525,MATCH($C82,'[2]Link Out Monthly BY'!$C$6:$C$505,0),1),"")</f>
        <v>601.3</v>
      </c>
      <c r="I82" s="90">
        <f>IFERROR(INDEX('[2]Link Out Monthly BY'!$R$6:$R$525,MATCH($C82,'[2]Link Out Monthly BY'!$C$6:$C$525,0),1),0)</f>
        <v>0</v>
      </c>
      <c r="L82" s="239">
        <f>SUM(L77:L81)</f>
        <v>6544852</v>
      </c>
    </row>
    <row r="83" spans="1:13">
      <c r="A83" s="104" t="str">
        <f>IFERROR(INDEX('[2]Link Out Monthly BY'!$A$6:$A$525,MATCH($C83,'[2]Link Out Monthly BY'!$C$6:$C$525,0),1),"")</f>
        <v>P17</v>
      </c>
      <c r="B83" s="104" t="str">
        <f>IFERROR(INDEX('[2]Link Out Monthly BY'!$B$6:$B$525,MATCH($C83,'[2]Link Out Monthly BY'!$C$6:$C$525,0),1),"")</f>
        <v>Salaries and wages</v>
      </c>
      <c r="C83" s="104">
        <v>50122400</v>
      </c>
      <c r="E83" s="104" t="str">
        <f>IFERROR(INDEX('[2]Link Out Monthly BY'!$D$6:$D$525,MATCH($C83,'[2]Link Out Monthly BY'!$C$6:$C$525,0),1),"")</f>
        <v>LaborMaint OT TD</v>
      </c>
      <c r="G83" s="104" t="str">
        <f>IFERROR(INDEX('[2]Link Out Monthly BY'!$E$6:$E$525,MATCH($C83,'[2]Link Out Monthly BY'!$C$6:$C$505,0),1),"")</f>
        <v>601.6</v>
      </c>
      <c r="I83" s="90">
        <f>IFERROR(INDEX('[2]Link Out Monthly BY'!$R$6:$R$525,MATCH($C83,'[2]Link Out Monthly BY'!$C$6:$C$525,0),1),0)</f>
        <v>0</v>
      </c>
    </row>
    <row r="84" spans="1:13">
      <c r="A84" s="104" t="str">
        <f>IFERROR(INDEX('[2]Link Out Monthly BY'!$A$6:$A$525,MATCH($C84,'[2]Link Out Monthly BY'!$C$6:$C$525,0),1),"")</f>
        <v>P17</v>
      </c>
      <c r="B84" s="104" t="str">
        <f>IFERROR(INDEX('[2]Link Out Monthly BY'!$B$6:$B$525,MATCH($C84,'[2]Link Out Monthly BY'!$C$6:$C$525,0),1),"")</f>
        <v>Salaries and wages</v>
      </c>
      <c r="C84" s="104">
        <v>50129900</v>
      </c>
      <c r="E84" s="104" t="str">
        <f>IFERROR(INDEX('[2]Link Out Monthly BY'!$D$6:$D$525,MATCH($C84,'[2]Link Out Monthly BY'!$C$6:$C$525,0),1),"")</f>
        <v>Labor OT Cap Credits</v>
      </c>
      <c r="G84" s="104" t="str">
        <f>IFERROR(INDEX('[2]Link Out Monthly BY'!$E$6:$E$525,MATCH($C84,'[2]Link Out Monthly BY'!$C$6:$C$505,0),1),"")</f>
        <v>601.8</v>
      </c>
      <c r="I84" s="90">
        <f>IFERROR(INDEX('[2]Link Out Monthly BY'!$R$6:$R$525,MATCH($C84,'[2]Link Out Monthly BY'!$C$6:$C$525,0),1),0)</f>
        <v>0</v>
      </c>
    </row>
    <row r="85" spans="1:13">
      <c r="A85" s="104" t="str">
        <f>IFERROR(INDEX('[2]Link Out Monthly BY'!$A$6:$A$525,MATCH($C85,'[2]Link Out Monthly BY'!$C$6:$C$525,0),1),"")</f>
        <v>P17</v>
      </c>
      <c r="B85" s="104" t="str">
        <f>IFERROR(INDEX('[2]Link Out Monthly BY'!$B$6:$B$525,MATCH($C85,'[2]Link Out Monthly BY'!$C$6:$C$525,0),1),"")</f>
        <v>Salaries and wages</v>
      </c>
      <c r="C85" s="104">
        <v>50171000</v>
      </c>
      <c r="E85" s="104" t="str">
        <f>IFERROR(INDEX('[2]Link Out Monthly BY'!$D$6:$D$525,MATCH($C85,'[2]Link Out Monthly BY'!$C$6:$C$525,0),1),"")</f>
        <v>Annual Incent Plan</v>
      </c>
      <c r="G85" s="104" t="str">
        <f>IFERROR(INDEX('[2]Link Out Monthly BY'!$E$6:$E$525,MATCH($C85,'[2]Link Out Monthly BY'!$C$6:$C$505,0),1),"")</f>
        <v>601.8</v>
      </c>
      <c r="I85" s="90">
        <f>IFERROR(INDEX('[2]Link Out Monthly BY'!$R$6:$R$525,MATCH($C85,'[2]Link Out Monthly BY'!$C$6:$C$525,0),1),0)</f>
        <v>393701</v>
      </c>
    </row>
    <row r="86" spans="1:13">
      <c r="A86" s="104" t="str">
        <f>IFERROR(INDEX('[2]Link Out Monthly BY'!$A$6:$A$525,MATCH($C86,'[2]Link Out Monthly BY'!$C$6:$C$525,0),1),"")</f>
        <v>P17</v>
      </c>
      <c r="B86" s="104" t="str">
        <f>IFERROR(INDEX('[2]Link Out Monthly BY'!$B$6:$B$525,MATCH($C86,'[2]Link Out Monthly BY'!$C$6:$C$525,0),1),"")</f>
        <v>Salaries and wages</v>
      </c>
      <c r="C86" s="104">
        <v>50171600</v>
      </c>
      <c r="E86" s="104" t="str">
        <f>IFERROR(INDEX('[2]Link Out Monthly BY'!$D$6:$D$525,MATCH($C86,'[2]Link Out Monthly BY'!$C$6:$C$525,0),1),"")</f>
        <v>Comp Exp-Options</v>
      </c>
      <c r="G86" s="104" t="str">
        <f>IFERROR(INDEX('[2]Link Out Monthly BY'!$E$6:$E$525,MATCH($C86,'[2]Link Out Monthly BY'!$C$6:$C$505,0),1),"")</f>
        <v>601.8</v>
      </c>
      <c r="I86" s="90">
        <f>IFERROR(INDEX('[2]Link Out Monthly BY'!$R$6:$R$525,MATCH($C86,'[2]Link Out Monthly BY'!$C$6:$C$525,0),1),0)</f>
        <v>453</v>
      </c>
    </row>
    <row r="87" spans="1:13">
      <c r="A87" s="104" t="str">
        <f>IFERROR(INDEX('[2]Link Out Monthly BY'!$A$6:$A$525,MATCH($C87,'[2]Link Out Monthly BY'!$C$6:$C$525,0),1),"")</f>
        <v>P17</v>
      </c>
      <c r="B87" s="104" t="str">
        <f>IFERROR(INDEX('[2]Link Out Monthly BY'!$B$6:$B$525,MATCH($C87,'[2]Link Out Monthly BY'!$C$6:$C$525,0),1),"")</f>
        <v>Salaries and wages</v>
      </c>
      <c r="C87" s="104">
        <v>50171800</v>
      </c>
      <c r="E87" s="104" t="str">
        <f>IFERROR(INDEX('[2]Link Out Monthly BY'!$D$6:$D$525,MATCH($C87,'[2]Link Out Monthly BY'!$C$6:$C$525,0),1),"")</f>
        <v>Comp Exp-RSU's</v>
      </c>
      <c r="G87" s="104" t="str">
        <f>IFERROR(INDEX('[2]Link Out Monthly BY'!$E$6:$E$525,MATCH($C87,'[2]Link Out Monthly BY'!$C$6:$C$505,0),1),"")</f>
        <v>601.8</v>
      </c>
      <c r="I87" s="90">
        <f>IFERROR(INDEX('[2]Link Out Monthly BY'!$R$6:$R$525,MATCH($C87,'[2]Link Out Monthly BY'!$C$6:$C$525,0),1),0)</f>
        <v>15109</v>
      </c>
    </row>
    <row r="88" spans="1:13">
      <c r="A88" s="104" t="str">
        <f>IFERROR(INDEX('[2]Link Out Monthly BY'!$A$6:$A$525,MATCH($C88,'[2]Link Out Monthly BY'!$C$6:$C$525,0),1),"")</f>
        <v>P17</v>
      </c>
      <c r="B88" s="104" t="str">
        <f>IFERROR(INDEX('[2]Link Out Monthly BY'!$B$6:$B$525,MATCH($C88,'[2]Link Out Monthly BY'!$C$6:$C$525,0),1),"")</f>
        <v>Salaries and wages</v>
      </c>
      <c r="C88" s="104">
        <v>50185000</v>
      </c>
      <c r="E88" s="104" t="str">
        <f>IFERROR(INDEX('[2]Link Out Monthly BY'!$D$6:$D$525,MATCH($C88,'[2]Link Out Monthly BY'!$C$6:$C$525,0),1),"")</f>
        <v>Severance</v>
      </c>
      <c r="G88" s="104" t="str">
        <f>IFERROR(INDEX('[2]Link Out Monthly BY'!$E$6:$E$525,MATCH($C88,'[2]Link Out Monthly BY'!$C$6:$C$505,0),1),"")</f>
        <v>601.8</v>
      </c>
      <c r="I88" s="90">
        <f>IFERROR(INDEX('[2]Link Out Monthly BY'!$R$6:$R$525,MATCH($C88,'[2]Link Out Monthly BY'!$C$6:$C$525,0),1),0)</f>
        <v>0</v>
      </c>
    </row>
    <row r="89" spans="1:13">
      <c r="A89" s="104" t="str">
        <f>IFERROR(INDEX('[2]Link Out Monthly BY'!$A$6:$A$525,MATCH($C89,'[2]Link Out Monthly BY'!$C$6:$C$525,0),1),"")</f>
        <v/>
      </c>
      <c r="B89" s="104" t="str">
        <f>IFERROR(INDEX('[2]Link Out Monthly BY'!$B$6:$B$525,MATCH($C89,'[2]Link Out Monthly BY'!$C$6:$C$525,0),1),"")</f>
        <v/>
      </c>
      <c r="E89" s="104" t="str">
        <f>IFERROR(INDEX('[2]Link Out Monthly BY'!$D$6:$D$525,MATCH($C89,'[2]Link Out Monthly BY'!$C$6:$C$525,0),1),"")</f>
        <v/>
      </c>
      <c r="G89" s="104" t="str">
        <f>IFERROR(INDEX('[2]Link Out Monthly BY'!$E$6:$E$525,MATCH($C89,'[2]Link Out Monthly BY'!$C$6:$C$505,0),1),"")</f>
        <v/>
      </c>
      <c r="I89" s="90">
        <f>IFERROR(INDEX('[2]Link Out Monthly BY'!$R$6:$R$525,MATCH($C89,'[2]Link Out Monthly BY'!$C$6:$C$525,0),1),0)</f>
        <v>0</v>
      </c>
      <c r="J89" s="239"/>
    </row>
    <row r="90" spans="1:13">
      <c r="A90" s="104" t="str">
        <f>IFERROR(INDEX('[2]Link Out Monthly BY'!$A$6:$A$525,MATCH($C90,'[2]Link Out Monthly BY'!$C$6:$C$525,0),1),"")</f>
        <v>P18</v>
      </c>
      <c r="B90" s="104" t="str">
        <f>IFERROR(INDEX('[2]Link Out Monthly BY'!$B$6:$B$525,MATCH($C90,'[2]Link Out Monthly BY'!$C$6:$C$525,0),1),"")</f>
        <v>Pension expense</v>
      </c>
      <c r="C90" s="104">
        <v>50610000</v>
      </c>
      <c r="E90" s="104" t="str">
        <f>IFERROR(INDEX('[2]Link Out Monthly BY'!$D$6:$D$525,MATCH($C90,'[2]Link Out Monthly BY'!$C$6:$C$525,0),1),"")</f>
        <v>Pension Expense</v>
      </c>
      <c r="G90" s="104" t="str">
        <f>IFERROR(INDEX('[2]Link Out Monthly BY'!$E$6:$E$525,MATCH($C90,'[2]Link Out Monthly BY'!$C$6:$C$505,0),1),"")</f>
        <v>604.8</v>
      </c>
      <c r="I90" s="90">
        <f>IFERROR(INDEX('[2]Link Out Monthly BY'!$R$6:$R$525,MATCH($C90,'[2]Link Out Monthly BY'!$C$6:$C$525,0),1),0)</f>
        <v>627714</v>
      </c>
      <c r="L90" s="239"/>
    </row>
    <row r="91" spans="1:13">
      <c r="A91" s="104" t="str">
        <f>IFERROR(INDEX('[2]Link Out Monthly BY'!$A$6:$A$525,MATCH($C91,'[2]Link Out Monthly BY'!$C$6:$C$525,0),1),"")</f>
        <v>P18</v>
      </c>
      <c r="B91" s="104" t="str">
        <f>IFERROR(INDEX('[2]Link Out Monthly BY'!$B$6:$B$525,MATCH($C91,'[2]Link Out Monthly BY'!$C$6:$C$525,0),1),"")</f>
        <v>Pension expense</v>
      </c>
      <c r="C91" s="104">
        <v>50610100</v>
      </c>
      <c r="E91" s="104" t="str">
        <f>IFERROR(INDEX('[2]Link Out Monthly BY'!$D$6:$D$525,MATCH($C91,'[2]Link Out Monthly BY'!$C$6:$C$525,0),1),"")</f>
        <v>Pension Cap Credits</v>
      </c>
      <c r="G91" s="104" t="str">
        <f>IFERROR(INDEX('[2]Link Out Monthly BY'!$E$6:$E$525,MATCH($C91,'[2]Link Out Monthly BY'!$C$6:$C$505,0),1),"")</f>
        <v>604.8</v>
      </c>
      <c r="I91" s="90">
        <f>IFERROR(INDEX('[2]Link Out Monthly BY'!$R$6:$R$525,MATCH($C91,'[2]Link Out Monthly BY'!$C$6:$C$525,0),1),0)</f>
        <v>-188553</v>
      </c>
      <c r="L91" s="239"/>
    </row>
    <row r="92" spans="1:13">
      <c r="A92" s="104" t="str">
        <f>IFERROR(INDEX('[2]Link Out Monthly BY'!$A$6:$A$525,MATCH($C92,'[2]Link Out Monthly BY'!$C$6:$C$525,0),1),"")</f>
        <v/>
      </c>
      <c r="B92" s="104" t="str">
        <f>IFERROR(INDEX('[2]Link Out Monthly BY'!$B$6:$B$525,MATCH($C92,'[2]Link Out Monthly BY'!$C$6:$C$525,0),1),"")</f>
        <v/>
      </c>
      <c r="E92" s="104" t="str">
        <f>IFERROR(INDEX('[2]Link Out Monthly BY'!$D$6:$D$525,MATCH($C92,'[2]Link Out Monthly BY'!$C$6:$C$525,0),1),"")</f>
        <v/>
      </c>
      <c r="G92" s="104" t="str">
        <f>IFERROR(INDEX('[2]Link Out Monthly BY'!$E$6:$E$525,MATCH($C92,'[2]Link Out Monthly BY'!$C$6:$C$505,0),1),"")</f>
        <v/>
      </c>
      <c r="I92" s="90">
        <f>IFERROR(INDEX('[2]Link Out Monthly BY'!$R$6:$R$525,MATCH($C92,'[2]Link Out Monthly BY'!$C$6:$C$525,0),1),0)</f>
        <v>0</v>
      </c>
    </row>
    <row r="93" spans="1:13">
      <c r="A93" s="104" t="str">
        <f>IFERROR(INDEX('[2]Link Out Monthly BY'!$A$6:$A$525,MATCH($C93,'[2]Link Out Monthly BY'!$C$6:$C$525,0),1),"")</f>
        <v>P19</v>
      </c>
      <c r="B93" s="104" t="str">
        <f>IFERROR(INDEX('[2]Link Out Monthly BY'!$B$6:$B$525,MATCH($C93,'[2]Link Out Monthly BY'!$C$6:$C$525,0),1),"")</f>
        <v>OPEB expense</v>
      </c>
      <c r="C93" s="104">
        <v>50510000</v>
      </c>
      <c r="E93" s="104" t="str">
        <f>IFERROR(INDEX('[2]Link Out Monthly BY'!$D$6:$D$525,MATCH($C93,'[2]Link Out Monthly BY'!$C$6:$C$525,0),1),"")</f>
        <v>PBOP Expense</v>
      </c>
      <c r="G93" s="104" t="str">
        <f>IFERROR(INDEX('[2]Link Out Monthly BY'!$E$6:$E$525,MATCH($C93,'[2]Link Out Monthly BY'!$C$6:$C$505,0),1),"")</f>
        <v>604.8</v>
      </c>
      <c r="I93" s="90">
        <f>IFERROR(INDEX('[2]Link Out Monthly BY'!$R$6:$R$525,MATCH($C93,'[2]Link Out Monthly BY'!$C$6:$C$525,0),1),0)</f>
        <v>169677</v>
      </c>
    </row>
    <row r="94" spans="1:13">
      <c r="A94" s="104" t="str">
        <f>IFERROR(INDEX('[2]Link Out Monthly BY'!$A$6:$A$525,MATCH($C94,'[2]Link Out Monthly BY'!$C$6:$C$525,0),1),"")</f>
        <v>P19</v>
      </c>
      <c r="B94" s="104" t="str">
        <f>IFERROR(INDEX('[2]Link Out Monthly BY'!$B$6:$B$525,MATCH($C94,'[2]Link Out Monthly BY'!$C$6:$C$525,0),1),"")</f>
        <v>OPEB expense</v>
      </c>
      <c r="C94" s="104">
        <v>50510100</v>
      </c>
      <c r="E94" s="104" t="str">
        <f>IFERROR(INDEX('[2]Link Out Monthly BY'!$D$6:$D$525,MATCH($C94,'[2]Link Out Monthly BY'!$C$6:$C$525,0),1),"")</f>
        <v>PBOP Cap Credits</v>
      </c>
      <c r="G94" s="104" t="str">
        <f>IFERROR(INDEX('[2]Link Out Monthly BY'!$E$6:$E$525,MATCH($C94,'[2]Link Out Monthly BY'!$C$6:$C$505,0),1),"")</f>
        <v>604.8</v>
      </c>
      <c r="I94" s="90">
        <f>IFERROR(INDEX('[2]Link Out Monthly BY'!$R$6:$R$525,MATCH($C94,'[2]Link Out Monthly BY'!$C$6:$C$525,0),1),0)</f>
        <v>-55076</v>
      </c>
    </row>
    <row r="95" spans="1:13">
      <c r="A95" s="104" t="str">
        <f>IFERROR(INDEX('[2]Link Out Monthly BY'!$A$6:$A$525,MATCH($C95,'[2]Link Out Monthly BY'!$C$6:$C$525,0),1),"")</f>
        <v>P20</v>
      </c>
      <c r="B95" s="104" t="str">
        <f>IFERROR(INDEX('[2]Link Out Monthly BY'!$B$6:$B$525,MATCH($C95,'[2]Link Out Monthly BY'!$C$6:$C$525,0),1),"")</f>
        <v>Group insurance expense</v>
      </c>
      <c r="C95" s="104">
        <v>50550000</v>
      </c>
      <c r="E95" s="104" t="str">
        <f>IFERROR(INDEX('[2]Link Out Monthly BY'!$D$6:$D$525,MATCH($C95,'[2]Link Out Monthly BY'!$C$6:$C$525,0),1),"")</f>
        <v>Group Insur Expense</v>
      </c>
      <c r="G95" s="104" t="str">
        <f>IFERROR(INDEX('[2]Link Out Monthly BY'!$E$6:$E$525,MATCH($C95,'[2]Link Out Monthly BY'!$C$6:$C$505,0),1),"")</f>
        <v>604.8</v>
      </c>
      <c r="I95" s="90">
        <f>IFERROR(INDEX('[2]Link Out Monthly BY'!$R$6:$R$525,MATCH($C95,'[2]Link Out Monthly BY'!$C$6:$C$525,0),1),0)</f>
        <v>1978520</v>
      </c>
    </row>
    <row r="96" spans="1:13">
      <c r="A96" s="104" t="str">
        <f>IFERROR(INDEX('[2]Link Out Monthly BY'!$A$6:$A$525,MATCH($C96,'[2]Link Out Monthly BY'!$C$6:$C$525,0),1),"")</f>
        <v>P20</v>
      </c>
      <c r="B96" s="104" t="str">
        <f>IFERROR(INDEX('[2]Link Out Monthly BY'!$B$6:$B$525,MATCH($C96,'[2]Link Out Monthly BY'!$C$6:$C$525,0),1),"")</f>
        <v>Group insurance expense</v>
      </c>
      <c r="C96" s="104">
        <v>50550100</v>
      </c>
      <c r="E96" s="104" t="str">
        <f>IFERROR(INDEX('[2]Link Out Monthly BY'!$D$6:$D$525,MATCH($C96,'[2]Link Out Monthly BY'!$C$6:$C$525,0),1),"")</f>
        <v>Group Ins Cap Credts</v>
      </c>
      <c r="G96" s="104" t="str">
        <f>IFERROR(INDEX('[2]Link Out Monthly BY'!$E$6:$E$525,MATCH($C96,'[2]Link Out Monthly BY'!$C$6:$C$505,0),1),"")</f>
        <v>604.8</v>
      </c>
      <c r="I96" s="90">
        <f>IFERROR(INDEX('[2]Link Out Monthly BY'!$R$6:$R$525,MATCH($C96,'[2]Link Out Monthly BY'!$C$6:$C$525,0),1),0)</f>
        <v>-563503</v>
      </c>
    </row>
    <row r="97" spans="1:11">
      <c r="A97" s="104" t="str">
        <f>IFERROR(INDEX('[2]Link Out Monthly BY'!$A$6:$A$525,MATCH($C97,'[2]Link Out Monthly BY'!$C$6:$C$525,0),1),"")</f>
        <v>P20</v>
      </c>
      <c r="B97" s="104" t="str">
        <f>IFERROR(INDEX('[2]Link Out Monthly BY'!$B$6:$B$525,MATCH($C97,'[2]Link Out Monthly BY'!$C$6:$C$525,0),1),"")</f>
        <v>Group insurance expense</v>
      </c>
      <c r="C97" s="104">
        <v>50560000</v>
      </c>
      <c r="E97" s="104" t="str">
        <f>IFERROR(INDEX('[2]Link Out Monthly BY'!$D$6:$D$525,MATCH($C97,'[2]Link Out Monthly BY'!$C$6:$C$525,0),1),"")</f>
        <v>Health Save Acct Exp</v>
      </c>
      <c r="G97" s="104" t="str">
        <f>IFERROR(INDEX('[2]Link Out Monthly BY'!$E$6:$E$525,MATCH($C97,'[2]Link Out Monthly BY'!$C$6:$C$505,0),1),"")</f>
        <v>604.8</v>
      </c>
      <c r="I97" s="90">
        <f>IFERROR(INDEX('[2]Link Out Monthly BY'!$R$6:$R$525,MATCH($C97,'[2]Link Out Monthly BY'!$C$6:$C$525,0),1),0)</f>
        <v>500</v>
      </c>
    </row>
    <row r="98" spans="1:11">
      <c r="A98" s="104" t="str">
        <f>IFERROR(INDEX('[2]Link Out Monthly BY'!$A$6:$A$525,MATCH($C98,'[2]Link Out Monthly BY'!$C$6:$C$525,0),1),"")</f>
        <v/>
      </c>
      <c r="B98" s="104" t="str">
        <f>IFERROR(INDEX('[2]Link Out Monthly BY'!$B$6:$B$525,MATCH($C98,'[2]Link Out Monthly BY'!$C$6:$C$525,0),1),"")</f>
        <v/>
      </c>
      <c r="E98" s="104" t="str">
        <f>IFERROR(INDEX('[2]Link Out Monthly BY'!$D$6:$D$525,MATCH($C98,'[2]Link Out Monthly BY'!$C$6:$C$525,0),1),"")</f>
        <v/>
      </c>
      <c r="G98" s="104" t="str">
        <f>IFERROR(INDEX('[2]Link Out Monthly BY'!$E$6:$E$525,MATCH($C98,'[2]Link Out Monthly BY'!$C$6:$C$505,0),1),"")</f>
        <v/>
      </c>
      <c r="I98" s="90">
        <f>IFERROR(INDEX('[2]Link Out Monthly BY'!$R$6:$R$525,MATCH($C98,'[2]Link Out Monthly BY'!$C$6:$C$525,0),1),0)</f>
        <v>0</v>
      </c>
      <c r="J98" s="240" t="s">
        <v>626</v>
      </c>
    </row>
    <row r="99" spans="1:11">
      <c r="A99" s="104" t="str">
        <f>IFERROR(INDEX('[2]Link Out Monthly BY'!$A$6:$A$525,MATCH($C99,'[2]Link Out Monthly BY'!$C$6:$C$525,0),1),"")</f>
        <v>P21</v>
      </c>
      <c r="B99" s="104" t="str">
        <f>IFERROR(INDEX('[2]Link Out Monthly BY'!$B$6:$B$525,MATCH($C99,'[2]Link Out Monthly BY'!$C$6:$C$525,0),1),"")</f>
        <v>Other benefits</v>
      </c>
      <c r="C99" s="104">
        <v>50421000</v>
      </c>
      <c r="E99" s="104" t="str">
        <f>IFERROR(INDEX('[2]Link Out Monthly BY'!$D$6:$D$525,MATCH($C99,'[2]Link Out Monthly BY'!$C$6:$C$525,0),1),"")</f>
        <v>401k Expense</v>
      </c>
      <c r="G99" s="104" t="str">
        <f>IFERROR(INDEX('[2]Link Out Monthly BY'!$E$6:$E$525,MATCH($C99,'[2]Link Out Monthly BY'!$C$6:$C$505,0),1),"")</f>
        <v>604.8</v>
      </c>
      <c r="I99" s="90">
        <f>IFERROR(INDEX('[2]Link Out Monthly BY'!$R$6:$R$525,MATCH($C99,'[2]Link Out Monthly BY'!$C$6:$C$525,0),1),0)</f>
        <v>267244</v>
      </c>
      <c r="J99" s="10">
        <f>I99/$J$117</f>
        <v>0.46225029707491477</v>
      </c>
    </row>
    <row r="100" spans="1:11">
      <c r="A100" s="104" t="str">
        <f>IFERROR(INDEX('[2]Link Out Monthly BY'!$A$6:$A$525,MATCH($C100,'[2]Link Out Monthly BY'!$C$6:$C$525,0),1),"")</f>
        <v>P21</v>
      </c>
      <c r="B100" s="104" t="str">
        <f>IFERROR(INDEX('[2]Link Out Monthly BY'!$B$6:$B$525,MATCH($C100,'[2]Link Out Monthly BY'!$C$6:$C$525,0),1),"")</f>
        <v>Other benefits</v>
      </c>
      <c r="C100" s="104">
        <v>50421100</v>
      </c>
      <c r="E100" s="104" t="str">
        <f>IFERROR(INDEX('[2]Link Out Monthly BY'!$D$6:$D$525,MATCH($C100,'[2]Link Out Monthly BY'!$C$6:$C$525,0),1),"")</f>
        <v>401k Exp Cap Credits</v>
      </c>
      <c r="G100" s="104" t="str">
        <f>IFERROR(INDEX('[2]Link Out Monthly BY'!$E$6:$E$525,MATCH($C100,'[2]Link Out Monthly BY'!$C$6:$C$505,0),1),"")</f>
        <v>604.8</v>
      </c>
      <c r="I100" s="90">
        <f>IFERROR(INDEX('[2]Link Out Monthly BY'!$R$6:$R$525,MATCH($C100,'[2]Link Out Monthly BY'!$C$6:$C$525,0),1),0)</f>
        <v>-74367</v>
      </c>
      <c r="J100" s="10">
        <f t="shared" ref="J100:J115" si="2">I100/$J$117</f>
        <v>-0.12863214082475261</v>
      </c>
      <c r="K100" s="240" t="s">
        <v>627</v>
      </c>
    </row>
    <row r="101" spans="1:11">
      <c r="A101" s="104" t="str">
        <f>IFERROR(INDEX('[2]Link Out Monthly BY'!$A$6:$A$525,MATCH($C101,'[2]Link Out Monthly BY'!$C$6:$C$525,0),1),"")</f>
        <v>P21</v>
      </c>
      <c r="B101" s="104" t="str">
        <f>IFERROR(INDEX('[2]Link Out Monthly BY'!$B$6:$B$525,MATCH($C101,'[2]Link Out Monthly BY'!$C$6:$C$525,0),1),"")</f>
        <v>Other benefits</v>
      </c>
      <c r="C101" s="104">
        <v>50422000</v>
      </c>
      <c r="E101" s="104" t="str">
        <f>IFERROR(INDEX('[2]Link Out Monthly BY'!$D$6:$D$525,MATCH($C101,'[2]Link Out Monthly BY'!$C$6:$C$525,0),1),"")</f>
        <v>DCP Expense</v>
      </c>
      <c r="G101" s="104" t="str">
        <f>IFERROR(INDEX('[2]Link Out Monthly BY'!$E$6:$E$525,MATCH($C101,'[2]Link Out Monthly BY'!$C$6:$C$505,0),1),"")</f>
        <v>604.8</v>
      </c>
      <c r="I101" s="90">
        <f>IFERROR(INDEX('[2]Link Out Monthly BY'!$R$6:$R$525,MATCH($C101,'[2]Link Out Monthly BY'!$C$6:$C$525,0),1),0)</f>
        <v>307187</v>
      </c>
      <c r="J101" s="10">
        <f t="shared" si="2"/>
        <v>0.53133945760260981</v>
      </c>
      <c r="K101" s="239">
        <f>J99*$K$119</f>
        <v>271958.49077986705</v>
      </c>
    </row>
    <row r="102" spans="1:11">
      <c r="A102" s="104" t="str">
        <f>IFERROR(INDEX('[2]Link Out Monthly BY'!$A$6:$A$525,MATCH($C102,'[2]Link Out Monthly BY'!$C$6:$C$525,0),1),"")</f>
        <v>P21</v>
      </c>
      <c r="B102" s="104" t="str">
        <f>IFERROR(INDEX('[2]Link Out Monthly BY'!$B$6:$B$525,MATCH($C102,'[2]Link Out Monthly BY'!$C$6:$C$525,0),1),"")</f>
        <v>Other benefits</v>
      </c>
      <c r="C102" s="104">
        <v>50422100</v>
      </c>
      <c r="E102" s="104" t="str">
        <f>IFERROR(INDEX('[2]Link Out Monthly BY'!$D$6:$D$525,MATCH($C102,'[2]Link Out Monthly BY'!$C$6:$C$525,0),1),"")</f>
        <v>DCP Exp Cap Credits</v>
      </c>
      <c r="G102" s="104" t="str">
        <f>IFERROR(INDEX('[2]Link Out Monthly BY'!$E$6:$E$525,MATCH($C102,'[2]Link Out Monthly BY'!$C$6:$C$505,0),1),"")</f>
        <v>604.8</v>
      </c>
      <c r="I102" s="90">
        <f>IFERROR(INDEX('[2]Link Out Monthly BY'!$R$6:$R$525,MATCH($C102,'[2]Link Out Monthly BY'!$C$6:$C$525,0),1),0)</f>
        <v>-80324</v>
      </c>
      <c r="J102" s="10">
        <f t="shared" si="2"/>
        <v>-0.13893592695157031</v>
      </c>
      <c r="K102" s="239">
        <f t="shared" ref="K102:K118" si="3">J100*$K$119</f>
        <v>-75678.919204271646</v>
      </c>
    </row>
    <row r="103" spans="1:11">
      <c r="A103" s="104" t="str">
        <f>IFERROR(INDEX('[2]Link Out Monthly BY'!$A$6:$A$525,MATCH($C103,'[2]Link Out Monthly BY'!$C$6:$C$525,0),1),"")</f>
        <v>P21</v>
      </c>
      <c r="B103" s="104" t="str">
        <f>IFERROR(INDEX('[2]Link Out Monthly BY'!$B$6:$B$525,MATCH($C103,'[2]Link Out Monthly BY'!$C$6:$C$525,0),1),"")</f>
        <v>Other benefits</v>
      </c>
      <c r="C103" s="104">
        <v>50423000</v>
      </c>
      <c r="E103" s="104" t="str">
        <f>IFERROR(INDEX('[2]Link Out Monthly BY'!$D$6:$D$525,MATCH($C103,'[2]Link Out Monthly BY'!$C$6:$C$525,0),1),"")</f>
        <v>ESPP Expense</v>
      </c>
      <c r="G103" s="104" t="str">
        <f>IFERROR(INDEX('[2]Link Out Monthly BY'!$E$6:$E$525,MATCH($C103,'[2]Link Out Monthly BY'!$C$6:$C$505,0),1),"")</f>
        <v>604.8</v>
      </c>
      <c r="I103" s="90">
        <f>IFERROR(INDEX('[2]Link Out Monthly BY'!$R$6:$R$525,MATCH($C103,'[2]Link Out Monthly BY'!$C$6:$C$525,0),1),0)</f>
        <v>14837</v>
      </c>
      <c r="J103" s="10">
        <f t="shared" si="2"/>
        <v>2.5663467309651519E-2</v>
      </c>
      <c r="K103" s="239">
        <f t="shared" si="3"/>
        <v>312606.13112808904</v>
      </c>
    </row>
    <row r="104" spans="1:11">
      <c r="A104" s="104" t="str">
        <f>IFERROR(INDEX('[2]Link Out Monthly BY'!$A$6:$A$525,MATCH($C104,'[2]Link Out Monthly BY'!$C$6:$C$525,0),1),"")</f>
        <v>P21</v>
      </c>
      <c r="B104" s="104" t="str">
        <f>IFERROR(INDEX('[2]Link Out Monthly BY'!$B$6:$B$525,MATCH($C104,'[2]Link Out Monthly BY'!$C$6:$C$525,0),1),"")</f>
        <v>Other benefits</v>
      </c>
      <c r="C104" s="104">
        <v>50426000</v>
      </c>
      <c r="E104" s="104" t="str">
        <f>IFERROR(INDEX('[2]Link Out Monthly BY'!$D$6:$D$525,MATCH($C104,'[2]Link Out Monthly BY'!$C$6:$C$525,0),1),"")</f>
        <v>Retiree Medical Exp</v>
      </c>
      <c r="G104" s="104" t="str">
        <f>IFERROR(INDEX('[2]Link Out Monthly BY'!$E$6:$E$525,MATCH($C104,'[2]Link Out Monthly BY'!$C$6:$C$505,0),1),"")</f>
        <v>604.8</v>
      </c>
      <c r="I104" s="90">
        <f>IFERROR(INDEX('[2]Link Out Monthly BY'!$R$6:$R$525,MATCH($C104,'[2]Link Out Monthly BY'!$C$6:$C$525,0),1),0)</f>
        <v>24707</v>
      </c>
      <c r="J104" s="10">
        <f t="shared" si="2"/>
        <v>4.2735545381112086E-2</v>
      </c>
      <c r="K104" s="239">
        <f t="shared" si="3"/>
        <v>-81741.007518979066</v>
      </c>
    </row>
    <row r="105" spans="1:11">
      <c r="A105" s="104" t="str">
        <f>IFERROR(INDEX('[2]Link Out Monthly BY'!$A$6:$A$525,MATCH($C105,'[2]Link Out Monthly BY'!$C$6:$C$525,0),1),"")</f>
        <v>P21</v>
      </c>
      <c r="B105" s="104" t="str">
        <f>IFERROR(INDEX('[2]Link Out Monthly BY'!$B$6:$B$525,MATCH($C105,'[2]Link Out Monthly BY'!$C$6:$C$525,0),1),"")</f>
        <v>Other benefits</v>
      </c>
      <c r="C105" s="104">
        <v>50426100</v>
      </c>
      <c r="E105" s="104" t="str">
        <f>IFERROR(INDEX('[2]Link Out Monthly BY'!$D$6:$D$525,MATCH($C105,'[2]Link Out Monthly BY'!$C$6:$C$525,0),1),"")</f>
        <v>Retiree Med Cap Cr</v>
      </c>
      <c r="G105" s="104" t="str">
        <f>IFERROR(INDEX('[2]Link Out Monthly BY'!$E$6:$E$525,MATCH($C105,'[2]Link Out Monthly BY'!$C$6:$C$505,0),1),"")</f>
        <v>604.8</v>
      </c>
      <c r="I105" s="90">
        <f>IFERROR(INDEX('[2]Link Out Monthly BY'!$R$6:$R$525,MATCH($C105,'[2]Link Out Monthly BY'!$C$6:$C$525,0),1),0)</f>
        <v>-4729</v>
      </c>
      <c r="J105" s="10">
        <f t="shared" si="2"/>
        <v>-8.1797221073897711E-3</v>
      </c>
      <c r="K105" s="239">
        <f t="shared" si="3"/>
        <v>15098.741703091137</v>
      </c>
    </row>
    <row r="106" spans="1:11">
      <c r="A106" s="104" t="str">
        <f>IFERROR(INDEX('[2]Link Out Monthly BY'!$A$6:$A$525,MATCH($C106,'[2]Link Out Monthly BY'!$C$6:$C$525,0),1),"")</f>
        <v>P21</v>
      </c>
      <c r="B106" s="104" t="str">
        <f>IFERROR(INDEX('[2]Link Out Monthly BY'!$B$6:$B$525,MATCH($C106,'[2]Link Out Monthly BY'!$C$6:$C$525,0),1),"")</f>
        <v>Other benefits</v>
      </c>
      <c r="C106" s="104">
        <v>50450000</v>
      </c>
      <c r="E106" s="104" t="str">
        <f>IFERROR(INDEX('[2]Link Out Monthly BY'!$D$6:$D$525,MATCH($C106,'[2]Link Out Monthly BY'!$C$6:$C$525,0),1),"")</f>
        <v>Other Welfare</v>
      </c>
      <c r="G106" s="104" t="str">
        <f>IFERROR(INDEX('[2]Link Out Monthly BY'!$E$6:$E$525,MATCH($C106,'[2]Link Out Monthly BY'!$C$6:$C$505,0),1),"")</f>
        <v>604.8</v>
      </c>
      <c r="I106" s="90">
        <f>IFERROR(INDEX('[2]Link Out Monthly BY'!$R$6:$R$525,MATCH($C106,'[2]Link Out Monthly BY'!$C$6:$C$525,0),1),0)</f>
        <v>18405</v>
      </c>
      <c r="J106" s="10">
        <f t="shared" si="2"/>
        <v>3.1835014884015383E-2</v>
      </c>
      <c r="K106" s="239">
        <f t="shared" si="3"/>
        <v>25142.859827341959</v>
      </c>
    </row>
    <row r="107" spans="1:11">
      <c r="A107" s="104" t="str">
        <f>IFERROR(INDEX('[2]Link Out Monthly BY'!$A$6:$A$525,MATCH($C107,'[2]Link Out Monthly BY'!$C$6:$C$525,0),1),"")</f>
        <v>P21</v>
      </c>
      <c r="B107" s="104" t="str">
        <f>IFERROR(INDEX('[2]Link Out Monthly BY'!$B$6:$B$525,MATCH($C107,'[2]Link Out Monthly BY'!$C$6:$C$525,0),1),"")</f>
        <v>Other benefits</v>
      </c>
      <c r="C107" s="104">
        <v>50450013</v>
      </c>
      <c r="E107" s="104" t="str">
        <f>IFERROR(INDEX('[2]Link Out Monthly BY'!$D$6:$D$525,MATCH($C107,'[2]Link Out Monthly BY'!$C$6:$C$525,0),1),"")</f>
        <v>Other Welfare WT</v>
      </c>
      <c r="G107" s="104" t="str">
        <f>IFERROR(INDEX('[2]Link Out Monthly BY'!$E$6:$E$525,MATCH($C107,'[2]Link Out Monthly BY'!$C$6:$C$505,0),1),"")</f>
        <v>604.3</v>
      </c>
      <c r="I107" s="90">
        <f>IFERROR(INDEX('[2]Link Out Monthly BY'!$R$6:$R$525,MATCH($C107,'[2]Link Out Monthly BY'!$C$6:$C$525,0),1),0)</f>
        <v>1556</v>
      </c>
      <c r="J107" s="10">
        <f t="shared" si="2"/>
        <v>2.6914035946497112E-3</v>
      </c>
      <c r="K107" s="239">
        <f t="shared" si="3"/>
        <v>-4812.4249857732684</v>
      </c>
    </row>
    <row r="108" spans="1:11">
      <c r="A108" s="104" t="str">
        <f>IFERROR(INDEX('[2]Link Out Monthly BY'!$A$6:$A$525,MATCH($C108,'[2]Link Out Monthly BY'!$C$6:$C$525,0),1),"")</f>
        <v>P21</v>
      </c>
      <c r="B108" s="104" t="str">
        <f>IFERROR(INDEX('[2]Link Out Monthly BY'!$B$6:$B$525,MATCH($C108,'[2]Link Out Monthly BY'!$C$6:$C$525,0),1),"")</f>
        <v>Other benefits</v>
      </c>
      <c r="C108" s="104">
        <v>50450014</v>
      </c>
      <c r="E108" s="104" t="str">
        <f>IFERROR(INDEX('[2]Link Out Monthly BY'!$D$6:$D$525,MATCH($C108,'[2]Link Out Monthly BY'!$C$6:$C$525,0),1),"")</f>
        <v>Other Welfare TD</v>
      </c>
      <c r="G108" s="104" t="str">
        <f>IFERROR(INDEX('[2]Link Out Monthly BY'!$E$6:$E$525,MATCH($C108,'[2]Link Out Monthly BY'!$C$6:$C$505,0),1),"")</f>
        <v>604.5</v>
      </c>
      <c r="I108" s="90">
        <f>IFERROR(INDEX('[2]Link Out Monthly BY'!$R$6:$R$525,MATCH($C108,'[2]Link Out Monthly BY'!$C$6:$C$525,0),1),0)</f>
        <v>2022</v>
      </c>
      <c r="J108" s="10">
        <f t="shared" si="2"/>
        <v>3.4974409179831076E-3</v>
      </c>
      <c r="K108" s="239">
        <f t="shared" si="3"/>
        <v>18729.685316802075</v>
      </c>
    </row>
    <row r="109" spans="1:11">
      <c r="A109" s="104" t="str">
        <f>IFERROR(INDEX('[2]Link Out Monthly BY'!$A$6:$A$525,MATCH($C109,'[2]Link Out Monthly BY'!$C$6:$C$525,0),1),"")</f>
        <v>P21</v>
      </c>
      <c r="B109" s="104" t="str">
        <f>IFERROR(INDEX('[2]Link Out Monthly BY'!$B$6:$B$525,MATCH($C109,'[2]Link Out Monthly BY'!$C$6:$C$525,0),1),"")</f>
        <v>Other benefits</v>
      </c>
      <c r="C109" s="104">
        <v>50450015</v>
      </c>
      <c r="E109" s="104" t="str">
        <f>IFERROR(INDEX('[2]Link Out Monthly BY'!$D$6:$D$525,MATCH($C109,'[2]Link Out Monthly BY'!$C$6:$C$525,0),1),"")</f>
        <v>Other Welfare CA</v>
      </c>
      <c r="G109" s="104" t="str">
        <f>IFERROR(INDEX('[2]Link Out Monthly BY'!$E$6:$E$525,MATCH($C109,'[2]Link Out Monthly BY'!$C$6:$C$505,0),1),"")</f>
        <v>604.7</v>
      </c>
      <c r="I109" s="90">
        <f>IFERROR(INDEX('[2]Link Out Monthly BY'!$R$6:$R$525,MATCH($C109,'[2]Link Out Monthly BY'!$C$6:$C$525,0),1),0)</f>
        <v>0</v>
      </c>
      <c r="J109" s="10">
        <f t="shared" si="2"/>
        <v>0</v>
      </c>
      <c r="K109" s="239">
        <f t="shared" si="3"/>
        <v>1583.4496252618326</v>
      </c>
    </row>
    <row r="110" spans="1:11">
      <c r="A110" s="104" t="str">
        <f>IFERROR(INDEX('[2]Link Out Monthly BY'!$A$6:$A$525,MATCH($C110,'[2]Link Out Monthly BY'!$C$6:$C$525,0),1),"")</f>
        <v>P21</v>
      </c>
      <c r="B110" s="104" t="str">
        <f>IFERROR(INDEX('[2]Link Out Monthly BY'!$B$6:$B$525,MATCH($C110,'[2]Link Out Monthly BY'!$C$6:$C$525,0),1),"")</f>
        <v>Other benefits</v>
      </c>
      <c r="C110" s="104">
        <v>50450016</v>
      </c>
      <c r="E110" s="104" t="str">
        <f>IFERROR(INDEX('[2]Link Out Monthly BY'!$D$6:$D$525,MATCH($C110,'[2]Link Out Monthly BY'!$C$6:$C$525,0),1),"")</f>
        <v>Other Welfare AG</v>
      </c>
      <c r="G110" s="104" t="str">
        <f>IFERROR(INDEX('[2]Link Out Monthly BY'!$E$6:$E$525,MATCH($C110,'[2]Link Out Monthly BY'!$C$6:$C$505,0),1),"")</f>
        <v>604.8</v>
      </c>
      <c r="I110" s="90">
        <f>IFERROR(INDEX('[2]Link Out Monthly BY'!$R$6:$R$525,MATCH($C110,'[2]Link Out Monthly BY'!$C$6:$C$525,0),1),0)</f>
        <v>13196</v>
      </c>
      <c r="J110" s="10">
        <f t="shared" si="2"/>
        <v>2.2825039739715672E-2</v>
      </c>
      <c r="K110" s="239">
        <f t="shared" si="3"/>
        <v>2057.6703999225097</v>
      </c>
    </row>
    <row r="111" spans="1:11">
      <c r="A111" s="104" t="str">
        <f>IFERROR(INDEX('[2]Link Out Monthly BY'!$A$6:$A$525,MATCH($C111,'[2]Link Out Monthly BY'!$C$6:$C$525,0),1),"")</f>
        <v>P21</v>
      </c>
      <c r="B111" s="104" t="str">
        <f>IFERROR(INDEX('[2]Link Out Monthly BY'!$B$6:$B$525,MATCH($C111,'[2]Link Out Monthly BY'!$C$6:$C$525,0),1),"")</f>
        <v>Other benefits</v>
      </c>
      <c r="C111" s="104">
        <v>50451000</v>
      </c>
      <c r="E111" s="104" t="str">
        <f>IFERROR(INDEX('[2]Link Out Monthly BY'!$D$6:$D$525,MATCH($C111,'[2]Link Out Monthly BY'!$C$6:$C$525,0),1),"")</f>
        <v>Employee Awards</v>
      </c>
      <c r="G111" s="104" t="str">
        <f>IFERROR(INDEX('[2]Link Out Monthly BY'!$E$6:$E$525,MATCH($C111,'[2]Link Out Monthly BY'!$C$6:$C$505,0),1),"")</f>
        <v>604.8</v>
      </c>
      <c r="I111" s="90">
        <f>IFERROR(INDEX('[2]Link Out Monthly BY'!$R$6:$R$525,MATCH($C111,'[2]Link Out Monthly BY'!$C$6:$C$525,0),1),0)</f>
        <v>13063</v>
      </c>
      <c r="J111" s="10">
        <f t="shared" si="2"/>
        <v>2.2594990460738543E-2</v>
      </c>
      <c r="K111" s="239">
        <f t="shared" si="3"/>
        <v>0</v>
      </c>
    </row>
    <row r="112" spans="1:11">
      <c r="A112" s="104" t="str">
        <f>IFERROR(INDEX('[2]Link Out Monthly BY'!$A$6:$A$525,MATCH($C112,'[2]Link Out Monthly BY'!$C$6:$C$525,0),1),"")</f>
        <v>P21</v>
      </c>
      <c r="B112" s="104" t="str">
        <f>IFERROR(INDEX('[2]Link Out Monthly BY'!$B$6:$B$525,MATCH($C112,'[2]Link Out Monthly BY'!$C$6:$C$525,0),1),"")</f>
        <v>Other benefits</v>
      </c>
      <c r="C112" s="104">
        <v>50452000</v>
      </c>
      <c r="E112" s="104" t="str">
        <f>IFERROR(INDEX('[2]Link Out Monthly BY'!$D$6:$D$525,MATCH($C112,'[2]Link Out Monthly BY'!$C$6:$C$525,0),1),"")</f>
        <v>Emp Physical Exams</v>
      </c>
      <c r="G112" s="104" t="str">
        <f>IFERROR(INDEX('[2]Link Out Monthly BY'!$E$6:$E$525,MATCH($C112,'[2]Link Out Monthly BY'!$C$6:$C$505,0),1),"")</f>
        <v>604.8</v>
      </c>
      <c r="I112" s="90">
        <f>IFERROR(INDEX('[2]Link Out Monthly BY'!$R$6:$R$525,MATCH($C112,'[2]Link Out Monthly BY'!$C$6:$C$525,0),1),0)</f>
        <v>8057</v>
      </c>
      <c r="J112" s="10">
        <f t="shared" si="2"/>
        <v>1.3936143163298664E-2</v>
      </c>
      <c r="K112" s="239">
        <f t="shared" si="3"/>
        <v>13428.79258030536</v>
      </c>
    </row>
    <row r="113" spans="1:12">
      <c r="A113" s="104" t="str">
        <f>IFERROR(INDEX('[2]Link Out Monthly BY'!$A$6:$A$525,MATCH($C113,'[2]Link Out Monthly BY'!$C$6:$C$525,0),1),"")</f>
        <v>P21</v>
      </c>
      <c r="B113" s="104" t="str">
        <f>IFERROR(INDEX('[2]Link Out Monthly BY'!$B$6:$B$525,MATCH($C113,'[2]Link Out Monthly BY'!$C$6:$C$525,0),1),"")</f>
        <v>Other benefits</v>
      </c>
      <c r="C113" s="104">
        <v>50454000</v>
      </c>
      <c r="E113" s="104" t="str">
        <f>IFERROR(INDEX('[2]Link Out Monthly BY'!$D$6:$D$525,MATCH($C113,'[2]Link Out Monthly BY'!$C$6:$C$525,0),1),"")</f>
        <v>Safety Incent Awards</v>
      </c>
      <c r="G113" s="104" t="str">
        <f>IFERROR(INDEX('[2]Link Out Monthly BY'!$E$6:$E$525,MATCH($C113,'[2]Link Out Monthly BY'!$C$6:$C$505,0),1),"")</f>
        <v>604.8</v>
      </c>
      <c r="I113" s="90">
        <f>IFERROR(INDEX('[2]Link Out Monthly BY'!$R$6:$R$525,MATCH($C113,'[2]Link Out Monthly BY'!$C$6:$C$525,0),1),0)</f>
        <v>39</v>
      </c>
      <c r="J113" s="10">
        <f t="shared" si="2"/>
        <v>6.7458059248932343E-5</v>
      </c>
      <c r="K113" s="239">
        <f t="shared" si="3"/>
        <v>13293.446307709071</v>
      </c>
    </row>
    <row r="114" spans="1:12">
      <c r="A114" s="104" t="str">
        <f>IFERROR(INDEX('[2]Link Out Monthly BY'!$A$6:$A$525,MATCH($C114,'[2]Link Out Monthly BY'!$C$6:$C$525,0),1),"")</f>
        <v>P21</v>
      </c>
      <c r="B114" s="104" t="str">
        <f>IFERROR(INDEX('[2]Link Out Monthly BY'!$B$6:$B$525,MATCH($C114,'[2]Link Out Monthly BY'!$C$6:$C$525,0),1),"")</f>
        <v>Other benefits</v>
      </c>
      <c r="C114" s="104">
        <v>50456000</v>
      </c>
      <c r="E114" s="104" t="str">
        <f>IFERROR(INDEX('[2]Link Out Monthly BY'!$D$6:$D$525,MATCH($C114,'[2]Link Out Monthly BY'!$C$6:$C$525,0),1),"")</f>
        <v>Tuition Aid</v>
      </c>
      <c r="G114" s="104" t="str">
        <f>IFERROR(INDEX('[2]Link Out Monthly BY'!$E$6:$E$525,MATCH($C114,'[2]Link Out Monthly BY'!$C$6:$C$505,0),1),"")</f>
        <v>604.8</v>
      </c>
      <c r="I114" s="90">
        <f>IFERROR(INDEX('[2]Link Out Monthly BY'!$R$6:$R$525,MATCH($C114,'[2]Link Out Monthly BY'!$C$6:$C$525,0),1),0)</f>
        <v>26053</v>
      </c>
      <c r="J114" s="10">
        <f t="shared" si="2"/>
        <v>4.5063713272113705E-2</v>
      </c>
      <c r="K114" s="239">
        <f t="shared" si="3"/>
        <v>8199.134724122483</v>
      </c>
    </row>
    <row r="115" spans="1:12">
      <c r="A115" s="104" t="str">
        <f>IFERROR(INDEX('[2]Link Out Monthly BY'!$A$6:$A$525,MATCH($C115,'[2]Link Out Monthly BY'!$C$6:$C$525,0),1),"")</f>
        <v>P21</v>
      </c>
      <c r="B115" s="104" t="str">
        <f>IFERROR(INDEX('[2]Link Out Monthly BY'!$B$6:$B$525,MATCH($C115,'[2]Link Out Monthly BY'!$C$6:$C$525,0),1),"")</f>
        <v>Other benefits</v>
      </c>
      <c r="C115" s="104">
        <v>50457000</v>
      </c>
      <c r="E115" s="104" t="str">
        <f>IFERROR(INDEX('[2]Link Out Monthly BY'!$D$6:$D$525,MATCH($C115,'[2]Link Out Monthly BY'!$C$6:$C$525,0),1),"")</f>
        <v>Training</v>
      </c>
      <c r="G115" s="104" t="str">
        <f>IFERROR(INDEX('[2]Link Out Monthly BY'!$E$6:$E$525,MATCH($C115,'[2]Link Out Monthly BY'!$C$6:$C$505,0),1),"")</f>
        <v>604.8</v>
      </c>
      <c r="I115" s="90">
        <f>IFERROR(INDEX('[2]Link Out Monthly BY'!$R$6:$R$525,MATCH($C115,'[2]Link Out Monthly BY'!$C$6:$C$525,0),1),0)</f>
        <v>39890</v>
      </c>
      <c r="J115" s="10">
        <f t="shared" si="2"/>
        <v>6.8997486754869525E-2</v>
      </c>
      <c r="K115" s="239">
        <f t="shared" si="3"/>
        <v>39.688004746279859</v>
      </c>
    </row>
    <row r="116" spans="1:12">
      <c r="A116" s="104" t="str">
        <f>IFERROR(INDEX('[2]Link Out Monthly BY'!$A$6:$A$525,MATCH($C116,'[2]Link Out Monthly BY'!$C$6:$C$525,0),1),"")</f>
        <v>P21</v>
      </c>
      <c r="B116" s="104" t="str">
        <f>IFERROR(INDEX('[2]Link Out Monthly BY'!$B$6:$B$525,MATCH($C116,'[2]Link Out Monthly BY'!$C$6:$C$525,0),1),"")</f>
        <v>Other benefits</v>
      </c>
      <c r="C116" s="104">
        <v>50458000</v>
      </c>
      <c r="E116" s="104" t="str">
        <f>IFERROR(INDEX('[2]Link Out Monthly BY'!$D$6:$D$525,MATCH($C116,'[2]Link Out Monthly BY'!$C$6:$C$525,0),1),"")</f>
        <v>Referral Bonus</v>
      </c>
      <c r="G116" s="104" t="str">
        <f>IFERROR(INDEX('[2]Link Out Monthly BY'!$E$6:$E$525,MATCH($C116,'[2]Link Out Monthly BY'!$C$6:$C$505,0),1),"")</f>
        <v>604.8</v>
      </c>
      <c r="I116" s="90">
        <f>IFERROR(INDEX('[2]Link Out Monthly BY'!$R$6:$R$525,MATCH($C116,'[2]Link Out Monthly BY'!$C$6:$C$525,0),1),0)</f>
        <v>1301</v>
      </c>
      <c r="J116" s="10">
        <f>I116/$J$117</f>
        <v>2.2503316687913074E-3</v>
      </c>
      <c r="K116" s="239">
        <f t="shared" si="3"/>
        <v>26512.604811662288</v>
      </c>
    </row>
    <row r="117" spans="1:12">
      <c r="A117" s="104" t="str">
        <f>IFERROR(INDEX('[2]Link Out Monthly BY'!$A$6:$A$525,MATCH($C117,'[2]Link Out Monthly BY'!$C$6:$C$525,0),1),"")</f>
        <v/>
      </c>
      <c r="B117" s="104" t="str">
        <f>IFERROR(INDEX('[2]Link Out Monthly BY'!$B$6:$B$525,MATCH($C117,'[2]Link Out Monthly BY'!$C$6:$C$525,0),1),"")</f>
        <v/>
      </c>
      <c r="E117" s="104" t="str">
        <f>IFERROR(INDEX('[2]Link Out Monthly BY'!$D$6:$D$525,MATCH($C117,'[2]Link Out Monthly BY'!$C$6:$C$525,0),1),"")</f>
        <v/>
      </c>
      <c r="G117" s="104" t="str">
        <f>IFERROR(INDEX('[2]Link Out Monthly BY'!$E$6:$E$525,MATCH($C117,'[2]Link Out Monthly BY'!$C$6:$C$505,0),1),"")</f>
        <v/>
      </c>
      <c r="I117" s="90">
        <f>IFERROR(INDEX('[2]Link Out Monthly BY'!$R$6:$R$525,MATCH($C117,'[2]Link Out Monthly BY'!$C$6:$C$525,0),1),0)</f>
        <v>0</v>
      </c>
      <c r="J117" s="239">
        <f>SUM(I99:I116)</f>
        <v>578137</v>
      </c>
      <c r="K117" s="239">
        <f t="shared" si="3"/>
        <v>40593.70536741292</v>
      </c>
    </row>
    <row r="118" spans="1:12">
      <c r="A118" s="104" t="str">
        <f>IFERROR(INDEX('[2]Link Out Monthly BY'!$A$6:$A$525,MATCH($C118,'[2]Link Out Monthly BY'!$C$6:$C$525,0),1),"")</f>
        <v>P48</v>
      </c>
      <c r="B118" s="104" t="str">
        <f>IFERROR(INDEX('[2]Link Out Monthly BY'!$B$6:$B$525,MATCH($C118,'[2]Link Out Monthly BY'!$C$6:$C$525,0),1),"")</f>
        <v>General taxes</v>
      </c>
      <c r="C118" s="104">
        <v>68532000</v>
      </c>
      <c r="E118" s="104" t="str">
        <f>IFERROR(INDEX('[2]Link Out Monthly BY'!$D$6:$D$525,MATCH($C118,'[2]Link Out Monthly BY'!$C$6:$C$525,0),1),"")</f>
        <v>FUTA</v>
      </c>
      <c r="G118" s="104" t="str">
        <f>IFERROR(INDEX('[2]Link Out Monthly BY'!$E$6:$E$525,MATCH($C118,'[2]Link Out Monthly BY'!$C$6:$C$505,0),1),"")</f>
        <v>408.12</v>
      </c>
      <c r="I118" s="90">
        <f>IFERROR(INDEX('[2]Link Out Monthly BY'!$R$6:$R$525,MATCH($C118,'[2]Link Out Monthly BY'!$C$6:$C$525,0),1),0)</f>
        <v>7017</v>
      </c>
      <c r="J118" s="239"/>
      <c r="K118" s="239">
        <f t="shared" si="3"/>
        <v>1323.9511326900026</v>
      </c>
    </row>
    <row r="119" spans="1:12">
      <c r="A119" s="104" t="str">
        <f>IFERROR(INDEX('[2]Link Out Monthly BY'!$A$6:$A$525,MATCH($C119,'[2]Link Out Monthly BY'!$C$6:$C$525,0),1),"")</f>
        <v>P48</v>
      </c>
      <c r="B119" s="104" t="str">
        <f>IFERROR(INDEX('[2]Link Out Monthly BY'!$B$6:$B$525,MATCH($C119,'[2]Link Out Monthly BY'!$C$6:$C$525,0),1),"")</f>
        <v>General taxes</v>
      </c>
      <c r="C119" s="104">
        <v>68532100</v>
      </c>
      <c r="E119" s="104" t="str">
        <f>IFERROR(INDEX('[2]Link Out Monthly BY'!$D$6:$D$525,MATCH($C119,'[2]Link Out Monthly BY'!$C$6:$C$525,0),1),"")</f>
        <v>FUTA Cap Credits</v>
      </c>
      <c r="G119" s="104" t="str">
        <f>IFERROR(INDEX('[2]Link Out Monthly BY'!$E$6:$E$525,MATCH($C119,'[2]Link Out Monthly BY'!$C$6:$C$505,0),1),"")</f>
        <v>408.12</v>
      </c>
      <c r="I119" s="90">
        <f>IFERROR(INDEX('[2]Link Out Monthly BY'!$R$6:$R$525,MATCH($C119,'[2]Link Out Monthly BY'!$C$6:$C$525,0),1),0)</f>
        <v>-2058</v>
      </c>
      <c r="J119" s="239"/>
      <c r="K119" s="239">
        <f>SUM(AN51:AN63)</f>
        <v>588336</v>
      </c>
      <c r="L119" s="104" t="s">
        <v>625</v>
      </c>
    </row>
    <row r="120" spans="1:12">
      <c r="A120" s="104" t="str">
        <f>IFERROR(INDEX('[2]Link Out Monthly BY'!$A$6:$A$525,MATCH($C120,'[2]Link Out Monthly BY'!$C$6:$C$525,0),1),"")</f>
        <v>P48</v>
      </c>
      <c r="B120" s="104" t="str">
        <f>IFERROR(INDEX('[2]Link Out Monthly BY'!$B$6:$B$525,MATCH($C120,'[2]Link Out Monthly BY'!$C$6:$C$525,0),1),"")</f>
        <v>General taxes</v>
      </c>
      <c r="C120" s="104">
        <v>68533000</v>
      </c>
      <c r="E120" s="104" t="str">
        <f>IFERROR(INDEX('[2]Link Out Monthly BY'!$D$6:$D$525,MATCH($C120,'[2]Link Out Monthly BY'!$C$6:$C$525,0),1),"")</f>
        <v>FICA</v>
      </c>
      <c r="G120" s="104" t="str">
        <f>IFERROR(INDEX('[2]Link Out Monthly BY'!$E$6:$E$525,MATCH($C120,'[2]Link Out Monthly BY'!$C$6:$C$505,0),1),"")</f>
        <v>408.12</v>
      </c>
      <c r="I120" s="90">
        <f>IFERROR(INDEX('[2]Link Out Monthly BY'!$R$6:$R$525,MATCH($C120,'[2]Link Out Monthly BY'!$C$6:$C$525,0),1),0)</f>
        <v>764592</v>
      </c>
      <c r="J120" s="239"/>
      <c r="K120" s="239"/>
    </row>
    <row r="121" spans="1:12">
      <c r="A121" s="104" t="str">
        <f>IFERROR(INDEX('[2]Link Out Monthly BY'!$A$6:$A$525,MATCH($C121,'[2]Link Out Monthly BY'!$C$6:$C$525,0),1),"")</f>
        <v>P48</v>
      </c>
      <c r="B121" s="104" t="str">
        <f>IFERROR(INDEX('[2]Link Out Monthly BY'!$B$6:$B$525,MATCH($C121,'[2]Link Out Monthly BY'!$C$6:$C$525,0),1),"")</f>
        <v>General taxes</v>
      </c>
      <c r="C121" s="104">
        <v>68533100</v>
      </c>
      <c r="E121" s="104" t="str">
        <f>IFERROR(INDEX('[2]Link Out Monthly BY'!$D$6:$D$525,MATCH($C121,'[2]Link Out Monthly BY'!$C$6:$C$525,0),1),"")</f>
        <v>FICA Cap Credits</v>
      </c>
      <c r="G121" s="104" t="str">
        <f>IFERROR(INDEX('[2]Link Out Monthly BY'!$E$6:$E$525,MATCH($C121,'[2]Link Out Monthly BY'!$C$6:$C$505,0),1),"")</f>
        <v>408.12</v>
      </c>
      <c r="I121" s="90">
        <f>IFERROR(INDEX('[2]Link Out Monthly BY'!$R$6:$R$525,MATCH($C121,'[2]Link Out Monthly BY'!$C$6:$C$525,0),1),0)</f>
        <v>-221558</v>
      </c>
      <c r="J121" s="239"/>
      <c r="K121" s="239"/>
    </row>
    <row r="122" spans="1:12">
      <c r="A122" s="104" t="str">
        <f>IFERROR(INDEX('[2]Link Out Monthly BY'!$A$6:$A$525,MATCH($C122,'[2]Link Out Monthly BY'!$C$6:$C$525,0),1),"")</f>
        <v>P48</v>
      </c>
      <c r="B122" s="104" t="str">
        <f>IFERROR(INDEX('[2]Link Out Monthly BY'!$B$6:$B$525,MATCH($C122,'[2]Link Out Monthly BY'!$C$6:$C$525,0),1),"")</f>
        <v>General taxes</v>
      </c>
      <c r="C122" s="104">
        <v>68535000</v>
      </c>
      <c r="E122" s="104" t="str">
        <f>IFERROR(INDEX('[2]Link Out Monthly BY'!$D$6:$D$525,MATCH($C122,'[2]Link Out Monthly BY'!$C$6:$C$525,0),1),"")</f>
        <v>SUTA</v>
      </c>
      <c r="G122" s="104" t="str">
        <f>IFERROR(INDEX('[2]Link Out Monthly BY'!$E$6:$E$525,MATCH($C122,'[2]Link Out Monthly BY'!$C$6:$C$505,0),1),"")</f>
        <v>408.12</v>
      </c>
      <c r="I122" s="90">
        <f>IFERROR(INDEX('[2]Link Out Monthly BY'!$R$6:$R$525,MATCH($C122,'[2]Link Out Monthly BY'!$C$6:$C$525,0),1),0)</f>
        <v>25875</v>
      </c>
      <c r="J122" s="239"/>
      <c r="K122" s="239"/>
    </row>
    <row r="123" spans="1:12">
      <c r="A123" s="104" t="str">
        <f>IFERROR(INDEX('[2]Link Out Monthly BY'!$A$6:$A$525,MATCH($C123,'[2]Link Out Monthly BY'!$C$6:$C$525,0),1),"")</f>
        <v>P48</v>
      </c>
      <c r="B123" s="104" t="str">
        <f>IFERROR(INDEX('[2]Link Out Monthly BY'!$B$6:$B$525,MATCH($C123,'[2]Link Out Monthly BY'!$C$6:$C$525,0),1),"")</f>
        <v>General taxes</v>
      </c>
      <c r="C123" s="104">
        <v>68535100</v>
      </c>
      <c r="E123" s="104" t="str">
        <f>IFERROR(INDEX('[2]Link Out Monthly BY'!$D$6:$D$525,MATCH($C123,'[2]Link Out Monthly BY'!$C$6:$C$525,0),1),"")</f>
        <v>SUTA Cap Credits</v>
      </c>
      <c r="G123" s="104" t="str">
        <f>IFERROR(INDEX('[2]Link Out Monthly BY'!$E$6:$E$525,MATCH($C123,'[2]Link Out Monthly BY'!$C$6:$C$505,0),1),"")</f>
        <v>408.12</v>
      </c>
      <c r="I123" s="90">
        <f>IFERROR(INDEX('[2]Link Out Monthly BY'!$R$6:$R$525,MATCH($C123,'[2]Link Out Monthly BY'!$C$6:$C$525,0),1),0)</f>
        <v>-7310</v>
      </c>
      <c r="J123" s="239"/>
      <c r="K123" s="239"/>
    </row>
    <row r="124" spans="1:12">
      <c r="J124" s="239"/>
      <c r="K124" s="239"/>
    </row>
    <row r="125" spans="1:12" ht="14.4" thickBot="1">
      <c r="E125" s="104" t="s">
        <v>476</v>
      </c>
      <c r="I125" s="216">
        <f>SUM(I35:I123)</f>
        <v>10298098</v>
      </c>
      <c r="K125" s="239"/>
    </row>
    <row r="126" spans="1:12" ht="14.4" thickTop="1">
      <c r="K126" s="239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zoomScaleNormal="100" workbookViewId="0"/>
  </sheetViews>
  <sheetFormatPr defaultColWidth="9.109375" defaultRowHeight="14.4"/>
  <cols>
    <col min="1" max="1" width="30.88671875" style="243" customWidth="1"/>
    <col min="2" max="2" width="1.6640625" style="243" customWidth="1"/>
    <col min="3" max="3" width="12.88671875" style="243" customWidth="1"/>
    <col min="4" max="4" width="1.6640625" style="251" customWidth="1"/>
    <col min="5" max="14" width="9.33203125" style="243" bestFit="1" customWidth="1"/>
    <col min="15" max="15" width="9.6640625" style="243" bestFit="1" customWidth="1"/>
    <col min="16" max="16" width="11.6640625" style="243" customWidth="1"/>
    <col min="17" max="17" width="1.6640625" style="243" customWidth="1"/>
    <col min="18" max="18" width="11.33203125" style="243" customWidth="1"/>
    <col min="19" max="19" width="1.6640625" style="243" customWidth="1"/>
    <col min="20" max="20" width="11.33203125" style="243" customWidth="1"/>
    <col min="21" max="21" width="1.6640625" style="243" customWidth="1"/>
    <col min="22" max="22" width="11.33203125" style="243" customWidth="1"/>
    <col min="23" max="23" width="1.6640625" style="243" customWidth="1"/>
    <col min="24" max="24" width="11.33203125" style="243" customWidth="1"/>
    <col min="25" max="25" width="1.6640625" style="243" customWidth="1"/>
    <col min="26" max="26" width="11.33203125" style="243" customWidth="1"/>
    <col min="27" max="16384" width="9.109375" style="243"/>
  </cols>
  <sheetData>
    <row r="1" spans="1:26">
      <c r="A1" s="2" t="str">
        <f>'Link In'!A1</f>
        <v>Kentucky American Water Company</v>
      </c>
      <c r="B1" s="2"/>
      <c r="C1" s="2"/>
      <c r="D1" s="250"/>
    </row>
    <row r="2" spans="1:26">
      <c r="A2" s="2" t="s">
        <v>572</v>
      </c>
      <c r="B2" s="2"/>
      <c r="C2" s="2"/>
      <c r="D2" s="250"/>
      <c r="P2" s="223" t="str">
        <f>'Link In'!A26</f>
        <v>W/P - 3-1a</v>
      </c>
    </row>
    <row r="3" spans="1:26">
      <c r="A3" s="246"/>
      <c r="B3" s="2"/>
      <c r="C3" s="2"/>
      <c r="D3" s="250"/>
      <c r="P3" s="224" t="str">
        <f ca="1">RIGHT(CELL("filename",$A$1),LEN(CELL("filename",$A$1))-SEARCH("\O&amp;M",CELL("filename",$A$1),1))</f>
        <v>O&amp;M\[KAWC 2018 Rate Case - Labor and Labor Related Exhibit.xlsx]OPEB WP</v>
      </c>
    </row>
    <row r="4" spans="1:26">
      <c r="A4" s="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26"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26">
      <c r="C6" s="134">
        <v>2018</v>
      </c>
      <c r="D6" s="135"/>
      <c r="E6" s="136">
        <v>43647</v>
      </c>
      <c r="F6" s="136">
        <v>43678</v>
      </c>
      <c r="G6" s="136">
        <v>43709</v>
      </c>
      <c r="H6" s="136">
        <v>43739</v>
      </c>
      <c r="I6" s="136">
        <v>43770</v>
      </c>
      <c r="J6" s="136">
        <v>43800</v>
      </c>
      <c r="K6" s="136">
        <v>43831</v>
      </c>
      <c r="L6" s="136">
        <v>43862</v>
      </c>
      <c r="M6" s="136">
        <v>43891</v>
      </c>
      <c r="N6" s="136">
        <v>43922</v>
      </c>
      <c r="O6" s="136">
        <v>43952</v>
      </c>
      <c r="P6" s="136">
        <v>43983</v>
      </c>
      <c r="Q6" s="135"/>
      <c r="R6" s="137"/>
      <c r="S6" s="135"/>
      <c r="T6" s="137"/>
      <c r="U6" s="135"/>
      <c r="V6" s="137"/>
      <c r="W6" s="135"/>
      <c r="X6" s="137"/>
      <c r="Y6" s="135"/>
      <c r="Z6" s="137"/>
    </row>
    <row r="7" spans="1:26">
      <c r="A7" s="243" t="s">
        <v>1000</v>
      </c>
      <c r="C7" s="252">
        <v>3919106</v>
      </c>
      <c r="D7" s="244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R7" s="253"/>
      <c r="S7" s="251"/>
      <c r="T7" s="253"/>
      <c r="U7" s="251"/>
      <c r="V7" s="253"/>
      <c r="W7" s="251"/>
      <c r="X7" s="253"/>
      <c r="Y7" s="251"/>
      <c r="Z7" s="253"/>
    </row>
    <row r="8" spans="1:26" ht="28.8">
      <c r="A8" s="254" t="s">
        <v>999</v>
      </c>
      <c r="B8" s="255"/>
      <c r="C8" s="544">
        <f>'OPEB Alloc'!D36</f>
        <v>2.6200000000000001E-2</v>
      </c>
      <c r="D8" s="256"/>
      <c r="E8" s="545">
        <f>ROUND($C$7*$C$8/12,2)</f>
        <v>8556.7099999999991</v>
      </c>
      <c r="F8" s="545">
        <f t="shared" ref="F8:P8" si="0">ROUND($C$7*$C$8/12,2)</f>
        <v>8556.7099999999991</v>
      </c>
      <c r="G8" s="545">
        <f t="shared" si="0"/>
        <v>8556.7099999999991</v>
      </c>
      <c r="H8" s="545">
        <f t="shared" si="0"/>
        <v>8556.7099999999991</v>
      </c>
      <c r="I8" s="545">
        <f t="shared" si="0"/>
        <v>8556.7099999999991</v>
      </c>
      <c r="J8" s="545">
        <f t="shared" si="0"/>
        <v>8556.7099999999991</v>
      </c>
      <c r="K8" s="545">
        <f t="shared" si="0"/>
        <v>8556.7099999999991</v>
      </c>
      <c r="L8" s="545">
        <f t="shared" si="0"/>
        <v>8556.7099999999991</v>
      </c>
      <c r="M8" s="545">
        <f t="shared" si="0"/>
        <v>8556.7099999999991</v>
      </c>
      <c r="N8" s="545">
        <f t="shared" si="0"/>
        <v>8556.7099999999991</v>
      </c>
      <c r="O8" s="545">
        <f t="shared" si="0"/>
        <v>8556.7099999999991</v>
      </c>
      <c r="P8" s="545">
        <f t="shared" si="0"/>
        <v>8556.7099999999991</v>
      </c>
      <c r="R8" s="253"/>
      <c r="S8" s="251"/>
      <c r="T8" s="253"/>
      <c r="U8" s="251"/>
      <c r="V8" s="253"/>
      <c r="W8" s="251"/>
      <c r="X8" s="253"/>
      <c r="Y8" s="251"/>
      <c r="Z8" s="253"/>
    </row>
    <row r="9" spans="1:26" s="251" customFormat="1">
      <c r="A9" s="243" t="s">
        <v>1003</v>
      </c>
      <c r="B9" s="138"/>
      <c r="C9" s="543">
        <f>ROUND(C7*C8,0)</f>
        <v>102681</v>
      </c>
      <c r="D9" s="247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R9" s="139"/>
      <c r="T9" s="139"/>
      <c r="V9" s="139"/>
      <c r="X9" s="139"/>
      <c r="Z9" s="139"/>
    </row>
    <row r="10" spans="1:26">
      <c r="C10" s="245"/>
      <c r="D10" s="257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</row>
    <row r="11" spans="1:26">
      <c r="A11" s="243" t="s">
        <v>569</v>
      </c>
      <c r="C11" s="245">
        <f>+C9</f>
        <v>102681</v>
      </c>
      <c r="D11" s="257"/>
      <c r="E11" s="258"/>
      <c r="F11" s="258"/>
      <c r="G11" s="258"/>
      <c r="H11" s="258"/>
      <c r="I11" s="258"/>
      <c r="J11" s="245"/>
      <c r="K11" s="245"/>
      <c r="L11" s="245"/>
      <c r="M11" s="245"/>
      <c r="N11" s="245"/>
      <c r="O11" s="245"/>
      <c r="P11" s="245"/>
    </row>
    <row r="12" spans="1:26">
      <c r="A12" s="243" t="s">
        <v>570</v>
      </c>
      <c r="C12" s="263">
        <f>'Link Out'!E33</f>
        <v>0.72099999999999997</v>
      </c>
      <c r="D12" s="257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</row>
    <row r="13" spans="1:26" ht="15" thickBot="1">
      <c r="A13" s="12" t="s">
        <v>571</v>
      </c>
      <c r="C13" s="262">
        <f>ROUND(C11*C12,0)</f>
        <v>74033</v>
      </c>
      <c r="D13" s="257"/>
      <c r="E13" s="245"/>
      <c r="F13" s="245"/>
      <c r="G13" s="245"/>
      <c r="H13" s="245"/>
      <c r="I13" s="258"/>
      <c r="J13" s="245"/>
      <c r="K13" s="245"/>
      <c r="L13" s="245"/>
      <c r="M13" s="245"/>
      <c r="N13" s="245"/>
      <c r="O13" s="245"/>
      <c r="P13" s="245"/>
    </row>
    <row r="14" spans="1:26" ht="15" thickTop="1">
      <c r="C14" s="259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</row>
    <row r="15" spans="1:26">
      <c r="E15" s="260"/>
      <c r="F15" s="260"/>
      <c r="G15" s="260"/>
      <c r="H15" s="260"/>
      <c r="I15" s="261"/>
      <c r="J15" s="260"/>
      <c r="K15" s="260"/>
      <c r="L15" s="260"/>
      <c r="M15" s="260"/>
      <c r="N15" s="260"/>
      <c r="O15" s="260"/>
      <c r="P15" s="260"/>
    </row>
    <row r="17" spans="4:4">
      <c r="D17" s="243"/>
    </row>
  </sheetData>
  <pageMargins left="0.7" right="0.7" top="0.75" bottom="0.75" header="0.3" footer="0.3"/>
  <pageSetup scale="84" orientation="landscape" verticalDpi="1200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topLeftCell="A13" zoomScale="80" zoomScaleNormal="80" workbookViewId="0"/>
  </sheetViews>
  <sheetFormatPr defaultColWidth="8.88671875" defaultRowHeight="14.4"/>
  <cols>
    <col min="1" max="1" width="48.44140625" style="189" customWidth="1"/>
    <col min="2" max="2" width="14" style="189" bestFit="1" customWidth="1"/>
    <col min="3" max="3" width="11.109375" style="184" bestFit="1" customWidth="1"/>
    <col min="4" max="4" width="16.6640625" style="184" customWidth="1"/>
    <col min="5" max="16384" width="8.88671875" style="12"/>
  </cols>
  <sheetData>
    <row r="1" spans="1:4">
      <c r="A1" s="183" t="s">
        <v>484</v>
      </c>
      <c r="B1" s="183"/>
      <c r="D1" s="223" t="str">
        <f>'Link In'!A26</f>
        <v>W/P - 3-1a</v>
      </c>
    </row>
    <row r="2" spans="1:4">
      <c r="A2" s="183" t="s">
        <v>939</v>
      </c>
      <c r="B2" s="183"/>
    </row>
    <row r="3" spans="1:4">
      <c r="A3" s="183" t="s">
        <v>573</v>
      </c>
      <c r="B3" s="183"/>
    </row>
    <row r="4" spans="1:4">
      <c r="A4" s="185" t="s">
        <v>934</v>
      </c>
      <c r="B4" s="185"/>
    </row>
    <row r="5" spans="1:4">
      <c r="A5" s="186"/>
      <c r="B5" s="186"/>
      <c r="C5" s="187"/>
      <c r="D5" s="224" t="str">
        <f ca="1">RIGHT(CELL("filename",$A$1),LEN(CELL("filename",$A$1))-SEARCH("\O&amp;M",CELL("filename",$A$1),1))</f>
        <v>O&amp;M\[KAWC 2018 Rate Case - Labor and Labor Related Exhibit.xlsx]OPEB Alloc</v>
      </c>
    </row>
    <row r="6" spans="1:4">
      <c r="C6" s="190"/>
      <c r="D6" s="188" t="s">
        <v>582</v>
      </c>
    </row>
    <row r="7" spans="1:4">
      <c r="B7" s="192"/>
      <c r="C7" s="193" t="s">
        <v>576</v>
      </c>
      <c r="D7" s="191" t="s">
        <v>583</v>
      </c>
    </row>
    <row r="8" spans="1:4">
      <c r="A8" s="194"/>
      <c r="B8" s="203" t="s">
        <v>171</v>
      </c>
      <c r="C8" s="195" t="s">
        <v>584</v>
      </c>
      <c r="D8" s="196" t="s">
        <v>940</v>
      </c>
    </row>
    <row r="9" spans="1:4">
      <c r="A9" s="194"/>
      <c r="B9" s="194"/>
      <c r="C9" s="197"/>
    </row>
    <row r="10" spans="1:4">
      <c r="A10" s="682"/>
      <c r="B10" s="683"/>
      <c r="C10" s="652"/>
      <c r="D10" s="653"/>
    </row>
    <row r="11" spans="1:4">
      <c r="A11" s="682"/>
      <c r="B11" s="683"/>
      <c r="C11" s="652"/>
      <c r="D11" s="653"/>
    </row>
    <row r="12" spans="1:4">
      <c r="A12" s="682"/>
      <c r="B12" s="683"/>
      <c r="C12" s="652"/>
      <c r="D12" s="653"/>
    </row>
    <row r="13" spans="1:4">
      <c r="A13" s="684"/>
      <c r="B13" s="684"/>
      <c r="C13" s="652"/>
      <c r="D13" s="653"/>
    </row>
    <row r="14" spans="1:4">
      <c r="A14" s="682"/>
      <c r="B14" s="683"/>
      <c r="C14" s="652"/>
      <c r="D14" s="653"/>
    </row>
    <row r="15" spans="1:4">
      <c r="A15" s="682"/>
      <c r="B15" s="682"/>
      <c r="C15" s="659"/>
      <c r="D15" s="653"/>
    </row>
    <row r="16" spans="1:4">
      <c r="A16" s="684"/>
      <c r="B16" s="683"/>
      <c r="C16" s="652"/>
      <c r="D16" s="653"/>
    </row>
    <row r="17" spans="1:4">
      <c r="A17" s="684"/>
      <c r="B17" s="683"/>
      <c r="C17" s="652"/>
      <c r="D17" s="653"/>
    </row>
    <row r="18" spans="1:4">
      <c r="A18" s="684"/>
      <c r="B18" s="683"/>
      <c r="C18" s="652"/>
      <c r="D18" s="653"/>
    </row>
    <row r="19" spans="1:4">
      <c r="A19" s="682"/>
      <c r="B19" s="682"/>
      <c r="C19" s="652"/>
      <c r="D19" s="660"/>
    </row>
    <row r="20" spans="1:4">
      <c r="A20" s="682"/>
      <c r="B20" s="683"/>
      <c r="C20" s="652"/>
      <c r="D20" s="653"/>
    </row>
    <row r="21" spans="1:4">
      <c r="A21" s="682"/>
      <c r="B21" s="685"/>
      <c r="C21" s="656"/>
      <c r="D21" s="661"/>
    </row>
    <row r="22" spans="1:4">
      <c r="A22" s="682"/>
      <c r="B22" s="682"/>
      <c r="C22" s="652"/>
      <c r="D22" s="660"/>
    </row>
    <row r="23" spans="1:4">
      <c r="A23" s="684"/>
      <c r="B23" s="683"/>
      <c r="C23" s="652"/>
      <c r="D23" s="653"/>
    </row>
    <row r="24" spans="1:4">
      <c r="A24" s="684"/>
      <c r="B24" s="683"/>
      <c r="C24" s="654"/>
      <c r="D24" s="655"/>
    </row>
    <row r="25" spans="1:4">
      <c r="A25" s="682"/>
      <c r="B25" s="682"/>
      <c r="C25" s="656"/>
      <c r="D25" s="661"/>
    </row>
    <row r="26" spans="1:4">
      <c r="A26" s="682"/>
      <c r="B26" s="682"/>
      <c r="C26" s="652"/>
      <c r="D26" s="660"/>
    </row>
    <row r="27" spans="1:4">
      <c r="A27" s="684"/>
      <c r="B27" s="683"/>
      <c r="C27" s="652"/>
      <c r="D27" s="653"/>
    </row>
    <row r="28" spans="1:4">
      <c r="A28" s="684"/>
      <c r="B28" s="683"/>
      <c r="C28" s="652"/>
      <c r="D28" s="653"/>
    </row>
    <row r="29" spans="1:4">
      <c r="A29" s="684"/>
      <c r="B29" s="683"/>
      <c r="C29" s="652"/>
      <c r="D29" s="653"/>
    </row>
    <row r="30" spans="1:4">
      <c r="A30" s="684"/>
      <c r="B30" s="683"/>
      <c r="C30" s="654"/>
      <c r="D30" s="655"/>
    </row>
    <row r="31" spans="1:4">
      <c r="A31" s="683"/>
      <c r="B31" s="683"/>
      <c r="C31" s="656"/>
      <c r="D31" s="661"/>
    </row>
    <row r="32" spans="1:4">
      <c r="A32" s="682"/>
      <c r="B32" s="682"/>
      <c r="C32" s="652"/>
      <c r="D32" s="660"/>
    </row>
    <row r="33" spans="1:4">
      <c r="A33" s="684"/>
      <c r="B33" s="683"/>
      <c r="C33" s="652"/>
      <c r="D33" s="653"/>
    </row>
    <row r="34" spans="1:4">
      <c r="A34" s="686"/>
      <c r="B34" s="683"/>
      <c r="C34" s="652"/>
      <c r="D34" s="653"/>
    </row>
    <row r="35" spans="1:4">
      <c r="A35" s="684"/>
      <c r="B35" s="683"/>
      <c r="C35" s="652"/>
      <c r="D35" s="653"/>
    </row>
    <row r="36" spans="1:4">
      <c r="A36" s="480" t="s">
        <v>581</v>
      </c>
      <c r="B36" s="481">
        <v>1012</v>
      </c>
      <c r="C36" s="482">
        <v>198</v>
      </c>
      <c r="D36" s="483">
        <v>2.6200000000000001E-2</v>
      </c>
    </row>
    <row r="37" spans="1:4">
      <c r="A37" s="684"/>
      <c r="B37" s="683"/>
      <c r="C37" s="652"/>
      <c r="D37" s="653"/>
    </row>
    <row r="38" spans="1:4">
      <c r="A38" s="684"/>
      <c r="B38" s="683"/>
      <c r="C38" s="652"/>
      <c r="D38" s="653"/>
    </row>
    <row r="39" spans="1:4">
      <c r="A39" s="684"/>
      <c r="B39" s="683"/>
      <c r="C39" s="654"/>
      <c r="D39" s="655"/>
    </row>
    <row r="40" spans="1:4">
      <c r="A40" s="682"/>
      <c r="B40" s="682"/>
      <c r="C40" s="656"/>
      <c r="D40" s="657"/>
    </row>
    <row r="41" spans="1:4">
      <c r="A41" s="682"/>
      <c r="B41" s="682"/>
      <c r="C41" s="652"/>
      <c r="D41" s="658"/>
    </row>
    <row r="42" spans="1:4">
      <c r="A42" s="684"/>
      <c r="B42" s="683"/>
      <c r="C42" s="652"/>
      <c r="D42" s="653"/>
    </row>
    <row r="43" spans="1:4">
      <c r="A43" s="687"/>
      <c r="B43" s="683"/>
      <c r="C43" s="654"/>
      <c r="D43" s="655"/>
    </row>
    <row r="44" spans="1:4">
      <c r="A44" s="659"/>
      <c r="B44" s="659"/>
      <c r="C44" s="656"/>
      <c r="D44" s="657"/>
    </row>
    <row r="45" spans="1:4">
      <c r="A45" s="184"/>
      <c r="B45" s="184"/>
      <c r="D45" s="198"/>
    </row>
    <row r="46" spans="1:4">
      <c r="A46" s="189" t="s">
        <v>585</v>
      </c>
      <c r="C46" s="199">
        <v>7548</v>
      </c>
      <c r="D46" s="200">
        <v>1</v>
      </c>
    </row>
    <row r="49" spans="1:4">
      <c r="A49" s="201"/>
      <c r="B49" s="201"/>
      <c r="D49" s="202"/>
    </row>
    <row r="50" spans="1:4" ht="29.4" customHeight="1">
      <c r="A50" s="737" t="s">
        <v>941</v>
      </c>
      <c r="B50" s="737"/>
      <c r="C50" s="737"/>
      <c r="D50" s="737"/>
    </row>
    <row r="51" spans="1:4">
      <c r="A51" s="182"/>
      <c r="B51" s="182"/>
    </row>
  </sheetData>
  <mergeCells count="1">
    <mergeCell ref="A50:D50"/>
  </mergeCells>
  <pageMargins left="0.7" right="0.7" top="0.75" bottom="0.75" header="0.3" footer="0.3"/>
  <pageSetup scale="96" orientation="portrait" verticalDpi="1200" r:id="rId1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="80" zoomScaleNormal="80" workbookViewId="0">
      <selection activeCell="J44" sqref="J44"/>
    </sheetView>
  </sheetViews>
  <sheetFormatPr defaultColWidth="8.88671875" defaultRowHeight="14.4"/>
  <cols>
    <col min="1" max="1" width="25" style="12" customWidth="1"/>
    <col min="2" max="2" width="19" style="12" bestFit="1" customWidth="1"/>
    <col min="3" max="3" width="14.33203125" style="12" customWidth="1"/>
    <col min="4" max="4" width="15.44140625" style="12" bestFit="1" customWidth="1"/>
    <col min="5" max="5" width="15" style="12" bestFit="1" customWidth="1"/>
    <col min="6" max="6" width="16.33203125" style="12" bestFit="1" customWidth="1"/>
    <col min="7" max="7" width="20" style="12" customWidth="1"/>
    <col min="8" max="16384" width="8.88671875" style="12"/>
  </cols>
  <sheetData>
    <row r="1" spans="1:7">
      <c r="A1" s="140" t="s">
        <v>484</v>
      </c>
      <c r="B1" s="141"/>
      <c r="C1" s="142"/>
      <c r="D1" s="141"/>
      <c r="E1" s="141"/>
      <c r="F1" s="141"/>
      <c r="G1" s="223" t="str">
        <f>'Link In'!A28</f>
        <v>W/P - 3-1c</v>
      </c>
    </row>
    <row r="2" spans="1:7">
      <c r="A2" s="143" t="s">
        <v>938</v>
      </c>
      <c r="B2" s="141"/>
      <c r="C2" s="142"/>
      <c r="D2" s="141"/>
      <c r="E2" s="141"/>
      <c r="F2" s="141"/>
    </row>
    <row r="3" spans="1:7">
      <c r="A3" s="143" t="s">
        <v>573</v>
      </c>
      <c r="B3" s="141"/>
      <c r="C3" s="142"/>
      <c r="D3" s="141"/>
      <c r="E3" s="141"/>
      <c r="F3" s="141"/>
      <c r="G3" s="141"/>
    </row>
    <row r="4" spans="1:7">
      <c r="A4" s="144" t="s">
        <v>934</v>
      </c>
      <c r="B4" s="145"/>
      <c r="C4" s="146"/>
      <c r="D4" s="147"/>
      <c r="E4" s="148"/>
      <c r="F4" s="145"/>
      <c r="G4" s="145"/>
    </row>
    <row r="5" spans="1:7">
      <c r="A5" s="149"/>
      <c r="B5" s="145"/>
      <c r="C5" s="146"/>
      <c r="D5" s="147"/>
      <c r="E5" s="148"/>
      <c r="F5" s="145"/>
      <c r="G5" s="224" t="str">
        <f ca="1">RIGHT(CELL("filename",$A$1),LEN(CELL("filename",$A$1))-SEARCH("\O&amp;M",CELL("filename",$A$1),1))</f>
        <v>O&amp;M\[KAWC 2018 Rate Case - Labor and Labor Related Exhibit.xlsx]Pension Alloc</v>
      </c>
    </row>
    <row r="6" spans="1:7">
      <c r="A6" s="140"/>
      <c r="B6" s="145"/>
      <c r="C6" s="146"/>
      <c r="D6" s="147"/>
      <c r="E6" s="473">
        <v>2017</v>
      </c>
      <c r="F6" s="472"/>
      <c r="G6" s="145"/>
    </row>
    <row r="7" spans="1:7">
      <c r="A7" s="150"/>
      <c r="B7" s="150"/>
      <c r="C7" s="151" t="s">
        <v>574</v>
      </c>
      <c r="D7" s="152" t="s">
        <v>195</v>
      </c>
      <c r="E7" s="153" t="s">
        <v>575</v>
      </c>
      <c r="F7" s="154" t="s">
        <v>576</v>
      </c>
      <c r="G7" s="154" t="s">
        <v>577</v>
      </c>
    </row>
    <row r="8" spans="1:7">
      <c r="A8" s="155" t="s">
        <v>574</v>
      </c>
      <c r="B8" s="156"/>
      <c r="C8" s="157" t="s">
        <v>578</v>
      </c>
      <c r="D8" s="158" t="s">
        <v>579</v>
      </c>
      <c r="E8" s="157" t="s">
        <v>580</v>
      </c>
      <c r="F8" s="159" t="s">
        <v>937</v>
      </c>
      <c r="G8" s="160" t="s">
        <v>576</v>
      </c>
    </row>
    <row r="9" spans="1:7">
      <c r="A9" s="161"/>
      <c r="B9" s="150"/>
      <c r="C9" s="162"/>
      <c r="D9" s="163"/>
      <c r="E9" s="164"/>
      <c r="F9" s="165"/>
      <c r="G9" s="165"/>
    </row>
    <row r="10" spans="1:7">
      <c r="A10" s="688"/>
      <c r="B10" s="689"/>
      <c r="C10" s="690"/>
      <c r="D10" s="662"/>
      <c r="E10" s="663"/>
      <c r="F10" s="664"/>
      <c r="G10" s="665"/>
    </row>
    <row r="11" spans="1:7">
      <c r="A11" s="691"/>
      <c r="B11" s="689"/>
      <c r="C11" s="692"/>
      <c r="D11" s="666"/>
      <c r="E11" s="667"/>
      <c r="F11" s="668"/>
      <c r="G11" s="665"/>
    </row>
    <row r="12" spans="1:7">
      <c r="A12" s="693"/>
      <c r="B12" s="689"/>
      <c r="C12" s="690"/>
      <c r="D12" s="662"/>
      <c r="E12" s="669"/>
      <c r="F12" s="664"/>
      <c r="G12" s="670"/>
    </row>
    <row r="13" spans="1:7">
      <c r="A13" s="693"/>
      <c r="B13" s="689"/>
      <c r="C13" s="694"/>
      <c r="D13" s="662"/>
      <c r="E13" s="669"/>
      <c r="F13" s="671"/>
      <c r="G13" s="670"/>
    </row>
    <row r="14" spans="1:7">
      <c r="A14" s="693"/>
      <c r="B14" s="689"/>
      <c r="C14" s="690"/>
      <c r="D14" s="662"/>
      <c r="E14" s="669"/>
      <c r="F14" s="664"/>
      <c r="G14" s="670"/>
    </row>
    <row r="15" spans="1:7">
      <c r="A15" s="693"/>
      <c r="B15" s="689"/>
      <c r="C15" s="690"/>
      <c r="D15" s="662"/>
      <c r="E15" s="672"/>
      <c r="F15" s="664"/>
      <c r="G15" s="670"/>
    </row>
    <row r="16" spans="1:7">
      <c r="A16" s="693"/>
      <c r="B16" s="695"/>
      <c r="C16" s="690"/>
      <c r="D16" s="662"/>
      <c r="E16" s="672"/>
      <c r="F16" s="664"/>
      <c r="G16" s="670"/>
    </row>
    <row r="17" spans="1:7">
      <c r="A17" s="693"/>
      <c r="B17" s="695"/>
      <c r="C17" s="690"/>
      <c r="D17" s="662"/>
      <c r="E17" s="672"/>
      <c r="F17" s="664"/>
      <c r="G17" s="670"/>
    </row>
    <row r="18" spans="1:7">
      <c r="A18" s="693"/>
      <c r="B18" s="695"/>
      <c r="C18" s="694"/>
      <c r="D18" s="662"/>
      <c r="E18" s="672"/>
      <c r="F18" s="664"/>
      <c r="G18" s="670"/>
    </row>
    <row r="19" spans="1:7">
      <c r="A19" s="693"/>
      <c r="B19" s="695"/>
      <c r="C19" s="690"/>
      <c r="D19" s="662"/>
      <c r="E19" s="669"/>
      <c r="F19" s="664"/>
      <c r="G19" s="670"/>
    </row>
    <row r="20" spans="1:7">
      <c r="A20" s="689"/>
      <c r="B20" s="689"/>
      <c r="C20" s="694"/>
      <c r="D20" s="662"/>
      <c r="E20" s="672"/>
      <c r="F20" s="664"/>
      <c r="G20" s="670"/>
    </row>
    <row r="21" spans="1:7">
      <c r="A21" s="688"/>
      <c r="B21" s="689"/>
      <c r="C21" s="694"/>
      <c r="D21" s="662"/>
      <c r="E21" s="672"/>
      <c r="F21" s="664"/>
      <c r="G21" s="670"/>
    </row>
    <row r="22" spans="1:7">
      <c r="A22" s="689"/>
      <c r="B22" s="689"/>
      <c r="C22" s="690"/>
      <c r="D22" s="662"/>
      <c r="E22" s="669"/>
      <c r="F22" s="664"/>
      <c r="G22" s="670"/>
    </row>
    <row r="23" spans="1:7">
      <c r="A23" s="696"/>
      <c r="B23" s="689"/>
      <c r="C23" s="690"/>
      <c r="D23" s="673"/>
      <c r="E23" s="674"/>
      <c r="F23" s="664"/>
      <c r="G23" s="675"/>
    </row>
    <row r="24" spans="1:7">
      <c r="A24" s="696"/>
      <c r="B24" s="689"/>
      <c r="C24" s="694"/>
      <c r="D24" s="676"/>
      <c r="E24" s="672"/>
      <c r="F24" s="664"/>
      <c r="G24" s="670"/>
    </row>
    <row r="25" spans="1:7">
      <c r="A25" s="696"/>
      <c r="B25" s="689"/>
      <c r="C25" s="694"/>
      <c r="D25" s="676"/>
      <c r="E25" s="672"/>
      <c r="F25" s="664"/>
      <c r="G25" s="670"/>
    </row>
    <row r="26" spans="1:7">
      <c r="A26" s="688"/>
      <c r="B26" s="689"/>
      <c r="C26" s="694"/>
      <c r="D26" s="662"/>
      <c r="E26" s="672"/>
      <c r="F26" s="664"/>
      <c r="G26" s="670"/>
    </row>
    <row r="27" spans="1:7">
      <c r="A27" s="688"/>
      <c r="B27" s="689"/>
      <c r="C27" s="690"/>
      <c r="D27" s="662"/>
      <c r="E27" s="669"/>
      <c r="F27" s="664"/>
      <c r="G27" s="670"/>
    </row>
    <row r="28" spans="1:7">
      <c r="A28" s="688"/>
      <c r="B28" s="689"/>
      <c r="C28" s="690"/>
      <c r="D28" s="662"/>
      <c r="E28" s="672"/>
      <c r="F28" s="664"/>
      <c r="G28" s="670"/>
    </row>
    <row r="29" spans="1:7">
      <c r="A29" s="688"/>
      <c r="B29" s="689"/>
      <c r="C29" s="690"/>
      <c r="D29" s="662"/>
      <c r="E29" s="672"/>
      <c r="F29" s="664"/>
      <c r="G29" s="670"/>
    </row>
    <row r="30" spans="1:7">
      <c r="A30" s="696"/>
      <c r="B30" s="689"/>
      <c r="C30" s="690"/>
      <c r="D30" s="673"/>
      <c r="E30" s="674"/>
      <c r="F30" s="677"/>
      <c r="G30" s="675"/>
    </row>
    <row r="31" spans="1:7">
      <c r="A31" s="696"/>
      <c r="B31" s="689"/>
      <c r="C31" s="694"/>
      <c r="D31" s="676"/>
      <c r="E31" s="672"/>
      <c r="F31" s="664"/>
      <c r="G31" s="670"/>
    </row>
    <row r="32" spans="1:7">
      <c r="A32" s="689"/>
      <c r="B32" s="689"/>
      <c r="C32" s="694"/>
      <c r="D32" s="662"/>
      <c r="E32" s="678"/>
      <c r="F32" s="664"/>
      <c r="G32" s="679"/>
    </row>
    <row r="33" spans="1:7">
      <c r="A33" s="688"/>
      <c r="B33" s="689"/>
      <c r="C33" s="694"/>
      <c r="D33" s="662"/>
      <c r="E33" s="678"/>
      <c r="F33" s="664"/>
      <c r="G33" s="679"/>
    </row>
    <row r="34" spans="1:7">
      <c r="A34" s="693"/>
      <c r="B34" s="689"/>
      <c r="C34" s="690"/>
      <c r="D34" s="662"/>
      <c r="E34" s="669"/>
      <c r="F34" s="664"/>
      <c r="G34" s="670"/>
    </row>
    <row r="35" spans="1:7">
      <c r="A35" s="689"/>
      <c r="B35" s="697"/>
      <c r="C35" s="690"/>
      <c r="D35" s="662"/>
      <c r="E35" s="672"/>
      <c r="F35" s="664"/>
      <c r="G35" s="670"/>
    </row>
    <row r="36" spans="1:7">
      <c r="A36" s="689"/>
      <c r="B36" s="689"/>
      <c r="C36" s="690"/>
      <c r="D36" s="662"/>
      <c r="E36" s="672"/>
      <c r="F36" s="664"/>
      <c r="G36" s="670"/>
    </row>
    <row r="37" spans="1:7">
      <c r="A37" s="474"/>
      <c r="B37" s="474" t="s">
        <v>935</v>
      </c>
      <c r="C37" s="475">
        <v>1012</v>
      </c>
      <c r="D37" s="476">
        <v>53</v>
      </c>
      <c r="E37" s="477">
        <v>3715850</v>
      </c>
      <c r="F37" s="478">
        <v>1.6899999999999998E-2</v>
      </c>
      <c r="G37" s="479">
        <v>698200</v>
      </c>
    </row>
    <row r="38" spans="1:7">
      <c r="A38" s="689"/>
      <c r="B38" s="689"/>
      <c r="C38" s="690"/>
      <c r="D38" s="662"/>
      <c r="E38" s="672"/>
      <c r="F38" s="664"/>
      <c r="G38" s="670"/>
    </row>
    <row r="39" spans="1:7">
      <c r="A39" s="689"/>
      <c r="B39" s="689"/>
      <c r="C39" s="690"/>
      <c r="D39" s="662"/>
      <c r="E39" s="672"/>
      <c r="F39" s="664"/>
      <c r="G39" s="670"/>
    </row>
    <row r="40" spans="1:7">
      <c r="A40" s="689"/>
      <c r="B40" s="689"/>
      <c r="C40" s="690"/>
      <c r="D40" s="673"/>
      <c r="E40" s="674"/>
      <c r="F40" s="664"/>
      <c r="G40" s="675"/>
    </row>
    <row r="41" spans="1:7">
      <c r="A41" s="689"/>
      <c r="B41" s="696"/>
      <c r="C41" s="681"/>
      <c r="D41" s="676"/>
      <c r="E41" s="672"/>
      <c r="F41" s="664"/>
      <c r="G41" s="670"/>
    </row>
    <row r="42" spans="1:7">
      <c r="A42" s="689"/>
      <c r="B42" s="696"/>
      <c r="C42" s="681"/>
      <c r="D42" s="676"/>
      <c r="E42" s="672"/>
      <c r="F42" s="664"/>
      <c r="G42" s="670"/>
    </row>
    <row r="43" spans="1:7">
      <c r="A43" s="688"/>
      <c r="B43" s="696"/>
      <c r="C43" s="681"/>
      <c r="D43" s="680"/>
      <c r="E43" s="678"/>
      <c r="F43" s="681"/>
      <c r="G43" s="679"/>
    </row>
    <row r="44" spans="1:7">
      <c r="A44" s="689"/>
      <c r="B44" s="689"/>
      <c r="C44" s="690"/>
      <c r="D44" s="662"/>
      <c r="E44" s="669"/>
      <c r="F44" s="664"/>
      <c r="G44" s="670"/>
    </row>
    <row r="45" spans="1:7">
      <c r="A45" s="689"/>
      <c r="B45" s="698"/>
      <c r="C45" s="690"/>
      <c r="D45" s="673"/>
      <c r="E45" s="674"/>
      <c r="F45" s="664"/>
      <c r="G45" s="675"/>
    </row>
    <row r="46" spans="1:7">
      <c r="A46" s="693"/>
      <c r="B46" s="695"/>
      <c r="C46" s="699"/>
      <c r="D46" s="676"/>
      <c r="E46" s="672"/>
      <c r="F46" s="664"/>
      <c r="G46" s="670"/>
    </row>
    <row r="47" spans="1:7">
      <c r="A47" s="171"/>
      <c r="B47" s="149"/>
      <c r="C47" s="176"/>
      <c r="D47" s="172"/>
      <c r="E47" s="170"/>
      <c r="F47" s="168"/>
      <c r="G47" s="169"/>
    </row>
    <row r="48" spans="1:7">
      <c r="A48" s="150"/>
      <c r="B48" s="166" t="s">
        <v>476</v>
      </c>
      <c r="C48" s="146"/>
      <c r="D48" s="173">
        <v>2681</v>
      </c>
      <c r="E48" s="167">
        <v>219920946</v>
      </c>
      <c r="F48" s="168">
        <v>0.99999999999999978</v>
      </c>
      <c r="G48" s="169">
        <v>41313611</v>
      </c>
    </row>
    <row r="49" spans="1:7">
      <c r="A49" s="150"/>
      <c r="B49" s="175"/>
      <c r="C49" s="146"/>
      <c r="D49" s="177"/>
      <c r="E49" s="173"/>
      <c r="F49" s="178"/>
      <c r="G49" s="179"/>
    </row>
    <row r="50" spans="1:7" ht="31.2" customHeight="1">
      <c r="A50" s="738" t="s">
        <v>936</v>
      </c>
      <c r="B50" s="738"/>
      <c r="C50" s="738"/>
      <c r="D50" s="738"/>
      <c r="E50" s="738"/>
      <c r="F50" s="738"/>
      <c r="G50" s="738"/>
    </row>
    <row r="51" spans="1:7">
      <c r="A51" s="174"/>
      <c r="B51" s="150"/>
      <c r="C51" s="146"/>
      <c r="D51" s="177"/>
      <c r="E51" s="180"/>
      <c r="F51" s="181"/>
      <c r="G51" s="181"/>
    </row>
    <row r="52" spans="1:7">
      <c r="A52" s="150"/>
      <c r="B52" s="150"/>
      <c r="C52" s="146"/>
      <c r="D52" s="177"/>
      <c r="E52" s="180"/>
      <c r="F52" s="178"/>
      <c r="G52" s="178"/>
    </row>
  </sheetData>
  <mergeCells count="1">
    <mergeCell ref="A50:G50"/>
  </mergeCells>
  <pageMargins left="0.7" right="0.7" top="0.75" bottom="0.75" header="0.3" footer="0.3"/>
  <pageSetup scale="80" orientation="portrait" verticalDpi="1200" r:id="rId1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80" zoomScaleNormal="80" workbookViewId="0">
      <pane ySplit="8" topLeftCell="A9" activePane="bottomLeft" state="frozen"/>
      <selection activeCell="E21" sqref="E21"/>
      <selection pane="bottomLeft" activeCell="A9" sqref="A9"/>
    </sheetView>
  </sheetViews>
  <sheetFormatPr defaultRowHeight="13.8"/>
  <sheetData/>
  <conditionalFormatting sqref="M23:M24">
    <cfRule type="cellIs" dxfId="1" priority="2" operator="lessThan">
      <formula>0</formula>
    </cfRule>
  </conditionalFormatting>
  <conditionalFormatting sqref="N23:N24">
    <cfRule type="cellIs" dxfId="0" priority="1" operator="lessThan">
      <formula>0</formula>
    </cfRule>
  </conditionalFormatting>
  <pageMargins left="0.7" right="0.7" top="0.75" bottom="0.75" header="0.3" footer="0.3"/>
  <pageSetup scale="63" fitToHeight="0" orientation="portrait" r:id="rId1"/>
  <customProperties>
    <customPr name="_pios_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workbookViewId="0"/>
  </sheetViews>
  <sheetFormatPr defaultColWidth="9.109375" defaultRowHeight="13.8"/>
  <cols>
    <col min="1" max="1" width="9.109375" style="104"/>
    <col min="2" max="2" width="82.44140625" style="104" customWidth="1"/>
    <col min="3" max="16384" width="9.109375" style="104"/>
  </cols>
  <sheetData>
    <row r="1" spans="1:4" ht="14.4">
      <c r="A1" s="222" t="s">
        <v>603</v>
      </c>
      <c r="B1" s="222"/>
      <c r="D1" s="223" t="s">
        <v>755</v>
      </c>
    </row>
    <row r="2" spans="1:4" ht="14.4">
      <c r="A2" s="222" t="s">
        <v>604</v>
      </c>
      <c r="B2" s="222"/>
      <c r="D2" s="224" t="str">
        <f ca="1">RIGHT(CELL("filename",$A$1),LEN(CELL("filename",$A$1))-SEARCH("\O&amp;M",CELL("filename",$A$1),1))</f>
        <v>O&amp;M\[KAWC 2018 Rate Case - Labor and Labor Related Exhibit.xlsx]Notes</v>
      </c>
    </row>
    <row r="3" spans="1:4" ht="14.4">
      <c r="A3" s="222"/>
      <c r="B3" s="222"/>
      <c r="D3" s="223"/>
    </row>
    <row r="4" spans="1:4" ht="14.4">
      <c r="A4" s="2" t="s">
        <v>610</v>
      </c>
    </row>
    <row r="7" spans="1:4" ht="41.4">
      <c r="A7" s="299" t="s">
        <v>201</v>
      </c>
      <c r="B7" s="300" t="s">
        <v>1128</v>
      </c>
    </row>
    <row r="8" spans="1:4" ht="27.6">
      <c r="A8" s="299" t="s">
        <v>660</v>
      </c>
      <c r="B8" s="300" t="s">
        <v>1129</v>
      </c>
    </row>
    <row r="9" spans="1:4" ht="27.6">
      <c r="A9" s="299" t="s">
        <v>661</v>
      </c>
      <c r="B9" s="300" t="s">
        <v>1130</v>
      </c>
    </row>
    <row r="10" spans="1:4" ht="27.6">
      <c r="A10" s="299" t="s">
        <v>662</v>
      </c>
      <c r="B10" s="300" t="s">
        <v>659</v>
      </c>
    </row>
  </sheetData>
  <pageMargins left="0.7" right="0.7" top="0.75" bottom="0.75" header="0.3" footer="0.3"/>
  <pageSetup fitToHeight="0" orientation="landscape" verticalDpi="0" r:id="rId1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1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3" sqref="G3"/>
    </sheetView>
  </sheetViews>
  <sheetFormatPr defaultColWidth="8.88671875" defaultRowHeight="14.4" outlineLevelCol="2"/>
  <cols>
    <col min="1" max="1" width="5.33203125" style="12" customWidth="1"/>
    <col min="2" max="2" width="5.6640625" style="35" customWidth="1"/>
    <col min="3" max="3" width="10.88671875" style="12" customWidth="1" outlineLevel="2"/>
    <col min="4" max="4" width="12.33203125" style="12" bestFit="1" customWidth="1"/>
    <col min="5" max="5" width="25" style="12" bestFit="1" customWidth="1"/>
    <col min="6" max="6" width="29" style="12" bestFit="1" customWidth="1"/>
    <col min="7" max="7" width="35.5546875" style="12" customWidth="1" outlineLevel="1"/>
    <col min="8" max="8" width="11.88671875" style="12" customWidth="1" outlineLevel="1"/>
    <col min="9" max="9" width="12.44140625" style="12" customWidth="1" outlineLevel="1"/>
    <col min="10" max="10" width="13.109375" style="24" customWidth="1" outlineLevel="2"/>
    <col min="11" max="15" width="13.109375" style="12" customWidth="1"/>
    <col min="16" max="16" width="11.109375" style="12" customWidth="1"/>
    <col min="17" max="20" width="10.44140625" style="12" customWidth="1"/>
    <col min="21" max="21" width="11.5546875" style="12" customWidth="1"/>
    <col min="22" max="22" width="1.6640625" style="12" customWidth="1"/>
    <col min="23" max="23" width="14" style="12" customWidth="1"/>
    <col min="24" max="24" width="9.44140625" style="12" customWidth="1"/>
    <col min="25" max="25" width="8.6640625" style="12" customWidth="1"/>
    <col min="26" max="26" width="8.88671875" style="12" customWidth="1"/>
    <col min="27" max="27" width="10.33203125" style="12" customWidth="1"/>
    <col min="28" max="28" width="1.6640625" style="12" customWidth="1"/>
    <col min="29" max="30" width="10.88671875" style="12" customWidth="1" outlineLevel="1"/>
    <col min="31" max="31" width="1.6640625" style="12" customWidth="1" outlineLevel="1"/>
    <col min="32" max="32" width="8.88671875" style="12" customWidth="1"/>
    <col min="33" max="33" width="28.33203125" style="12" customWidth="1" outlineLevel="1"/>
    <col min="34" max="34" width="11.6640625" style="12" customWidth="1"/>
    <col min="35" max="35" width="12.6640625" style="12" customWidth="1"/>
    <col min="36" max="36" width="10.109375" style="12" customWidth="1"/>
    <col min="37" max="37" width="8.88671875" style="12" customWidth="1"/>
    <col min="38" max="38" width="1.6640625" style="12" customWidth="1"/>
    <col min="39" max="39" width="19.6640625" style="12" customWidth="1"/>
    <col min="40" max="40" width="17.44140625" style="12" customWidth="1"/>
    <col min="41" max="41" width="17.6640625" style="12" customWidth="1"/>
    <col min="42" max="42" width="14.88671875" style="12" customWidth="1"/>
    <col min="43" max="43" width="14.44140625" style="12" customWidth="1"/>
    <col min="44" max="44" width="11.6640625" style="12" customWidth="1"/>
    <col min="45" max="45" width="15.44140625" style="12" customWidth="1"/>
    <col min="46" max="46" width="16" style="12" customWidth="1"/>
    <col min="47" max="47" width="16.109375" style="12" customWidth="1"/>
    <col min="48" max="48" width="1.6640625" style="12" customWidth="1"/>
    <col min="49" max="49" width="11" style="12" bestFit="1" customWidth="1"/>
    <col min="50" max="50" width="8.88671875" style="12"/>
    <col min="51" max="51" width="1.6640625" style="12" customWidth="1"/>
    <col min="52" max="52" width="17.6640625" style="12" customWidth="1"/>
    <col min="53" max="53" width="14.6640625" style="12" customWidth="1"/>
    <col min="54" max="54" width="10" style="12" customWidth="1"/>
    <col min="55" max="55" width="17.33203125" style="12" customWidth="1"/>
    <col min="56" max="56" width="1.6640625" style="12" customWidth="1"/>
    <col min="57" max="57" width="17.6640625" style="12" customWidth="1"/>
    <col min="58" max="58" width="14.6640625" style="12" customWidth="1"/>
    <col min="59" max="59" width="10" style="12" customWidth="1"/>
    <col min="60" max="60" width="17.33203125" style="12" customWidth="1"/>
    <col min="61" max="61" width="1.6640625" style="12" customWidth="1"/>
    <col min="62" max="65" width="8.88671875" style="12" customWidth="1"/>
    <col min="66" max="66" width="10.5546875" style="12" customWidth="1"/>
    <col min="67" max="67" width="1.6640625" style="12" customWidth="1"/>
    <col min="68" max="68" width="10.6640625" style="12" customWidth="1"/>
    <col min="69" max="72" width="8.88671875" style="12" customWidth="1"/>
    <col min="73" max="73" width="1.6640625" style="12" customWidth="1"/>
    <col min="74" max="74" width="8.88671875" style="12" customWidth="1"/>
    <col min="75" max="75" width="13.6640625" style="12" customWidth="1"/>
    <col min="76" max="77" width="8.88671875" style="12" customWidth="1"/>
    <col min="78" max="78" width="1.6640625" style="12" customWidth="1"/>
    <col min="79" max="79" width="8.88671875" style="12" customWidth="1"/>
    <col min="80" max="80" width="13.6640625" style="12" customWidth="1"/>
    <col min="81" max="82" width="8.88671875" style="12" customWidth="1"/>
    <col min="83" max="83" width="1.6640625" style="12" customWidth="1"/>
    <col min="84" max="84" width="14.109375" style="12" bestFit="1" customWidth="1"/>
    <col min="85" max="85" width="17.44140625" style="12" bestFit="1" customWidth="1"/>
    <col min="86" max="86" width="14" style="12" bestFit="1" customWidth="1"/>
    <col min="87" max="87" width="14.44140625" style="12" bestFit="1" customWidth="1"/>
    <col min="88" max="88" width="11.6640625" style="12" bestFit="1" customWidth="1"/>
    <col min="89" max="89" width="15.44140625" style="12" bestFit="1" customWidth="1"/>
    <col min="90" max="90" width="16" style="12" bestFit="1" customWidth="1"/>
    <col min="91" max="91" width="16.109375" style="12" bestFit="1" customWidth="1"/>
    <col min="92" max="92" width="1.6640625" style="12" customWidth="1"/>
    <col min="93" max="93" width="14.109375" style="12" bestFit="1" customWidth="1"/>
    <col min="94" max="94" width="16.33203125" style="12" bestFit="1" customWidth="1"/>
    <col min="95" max="95" width="14" style="12" bestFit="1" customWidth="1"/>
    <col min="96" max="96" width="14.44140625" style="12" bestFit="1" customWidth="1"/>
    <col min="97" max="97" width="11.6640625" style="12" bestFit="1" customWidth="1"/>
    <col min="98" max="98" width="15.44140625" style="12" bestFit="1" customWidth="1"/>
    <col min="99" max="99" width="16" style="12" bestFit="1" customWidth="1"/>
    <col min="100" max="100" width="16.109375" style="12" bestFit="1" customWidth="1"/>
    <col min="101" max="16384" width="8.88671875" style="12"/>
  </cols>
  <sheetData>
    <row r="1" spans="1:100">
      <c r="A1" s="93" t="s">
        <v>431</v>
      </c>
      <c r="G1" s="82"/>
      <c r="H1" s="82"/>
      <c r="I1" s="82"/>
      <c r="AQ1" s="9"/>
    </row>
    <row r="2" spans="1:100">
      <c r="A2" s="2" t="s">
        <v>164</v>
      </c>
      <c r="G2" s="82"/>
      <c r="H2" s="82"/>
      <c r="I2" s="82"/>
      <c r="N2" s="26"/>
      <c r="AF2" s="45"/>
      <c r="AG2" s="45"/>
      <c r="CP2" s="44"/>
    </row>
    <row r="3" spans="1:100">
      <c r="A3" s="2" t="s">
        <v>1131</v>
      </c>
      <c r="F3" s="722" t="s">
        <v>1134</v>
      </c>
      <c r="G3" s="723" t="s">
        <v>1134</v>
      </c>
      <c r="H3" s="82"/>
      <c r="I3" s="82"/>
      <c r="N3" s="26"/>
    </row>
    <row r="4" spans="1:100" ht="43.2" customHeight="1">
      <c r="A4" s="2" t="s">
        <v>112</v>
      </c>
      <c r="K4" s="740" t="s">
        <v>165</v>
      </c>
      <c r="L4" s="740"/>
      <c r="M4" s="740"/>
      <c r="N4" s="740"/>
      <c r="O4" s="740"/>
      <c r="P4" s="740"/>
      <c r="Q4" s="740"/>
      <c r="R4" s="740"/>
      <c r="S4" s="740"/>
      <c r="T4" s="741"/>
      <c r="U4" s="740"/>
      <c r="W4" s="742" t="s">
        <v>118</v>
      </c>
      <c r="X4" s="742"/>
      <c r="Y4" s="742"/>
      <c r="Z4" s="742"/>
      <c r="AA4" s="742"/>
      <c r="AC4" s="42" t="s">
        <v>79</v>
      </c>
      <c r="AD4" s="42" t="s">
        <v>79</v>
      </c>
      <c r="AE4" s="1"/>
      <c r="AF4" s="743" t="s">
        <v>80</v>
      </c>
      <c r="AG4" s="743"/>
      <c r="AH4" s="743"/>
      <c r="AI4" s="743"/>
      <c r="AJ4" s="743"/>
      <c r="AK4" s="743"/>
      <c r="AM4" s="743" t="s">
        <v>81</v>
      </c>
      <c r="AN4" s="743"/>
      <c r="AO4" s="743"/>
      <c r="AP4" s="743"/>
      <c r="AQ4" s="743"/>
      <c r="AR4" s="743"/>
      <c r="AS4" s="743"/>
      <c r="AT4" s="743"/>
      <c r="AU4" s="743"/>
      <c r="AZ4" s="744" t="s">
        <v>552</v>
      </c>
      <c r="BA4" s="744"/>
      <c r="BB4" s="744"/>
      <c r="BC4" s="744"/>
      <c r="BE4" s="745" t="s">
        <v>553</v>
      </c>
      <c r="BF4" s="745"/>
      <c r="BG4" s="745"/>
      <c r="BH4" s="745"/>
      <c r="BJ4" s="742" t="s">
        <v>554</v>
      </c>
      <c r="BK4" s="742"/>
      <c r="BL4" s="742"/>
      <c r="BM4" s="742"/>
      <c r="BN4" s="742"/>
      <c r="BP4" s="746" t="s">
        <v>555</v>
      </c>
      <c r="BQ4" s="746"/>
      <c r="BR4" s="746"/>
      <c r="BS4" s="746"/>
      <c r="BT4" s="746"/>
      <c r="BV4" s="743" t="s">
        <v>556</v>
      </c>
      <c r="BW4" s="743"/>
      <c r="BX4" s="743"/>
      <c r="BY4" s="743"/>
      <c r="CA4" s="739" t="s">
        <v>557</v>
      </c>
      <c r="CB4" s="739"/>
      <c r="CC4" s="739"/>
      <c r="CD4" s="739"/>
      <c r="CF4" s="743" t="s">
        <v>558</v>
      </c>
      <c r="CG4" s="743"/>
      <c r="CH4" s="743"/>
      <c r="CI4" s="743"/>
      <c r="CJ4" s="743"/>
      <c r="CK4" s="743"/>
      <c r="CL4" s="743"/>
      <c r="CM4" s="743"/>
      <c r="CO4" s="739" t="s">
        <v>559</v>
      </c>
      <c r="CP4" s="739"/>
      <c r="CQ4" s="739"/>
      <c r="CR4" s="739"/>
      <c r="CS4" s="739"/>
      <c r="CT4" s="739"/>
      <c r="CU4" s="739"/>
      <c r="CV4" s="739"/>
    </row>
    <row r="5" spans="1:100" ht="57.6">
      <c r="A5" s="3" t="s">
        <v>82</v>
      </c>
      <c r="B5" s="36" t="s">
        <v>83</v>
      </c>
      <c r="C5" s="3" t="s">
        <v>101</v>
      </c>
      <c r="D5" s="3" t="s">
        <v>2</v>
      </c>
      <c r="E5" s="86" t="s">
        <v>100</v>
      </c>
      <c r="F5" s="86" t="s">
        <v>1</v>
      </c>
      <c r="G5" s="278" t="s">
        <v>477</v>
      </c>
      <c r="H5" s="86" t="s">
        <v>895</v>
      </c>
      <c r="I5" s="86" t="s">
        <v>896</v>
      </c>
      <c r="J5" s="25" t="s">
        <v>189</v>
      </c>
      <c r="K5" s="3" t="s">
        <v>894</v>
      </c>
      <c r="L5" s="6" t="s">
        <v>897</v>
      </c>
      <c r="M5" s="6" t="s">
        <v>898</v>
      </c>
      <c r="N5" s="6" t="s">
        <v>108</v>
      </c>
      <c r="O5" s="3" t="s">
        <v>99</v>
      </c>
      <c r="P5" s="6" t="s">
        <v>497</v>
      </c>
      <c r="Q5" s="6" t="s">
        <v>534</v>
      </c>
      <c r="R5" s="6" t="s">
        <v>102</v>
      </c>
      <c r="S5" s="337" t="s">
        <v>677</v>
      </c>
      <c r="T5" s="6" t="s">
        <v>678</v>
      </c>
      <c r="U5" s="6" t="s">
        <v>103</v>
      </c>
      <c r="W5" s="3" t="s">
        <v>88</v>
      </c>
      <c r="X5" s="3" t="s">
        <v>89</v>
      </c>
      <c r="Y5" s="3" t="s">
        <v>90</v>
      </c>
      <c r="Z5" s="3" t="s">
        <v>91</v>
      </c>
      <c r="AA5" s="8" t="s">
        <v>92</v>
      </c>
      <c r="AC5" s="7" t="s">
        <v>683</v>
      </c>
      <c r="AD5" s="7"/>
      <c r="AE5" s="4" t="s">
        <v>84</v>
      </c>
      <c r="AF5" s="5" t="s">
        <v>85</v>
      </c>
      <c r="AG5" s="5" t="s">
        <v>138</v>
      </c>
      <c r="AH5" s="8" t="s">
        <v>77</v>
      </c>
      <c r="AI5" s="8" t="s">
        <v>86</v>
      </c>
      <c r="AJ5" s="8" t="s">
        <v>87</v>
      </c>
      <c r="AK5" s="8" t="s">
        <v>58</v>
      </c>
      <c r="AM5" s="3" t="s">
        <v>93</v>
      </c>
      <c r="AN5" s="3" t="s">
        <v>94</v>
      </c>
      <c r="AO5" s="8" t="s">
        <v>95</v>
      </c>
      <c r="AP5" s="3" t="s">
        <v>163</v>
      </c>
      <c r="AQ5" s="3" t="s">
        <v>96</v>
      </c>
      <c r="AR5" s="3" t="s">
        <v>97</v>
      </c>
      <c r="AS5" s="3" t="s">
        <v>72</v>
      </c>
      <c r="AT5" s="3" t="s">
        <v>73</v>
      </c>
      <c r="AU5" s="3" t="s">
        <v>98</v>
      </c>
      <c r="AW5" s="6" t="s">
        <v>478</v>
      </c>
      <c r="AX5" s="6" t="s">
        <v>485</v>
      </c>
      <c r="AZ5" s="3" t="s">
        <v>99</v>
      </c>
      <c r="BA5" s="6" t="s">
        <v>102</v>
      </c>
      <c r="BB5" s="337" t="s">
        <v>677</v>
      </c>
      <c r="BC5" s="3" t="s">
        <v>103</v>
      </c>
      <c r="BE5" s="3" t="s">
        <v>99</v>
      </c>
      <c r="BF5" s="6" t="s">
        <v>102</v>
      </c>
      <c r="BG5" s="337" t="s">
        <v>677</v>
      </c>
      <c r="BH5" s="3" t="s">
        <v>103</v>
      </c>
      <c r="BJ5" s="3" t="s">
        <v>88</v>
      </c>
      <c r="BK5" s="3" t="s">
        <v>89</v>
      </c>
      <c r="BL5" s="3" t="s">
        <v>90</v>
      </c>
      <c r="BM5" s="3" t="s">
        <v>91</v>
      </c>
      <c r="BN5" s="8" t="s">
        <v>92</v>
      </c>
      <c r="BP5" s="3" t="s">
        <v>88</v>
      </c>
      <c r="BQ5" s="3" t="s">
        <v>89</v>
      </c>
      <c r="BR5" s="3" t="s">
        <v>90</v>
      </c>
      <c r="BS5" s="3" t="s">
        <v>91</v>
      </c>
      <c r="BT5" s="8" t="s">
        <v>92</v>
      </c>
      <c r="BV5" s="8" t="s">
        <v>77</v>
      </c>
      <c r="BW5" s="7" t="s">
        <v>86</v>
      </c>
      <c r="BX5" s="8" t="s">
        <v>87</v>
      </c>
      <c r="BY5" s="7" t="s">
        <v>58</v>
      </c>
      <c r="CA5" s="8" t="s">
        <v>77</v>
      </c>
      <c r="CB5" s="7" t="s">
        <v>86</v>
      </c>
      <c r="CC5" s="8" t="s">
        <v>87</v>
      </c>
      <c r="CD5" s="7" t="s">
        <v>58</v>
      </c>
      <c r="CF5" s="3" t="s">
        <v>93</v>
      </c>
      <c r="CG5" s="3" t="s">
        <v>94</v>
      </c>
      <c r="CH5" s="8" t="s">
        <v>95</v>
      </c>
      <c r="CI5" s="3" t="s">
        <v>96</v>
      </c>
      <c r="CJ5" s="3" t="s">
        <v>97</v>
      </c>
      <c r="CK5" s="3" t="s">
        <v>72</v>
      </c>
      <c r="CL5" s="3" t="s">
        <v>73</v>
      </c>
      <c r="CM5" s="3" t="s">
        <v>98</v>
      </c>
      <c r="CO5" s="3" t="s">
        <v>93</v>
      </c>
      <c r="CP5" s="3" t="s">
        <v>94</v>
      </c>
      <c r="CQ5" s="8" t="s">
        <v>95</v>
      </c>
      <c r="CR5" s="3" t="s">
        <v>96</v>
      </c>
      <c r="CS5" s="3" t="s">
        <v>97</v>
      </c>
      <c r="CT5" s="3" t="s">
        <v>72</v>
      </c>
      <c r="CU5" s="3" t="s">
        <v>73</v>
      </c>
      <c r="CV5" s="3" t="s">
        <v>98</v>
      </c>
    </row>
    <row r="6" spans="1:100">
      <c r="A6" s="22">
        <v>1</v>
      </c>
      <c r="B6" s="37">
        <v>1</v>
      </c>
      <c r="C6" s="496"/>
      <c r="D6" s="12" t="s">
        <v>1043</v>
      </c>
      <c r="E6" s="12" t="s">
        <v>1042</v>
      </c>
      <c r="F6" s="701"/>
      <c r="G6" s="701"/>
      <c r="H6" s="34">
        <v>0.05</v>
      </c>
      <c r="I6" s="34">
        <v>0</v>
      </c>
      <c r="J6" s="24" t="s">
        <v>986</v>
      </c>
      <c r="K6" s="457">
        <v>26.32</v>
      </c>
      <c r="L6" s="457">
        <v>27.07</v>
      </c>
      <c r="M6" s="457">
        <v>27.86</v>
      </c>
      <c r="N6" s="457">
        <v>27.26</v>
      </c>
      <c r="O6" s="30">
        <v>56918.879999999997</v>
      </c>
      <c r="P6" s="23">
        <v>0</v>
      </c>
      <c r="Q6" s="23">
        <v>1.5814610844194901</v>
      </c>
      <c r="R6" s="30">
        <v>0</v>
      </c>
      <c r="S6" s="30">
        <v>2845.944</v>
      </c>
      <c r="T6" s="457">
        <v>0</v>
      </c>
      <c r="U6" s="30">
        <v>59764.824000000001</v>
      </c>
      <c r="W6" s="30">
        <v>3705.4190880000001</v>
      </c>
      <c r="X6" s="30">
        <v>866.58994800000005</v>
      </c>
      <c r="Y6" s="30">
        <v>122.4</v>
      </c>
      <c r="Z6" s="30">
        <v>41.999999999999986</v>
      </c>
      <c r="AA6" s="44">
        <v>4736.409036</v>
      </c>
      <c r="AC6" s="44">
        <v>56918.879999999997</v>
      </c>
      <c r="AD6" s="44">
        <v>59764.824000000001</v>
      </c>
      <c r="AF6" s="46">
        <v>3.2651515151515154E-2</v>
      </c>
      <c r="AG6" s="429" t="s">
        <v>128</v>
      </c>
      <c r="AH6" s="44">
        <v>1951.4120563636366</v>
      </c>
      <c r="AI6" s="44">
        <v>2988.2411999999999</v>
      </c>
      <c r="AJ6" s="44">
        <v>0</v>
      </c>
      <c r="AK6" s="44">
        <v>0</v>
      </c>
      <c r="AM6" s="44">
        <v>17131.575774647899</v>
      </c>
      <c r="AN6" s="44">
        <v>-2573.515492957747</v>
      </c>
      <c r="AO6" s="44">
        <v>14558.060281690152</v>
      </c>
      <c r="AP6" s="44">
        <v>86000</v>
      </c>
      <c r="AQ6" s="44">
        <v>177.50399999999996</v>
      </c>
      <c r="AR6" s="44">
        <v>20.64</v>
      </c>
      <c r="AS6" s="44">
        <v>142.2972</v>
      </c>
      <c r="AT6" s="44">
        <v>45.24</v>
      </c>
      <c r="AU6" s="44">
        <v>14943.741481690158</v>
      </c>
      <c r="AW6" s="102">
        <v>1</v>
      </c>
      <c r="AX6" s="102">
        <v>0.2</v>
      </c>
      <c r="AZ6" s="44">
        <v>56918.879999999997</v>
      </c>
      <c r="BA6" s="44">
        <v>0</v>
      </c>
      <c r="BB6" s="44">
        <v>2845.944</v>
      </c>
      <c r="BC6" s="44">
        <v>59764.824000000001</v>
      </c>
      <c r="BE6" s="44">
        <v>45535.103999999999</v>
      </c>
      <c r="BF6" s="44">
        <v>0</v>
      </c>
      <c r="BG6" s="44">
        <v>2845.944</v>
      </c>
      <c r="BH6" s="44">
        <v>48381.048000000003</v>
      </c>
      <c r="BJ6" s="44">
        <v>3705.4190880000001</v>
      </c>
      <c r="BK6" s="44">
        <v>866.58994800000005</v>
      </c>
      <c r="BL6" s="44">
        <v>122.4</v>
      </c>
      <c r="BM6" s="44">
        <v>41.999999999999986</v>
      </c>
      <c r="BN6" s="44">
        <v>4736.409036</v>
      </c>
      <c r="BP6" s="44">
        <v>2964.3352704000004</v>
      </c>
      <c r="BQ6" s="44">
        <v>693.27195840000013</v>
      </c>
      <c r="BR6" s="44">
        <v>97.920000000000016</v>
      </c>
      <c r="BS6" s="44">
        <v>33.599999999999987</v>
      </c>
      <c r="BT6" s="44">
        <v>3789.1272288000005</v>
      </c>
      <c r="BV6" s="44">
        <v>1951.4120563636366</v>
      </c>
      <c r="BW6" s="44">
        <v>2988.2411999999999</v>
      </c>
      <c r="BX6" s="44">
        <v>0</v>
      </c>
      <c r="BY6" s="44">
        <v>0</v>
      </c>
      <c r="CA6" s="44">
        <v>1561.1296450909094</v>
      </c>
      <c r="CB6" s="44">
        <v>2390.5929599999999</v>
      </c>
      <c r="CC6" s="44">
        <v>0</v>
      </c>
      <c r="CD6" s="44">
        <v>0</v>
      </c>
      <c r="CF6" s="44">
        <v>17131.575774647899</v>
      </c>
      <c r="CG6" s="44">
        <v>-2573.515492957747</v>
      </c>
      <c r="CH6" s="44">
        <v>14558.060281690152</v>
      </c>
      <c r="CI6" s="44">
        <v>177.50399999999996</v>
      </c>
      <c r="CJ6" s="44">
        <v>20.64</v>
      </c>
      <c r="CK6" s="44">
        <v>142.2972</v>
      </c>
      <c r="CL6" s="44">
        <v>45.24</v>
      </c>
      <c r="CM6" s="44">
        <v>14943.741481690153</v>
      </c>
      <c r="CO6" s="44">
        <v>13705.26061971832</v>
      </c>
      <c r="CP6" s="44">
        <v>-2058.8123943661976</v>
      </c>
      <c r="CQ6" s="44">
        <v>11646.448225352122</v>
      </c>
      <c r="CR6" s="44">
        <v>142.00319999999996</v>
      </c>
      <c r="CS6" s="44">
        <v>16.512</v>
      </c>
      <c r="CT6" s="44">
        <v>113.83776</v>
      </c>
      <c r="CU6" s="44">
        <v>36.192</v>
      </c>
      <c r="CV6" s="44">
        <v>11954.993185352121</v>
      </c>
    </row>
    <row r="7" spans="1:100">
      <c r="B7" s="38">
        <v>1</v>
      </c>
      <c r="O7" s="31">
        <v>56918.879999999997</v>
      </c>
      <c r="P7" s="515">
        <v>0</v>
      </c>
      <c r="Q7" s="110"/>
      <c r="R7" s="31">
        <v>0</v>
      </c>
      <c r="S7" s="31">
        <v>2845.944</v>
      </c>
      <c r="T7" s="31">
        <v>0</v>
      </c>
      <c r="U7" s="31">
        <v>59764.824000000001</v>
      </c>
      <c r="W7" s="31">
        <v>3705.4190880000001</v>
      </c>
      <c r="X7" s="31">
        <v>866.58994800000005</v>
      </c>
      <c r="Y7" s="31">
        <v>122.4</v>
      </c>
      <c r="Z7" s="31">
        <v>41.999999999999986</v>
      </c>
      <c r="AA7" s="31">
        <v>4736.409036</v>
      </c>
      <c r="AB7" s="31"/>
      <c r="AC7" s="31">
        <v>56918.879999999997</v>
      </c>
      <c r="AD7" s="31">
        <v>59764.824000000001</v>
      </c>
      <c r="AH7" s="31">
        <v>1951.4120563636366</v>
      </c>
      <c r="AI7" s="31">
        <v>2988.2411999999999</v>
      </c>
      <c r="AJ7" s="31">
        <v>0</v>
      </c>
      <c r="AK7" s="31">
        <v>0</v>
      </c>
      <c r="AM7" s="31">
        <v>17131.575774647899</v>
      </c>
      <c r="AN7" s="31">
        <v>-2573.515492957747</v>
      </c>
      <c r="AO7" s="31">
        <v>14558.060281690152</v>
      </c>
      <c r="AP7" s="31">
        <v>86000</v>
      </c>
      <c r="AQ7" s="31">
        <v>177.50399999999996</v>
      </c>
      <c r="AR7" s="31">
        <v>20.64</v>
      </c>
      <c r="AS7" s="31">
        <v>142.2972</v>
      </c>
      <c r="AT7" s="31">
        <v>45.24</v>
      </c>
      <c r="AU7" s="31">
        <v>14943.741481690158</v>
      </c>
      <c r="AZ7" s="31">
        <v>56918.879999999997</v>
      </c>
      <c r="BA7" s="31">
        <v>0</v>
      </c>
      <c r="BB7" s="31">
        <v>2845.944</v>
      </c>
      <c r="BC7" s="31">
        <v>59764.824000000001</v>
      </c>
      <c r="BE7" s="31">
        <v>45535.103999999999</v>
      </c>
      <c r="BF7" s="31">
        <v>0</v>
      </c>
      <c r="BG7" s="31">
        <v>2845.944</v>
      </c>
      <c r="BH7" s="31">
        <v>48381.048000000003</v>
      </c>
      <c r="BJ7" s="31">
        <v>3705.4190880000001</v>
      </c>
      <c r="BK7" s="31">
        <v>866.58994800000005</v>
      </c>
      <c r="BL7" s="31">
        <v>122.4</v>
      </c>
      <c r="BM7" s="31">
        <v>41.999999999999986</v>
      </c>
      <c r="BN7" s="31">
        <v>4736.409036</v>
      </c>
      <c r="BP7" s="31">
        <v>2964.3352704000004</v>
      </c>
      <c r="BQ7" s="31">
        <v>693.27195840000013</v>
      </c>
      <c r="BR7" s="31">
        <v>97.920000000000016</v>
      </c>
      <c r="BS7" s="31">
        <v>33.599999999999987</v>
      </c>
      <c r="BT7" s="31">
        <v>3789.1272288000005</v>
      </c>
      <c r="BV7" s="31">
        <v>1951.4120563636366</v>
      </c>
      <c r="BW7" s="31">
        <v>2988.2411999999999</v>
      </c>
      <c r="BX7" s="31">
        <v>0</v>
      </c>
      <c r="BY7" s="31">
        <v>0</v>
      </c>
      <c r="CA7" s="31">
        <v>1561.1296450909094</v>
      </c>
      <c r="CB7" s="31">
        <v>2390.5929599999999</v>
      </c>
      <c r="CC7" s="31">
        <v>0</v>
      </c>
      <c r="CD7" s="31">
        <v>0</v>
      </c>
      <c r="CF7" s="31">
        <v>17131.575774647899</v>
      </c>
      <c r="CG7" s="31">
        <v>-2573.515492957747</v>
      </c>
      <c r="CH7" s="31">
        <v>14558.060281690152</v>
      </c>
      <c r="CI7" s="31">
        <v>177.50399999999996</v>
      </c>
      <c r="CJ7" s="31">
        <v>20.64</v>
      </c>
      <c r="CK7" s="31">
        <v>142.2972</v>
      </c>
      <c r="CL7" s="31">
        <v>45.24</v>
      </c>
      <c r="CM7" s="31">
        <v>14943.741481690153</v>
      </c>
      <c r="CO7" s="31">
        <v>13705.26061971832</v>
      </c>
      <c r="CP7" s="31">
        <v>-2058.8123943661976</v>
      </c>
      <c r="CQ7" s="31">
        <v>11646.448225352122</v>
      </c>
      <c r="CR7" s="31">
        <v>142.00319999999996</v>
      </c>
      <c r="CS7" s="31">
        <v>16.512</v>
      </c>
      <c r="CT7" s="31">
        <v>113.83776</v>
      </c>
      <c r="CU7" s="31">
        <v>36.192</v>
      </c>
      <c r="CV7" s="31">
        <v>11954.993185352121</v>
      </c>
    </row>
    <row r="9" spans="1:100">
      <c r="AM9" s="44"/>
      <c r="AO9" s="44"/>
    </row>
    <row r="10" spans="1:100">
      <c r="AO10" s="44"/>
      <c r="AZ10" s="44"/>
      <c r="BB10" s="44"/>
    </row>
    <row r="11" spans="1:100">
      <c r="BB11" s="44"/>
    </row>
  </sheetData>
  <mergeCells count="12">
    <mergeCell ref="CO4:CV4"/>
    <mergeCell ref="K4:U4"/>
    <mergeCell ref="W4:AA4"/>
    <mergeCell ref="AF4:AK4"/>
    <mergeCell ref="AM4:AU4"/>
    <mergeCell ref="AZ4:BC4"/>
    <mergeCell ref="BE4:BH4"/>
    <mergeCell ref="BJ4:BN4"/>
    <mergeCell ref="BP4:BT4"/>
    <mergeCell ref="BV4:BY4"/>
    <mergeCell ref="CA4:CD4"/>
    <mergeCell ref="CF4:CM4"/>
  </mergeCells>
  <pageMargins left="0.25" right="0.25" top="1" bottom="0.25" header="0.25" footer="0.3"/>
  <pageSetup scale="60" fitToWidth="2" fitToHeight="2" orientation="landscape" r:id="rId1"/>
  <colBreaks count="8" manualBreakCount="8">
    <brk id="22" max="7" man="1"/>
    <brk id="31" max="7" man="1"/>
    <brk id="38" max="7" man="1"/>
    <brk id="48" max="7" man="1"/>
    <brk id="61" max="7" man="1"/>
    <brk id="73" max="7" man="1"/>
    <brk id="83" max="7" man="1"/>
    <brk id="92" max="7" man="1"/>
  </colBreaks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94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23" sqref="G23"/>
    </sheetView>
  </sheetViews>
  <sheetFormatPr defaultColWidth="8.88671875" defaultRowHeight="14.4" outlineLevelCol="2"/>
  <cols>
    <col min="1" max="1" width="5.44140625" style="22" customWidth="1"/>
    <col min="2" max="2" width="6.5546875" style="314" customWidth="1"/>
    <col min="3" max="3" width="10.88671875" style="82" customWidth="1"/>
    <col min="4" max="4" width="21.6640625" style="22" customWidth="1"/>
    <col min="5" max="5" width="8.6640625" style="12" customWidth="1"/>
    <col min="6" max="6" width="18.6640625" style="12" customWidth="1"/>
    <col min="7" max="7" width="33.6640625" style="12" customWidth="1"/>
    <col min="8" max="8" width="36.33203125" style="12" customWidth="1" outlineLevel="1"/>
    <col min="9" max="9" width="15.5546875" style="12" customWidth="1" outlineLevel="1"/>
    <col min="10" max="10" width="13.109375" style="502" customWidth="1" outlineLevel="2" collapsed="1"/>
    <col min="11" max="13" width="13.109375" style="12" customWidth="1"/>
    <col min="14" max="14" width="10.88671875" style="12" customWidth="1"/>
    <col min="15" max="15" width="12" style="12" customWidth="1"/>
    <col min="16" max="16" width="11.6640625" style="12" customWidth="1"/>
    <col min="17" max="17" width="13.109375" style="12" customWidth="1"/>
    <col min="18" max="18" width="10.44140625" style="12" customWidth="1"/>
    <col min="19" max="19" width="13.109375" style="12" customWidth="1"/>
    <col min="20" max="20" width="1.6640625" style="12" customWidth="1"/>
    <col min="21" max="21" width="12.33203125" style="12" customWidth="1"/>
    <col min="22" max="22" width="10.33203125" style="12" customWidth="1"/>
    <col min="23" max="24" width="8.88671875" style="12" customWidth="1"/>
    <col min="25" max="25" width="11.6640625" style="12" customWidth="1"/>
    <col min="26" max="26" width="1.6640625" style="12" customWidth="1"/>
    <col min="27" max="27" width="14.88671875" style="12" bestFit="1" customWidth="1" outlineLevel="1"/>
    <col min="28" max="28" width="11.5546875" style="12" customWidth="1" outlineLevel="1"/>
    <col min="29" max="29" width="1.6640625" style="12" customWidth="1" outlineLevel="1"/>
    <col min="30" max="30" width="8.88671875" style="12" customWidth="1"/>
    <col min="31" max="31" width="28.33203125" style="605" customWidth="1" outlineLevel="1"/>
    <col min="32" max="32" width="10.33203125" style="12" customWidth="1"/>
    <col min="33" max="33" width="15.109375" style="12" customWidth="1"/>
    <col min="34" max="34" width="13.33203125" style="12" customWidth="1"/>
    <col min="35" max="35" width="8.88671875" style="12" customWidth="1"/>
    <col min="36" max="36" width="1.6640625" style="12" customWidth="1"/>
    <col min="37" max="37" width="12.33203125" style="12" customWidth="1"/>
    <col min="38" max="38" width="12.5546875" style="12" customWidth="1"/>
    <col min="39" max="39" width="12.44140625" style="12" customWidth="1"/>
    <col min="40" max="40" width="13.6640625" style="12" customWidth="1"/>
    <col min="41" max="42" width="8.88671875" style="12" customWidth="1"/>
    <col min="43" max="43" width="9.33203125" style="12" customWidth="1"/>
    <col min="44" max="44" width="10" style="12" customWidth="1"/>
    <col min="45" max="45" width="12.44140625" style="12" customWidth="1"/>
    <col min="46" max="46" width="1.6640625" style="12" customWidth="1"/>
    <col min="47" max="48" width="8.88671875" style="12" customWidth="1"/>
    <col min="49" max="49" width="1.6640625" style="12" customWidth="1"/>
    <col min="50" max="50" width="13.33203125" style="12" customWidth="1"/>
    <col min="51" max="51" width="9.88671875" style="12" customWidth="1"/>
    <col min="52" max="53" width="10.109375" style="12" customWidth="1"/>
    <col min="54" max="54" width="11.6640625" style="12" customWidth="1"/>
    <col min="55" max="55" width="1.6640625" style="12" customWidth="1"/>
    <col min="56" max="56" width="14.33203125" style="12" customWidth="1"/>
    <col min="57" max="57" width="9.44140625" style="12" customWidth="1"/>
    <col min="58" max="59" width="11.109375" style="12" customWidth="1"/>
    <col min="60" max="60" width="11.6640625" style="12" customWidth="1"/>
    <col min="61" max="61" width="1.6640625" style="12" customWidth="1"/>
    <col min="62" max="62" width="14.33203125" style="12" bestFit="1" customWidth="1"/>
    <col min="63" max="65" width="8.88671875" style="12" customWidth="1"/>
    <col min="66" max="66" width="14.88671875" style="12" bestFit="1" customWidth="1"/>
    <col min="67" max="67" width="1.6640625" style="12" customWidth="1"/>
    <col min="68" max="68" width="14.33203125" style="12" bestFit="1" customWidth="1"/>
    <col min="69" max="71" width="8.88671875" style="12" customWidth="1"/>
    <col min="72" max="72" width="14.88671875" style="12" bestFit="1" customWidth="1"/>
    <col min="73" max="73" width="1.6640625" style="12" customWidth="1"/>
    <col min="74" max="74" width="10.109375" style="12" customWidth="1"/>
    <col min="75" max="75" width="13.5546875" style="12" customWidth="1"/>
    <col min="76" max="76" width="10.109375" style="12" customWidth="1"/>
    <col min="77" max="77" width="8.33203125" style="12" customWidth="1"/>
    <col min="78" max="78" width="1.6640625" style="12" customWidth="1"/>
    <col min="79" max="79" width="10.109375" style="12" customWidth="1"/>
    <col min="80" max="80" width="14" style="12" customWidth="1"/>
    <col min="81" max="81" width="9.5546875" style="12" customWidth="1"/>
    <col min="82" max="82" width="8.33203125" style="12" customWidth="1"/>
    <col min="83" max="83" width="1.6640625" style="12" customWidth="1"/>
    <col min="84" max="91" width="12.6640625" style="12" customWidth="1"/>
    <col min="92" max="92" width="1.6640625" style="12" customWidth="1"/>
    <col min="93" max="100" width="12.6640625" style="12" customWidth="1"/>
    <col min="101" max="16384" width="8.88671875" style="12"/>
  </cols>
  <sheetData>
    <row r="1" spans="1:100">
      <c r="A1" s="93" t="s">
        <v>431</v>
      </c>
      <c r="N1" s="29"/>
    </row>
    <row r="2" spans="1:100">
      <c r="A2" s="2" t="s">
        <v>164</v>
      </c>
      <c r="I2" s="334"/>
      <c r="N2" s="29"/>
      <c r="AN2" s="44"/>
    </row>
    <row r="3" spans="1:100">
      <c r="A3" s="2"/>
      <c r="C3" s="702" t="s">
        <v>1134</v>
      </c>
      <c r="G3" s="722" t="s">
        <v>1135</v>
      </c>
      <c r="H3" s="722" t="s">
        <v>1134</v>
      </c>
      <c r="I3" s="722" t="s">
        <v>1134</v>
      </c>
      <c r="J3" s="702" t="s">
        <v>1134</v>
      </c>
    </row>
    <row r="4" spans="1:100" ht="43.2">
      <c r="A4" s="33" t="s">
        <v>113</v>
      </c>
      <c r="K4" s="747" t="s">
        <v>165</v>
      </c>
      <c r="L4" s="747"/>
      <c r="M4" s="747"/>
      <c r="N4" s="747"/>
      <c r="O4" s="747"/>
      <c r="P4" s="747"/>
      <c r="Q4" s="747"/>
      <c r="R4" s="747"/>
      <c r="S4" s="747"/>
      <c r="U4" s="742" t="s">
        <v>118</v>
      </c>
      <c r="V4" s="742"/>
      <c r="W4" s="742"/>
      <c r="X4" s="742"/>
      <c r="Y4" s="742"/>
      <c r="AA4" s="42" t="s">
        <v>79</v>
      </c>
      <c r="AB4" s="42" t="s">
        <v>79</v>
      </c>
      <c r="AC4" s="1"/>
      <c r="AD4" s="743" t="s">
        <v>80</v>
      </c>
      <c r="AE4" s="743"/>
      <c r="AF4" s="743"/>
      <c r="AG4" s="743"/>
      <c r="AH4" s="743"/>
      <c r="AI4" s="743"/>
      <c r="AK4" s="743" t="s">
        <v>81</v>
      </c>
      <c r="AL4" s="743"/>
      <c r="AM4" s="743"/>
      <c r="AN4" s="743"/>
      <c r="AO4" s="743"/>
      <c r="AP4" s="743"/>
      <c r="AQ4" s="743"/>
      <c r="AR4" s="743"/>
      <c r="AS4" s="743"/>
      <c r="AX4" s="744" t="s">
        <v>552</v>
      </c>
      <c r="AY4" s="744"/>
      <c r="AZ4" s="744"/>
      <c r="BA4" s="744"/>
      <c r="BB4" s="744"/>
      <c r="BD4" s="745" t="s">
        <v>553</v>
      </c>
      <c r="BE4" s="745"/>
      <c r="BF4" s="745"/>
      <c r="BG4" s="745"/>
      <c r="BH4" s="745"/>
      <c r="BJ4" s="742" t="s">
        <v>554</v>
      </c>
      <c r="BK4" s="742"/>
      <c r="BL4" s="742"/>
      <c r="BM4" s="742"/>
      <c r="BN4" s="742"/>
      <c r="BP4" s="746" t="s">
        <v>555</v>
      </c>
      <c r="BQ4" s="746"/>
      <c r="BR4" s="746"/>
      <c r="BS4" s="746"/>
      <c r="BT4" s="746"/>
      <c r="BV4" s="743" t="s">
        <v>556</v>
      </c>
      <c r="BW4" s="743"/>
      <c r="BX4" s="743"/>
      <c r="BY4" s="743"/>
      <c r="CA4" s="739" t="s">
        <v>557</v>
      </c>
      <c r="CB4" s="739"/>
      <c r="CC4" s="739"/>
      <c r="CD4" s="739"/>
      <c r="CF4" s="743" t="s">
        <v>558</v>
      </c>
      <c r="CG4" s="743"/>
      <c r="CH4" s="743"/>
      <c r="CI4" s="743"/>
      <c r="CJ4" s="743"/>
      <c r="CK4" s="743"/>
      <c r="CL4" s="743"/>
      <c r="CM4" s="743"/>
      <c r="CO4" s="739" t="s">
        <v>559</v>
      </c>
      <c r="CP4" s="739"/>
      <c r="CQ4" s="739"/>
      <c r="CR4" s="739"/>
      <c r="CS4" s="739"/>
      <c r="CT4" s="739"/>
      <c r="CU4" s="739"/>
      <c r="CV4" s="739"/>
    </row>
    <row r="5" spans="1:100" ht="43.2">
      <c r="A5" s="3" t="s">
        <v>82</v>
      </c>
      <c r="B5" s="6" t="s">
        <v>83</v>
      </c>
      <c r="C5" s="6" t="s">
        <v>101</v>
      </c>
      <c r="D5" s="3" t="s">
        <v>109</v>
      </c>
      <c r="E5" s="3" t="s">
        <v>2</v>
      </c>
      <c r="F5" s="13" t="s">
        <v>100</v>
      </c>
      <c r="G5" s="13" t="s">
        <v>1</v>
      </c>
      <c r="H5" s="86" t="s">
        <v>477</v>
      </c>
      <c r="I5" s="86" t="s">
        <v>193</v>
      </c>
      <c r="J5" s="25" t="s">
        <v>189</v>
      </c>
      <c r="K5" s="3" t="s">
        <v>973</v>
      </c>
      <c r="L5" s="6" t="s">
        <v>108</v>
      </c>
      <c r="M5" s="3" t="s">
        <v>99</v>
      </c>
      <c r="N5" s="6" t="s">
        <v>110</v>
      </c>
      <c r="O5" s="6" t="s">
        <v>497</v>
      </c>
      <c r="P5" s="6" t="s">
        <v>534</v>
      </c>
      <c r="Q5" s="6" t="s">
        <v>102</v>
      </c>
      <c r="R5" s="337" t="s">
        <v>994</v>
      </c>
      <c r="S5" s="3" t="s">
        <v>103</v>
      </c>
      <c r="U5" s="3" t="s">
        <v>88</v>
      </c>
      <c r="V5" s="3" t="s">
        <v>89</v>
      </c>
      <c r="W5" s="3" t="s">
        <v>90</v>
      </c>
      <c r="X5" s="3" t="s">
        <v>91</v>
      </c>
      <c r="Y5" s="8" t="s">
        <v>92</v>
      </c>
      <c r="AA5" s="7" t="s">
        <v>483</v>
      </c>
      <c r="AB5" s="7" t="s">
        <v>669</v>
      </c>
      <c r="AC5" s="4" t="s">
        <v>84</v>
      </c>
      <c r="AD5" s="5" t="s">
        <v>85</v>
      </c>
      <c r="AE5" s="606" t="s">
        <v>138</v>
      </c>
      <c r="AF5" s="8" t="s">
        <v>77</v>
      </c>
      <c r="AG5" s="7" t="s">
        <v>86</v>
      </c>
      <c r="AH5" s="8" t="s">
        <v>87</v>
      </c>
      <c r="AI5" s="7" t="s">
        <v>58</v>
      </c>
      <c r="AK5" s="3" t="s">
        <v>93</v>
      </c>
      <c r="AL5" s="3" t="s">
        <v>94</v>
      </c>
      <c r="AM5" s="8" t="s">
        <v>95</v>
      </c>
      <c r="AN5" s="3" t="s">
        <v>163</v>
      </c>
      <c r="AO5" s="3" t="s">
        <v>96</v>
      </c>
      <c r="AP5" s="3" t="s">
        <v>97</v>
      </c>
      <c r="AQ5" s="3" t="s">
        <v>72</v>
      </c>
      <c r="AR5" s="3" t="s">
        <v>73</v>
      </c>
      <c r="AS5" s="3" t="s">
        <v>98</v>
      </c>
      <c r="AU5" s="6" t="s">
        <v>478</v>
      </c>
      <c r="AV5" s="6" t="s">
        <v>485</v>
      </c>
      <c r="AX5" s="3" t="s">
        <v>99</v>
      </c>
      <c r="AY5" s="6" t="s">
        <v>110</v>
      </c>
      <c r="AZ5" s="6" t="s">
        <v>102</v>
      </c>
      <c r="BA5" s="337" t="s">
        <v>994</v>
      </c>
      <c r="BB5" s="3" t="s">
        <v>103</v>
      </c>
      <c r="BD5" s="3" t="s">
        <v>99</v>
      </c>
      <c r="BE5" s="6" t="s">
        <v>110</v>
      </c>
      <c r="BF5" s="6" t="s">
        <v>102</v>
      </c>
      <c r="BG5" s="337" t="s">
        <v>994</v>
      </c>
      <c r="BH5" s="3" t="s">
        <v>103</v>
      </c>
      <c r="BJ5" s="3" t="s">
        <v>88</v>
      </c>
      <c r="BK5" s="3" t="s">
        <v>89</v>
      </c>
      <c r="BL5" s="3" t="s">
        <v>90</v>
      </c>
      <c r="BM5" s="3" t="s">
        <v>91</v>
      </c>
      <c r="BN5" s="8" t="s">
        <v>92</v>
      </c>
      <c r="BP5" s="3" t="s">
        <v>88</v>
      </c>
      <c r="BQ5" s="3" t="s">
        <v>89</v>
      </c>
      <c r="BR5" s="3" t="s">
        <v>90</v>
      </c>
      <c r="BS5" s="3" t="s">
        <v>91</v>
      </c>
      <c r="BT5" s="8" t="s">
        <v>92</v>
      </c>
      <c r="BV5" s="8" t="s">
        <v>77</v>
      </c>
      <c r="BW5" s="7" t="s">
        <v>86</v>
      </c>
      <c r="BX5" s="8" t="s">
        <v>87</v>
      </c>
      <c r="BY5" s="7" t="s">
        <v>58</v>
      </c>
      <c r="CA5" s="8" t="s">
        <v>77</v>
      </c>
      <c r="CB5" s="7" t="s">
        <v>86</v>
      </c>
      <c r="CC5" s="8" t="s">
        <v>87</v>
      </c>
      <c r="CD5" s="7" t="s">
        <v>58</v>
      </c>
      <c r="CF5" s="3" t="s">
        <v>93</v>
      </c>
      <c r="CG5" s="3" t="s">
        <v>94</v>
      </c>
      <c r="CH5" s="8" t="s">
        <v>95</v>
      </c>
      <c r="CI5" s="3" t="s">
        <v>96</v>
      </c>
      <c r="CJ5" s="3" t="s">
        <v>97</v>
      </c>
      <c r="CK5" s="3" t="s">
        <v>72</v>
      </c>
      <c r="CL5" s="3" t="s">
        <v>73</v>
      </c>
      <c r="CM5" s="3" t="s">
        <v>98</v>
      </c>
      <c r="CO5" s="3" t="s">
        <v>93</v>
      </c>
      <c r="CP5" s="3" t="s">
        <v>94</v>
      </c>
      <c r="CQ5" s="8" t="s">
        <v>95</v>
      </c>
      <c r="CR5" s="3" t="s">
        <v>96</v>
      </c>
      <c r="CS5" s="3" t="s">
        <v>97</v>
      </c>
      <c r="CT5" s="3" t="s">
        <v>72</v>
      </c>
      <c r="CU5" s="3" t="s">
        <v>73</v>
      </c>
      <c r="CV5" s="3" t="s">
        <v>98</v>
      </c>
    </row>
    <row r="6" spans="1:100">
      <c r="A6" s="22">
        <v>1</v>
      </c>
      <c r="B6" s="314">
        <v>1</v>
      </c>
      <c r="C6" s="700"/>
      <c r="D6" s="14" t="s">
        <v>216</v>
      </c>
      <c r="E6" s="14" t="s">
        <v>285</v>
      </c>
      <c r="F6" s="14" t="s">
        <v>286</v>
      </c>
      <c r="G6" s="724"/>
      <c r="H6" s="724"/>
      <c r="I6" s="724"/>
      <c r="J6" s="718"/>
      <c r="K6" s="640">
        <v>27.85</v>
      </c>
      <c r="L6" s="640">
        <v>29.11</v>
      </c>
      <c r="M6" s="30">
        <v>60781.68</v>
      </c>
      <c r="N6" s="30">
        <v>6.9</v>
      </c>
      <c r="O6" s="23">
        <v>72.965788800000013</v>
      </c>
      <c r="P6" s="23">
        <v>1.5814610844194901</v>
      </c>
      <c r="Q6" s="30">
        <v>3359</v>
      </c>
      <c r="R6" s="30">
        <v>1823</v>
      </c>
      <c r="S6" s="30">
        <v>65971</v>
      </c>
      <c r="U6" s="30">
        <v>4090</v>
      </c>
      <c r="V6" s="30">
        <v>957</v>
      </c>
      <c r="W6" s="30">
        <v>122</v>
      </c>
      <c r="X6" s="30">
        <v>42</v>
      </c>
      <c r="Y6" s="44">
        <v>5211</v>
      </c>
      <c r="AA6" s="44">
        <v>62612</v>
      </c>
      <c r="AB6" s="44">
        <v>65971</v>
      </c>
      <c r="AD6" s="46">
        <v>0.02</v>
      </c>
      <c r="AE6" s="46" t="s">
        <v>57</v>
      </c>
      <c r="AF6" s="44">
        <v>1252</v>
      </c>
      <c r="AG6" s="44">
        <v>0</v>
      </c>
      <c r="AH6" s="44">
        <v>0</v>
      </c>
      <c r="AI6" s="44">
        <v>0</v>
      </c>
      <c r="AK6" s="44">
        <v>8410.1999999999989</v>
      </c>
      <c r="AL6" s="44">
        <v>-1505.76</v>
      </c>
      <c r="AM6" s="44">
        <v>6904</v>
      </c>
      <c r="AN6" s="44">
        <v>76000</v>
      </c>
      <c r="AO6" s="44">
        <v>157</v>
      </c>
      <c r="AP6" s="44">
        <v>2</v>
      </c>
      <c r="AQ6" s="44">
        <v>0</v>
      </c>
      <c r="AR6" s="44">
        <v>45</v>
      </c>
      <c r="AS6" s="44">
        <v>7108</v>
      </c>
      <c r="AU6" s="102">
        <v>0.99992113253677195</v>
      </c>
      <c r="AV6" s="102">
        <v>0.13370000000000001</v>
      </c>
      <c r="AX6" s="44">
        <v>60776.88630308766</v>
      </c>
      <c r="AY6" s="44">
        <v>6.8994558145037272</v>
      </c>
      <c r="AZ6" s="44">
        <v>3358.735084191017</v>
      </c>
      <c r="BA6" s="44">
        <v>1822.8562246145352</v>
      </c>
      <c r="BB6" s="44">
        <v>65965.377067707712</v>
      </c>
      <c r="BD6" s="44">
        <v>52651.016604364835</v>
      </c>
      <c r="BE6" s="44">
        <v>5.9769985721045789</v>
      </c>
      <c r="BF6" s="44">
        <v>2909.6722034346781</v>
      </c>
      <c r="BG6" s="44">
        <v>1822.8562246145352</v>
      </c>
      <c r="BH6" s="44">
        <v>57389.522030986154</v>
      </c>
      <c r="BJ6" s="44">
        <v>4089.6774320753971</v>
      </c>
      <c r="BK6" s="44">
        <v>956.9245238376908</v>
      </c>
      <c r="BL6" s="44">
        <v>121.99037816948618</v>
      </c>
      <c r="BM6" s="44">
        <v>41.996687566544423</v>
      </c>
      <c r="BN6" s="44">
        <v>5210.5890216491189</v>
      </c>
      <c r="BP6" s="44">
        <v>3542.8875594069164</v>
      </c>
      <c r="BQ6" s="44">
        <v>828.98371500059147</v>
      </c>
      <c r="BR6" s="44">
        <v>105.68026460822587</v>
      </c>
      <c r="BS6" s="44">
        <v>36.381730438897435</v>
      </c>
      <c r="BT6" s="44">
        <v>4513.933269454631</v>
      </c>
      <c r="BV6" s="44">
        <v>1251.9012579360385</v>
      </c>
      <c r="BW6" s="44">
        <v>0</v>
      </c>
      <c r="BX6" s="44">
        <v>0</v>
      </c>
      <c r="BY6" s="44">
        <v>0</v>
      </c>
      <c r="CA6" s="44">
        <v>1084.5220597499901</v>
      </c>
      <c r="CB6" s="44">
        <v>0</v>
      </c>
      <c r="CC6" s="44">
        <v>0</v>
      </c>
      <c r="CD6" s="44">
        <v>0</v>
      </c>
      <c r="CF6" s="44">
        <v>8409.5367088607582</v>
      </c>
      <c r="CG6" s="44">
        <v>-1505.6412445285698</v>
      </c>
      <c r="CH6" s="44">
        <v>6903.4554990338738</v>
      </c>
      <c r="CI6" s="44">
        <v>156.9876178082732</v>
      </c>
      <c r="CJ6" s="44">
        <v>1.9998422650735439</v>
      </c>
      <c r="CK6" s="44">
        <v>0</v>
      </c>
      <c r="CL6" s="44">
        <v>44.996450964154739</v>
      </c>
      <c r="CM6" s="44">
        <v>7107.4394100713753</v>
      </c>
      <c r="CO6" s="44">
        <v>7285.1816508860747</v>
      </c>
      <c r="CP6" s="44">
        <v>-1304.3370101350999</v>
      </c>
      <c r="CQ6" s="44">
        <v>5980.4634988130447</v>
      </c>
      <c r="CR6" s="44">
        <v>135.99837330730708</v>
      </c>
      <c r="CS6" s="44">
        <v>1.7324633542332111</v>
      </c>
      <c r="CT6" s="44">
        <v>0</v>
      </c>
      <c r="CU6" s="44">
        <v>38.980425470247248</v>
      </c>
      <c r="CV6" s="44">
        <v>6157.1747609448321</v>
      </c>
    </row>
    <row r="7" spans="1:100">
      <c r="A7" s="22">
        <v>2</v>
      </c>
      <c r="B7" s="314">
        <v>1</v>
      </c>
      <c r="C7" s="700"/>
      <c r="D7" s="14" t="s">
        <v>216</v>
      </c>
      <c r="E7" s="14" t="s">
        <v>285</v>
      </c>
      <c r="F7" s="14" t="s">
        <v>286</v>
      </c>
      <c r="G7" s="724"/>
      <c r="H7" s="724"/>
      <c r="I7" s="724"/>
      <c r="J7" s="718"/>
      <c r="K7" s="88">
        <v>27.85</v>
      </c>
      <c r="L7" s="23">
        <v>29.11</v>
      </c>
      <c r="M7" s="28">
        <v>60781.68</v>
      </c>
      <c r="N7" s="28">
        <v>6.9</v>
      </c>
      <c r="O7" s="23">
        <v>72.965788800000013</v>
      </c>
      <c r="P7" s="23">
        <v>1.5814610844194901</v>
      </c>
      <c r="Q7" s="28">
        <v>3359</v>
      </c>
      <c r="R7" s="28">
        <v>1823</v>
      </c>
      <c r="S7" s="28">
        <v>65971</v>
      </c>
      <c r="U7" s="28">
        <v>4090</v>
      </c>
      <c r="V7" s="28">
        <v>957</v>
      </c>
      <c r="W7" s="28">
        <v>122</v>
      </c>
      <c r="X7" s="28">
        <v>42</v>
      </c>
      <c r="Y7" s="28">
        <v>5211</v>
      </c>
      <c r="AA7" s="35">
        <v>62612</v>
      </c>
      <c r="AB7" s="35">
        <v>65971</v>
      </c>
      <c r="AD7" s="46">
        <v>0.02</v>
      </c>
      <c r="AE7" s="46" t="s">
        <v>57</v>
      </c>
      <c r="AF7" s="35">
        <v>1252</v>
      </c>
      <c r="AG7" s="35">
        <v>0</v>
      </c>
      <c r="AH7" s="35">
        <v>0</v>
      </c>
      <c r="AI7" s="35">
        <v>0</v>
      </c>
      <c r="AK7" s="35">
        <v>8410.1999999999989</v>
      </c>
      <c r="AL7" s="35">
        <v>-1505.76</v>
      </c>
      <c r="AM7" s="35">
        <v>6904</v>
      </c>
      <c r="AN7" s="35">
        <v>76000</v>
      </c>
      <c r="AO7" s="35">
        <v>157</v>
      </c>
      <c r="AP7" s="35">
        <v>2</v>
      </c>
      <c r="AQ7" s="35">
        <v>0</v>
      </c>
      <c r="AR7" s="35">
        <v>45</v>
      </c>
      <c r="AS7" s="35">
        <v>7108</v>
      </c>
      <c r="AU7" s="102">
        <v>0.99992113253677195</v>
      </c>
      <c r="AV7" s="102">
        <v>0.13370000000000001</v>
      </c>
      <c r="AX7" s="35">
        <v>60776.88630308766</v>
      </c>
      <c r="AY7" s="35">
        <v>6.8994558145037272</v>
      </c>
      <c r="AZ7" s="35">
        <v>3358.735084191017</v>
      </c>
      <c r="BA7" s="35">
        <v>1822.8562246145352</v>
      </c>
      <c r="BB7" s="35">
        <v>65965.377067707712</v>
      </c>
      <c r="BD7" s="35">
        <v>52651.016604364835</v>
      </c>
      <c r="BE7" s="35">
        <v>5.9769985721045789</v>
      </c>
      <c r="BF7" s="35">
        <v>2909.6722034346781</v>
      </c>
      <c r="BG7" s="546">
        <v>1822.8562246145352</v>
      </c>
      <c r="BH7" s="35">
        <v>57389.522030986154</v>
      </c>
      <c r="BJ7" s="35">
        <v>4089.6774320753971</v>
      </c>
      <c r="BK7" s="35">
        <v>956.9245238376908</v>
      </c>
      <c r="BL7" s="35">
        <v>121.99037816948618</v>
      </c>
      <c r="BM7" s="35">
        <v>41.996687566544423</v>
      </c>
      <c r="BN7" s="35">
        <v>5210.5890216491189</v>
      </c>
      <c r="BP7" s="35">
        <v>3542.8875594069164</v>
      </c>
      <c r="BQ7" s="35">
        <v>828.98371500059147</v>
      </c>
      <c r="BR7" s="35">
        <v>105.68026460822587</v>
      </c>
      <c r="BS7" s="35">
        <v>36.381730438897435</v>
      </c>
      <c r="BT7" s="35">
        <v>4513.933269454631</v>
      </c>
      <c r="BV7" s="35">
        <v>1251.9012579360385</v>
      </c>
      <c r="BW7" s="35">
        <v>0</v>
      </c>
      <c r="BX7" s="35">
        <v>0</v>
      </c>
      <c r="BY7" s="35">
        <v>0</v>
      </c>
      <c r="CA7" s="35">
        <v>1084.5220597499901</v>
      </c>
      <c r="CB7" s="35">
        <v>0</v>
      </c>
      <c r="CC7" s="35">
        <v>0</v>
      </c>
      <c r="CD7" s="35">
        <v>0</v>
      </c>
      <c r="CF7" s="35">
        <v>8409.5367088607582</v>
      </c>
      <c r="CG7" s="35">
        <v>-1505.6412445285698</v>
      </c>
      <c r="CH7" s="35">
        <v>6903.4554990338738</v>
      </c>
      <c r="CI7" s="35">
        <v>156.9876178082732</v>
      </c>
      <c r="CJ7" s="35">
        <v>1.9998422650735439</v>
      </c>
      <c r="CK7" s="35">
        <v>0</v>
      </c>
      <c r="CL7" s="35">
        <v>44.996450964154739</v>
      </c>
      <c r="CM7" s="35">
        <v>7107.4394100713753</v>
      </c>
      <c r="CO7" s="35">
        <v>7285.1816508860747</v>
      </c>
      <c r="CP7" s="35">
        <v>-1304.3370101350999</v>
      </c>
      <c r="CQ7" s="35">
        <v>5980.4634988130447</v>
      </c>
      <c r="CR7" s="35">
        <v>135.99837330730708</v>
      </c>
      <c r="CS7" s="35">
        <v>1.7324633542332111</v>
      </c>
      <c r="CT7" s="35">
        <v>0</v>
      </c>
      <c r="CU7" s="35">
        <v>38.980425470247248</v>
      </c>
      <c r="CV7" s="35">
        <v>6157.1747609448321</v>
      </c>
    </row>
    <row r="8" spans="1:100">
      <c r="A8" s="22">
        <v>3</v>
      </c>
      <c r="B8" s="314">
        <v>1</v>
      </c>
      <c r="C8" s="700"/>
      <c r="D8" s="14" t="s">
        <v>216</v>
      </c>
      <c r="E8" s="14" t="s">
        <v>255</v>
      </c>
      <c r="F8" s="14" t="s">
        <v>256</v>
      </c>
      <c r="G8" s="724"/>
      <c r="H8" s="724"/>
      <c r="I8" s="724"/>
      <c r="J8" s="718"/>
      <c r="K8" s="88">
        <v>28.36</v>
      </c>
      <c r="L8" s="23">
        <v>29.64</v>
      </c>
      <c r="M8" s="28">
        <v>61888.32</v>
      </c>
      <c r="N8" s="28">
        <v>3.2</v>
      </c>
      <c r="O8" s="23">
        <v>192</v>
      </c>
      <c r="P8" s="23">
        <v>1.5814610844194901</v>
      </c>
      <c r="Q8" s="28">
        <v>9000</v>
      </c>
      <c r="R8" s="28">
        <v>1857</v>
      </c>
      <c r="S8" s="28">
        <v>72749</v>
      </c>
      <c r="U8" s="28">
        <v>4510</v>
      </c>
      <c r="V8" s="28">
        <v>1055</v>
      </c>
      <c r="W8" s="28">
        <v>122</v>
      </c>
      <c r="X8" s="28">
        <v>42</v>
      </c>
      <c r="Y8" s="28">
        <v>5729</v>
      </c>
      <c r="AA8" s="35">
        <v>63749</v>
      </c>
      <c r="AB8" s="35">
        <v>72749</v>
      </c>
      <c r="AD8" s="46">
        <v>0.02</v>
      </c>
      <c r="AE8" s="46" t="s">
        <v>57</v>
      </c>
      <c r="AF8" s="35">
        <v>1275</v>
      </c>
      <c r="AG8" s="35">
        <v>0</v>
      </c>
      <c r="AH8" s="35">
        <v>0</v>
      </c>
      <c r="AI8" s="35">
        <v>0</v>
      </c>
      <c r="AK8" s="35">
        <v>24389.64</v>
      </c>
      <c r="AL8" s="35">
        <v>-3389.52</v>
      </c>
      <c r="AM8" s="35">
        <v>21000</v>
      </c>
      <c r="AN8" s="35">
        <v>78000</v>
      </c>
      <c r="AO8" s="35">
        <v>161</v>
      </c>
      <c r="AP8" s="35">
        <v>2</v>
      </c>
      <c r="AQ8" s="35">
        <v>0</v>
      </c>
      <c r="AR8" s="35">
        <v>45</v>
      </c>
      <c r="AS8" s="35">
        <v>21208</v>
      </c>
      <c r="AU8" s="102">
        <v>1</v>
      </c>
      <c r="AV8" s="102">
        <v>7.9000000000000008E-3</v>
      </c>
      <c r="AX8" s="35">
        <v>61888.32</v>
      </c>
      <c r="AY8" s="35">
        <v>3.2</v>
      </c>
      <c r="AZ8" s="35">
        <v>9000</v>
      </c>
      <c r="BA8" s="35">
        <v>1857</v>
      </c>
      <c r="BB8" s="35">
        <v>72748.51999999999</v>
      </c>
      <c r="BD8" s="35">
        <v>61399.402271999999</v>
      </c>
      <c r="BE8" s="35">
        <v>3.1747200000000002</v>
      </c>
      <c r="BF8" s="35">
        <v>8928.9</v>
      </c>
      <c r="BG8" s="546">
        <v>1857</v>
      </c>
      <c r="BH8" s="35">
        <v>72188.476991999996</v>
      </c>
      <c r="BJ8" s="35">
        <v>4510</v>
      </c>
      <c r="BK8" s="35">
        <v>1055</v>
      </c>
      <c r="BL8" s="35">
        <v>122</v>
      </c>
      <c r="BM8" s="35">
        <v>42</v>
      </c>
      <c r="BN8" s="35">
        <v>5729</v>
      </c>
      <c r="BP8" s="35">
        <v>4474.3710000000001</v>
      </c>
      <c r="BQ8" s="35">
        <v>1046.6655000000001</v>
      </c>
      <c r="BR8" s="35">
        <v>121.03619999999999</v>
      </c>
      <c r="BS8" s="35">
        <v>41.668199999999999</v>
      </c>
      <c r="BT8" s="35">
        <v>5683.7408999999998</v>
      </c>
      <c r="BV8" s="35">
        <v>1275</v>
      </c>
      <c r="BW8" s="35">
        <v>0</v>
      </c>
      <c r="BX8" s="35">
        <v>0</v>
      </c>
      <c r="BY8" s="35">
        <v>0</v>
      </c>
      <c r="CA8" s="35">
        <v>1264.9275</v>
      </c>
      <c r="CB8" s="35">
        <v>0</v>
      </c>
      <c r="CC8" s="35">
        <v>0</v>
      </c>
      <c r="CD8" s="35">
        <v>0</v>
      </c>
      <c r="CF8" s="35">
        <v>24389.64</v>
      </c>
      <c r="CG8" s="35">
        <v>-3389.52</v>
      </c>
      <c r="CH8" s="35">
        <v>21000</v>
      </c>
      <c r="CI8" s="35">
        <v>161</v>
      </c>
      <c r="CJ8" s="35">
        <v>2</v>
      </c>
      <c r="CK8" s="35">
        <v>0</v>
      </c>
      <c r="CL8" s="35">
        <v>45</v>
      </c>
      <c r="CM8" s="35">
        <v>21208</v>
      </c>
      <c r="CO8" s="35">
        <v>24196.961843999998</v>
      </c>
      <c r="CP8" s="35">
        <v>-3362.742792</v>
      </c>
      <c r="CQ8" s="35">
        <v>20834.099999999999</v>
      </c>
      <c r="CR8" s="35">
        <v>159.72809999999998</v>
      </c>
      <c r="CS8" s="35">
        <v>1.9842</v>
      </c>
      <c r="CT8" s="35">
        <v>0</v>
      </c>
      <c r="CU8" s="35">
        <v>44.644500000000001</v>
      </c>
      <c r="CV8" s="35">
        <v>21040.456799999996</v>
      </c>
    </row>
    <row r="9" spans="1:100">
      <c r="A9" s="22">
        <v>4</v>
      </c>
      <c r="B9" s="314">
        <v>1</v>
      </c>
      <c r="C9" s="700"/>
      <c r="D9" s="14" t="s">
        <v>216</v>
      </c>
      <c r="E9" s="14" t="s">
        <v>285</v>
      </c>
      <c r="F9" s="14" t="s">
        <v>286</v>
      </c>
      <c r="G9" s="724"/>
      <c r="H9" s="724"/>
      <c r="I9" s="724"/>
      <c r="J9" s="718"/>
      <c r="K9" s="88">
        <v>27.85</v>
      </c>
      <c r="L9" s="23">
        <v>29.11</v>
      </c>
      <c r="M9" s="28">
        <v>60781.68</v>
      </c>
      <c r="N9" s="28">
        <v>6.9</v>
      </c>
      <c r="O9" s="23">
        <v>72.965788800000013</v>
      </c>
      <c r="P9" s="23">
        <v>1.5814610844194901</v>
      </c>
      <c r="Q9" s="28">
        <v>3359</v>
      </c>
      <c r="R9" s="28">
        <v>1823</v>
      </c>
      <c r="S9" s="28">
        <v>65971</v>
      </c>
      <c r="U9" s="28">
        <v>4090</v>
      </c>
      <c r="V9" s="28">
        <v>957</v>
      </c>
      <c r="W9" s="28">
        <v>122</v>
      </c>
      <c r="X9" s="28">
        <v>42</v>
      </c>
      <c r="Y9" s="28">
        <v>5211</v>
      </c>
      <c r="AA9" s="35">
        <v>62612</v>
      </c>
      <c r="AB9" s="35">
        <v>65971</v>
      </c>
      <c r="AD9" s="46">
        <v>1.4999999999999999E-2</v>
      </c>
      <c r="AE9" s="46" t="s">
        <v>57</v>
      </c>
      <c r="AF9" s="35">
        <v>939</v>
      </c>
      <c r="AG9" s="35">
        <v>0</v>
      </c>
      <c r="AH9" s="35">
        <v>0</v>
      </c>
      <c r="AI9" s="35">
        <v>0</v>
      </c>
      <c r="AK9" s="35">
        <v>8410.1999999999989</v>
      </c>
      <c r="AL9" s="35">
        <v>-1505.76</v>
      </c>
      <c r="AM9" s="35">
        <v>6904</v>
      </c>
      <c r="AN9" s="35">
        <v>76000</v>
      </c>
      <c r="AO9" s="35">
        <v>157</v>
      </c>
      <c r="AP9" s="35">
        <v>2</v>
      </c>
      <c r="AQ9" s="35">
        <v>0</v>
      </c>
      <c r="AR9" s="35">
        <v>45</v>
      </c>
      <c r="AS9" s="35">
        <v>7108</v>
      </c>
      <c r="AU9" s="102">
        <v>0.99992113253677195</v>
      </c>
      <c r="AV9" s="102">
        <v>0.13370000000000001</v>
      </c>
      <c r="AX9" s="35">
        <v>60776.88630308766</v>
      </c>
      <c r="AY9" s="35">
        <v>6.8994558145037272</v>
      </c>
      <c r="AZ9" s="35">
        <v>3358.735084191017</v>
      </c>
      <c r="BA9" s="35">
        <v>1822.8562246145352</v>
      </c>
      <c r="BB9" s="35">
        <v>65965.377067707712</v>
      </c>
      <c r="BD9" s="35">
        <v>52651.016604364835</v>
      </c>
      <c r="BE9" s="35">
        <v>5.9769985721045789</v>
      </c>
      <c r="BF9" s="35">
        <v>2909.6722034346781</v>
      </c>
      <c r="BG9" s="546">
        <v>1822.8562246145352</v>
      </c>
      <c r="BH9" s="35">
        <v>57389.522030986154</v>
      </c>
      <c r="BJ9" s="35">
        <v>4089.6774320753971</v>
      </c>
      <c r="BK9" s="35">
        <v>956.9245238376908</v>
      </c>
      <c r="BL9" s="35">
        <v>121.99037816948618</v>
      </c>
      <c r="BM9" s="35">
        <v>41.996687566544423</v>
      </c>
      <c r="BN9" s="35">
        <v>5210.5890216491189</v>
      </c>
      <c r="BP9" s="35">
        <v>3542.8875594069164</v>
      </c>
      <c r="BQ9" s="35">
        <v>828.98371500059147</v>
      </c>
      <c r="BR9" s="35">
        <v>105.68026460822587</v>
      </c>
      <c r="BS9" s="35">
        <v>36.381730438897435</v>
      </c>
      <c r="BT9" s="35">
        <v>4513.933269454631</v>
      </c>
      <c r="BV9" s="35">
        <v>938.92594345202883</v>
      </c>
      <c r="BW9" s="35">
        <v>0</v>
      </c>
      <c r="BX9" s="35">
        <v>0</v>
      </c>
      <c r="BY9" s="35">
        <v>0</v>
      </c>
      <c r="CA9" s="35">
        <v>813.3915448124925</v>
      </c>
      <c r="CB9" s="35">
        <v>0</v>
      </c>
      <c r="CC9" s="35">
        <v>0</v>
      </c>
      <c r="CD9" s="35">
        <v>0</v>
      </c>
      <c r="CF9" s="35">
        <v>8409.5367088607582</v>
      </c>
      <c r="CG9" s="35">
        <v>-1505.6412445285698</v>
      </c>
      <c r="CH9" s="35">
        <v>6903.4554990338738</v>
      </c>
      <c r="CI9" s="35">
        <v>156.9876178082732</v>
      </c>
      <c r="CJ9" s="35">
        <v>1.9998422650735439</v>
      </c>
      <c r="CK9" s="35">
        <v>0</v>
      </c>
      <c r="CL9" s="35">
        <v>44.996450964154739</v>
      </c>
      <c r="CM9" s="35">
        <v>7107.4394100713753</v>
      </c>
      <c r="CO9" s="35">
        <v>7285.1816508860747</v>
      </c>
      <c r="CP9" s="35">
        <v>-1304.3370101350999</v>
      </c>
      <c r="CQ9" s="35">
        <v>5980.4634988130447</v>
      </c>
      <c r="CR9" s="35">
        <v>135.99837330730708</v>
      </c>
      <c r="CS9" s="35">
        <v>1.7324633542332111</v>
      </c>
      <c r="CT9" s="35">
        <v>0</v>
      </c>
      <c r="CU9" s="35">
        <v>38.980425470247248</v>
      </c>
      <c r="CV9" s="35">
        <v>6157.1747609448321</v>
      </c>
    </row>
    <row r="10" spans="1:100">
      <c r="A10" s="22">
        <v>5</v>
      </c>
      <c r="B10" s="314">
        <v>1</v>
      </c>
      <c r="C10" s="700"/>
      <c r="D10" s="14" t="s">
        <v>216</v>
      </c>
      <c r="E10" s="14" t="s">
        <v>285</v>
      </c>
      <c r="F10" s="14" t="s">
        <v>286</v>
      </c>
      <c r="G10" s="724"/>
      <c r="H10" s="724"/>
      <c r="I10" s="724"/>
      <c r="J10" s="718"/>
      <c r="K10" s="88">
        <v>27.85</v>
      </c>
      <c r="L10" s="23">
        <v>29.11</v>
      </c>
      <c r="M10" s="28">
        <v>60781.68</v>
      </c>
      <c r="N10" s="28">
        <v>6.9</v>
      </c>
      <c r="O10" s="23">
        <v>72.965788800000013</v>
      </c>
      <c r="P10" s="23">
        <v>1.5814610844194901</v>
      </c>
      <c r="Q10" s="28">
        <v>3359</v>
      </c>
      <c r="R10" s="28">
        <v>1823</v>
      </c>
      <c r="S10" s="28">
        <v>65971</v>
      </c>
      <c r="U10" s="28">
        <v>4090</v>
      </c>
      <c r="V10" s="28">
        <v>957</v>
      </c>
      <c r="W10" s="28">
        <v>122</v>
      </c>
      <c r="X10" s="28">
        <v>42</v>
      </c>
      <c r="Y10" s="28">
        <v>5211</v>
      </c>
      <c r="AA10" s="35">
        <v>62612</v>
      </c>
      <c r="AB10" s="35">
        <v>65971</v>
      </c>
      <c r="AD10" s="46">
        <v>2.5000000000000001E-2</v>
      </c>
      <c r="AE10" s="46" t="s">
        <v>57</v>
      </c>
      <c r="AF10" s="35">
        <v>1565</v>
      </c>
      <c r="AG10" s="35">
        <v>0</v>
      </c>
      <c r="AH10" s="35">
        <v>0</v>
      </c>
      <c r="AI10" s="35">
        <v>0</v>
      </c>
      <c r="AK10" s="35">
        <v>24389.64</v>
      </c>
      <c r="AL10" s="35">
        <v>-3389.52</v>
      </c>
      <c r="AM10" s="35">
        <v>21000</v>
      </c>
      <c r="AN10" s="35">
        <v>76000</v>
      </c>
      <c r="AO10" s="35">
        <v>157</v>
      </c>
      <c r="AP10" s="35">
        <v>2</v>
      </c>
      <c r="AQ10" s="35">
        <v>0</v>
      </c>
      <c r="AR10" s="35">
        <v>45</v>
      </c>
      <c r="AS10" s="35">
        <v>21204</v>
      </c>
      <c r="AU10" s="102">
        <v>0.99992113253677195</v>
      </c>
      <c r="AV10" s="102">
        <v>0.13370000000000001</v>
      </c>
      <c r="AX10" s="35">
        <v>60776.88630308766</v>
      </c>
      <c r="AY10" s="35">
        <v>6.8994558145037272</v>
      </c>
      <c r="AZ10" s="35">
        <v>3358.735084191017</v>
      </c>
      <c r="BA10" s="35">
        <v>1822.8562246145352</v>
      </c>
      <c r="BB10" s="35">
        <v>65965.377067707712</v>
      </c>
      <c r="BD10" s="35">
        <v>52651.016604364835</v>
      </c>
      <c r="BE10" s="35">
        <v>5.9769985721045789</v>
      </c>
      <c r="BF10" s="35">
        <v>2909.6722034346781</v>
      </c>
      <c r="BG10" s="546">
        <v>1822.8562246145352</v>
      </c>
      <c r="BH10" s="35">
        <v>57389.522030986154</v>
      </c>
      <c r="BJ10" s="35">
        <v>4089.6774320753971</v>
      </c>
      <c r="BK10" s="35">
        <v>956.9245238376908</v>
      </c>
      <c r="BL10" s="35">
        <v>121.99037816948618</v>
      </c>
      <c r="BM10" s="35">
        <v>41.996687566544423</v>
      </c>
      <c r="BN10" s="35">
        <v>5210.5890216491189</v>
      </c>
      <c r="BP10" s="35">
        <v>3542.8875594069164</v>
      </c>
      <c r="BQ10" s="35">
        <v>828.98371500059147</v>
      </c>
      <c r="BR10" s="35">
        <v>105.68026460822587</v>
      </c>
      <c r="BS10" s="35">
        <v>36.381730438897435</v>
      </c>
      <c r="BT10" s="35">
        <v>4513.933269454631</v>
      </c>
      <c r="BV10" s="35">
        <v>1564.8765724200482</v>
      </c>
      <c r="BW10" s="35">
        <v>0</v>
      </c>
      <c r="BX10" s="35">
        <v>0</v>
      </c>
      <c r="BY10" s="35">
        <v>0</v>
      </c>
      <c r="CA10" s="35">
        <v>1355.6525746874877</v>
      </c>
      <c r="CB10" s="35">
        <v>0</v>
      </c>
      <c r="CC10" s="35">
        <v>0</v>
      </c>
      <c r="CD10" s="35">
        <v>0</v>
      </c>
      <c r="CF10" s="35">
        <v>24387.716450964155</v>
      </c>
      <c r="CG10" s="35">
        <v>-3389.2526771560392</v>
      </c>
      <c r="CH10" s="35">
        <v>20998.343783272212</v>
      </c>
      <c r="CI10" s="35">
        <v>156.9876178082732</v>
      </c>
      <c r="CJ10" s="35">
        <v>1.9998422650735439</v>
      </c>
      <c r="CK10" s="35">
        <v>0</v>
      </c>
      <c r="CL10" s="35">
        <v>44.996450964154739</v>
      </c>
      <c r="CM10" s="35">
        <v>21202.327694309715</v>
      </c>
      <c r="CO10" s="35">
        <v>21127.078761470246</v>
      </c>
      <c r="CP10" s="35">
        <v>-2936.1095942202764</v>
      </c>
      <c r="CQ10" s="35">
        <v>18190.865219448715</v>
      </c>
      <c r="CR10" s="35">
        <v>135.99837330730708</v>
      </c>
      <c r="CS10" s="35">
        <v>1.7324633542332111</v>
      </c>
      <c r="CT10" s="35">
        <v>0</v>
      </c>
      <c r="CU10" s="35">
        <v>38.980425470247248</v>
      </c>
      <c r="CV10" s="35">
        <v>18367.576481580501</v>
      </c>
    </row>
    <row r="11" spans="1:100">
      <c r="A11" s="22">
        <v>6</v>
      </c>
      <c r="B11" s="314">
        <v>1</v>
      </c>
      <c r="C11" s="700"/>
      <c r="D11" s="14" t="s">
        <v>216</v>
      </c>
      <c r="E11" s="14" t="s">
        <v>255</v>
      </c>
      <c r="F11" s="14" t="s">
        <v>256</v>
      </c>
      <c r="G11" s="724"/>
      <c r="H11" s="724"/>
      <c r="I11" s="724"/>
      <c r="J11" s="718"/>
      <c r="K11" s="88">
        <v>29.51</v>
      </c>
      <c r="L11" s="23">
        <v>30.84</v>
      </c>
      <c r="M11" s="28">
        <v>64393.919999999998</v>
      </c>
      <c r="N11" s="28">
        <v>3.2</v>
      </c>
      <c r="O11" s="23">
        <v>192</v>
      </c>
      <c r="P11" s="23">
        <v>1.5814610844194901</v>
      </c>
      <c r="Q11" s="28">
        <v>9364</v>
      </c>
      <c r="R11" s="28">
        <v>1932</v>
      </c>
      <c r="S11" s="28">
        <v>75693</v>
      </c>
      <c r="U11" s="28">
        <v>4693</v>
      </c>
      <c r="V11" s="28">
        <v>1098</v>
      </c>
      <c r="W11" s="28">
        <v>122</v>
      </c>
      <c r="X11" s="28">
        <v>42</v>
      </c>
      <c r="Y11" s="28">
        <v>5955</v>
      </c>
      <c r="AA11" s="35">
        <v>66329</v>
      </c>
      <c r="AB11" s="35">
        <v>75693</v>
      </c>
      <c r="AD11" s="46">
        <v>0.02</v>
      </c>
      <c r="AE11" s="46" t="s">
        <v>57</v>
      </c>
      <c r="AF11" s="35">
        <v>1327</v>
      </c>
      <c r="AG11" s="35">
        <v>0</v>
      </c>
      <c r="AH11" s="35">
        <v>0</v>
      </c>
      <c r="AI11" s="35">
        <v>0</v>
      </c>
      <c r="AK11" s="35">
        <v>8410.1999999999989</v>
      </c>
      <c r="AL11" s="35">
        <v>-1505.76</v>
      </c>
      <c r="AM11" s="35">
        <v>6904</v>
      </c>
      <c r="AN11" s="35">
        <v>81000</v>
      </c>
      <c r="AO11" s="35">
        <v>167</v>
      </c>
      <c r="AP11" s="35">
        <v>2</v>
      </c>
      <c r="AQ11" s="35">
        <v>0</v>
      </c>
      <c r="AR11" s="35">
        <v>45</v>
      </c>
      <c r="AS11" s="35">
        <v>7118</v>
      </c>
      <c r="AU11" s="102">
        <v>1</v>
      </c>
      <c r="AV11" s="102">
        <v>7.9000000000000008E-3</v>
      </c>
      <c r="AX11" s="35">
        <v>64393.919999999998</v>
      </c>
      <c r="AY11" s="35">
        <v>3.2</v>
      </c>
      <c r="AZ11" s="35">
        <v>9364</v>
      </c>
      <c r="BA11" s="35">
        <v>1932</v>
      </c>
      <c r="BB11" s="35">
        <v>75693.119999999995</v>
      </c>
      <c r="BD11" s="35">
        <v>63885.208031999995</v>
      </c>
      <c r="BE11" s="35">
        <v>3.1747200000000002</v>
      </c>
      <c r="BF11" s="35">
        <v>9290.0244000000002</v>
      </c>
      <c r="BG11" s="546">
        <v>1932</v>
      </c>
      <c r="BH11" s="35">
        <v>75110.407152</v>
      </c>
      <c r="BJ11" s="35">
        <v>4693</v>
      </c>
      <c r="BK11" s="35">
        <v>1098</v>
      </c>
      <c r="BL11" s="35">
        <v>122</v>
      </c>
      <c r="BM11" s="35">
        <v>42</v>
      </c>
      <c r="BN11" s="35">
        <v>5955</v>
      </c>
      <c r="BP11" s="35">
        <v>4655.9252999999999</v>
      </c>
      <c r="BQ11" s="35">
        <v>1089.3258000000001</v>
      </c>
      <c r="BR11" s="35">
        <v>121.03619999999999</v>
      </c>
      <c r="BS11" s="35">
        <v>41.668199999999999</v>
      </c>
      <c r="BT11" s="35">
        <v>5907.9554999999991</v>
      </c>
      <c r="BV11" s="35">
        <v>1327</v>
      </c>
      <c r="BW11" s="35">
        <v>0</v>
      </c>
      <c r="BX11" s="35">
        <v>0</v>
      </c>
      <c r="BY11" s="35">
        <v>0</v>
      </c>
      <c r="CA11" s="35">
        <v>1316.5166999999999</v>
      </c>
      <c r="CB11" s="35">
        <v>0</v>
      </c>
      <c r="CC11" s="35">
        <v>0</v>
      </c>
      <c r="CD11" s="35">
        <v>0</v>
      </c>
      <c r="CF11" s="35">
        <v>8410.1999999999989</v>
      </c>
      <c r="CG11" s="35">
        <v>-1505.76</v>
      </c>
      <c r="CH11" s="35">
        <v>6904</v>
      </c>
      <c r="CI11" s="35">
        <v>167</v>
      </c>
      <c r="CJ11" s="35">
        <v>2</v>
      </c>
      <c r="CK11" s="35">
        <v>0</v>
      </c>
      <c r="CL11" s="35">
        <v>45</v>
      </c>
      <c r="CM11" s="35">
        <v>7118</v>
      </c>
      <c r="CO11" s="35">
        <v>8343.7594199999985</v>
      </c>
      <c r="CP11" s="35">
        <v>-1493.8644959999999</v>
      </c>
      <c r="CQ11" s="35">
        <v>6849.4583999999995</v>
      </c>
      <c r="CR11" s="35">
        <v>165.6807</v>
      </c>
      <c r="CS11" s="35">
        <v>1.9842</v>
      </c>
      <c r="CT11" s="35">
        <v>0</v>
      </c>
      <c r="CU11" s="35">
        <v>44.644500000000001</v>
      </c>
      <c r="CV11" s="35">
        <v>7061.7677999999996</v>
      </c>
    </row>
    <row r="12" spans="1:100">
      <c r="A12" s="22">
        <v>7</v>
      </c>
      <c r="B12" s="314">
        <v>1</v>
      </c>
      <c r="C12" s="700"/>
      <c r="D12" s="14" t="s">
        <v>216</v>
      </c>
      <c r="E12" s="14" t="s">
        <v>285</v>
      </c>
      <c r="F12" s="14" t="s">
        <v>286</v>
      </c>
      <c r="G12" s="724"/>
      <c r="H12" s="724"/>
      <c r="I12" s="724"/>
      <c r="J12" s="718"/>
      <c r="K12" s="88">
        <v>27.85</v>
      </c>
      <c r="L12" s="23">
        <v>29.11</v>
      </c>
      <c r="M12" s="28">
        <v>60781.68</v>
      </c>
      <c r="N12" s="28">
        <v>6.9</v>
      </c>
      <c r="O12" s="23">
        <v>378.82778879999995</v>
      </c>
      <c r="P12" s="23">
        <v>1.5814610844194901</v>
      </c>
      <c r="Q12" s="28">
        <v>17440</v>
      </c>
      <c r="R12" s="28">
        <v>1823</v>
      </c>
      <c r="S12" s="28">
        <v>80052</v>
      </c>
      <c r="U12" s="28">
        <v>4963</v>
      </c>
      <c r="V12" s="28">
        <v>1161</v>
      </c>
      <c r="W12" s="28">
        <v>122</v>
      </c>
      <c r="X12" s="28">
        <v>42</v>
      </c>
      <c r="Y12" s="28">
        <v>6288</v>
      </c>
      <c r="AA12" s="35">
        <v>62612</v>
      </c>
      <c r="AB12" s="35">
        <v>80052</v>
      </c>
      <c r="AD12" s="46">
        <v>2.5000000000000001E-2</v>
      </c>
      <c r="AE12" s="46" t="s">
        <v>57</v>
      </c>
      <c r="AF12" s="35">
        <v>1565</v>
      </c>
      <c r="AG12" s="35">
        <v>0</v>
      </c>
      <c r="AH12" s="35">
        <v>0</v>
      </c>
      <c r="AI12" s="35">
        <v>182</v>
      </c>
      <c r="AK12" s="35">
        <v>24389.64</v>
      </c>
      <c r="AL12" s="35">
        <v>-3389.52</v>
      </c>
      <c r="AM12" s="35">
        <v>21000</v>
      </c>
      <c r="AN12" s="35">
        <v>76000</v>
      </c>
      <c r="AO12" s="35">
        <v>157</v>
      </c>
      <c r="AP12" s="35">
        <v>2</v>
      </c>
      <c r="AQ12" s="35">
        <v>0</v>
      </c>
      <c r="AR12" s="35">
        <v>45</v>
      </c>
      <c r="AS12" s="35">
        <v>21204</v>
      </c>
      <c r="AU12" s="102">
        <v>0.99992113253677195</v>
      </c>
      <c r="AV12" s="102">
        <v>0.13370000000000001</v>
      </c>
      <c r="AX12" s="35">
        <v>60776.88630308766</v>
      </c>
      <c r="AY12" s="35">
        <v>6.8994558145037272</v>
      </c>
      <c r="AZ12" s="35">
        <v>17438.624551441302</v>
      </c>
      <c r="BA12" s="35">
        <v>1822.8562246145352</v>
      </c>
      <c r="BB12" s="35">
        <v>80045.266534957991</v>
      </c>
      <c r="BD12" s="35">
        <v>52651.016604364835</v>
      </c>
      <c r="BE12" s="35">
        <v>5.9769985721045789</v>
      </c>
      <c r="BF12" s="35">
        <v>15107.080448913599</v>
      </c>
      <c r="BG12" s="546">
        <v>1822.8562246145352</v>
      </c>
      <c r="BH12" s="35">
        <v>69586.930276465064</v>
      </c>
      <c r="BJ12" s="35">
        <v>4962.6085807799991</v>
      </c>
      <c r="BK12" s="35">
        <v>1160.9084348751921</v>
      </c>
      <c r="BL12" s="35">
        <v>121.99037816948618</v>
      </c>
      <c r="BM12" s="35">
        <v>41.996687566544423</v>
      </c>
      <c r="BN12" s="35">
        <v>6287.5040813912219</v>
      </c>
      <c r="BP12" s="35">
        <v>4299.107813529713</v>
      </c>
      <c r="BQ12" s="35">
        <v>1005.6949771323789</v>
      </c>
      <c r="BR12" s="35">
        <v>105.68026460822587</v>
      </c>
      <c r="BS12" s="35">
        <v>36.381730438897435</v>
      </c>
      <c r="BT12" s="35">
        <v>5446.8647857092155</v>
      </c>
      <c r="BV12" s="35">
        <v>1564.8765724200482</v>
      </c>
      <c r="BW12" s="35">
        <v>0</v>
      </c>
      <c r="BX12" s="35">
        <v>0</v>
      </c>
      <c r="BY12" s="35">
        <v>181.9856461216925</v>
      </c>
      <c r="CA12" s="35">
        <v>1355.6525746874877</v>
      </c>
      <c r="CB12" s="35">
        <v>0</v>
      </c>
      <c r="CC12" s="35">
        <v>0</v>
      </c>
      <c r="CD12" s="35">
        <v>181.9856461216925</v>
      </c>
      <c r="CF12" s="35">
        <v>24387.716450964155</v>
      </c>
      <c r="CG12" s="35">
        <v>-3389.2526771560392</v>
      </c>
      <c r="CH12" s="35">
        <v>20998.343783272212</v>
      </c>
      <c r="CI12" s="35">
        <v>156.9876178082732</v>
      </c>
      <c r="CJ12" s="35">
        <v>1.9998422650735439</v>
      </c>
      <c r="CK12" s="35">
        <v>0</v>
      </c>
      <c r="CL12" s="35">
        <v>44.996450964154739</v>
      </c>
      <c r="CM12" s="35">
        <v>21202.327694309715</v>
      </c>
      <c r="CO12" s="35">
        <v>21127.078761470246</v>
      </c>
      <c r="CP12" s="35">
        <v>-2936.1095942202764</v>
      </c>
      <c r="CQ12" s="35">
        <v>18190.865219448715</v>
      </c>
      <c r="CR12" s="35">
        <v>135.99837330730708</v>
      </c>
      <c r="CS12" s="35">
        <v>1.7324633542332111</v>
      </c>
      <c r="CT12" s="35">
        <v>0</v>
      </c>
      <c r="CU12" s="35">
        <v>38.980425470247248</v>
      </c>
      <c r="CV12" s="35">
        <v>18367.576481580501</v>
      </c>
    </row>
    <row r="13" spans="1:100">
      <c r="A13" s="22">
        <v>8</v>
      </c>
      <c r="B13" s="314">
        <v>1</v>
      </c>
      <c r="C13" s="700"/>
      <c r="D13" s="14" t="s">
        <v>216</v>
      </c>
      <c r="E13" s="14" t="s">
        <v>285</v>
      </c>
      <c r="F13" s="14" t="s">
        <v>286</v>
      </c>
      <c r="G13" s="724"/>
      <c r="H13" s="724"/>
      <c r="I13" s="724"/>
      <c r="J13" s="718"/>
      <c r="K13" s="88">
        <v>28.32</v>
      </c>
      <c r="L13" s="23">
        <v>29.6</v>
      </c>
      <c r="M13" s="28">
        <v>61804.800000000003</v>
      </c>
      <c r="N13" s="28">
        <v>0</v>
      </c>
      <c r="O13" s="23">
        <v>72.965788800000013</v>
      </c>
      <c r="P13" s="23">
        <v>1.5814610844194901</v>
      </c>
      <c r="Q13" s="28">
        <v>3416</v>
      </c>
      <c r="R13" s="28">
        <v>1854</v>
      </c>
      <c r="S13" s="28">
        <v>67075</v>
      </c>
      <c r="U13" s="28">
        <v>4159</v>
      </c>
      <c r="V13" s="28">
        <v>973</v>
      </c>
      <c r="W13" s="28">
        <v>122</v>
      </c>
      <c r="X13" s="28">
        <v>42</v>
      </c>
      <c r="Y13" s="28">
        <v>5296</v>
      </c>
      <c r="AA13" s="35">
        <v>63659</v>
      </c>
      <c r="AB13" s="35">
        <v>67075</v>
      </c>
      <c r="AD13" s="46">
        <v>2.5000000000000001E-2</v>
      </c>
      <c r="AE13" s="46" t="s">
        <v>57</v>
      </c>
      <c r="AF13" s="35">
        <v>1591</v>
      </c>
      <c r="AG13" s="35">
        <v>0</v>
      </c>
      <c r="AH13" s="35">
        <v>0</v>
      </c>
      <c r="AI13" s="35">
        <v>185</v>
      </c>
      <c r="AK13" s="35">
        <v>24389.64</v>
      </c>
      <c r="AL13" s="35">
        <v>-3389.52</v>
      </c>
      <c r="AM13" s="35">
        <v>21000</v>
      </c>
      <c r="AN13" s="35">
        <v>78000</v>
      </c>
      <c r="AO13" s="35">
        <v>161</v>
      </c>
      <c r="AP13" s="35">
        <v>2</v>
      </c>
      <c r="AQ13" s="35">
        <v>0</v>
      </c>
      <c r="AR13" s="35">
        <v>45</v>
      </c>
      <c r="AS13" s="35">
        <v>21208</v>
      </c>
      <c r="AU13" s="102">
        <v>1</v>
      </c>
      <c r="AV13" s="102">
        <v>0.22639999999999999</v>
      </c>
      <c r="AX13" s="35">
        <v>61804.800000000003</v>
      </c>
      <c r="AY13" s="35">
        <v>0</v>
      </c>
      <c r="AZ13" s="35">
        <v>3416</v>
      </c>
      <c r="BA13" s="35">
        <v>1854</v>
      </c>
      <c r="BB13" s="35">
        <v>67074.8</v>
      </c>
      <c r="BD13" s="35">
        <v>47812.193280000007</v>
      </c>
      <c r="BE13" s="35">
        <v>0</v>
      </c>
      <c r="BF13" s="35">
        <v>2642.6176</v>
      </c>
      <c r="BG13" s="546">
        <v>1854</v>
      </c>
      <c r="BH13" s="35">
        <v>52308.810880000005</v>
      </c>
      <c r="BJ13" s="35">
        <v>4159</v>
      </c>
      <c r="BK13" s="35">
        <v>973</v>
      </c>
      <c r="BL13" s="35">
        <v>122</v>
      </c>
      <c r="BM13" s="35">
        <v>42</v>
      </c>
      <c r="BN13" s="35">
        <v>5296</v>
      </c>
      <c r="BP13" s="35">
        <v>3217.4024000000004</v>
      </c>
      <c r="BQ13" s="35">
        <v>752.71280000000002</v>
      </c>
      <c r="BR13" s="35">
        <v>94.379200000000012</v>
      </c>
      <c r="BS13" s="35">
        <v>32.491200000000006</v>
      </c>
      <c r="BT13" s="35">
        <v>4096.9856</v>
      </c>
      <c r="BV13" s="35">
        <v>1591</v>
      </c>
      <c r="BW13" s="35">
        <v>0</v>
      </c>
      <c r="BX13" s="35">
        <v>0</v>
      </c>
      <c r="BY13" s="35">
        <v>185</v>
      </c>
      <c r="CA13" s="35">
        <v>1230.7976000000001</v>
      </c>
      <c r="CB13" s="35">
        <v>0</v>
      </c>
      <c r="CC13" s="35">
        <v>0</v>
      </c>
      <c r="CD13" s="35">
        <v>185</v>
      </c>
      <c r="CF13" s="35">
        <v>24389.64</v>
      </c>
      <c r="CG13" s="35">
        <v>-3389.52</v>
      </c>
      <c r="CH13" s="35">
        <v>21000</v>
      </c>
      <c r="CI13" s="35">
        <v>161</v>
      </c>
      <c r="CJ13" s="35">
        <v>2</v>
      </c>
      <c r="CK13" s="35">
        <v>0</v>
      </c>
      <c r="CL13" s="35">
        <v>45</v>
      </c>
      <c r="CM13" s="35">
        <v>21208</v>
      </c>
      <c r="CO13" s="35">
        <v>18867.825504</v>
      </c>
      <c r="CP13" s="35">
        <v>-2622.1326720000002</v>
      </c>
      <c r="CQ13" s="35">
        <v>16245.600000000002</v>
      </c>
      <c r="CR13" s="35">
        <v>124.54960000000001</v>
      </c>
      <c r="CS13" s="35">
        <v>1.5472000000000001</v>
      </c>
      <c r="CT13" s="35">
        <v>0</v>
      </c>
      <c r="CU13" s="35">
        <v>34.812000000000005</v>
      </c>
      <c r="CV13" s="35">
        <v>16406.508800000003</v>
      </c>
    </row>
    <row r="14" spans="1:100">
      <c r="A14" s="22">
        <v>9</v>
      </c>
      <c r="B14" s="314">
        <v>1</v>
      </c>
      <c r="C14" s="700"/>
      <c r="D14" s="14" t="s">
        <v>216</v>
      </c>
      <c r="E14" s="14" t="s">
        <v>272</v>
      </c>
      <c r="F14" s="14" t="s">
        <v>273</v>
      </c>
      <c r="G14" s="724"/>
      <c r="H14" s="724"/>
      <c r="I14" s="724"/>
      <c r="J14" s="718"/>
      <c r="K14" s="88">
        <v>29.51</v>
      </c>
      <c r="L14" s="23">
        <v>30.84</v>
      </c>
      <c r="M14" s="28">
        <v>64393.919999999998</v>
      </c>
      <c r="N14" s="28">
        <v>31.037500000000001</v>
      </c>
      <c r="O14" s="23">
        <v>192</v>
      </c>
      <c r="P14" s="23">
        <v>1.5814610844194901</v>
      </c>
      <c r="Q14" s="28">
        <v>9364</v>
      </c>
      <c r="R14" s="28">
        <v>1932</v>
      </c>
      <c r="S14" s="28">
        <v>75721</v>
      </c>
      <c r="U14" s="28">
        <v>4695</v>
      </c>
      <c r="V14" s="28">
        <v>1098</v>
      </c>
      <c r="W14" s="28">
        <v>122</v>
      </c>
      <c r="X14" s="28">
        <v>42</v>
      </c>
      <c r="Y14" s="28">
        <v>5957</v>
      </c>
      <c r="AA14" s="35">
        <v>66357</v>
      </c>
      <c r="AB14" s="35">
        <v>75721</v>
      </c>
      <c r="AD14" s="46">
        <v>0</v>
      </c>
      <c r="AE14" s="46">
        <v>0</v>
      </c>
      <c r="AF14" s="35">
        <v>0</v>
      </c>
      <c r="AG14" s="35">
        <v>0</v>
      </c>
      <c r="AH14" s="35">
        <v>0</v>
      </c>
      <c r="AI14" s="35">
        <v>97</v>
      </c>
      <c r="AK14" s="35">
        <v>24389.64</v>
      </c>
      <c r="AL14" s="35">
        <v>-3389.52</v>
      </c>
      <c r="AM14" s="35">
        <v>21000</v>
      </c>
      <c r="AN14" s="35">
        <v>81000</v>
      </c>
      <c r="AO14" s="35">
        <v>167</v>
      </c>
      <c r="AP14" s="35">
        <v>2</v>
      </c>
      <c r="AQ14" s="35">
        <v>0</v>
      </c>
      <c r="AR14" s="35">
        <v>45</v>
      </c>
      <c r="AS14" s="35">
        <v>21214</v>
      </c>
      <c r="AU14" s="102">
        <v>1</v>
      </c>
      <c r="AV14" s="102">
        <v>9.7000000000000003E-3</v>
      </c>
      <c r="AX14" s="35">
        <v>64393.919999999998</v>
      </c>
      <c r="AY14" s="35">
        <v>31.037500000000001</v>
      </c>
      <c r="AZ14" s="35">
        <v>9364</v>
      </c>
      <c r="BA14" s="35">
        <v>1932</v>
      </c>
      <c r="BB14" s="35">
        <v>75720.95749999999</v>
      </c>
      <c r="BD14" s="35">
        <v>63769.298975999998</v>
      </c>
      <c r="BE14" s="35">
        <v>30.736436250000001</v>
      </c>
      <c r="BF14" s="35">
        <v>9273.1692000000003</v>
      </c>
      <c r="BG14" s="546">
        <v>1932</v>
      </c>
      <c r="BH14" s="35">
        <v>75005.204612250003</v>
      </c>
      <c r="BJ14" s="35">
        <v>4695</v>
      </c>
      <c r="BK14" s="35">
        <v>1098</v>
      </c>
      <c r="BL14" s="35">
        <v>122</v>
      </c>
      <c r="BM14" s="35">
        <v>42</v>
      </c>
      <c r="BN14" s="35">
        <v>5957</v>
      </c>
      <c r="BP14" s="35">
        <v>4649.4584999999997</v>
      </c>
      <c r="BQ14" s="35">
        <v>1087.3494000000001</v>
      </c>
      <c r="BR14" s="35">
        <v>120.81659999999999</v>
      </c>
      <c r="BS14" s="35">
        <v>41.592599999999997</v>
      </c>
      <c r="BT14" s="35">
        <v>5899.2170999999998</v>
      </c>
      <c r="BV14" s="35">
        <v>0</v>
      </c>
      <c r="BW14" s="35">
        <v>0</v>
      </c>
      <c r="BX14" s="35">
        <v>0</v>
      </c>
      <c r="BY14" s="35">
        <v>97</v>
      </c>
      <c r="CA14" s="35">
        <v>0</v>
      </c>
      <c r="CB14" s="35">
        <v>0</v>
      </c>
      <c r="CC14" s="35">
        <v>0</v>
      </c>
      <c r="CD14" s="35">
        <v>97</v>
      </c>
      <c r="CF14" s="35">
        <v>24389.64</v>
      </c>
      <c r="CG14" s="35">
        <v>-3389.52</v>
      </c>
      <c r="CH14" s="35">
        <v>21000</v>
      </c>
      <c r="CI14" s="35">
        <v>167</v>
      </c>
      <c r="CJ14" s="35">
        <v>2</v>
      </c>
      <c r="CK14" s="35">
        <v>0</v>
      </c>
      <c r="CL14" s="35">
        <v>45</v>
      </c>
      <c r="CM14" s="35">
        <v>21214</v>
      </c>
      <c r="CO14" s="35">
        <v>24153.060491999997</v>
      </c>
      <c r="CP14" s="35">
        <v>-3356.6416559999998</v>
      </c>
      <c r="CQ14" s="35">
        <v>20796.3</v>
      </c>
      <c r="CR14" s="35">
        <v>165.3801</v>
      </c>
      <c r="CS14" s="35">
        <v>1.9805999999999999</v>
      </c>
      <c r="CT14" s="35">
        <v>0</v>
      </c>
      <c r="CU14" s="35">
        <v>44.563499999999998</v>
      </c>
      <c r="CV14" s="35">
        <v>21008.224199999997</v>
      </c>
    </row>
    <row r="15" spans="1:100">
      <c r="A15" s="22">
        <v>10</v>
      </c>
      <c r="B15" s="314">
        <v>1</v>
      </c>
      <c r="C15" s="700"/>
      <c r="D15" s="14" t="s">
        <v>216</v>
      </c>
      <c r="E15" s="14" t="s">
        <v>255</v>
      </c>
      <c r="F15" s="14" t="s">
        <v>256</v>
      </c>
      <c r="G15" s="724"/>
      <c r="H15" s="724"/>
      <c r="I15" s="724"/>
      <c r="J15" s="718"/>
      <c r="K15" s="88">
        <v>26.68</v>
      </c>
      <c r="L15" s="23">
        <v>27.88</v>
      </c>
      <c r="M15" s="28">
        <v>58213.440000000002</v>
      </c>
      <c r="N15" s="28">
        <v>0.34166666666666662</v>
      </c>
      <c r="O15" s="23">
        <v>192</v>
      </c>
      <c r="P15" s="23">
        <v>1.5814610844194901</v>
      </c>
      <c r="Q15" s="28">
        <v>8465</v>
      </c>
      <c r="R15" s="28">
        <v>1746</v>
      </c>
      <c r="S15" s="28">
        <v>68425</v>
      </c>
      <c r="U15" s="28">
        <v>4242</v>
      </c>
      <c r="V15" s="28">
        <v>992</v>
      </c>
      <c r="W15" s="28">
        <v>122</v>
      </c>
      <c r="X15" s="28">
        <v>42</v>
      </c>
      <c r="Y15" s="28">
        <v>5398</v>
      </c>
      <c r="AA15" s="35">
        <v>59960</v>
      </c>
      <c r="AB15" s="35">
        <v>68425</v>
      </c>
      <c r="AD15" s="46">
        <v>0.01</v>
      </c>
      <c r="AE15" s="46" t="s">
        <v>57</v>
      </c>
      <c r="AF15" s="35">
        <v>600</v>
      </c>
      <c r="AG15" s="35">
        <v>0</v>
      </c>
      <c r="AH15" s="35">
        <v>0</v>
      </c>
      <c r="AI15" s="35">
        <v>0</v>
      </c>
      <c r="AK15" s="35">
        <v>24389.64</v>
      </c>
      <c r="AL15" s="35">
        <v>-3389.52</v>
      </c>
      <c r="AM15" s="35">
        <v>21000</v>
      </c>
      <c r="AN15" s="35">
        <v>73000</v>
      </c>
      <c r="AO15" s="35">
        <v>151</v>
      </c>
      <c r="AP15" s="35">
        <v>2</v>
      </c>
      <c r="AQ15" s="35">
        <v>0</v>
      </c>
      <c r="AR15" s="35">
        <v>45</v>
      </c>
      <c r="AS15" s="35">
        <v>21198</v>
      </c>
      <c r="AU15" s="102">
        <v>1</v>
      </c>
      <c r="AV15" s="102">
        <v>2.0500000000000001E-2</v>
      </c>
      <c r="AX15" s="35">
        <v>58213.440000000002</v>
      </c>
      <c r="AY15" s="35">
        <v>0.34166666666666662</v>
      </c>
      <c r="AZ15" s="35">
        <v>8465</v>
      </c>
      <c r="BA15" s="35">
        <v>1746</v>
      </c>
      <c r="BB15" s="35">
        <v>68424.781666666677</v>
      </c>
      <c r="BD15" s="35">
        <v>57020.064480000001</v>
      </c>
      <c r="BE15" s="35">
        <v>0.33466249999999997</v>
      </c>
      <c r="BF15" s="35">
        <v>8291.4675000000007</v>
      </c>
      <c r="BG15" s="546">
        <v>1746</v>
      </c>
      <c r="BH15" s="35">
        <v>67057.866642499997</v>
      </c>
      <c r="BJ15" s="35">
        <v>4242</v>
      </c>
      <c r="BK15" s="35">
        <v>992</v>
      </c>
      <c r="BL15" s="35">
        <v>122</v>
      </c>
      <c r="BM15" s="35">
        <v>42</v>
      </c>
      <c r="BN15" s="35">
        <v>5398</v>
      </c>
      <c r="BP15" s="35">
        <v>4155.0389999999998</v>
      </c>
      <c r="BQ15" s="35">
        <v>971.66399999999999</v>
      </c>
      <c r="BR15" s="35">
        <v>119.49900000000001</v>
      </c>
      <c r="BS15" s="35">
        <v>41.139000000000003</v>
      </c>
      <c r="BT15" s="35">
        <v>5287.3409999999994</v>
      </c>
      <c r="BV15" s="35">
        <v>600</v>
      </c>
      <c r="BW15" s="35">
        <v>0</v>
      </c>
      <c r="BX15" s="35">
        <v>0</v>
      </c>
      <c r="BY15" s="35">
        <v>0</v>
      </c>
      <c r="CA15" s="35">
        <v>587.70000000000005</v>
      </c>
      <c r="CB15" s="35">
        <v>0</v>
      </c>
      <c r="CC15" s="35">
        <v>0</v>
      </c>
      <c r="CD15" s="35">
        <v>0</v>
      </c>
      <c r="CF15" s="35">
        <v>24389.64</v>
      </c>
      <c r="CG15" s="35">
        <v>-3389.52</v>
      </c>
      <c r="CH15" s="35">
        <v>21000</v>
      </c>
      <c r="CI15" s="35">
        <v>151</v>
      </c>
      <c r="CJ15" s="35">
        <v>2</v>
      </c>
      <c r="CK15" s="35">
        <v>0</v>
      </c>
      <c r="CL15" s="35">
        <v>45</v>
      </c>
      <c r="CM15" s="35">
        <v>21198</v>
      </c>
      <c r="CO15" s="35">
        <v>23889.65238</v>
      </c>
      <c r="CP15" s="35">
        <v>-3320.0348400000003</v>
      </c>
      <c r="CQ15" s="35">
        <v>20569.5</v>
      </c>
      <c r="CR15" s="35">
        <v>147.90450000000001</v>
      </c>
      <c r="CS15" s="35">
        <v>1.9590000000000001</v>
      </c>
      <c r="CT15" s="35">
        <v>0</v>
      </c>
      <c r="CU15" s="35">
        <v>44.077500000000001</v>
      </c>
      <c r="CV15" s="35">
        <v>20763.440999999999</v>
      </c>
    </row>
    <row r="16" spans="1:100">
      <c r="A16" s="22">
        <v>11</v>
      </c>
      <c r="B16" s="314">
        <v>1</v>
      </c>
      <c r="C16" s="700"/>
      <c r="D16" s="14" t="s">
        <v>216</v>
      </c>
      <c r="E16" s="14" t="s">
        <v>272</v>
      </c>
      <c r="F16" s="14" t="s">
        <v>273</v>
      </c>
      <c r="G16" s="724"/>
      <c r="H16" s="724"/>
      <c r="I16" s="724"/>
      <c r="J16" s="718"/>
      <c r="K16" s="88">
        <v>28.36</v>
      </c>
      <c r="L16" s="23">
        <v>29.64</v>
      </c>
      <c r="M16" s="28">
        <v>61888.32</v>
      </c>
      <c r="N16" s="28">
        <v>31.037500000000001</v>
      </c>
      <c r="O16" s="23">
        <v>192</v>
      </c>
      <c r="P16" s="23">
        <v>1.5814610844194901</v>
      </c>
      <c r="Q16" s="28">
        <v>9000</v>
      </c>
      <c r="R16" s="28">
        <v>1857</v>
      </c>
      <c r="S16" s="28">
        <v>72776</v>
      </c>
      <c r="U16" s="28">
        <v>4512</v>
      </c>
      <c r="V16" s="28">
        <v>1055</v>
      </c>
      <c r="W16" s="28">
        <v>122</v>
      </c>
      <c r="X16" s="28">
        <v>42</v>
      </c>
      <c r="Y16" s="28">
        <v>5731</v>
      </c>
      <c r="AA16" s="35">
        <v>63776</v>
      </c>
      <c r="AB16" s="35">
        <v>72776</v>
      </c>
      <c r="AD16" s="46">
        <v>2.5000000000000001E-2</v>
      </c>
      <c r="AE16" s="46" t="s">
        <v>57</v>
      </c>
      <c r="AF16" s="35">
        <v>1594</v>
      </c>
      <c r="AG16" s="35">
        <v>0</v>
      </c>
      <c r="AH16" s="35">
        <v>0</v>
      </c>
      <c r="AI16" s="35">
        <v>0</v>
      </c>
      <c r="AK16" s="35">
        <v>24389.64</v>
      </c>
      <c r="AL16" s="35">
        <v>-3389.52</v>
      </c>
      <c r="AM16" s="35">
        <v>21000</v>
      </c>
      <c r="AN16" s="35">
        <v>78000</v>
      </c>
      <c r="AO16" s="35">
        <v>161</v>
      </c>
      <c r="AP16" s="35">
        <v>2</v>
      </c>
      <c r="AQ16" s="35">
        <v>0</v>
      </c>
      <c r="AR16" s="35">
        <v>45</v>
      </c>
      <c r="AS16" s="35">
        <v>21208</v>
      </c>
      <c r="AU16" s="102">
        <v>1</v>
      </c>
      <c r="AV16" s="102">
        <v>9.7000000000000003E-3</v>
      </c>
      <c r="AX16" s="35">
        <v>61888.32</v>
      </c>
      <c r="AY16" s="35">
        <v>31.037500000000001</v>
      </c>
      <c r="AZ16" s="35">
        <v>9000</v>
      </c>
      <c r="BA16" s="35">
        <v>1857</v>
      </c>
      <c r="BB16" s="35">
        <v>72776.357499999998</v>
      </c>
      <c r="BD16" s="35">
        <v>61288.003295999995</v>
      </c>
      <c r="BE16" s="35">
        <v>30.736436250000001</v>
      </c>
      <c r="BF16" s="35">
        <v>8912.6999999999989</v>
      </c>
      <c r="BG16" s="546">
        <v>1857</v>
      </c>
      <c r="BH16" s="35">
        <v>72088.439732250001</v>
      </c>
      <c r="BJ16" s="35">
        <v>4512</v>
      </c>
      <c r="BK16" s="35">
        <v>1055</v>
      </c>
      <c r="BL16" s="35">
        <v>122</v>
      </c>
      <c r="BM16" s="35">
        <v>42</v>
      </c>
      <c r="BN16" s="35">
        <v>5731</v>
      </c>
      <c r="BP16" s="35">
        <v>4468.2335999999996</v>
      </c>
      <c r="BQ16" s="35">
        <v>1044.7665</v>
      </c>
      <c r="BR16" s="35">
        <v>120.81659999999999</v>
      </c>
      <c r="BS16" s="35">
        <v>41.592599999999997</v>
      </c>
      <c r="BT16" s="35">
        <v>5675.4092999999993</v>
      </c>
      <c r="BV16" s="35">
        <v>1594</v>
      </c>
      <c r="BW16" s="35">
        <v>0</v>
      </c>
      <c r="BX16" s="35">
        <v>0</v>
      </c>
      <c r="BY16" s="35">
        <v>0</v>
      </c>
      <c r="CA16" s="35">
        <v>1578.5382</v>
      </c>
      <c r="CB16" s="35">
        <v>0</v>
      </c>
      <c r="CC16" s="35">
        <v>0</v>
      </c>
      <c r="CD16" s="35">
        <v>0</v>
      </c>
      <c r="CF16" s="35">
        <v>24389.64</v>
      </c>
      <c r="CG16" s="35">
        <v>-3389.52</v>
      </c>
      <c r="CH16" s="35">
        <v>21000</v>
      </c>
      <c r="CI16" s="35">
        <v>161</v>
      </c>
      <c r="CJ16" s="35">
        <v>2</v>
      </c>
      <c r="CK16" s="35">
        <v>0</v>
      </c>
      <c r="CL16" s="35">
        <v>45</v>
      </c>
      <c r="CM16" s="35">
        <v>21208</v>
      </c>
      <c r="CO16" s="35">
        <v>24153.060491999997</v>
      </c>
      <c r="CP16" s="35">
        <v>-3356.6416559999998</v>
      </c>
      <c r="CQ16" s="35">
        <v>20796.3</v>
      </c>
      <c r="CR16" s="35">
        <v>159.4383</v>
      </c>
      <c r="CS16" s="35">
        <v>1.9805999999999999</v>
      </c>
      <c r="CT16" s="35">
        <v>0</v>
      </c>
      <c r="CU16" s="35">
        <v>44.563499999999998</v>
      </c>
      <c r="CV16" s="35">
        <v>21002.2824</v>
      </c>
    </row>
    <row r="17" spans="1:100">
      <c r="A17" s="22">
        <v>12</v>
      </c>
      <c r="B17" s="314">
        <v>1</v>
      </c>
      <c r="C17" s="700"/>
      <c r="D17" s="14" t="s">
        <v>216</v>
      </c>
      <c r="E17" s="14" t="s">
        <v>285</v>
      </c>
      <c r="F17" s="14" t="s">
        <v>286</v>
      </c>
      <c r="G17" s="724"/>
      <c r="H17" s="724"/>
      <c r="I17" s="724"/>
      <c r="J17" s="718"/>
      <c r="K17" s="88">
        <v>27.85</v>
      </c>
      <c r="L17" s="23">
        <v>29.11</v>
      </c>
      <c r="M17" s="28">
        <v>60781.68</v>
      </c>
      <c r="N17" s="28">
        <v>6.9</v>
      </c>
      <c r="O17" s="23">
        <v>378.82778879999995</v>
      </c>
      <c r="P17" s="23">
        <v>1.5814610844194901</v>
      </c>
      <c r="Q17" s="28">
        <v>17440</v>
      </c>
      <c r="R17" s="28">
        <v>1823</v>
      </c>
      <c r="S17" s="28">
        <v>80052</v>
      </c>
      <c r="U17" s="28">
        <v>4963</v>
      </c>
      <c r="V17" s="28">
        <v>1161</v>
      </c>
      <c r="W17" s="28">
        <v>122</v>
      </c>
      <c r="X17" s="28">
        <v>42</v>
      </c>
      <c r="Y17" s="28">
        <v>6288</v>
      </c>
      <c r="AA17" s="35">
        <v>62612</v>
      </c>
      <c r="AB17" s="35">
        <v>80052</v>
      </c>
      <c r="AD17" s="46">
        <v>0.02</v>
      </c>
      <c r="AE17" s="46" t="s">
        <v>57</v>
      </c>
      <c r="AF17" s="35">
        <v>1252</v>
      </c>
      <c r="AG17" s="35">
        <v>0</v>
      </c>
      <c r="AH17" s="35">
        <v>0</v>
      </c>
      <c r="AI17" s="35">
        <v>182</v>
      </c>
      <c r="AK17" s="35">
        <v>24389.64</v>
      </c>
      <c r="AL17" s="35">
        <v>-3389.52</v>
      </c>
      <c r="AM17" s="35">
        <v>21000</v>
      </c>
      <c r="AN17" s="35">
        <v>76000</v>
      </c>
      <c r="AO17" s="35">
        <v>157</v>
      </c>
      <c r="AP17" s="35">
        <v>2</v>
      </c>
      <c r="AQ17" s="35">
        <v>0</v>
      </c>
      <c r="AR17" s="35">
        <v>45</v>
      </c>
      <c r="AS17" s="35">
        <v>21204</v>
      </c>
      <c r="AU17" s="102">
        <v>0.99992113253677195</v>
      </c>
      <c r="AV17" s="102">
        <v>0.13370000000000001</v>
      </c>
      <c r="AX17" s="35">
        <v>60776.88630308766</v>
      </c>
      <c r="AY17" s="35">
        <v>6.8994558145037272</v>
      </c>
      <c r="AZ17" s="35">
        <v>17438.624551441302</v>
      </c>
      <c r="BA17" s="35">
        <v>1822.8562246145352</v>
      </c>
      <c r="BB17" s="35">
        <v>80045.266534957991</v>
      </c>
      <c r="BD17" s="35">
        <v>52651.016604364835</v>
      </c>
      <c r="BE17" s="35">
        <v>5.9769985721045789</v>
      </c>
      <c r="BF17" s="35">
        <v>15107.080448913599</v>
      </c>
      <c r="BG17" s="546">
        <v>1822.8562246145352</v>
      </c>
      <c r="BH17" s="35">
        <v>69586.930276465064</v>
      </c>
      <c r="BJ17" s="35">
        <v>4962.6085807799991</v>
      </c>
      <c r="BK17" s="35">
        <v>1160.9084348751921</v>
      </c>
      <c r="BL17" s="35">
        <v>121.99037816948618</v>
      </c>
      <c r="BM17" s="35">
        <v>41.996687566544423</v>
      </c>
      <c r="BN17" s="35">
        <v>6287.5040813912219</v>
      </c>
      <c r="BP17" s="35">
        <v>4299.107813529713</v>
      </c>
      <c r="BQ17" s="35">
        <v>1005.6949771323789</v>
      </c>
      <c r="BR17" s="35">
        <v>105.68026460822587</v>
      </c>
      <c r="BS17" s="35">
        <v>36.381730438897435</v>
      </c>
      <c r="BT17" s="35">
        <v>5446.8647857092155</v>
      </c>
      <c r="BV17" s="35">
        <v>1251.9012579360385</v>
      </c>
      <c r="BW17" s="35">
        <v>0</v>
      </c>
      <c r="BX17" s="35">
        <v>0</v>
      </c>
      <c r="BY17" s="35">
        <v>181.9856461216925</v>
      </c>
      <c r="CA17" s="35">
        <v>1084.5220597499901</v>
      </c>
      <c r="CB17" s="35">
        <v>0</v>
      </c>
      <c r="CC17" s="35">
        <v>0</v>
      </c>
      <c r="CD17" s="35">
        <v>181.9856461216925</v>
      </c>
      <c r="CF17" s="35">
        <v>24387.716450964155</v>
      </c>
      <c r="CG17" s="35">
        <v>-3389.2526771560392</v>
      </c>
      <c r="CH17" s="35">
        <v>20998.343783272212</v>
      </c>
      <c r="CI17" s="35">
        <v>156.9876178082732</v>
      </c>
      <c r="CJ17" s="35">
        <v>1.9998422650735439</v>
      </c>
      <c r="CK17" s="35">
        <v>0</v>
      </c>
      <c r="CL17" s="35">
        <v>44.996450964154739</v>
      </c>
      <c r="CM17" s="35">
        <v>21202.327694309715</v>
      </c>
      <c r="CO17" s="35">
        <v>21127.078761470246</v>
      </c>
      <c r="CP17" s="35">
        <v>-2936.1095942202764</v>
      </c>
      <c r="CQ17" s="35">
        <v>18190.865219448715</v>
      </c>
      <c r="CR17" s="35">
        <v>135.99837330730708</v>
      </c>
      <c r="CS17" s="35">
        <v>1.7324633542332111</v>
      </c>
      <c r="CT17" s="35">
        <v>0</v>
      </c>
      <c r="CU17" s="35">
        <v>38.980425470247248</v>
      </c>
      <c r="CV17" s="35">
        <v>18367.576481580501</v>
      </c>
    </row>
    <row r="18" spans="1:100">
      <c r="A18" s="22">
        <v>13</v>
      </c>
      <c r="B18" s="314">
        <v>1</v>
      </c>
      <c r="C18" s="700"/>
      <c r="D18" s="14" t="s">
        <v>216</v>
      </c>
      <c r="E18" s="14" t="s">
        <v>285</v>
      </c>
      <c r="F18" s="14" t="s">
        <v>286</v>
      </c>
      <c r="G18" s="724"/>
      <c r="H18" s="724"/>
      <c r="I18" s="724"/>
      <c r="J18" s="718"/>
      <c r="K18" s="88">
        <v>27.85</v>
      </c>
      <c r="L18" s="23">
        <v>29.11</v>
      </c>
      <c r="M18" s="28">
        <v>60781.68</v>
      </c>
      <c r="N18" s="28">
        <v>6.9</v>
      </c>
      <c r="O18" s="23">
        <v>282.61178880000006</v>
      </c>
      <c r="P18" s="23">
        <v>1.5814610844194901</v>
      </c>
      <c r="Q18" s="28">
        <v>13010</v>
      </c>
      <c r="R18" s="28">
        <v>1823</v>
      </c>
      <c r="S18" s="28">
        <v>75622</v>
      </c>
      <c r="U18" s="28">
        <v>4689</v>
      </c>
      <c r="V18" s="28">
        <v>1097</v>
      </c>
      <c r="W18" s="28">
        <v>122</v>
      </c>
      <c r="X18" s="28">
        <v>42</v>
      </c>
      <c r="Y18" s="28">
        <v>5950</v>
      </c>
      <c r="AA18" s="35">
        <v>62612</v>
      </c>
      <c r="AB18" s="35">
        <v>75622</v>
      </c>
      <c r="AD18" s="46">
        <v>2.5000000000000001E-2</v>
      </c>
      <c r="AE18" s="46" t="s">
        <v>57</v>
      </c>
      <c r="AF18" s="35">
        <v>1565</v>
      </c>
      <c r="AG18" s="35">
        <v>0</v>
      </c>
      <c r="AH18" s="35">
        <v>0</v>
      </c>
      <c r="AI18" s="35">
        <v>0</v>
      </c>
      <c r="AK18" s="35">
        <v>24389.64</v>
      </c>
      <c r="AL18" s="35">
        <v>-3389.52</v>
      </c>
      <c r="AM18" s="35">
        <v>21000</v>
      </c>
      <c r="AN18" s="35">
        <v>76000</v>
      </c>
      <c r="AO18" s="35">
        <v>157</v>
      </c>
      <c r="AP18" s="35">
        <v>2</v>
      </c>
      <c r="AQ18" s="35">
        <v>0</v>
      </c>
      <c r="AR18" s="35">
        <v>45</v>
      </c>
      <c r="AS18" s="35">
        <v>21204</v>
      </c>
      <c r="AU18" s="102">
        <v>0.99992113253677195</v>
      </c>
      <c r="AV18" s="102">
        <v>0.13370000000000001</v>
      </c>
      <c r="AX18" s="35">
        <v>60776.88630308766</v>
      </c>
      <c r="AY18" s="35">
        <v>6.8994558145037272</v>
      </c>
      <c r="AZ18" s="35">
        <v>13008.973934303403</v>
      </c>
      <c r="BA18" s="35">
        <v>1822.8562246145352</v>
      </c>
      <c r="BB18" s="35">
        <v>75615.615917820105</v>
      </c>
      <c r="BD18" s="35">
        <v>52651.016604364835</v>
      </c>
      <c r="BE18" s="35">
        <v>5.9769985721045789</v>
      </c>
      <c r="BF18" s="35">
        <v>11269.674119287038</v>
      </c>
      <c r="BG18" s="546">
        <v>1822.8562246145352</v>
      </c>
      <c r="BH18" s="35">
        <v>65749.523946838512</v>
      </c>
      <c r="BJ18" s="35">
        <v>4688.6301904649235</v>
      </c>
      <c r="BK18" s="35">
        <v>1096.9134823928389</v>
      </c>
      <c r="BL18" s="35">
        <v>121.99037816948618</v>
      </c>
      <c r="BM18" s="35">
        <v>41.996687566544423</v>
      </c>
      <c r="BN18" s="35">
        <v>5949.5307385937931</v>
      </c>
      <c r="BP18" s="35">
        <v>4061.7603339997631</v>
      </c>
      <c r="BQ18" s="35">
        <v>950.25614979691625</v>
      </c>
      <c r="BR18" s="35">
        <v>105.68026460822587</v>
      </c>
      <c r="BS18" s="35">
        <v>36.381730438897435</v>
      </c>
      <c r="BT18" s="35">
        <v>5154.0784788438032</v>
      </c>
      <c r="BV18" s="35">
        <v>1564.8765724200482</v>
      </c>
      <c r="BW18" s="35">
        <v>0</v>
      </c>
      <c r="BX18" s="35">
        <v>0</v>
      </c>
      <c r="BY18" s="35">
        <v>0</v>
      </c>
      <c r="CA18" s="35">
        <v>1355.6525746874877</v>
      </c>
      <c r="CB18" s="35">
        <v>0</v>
      </c>
      <c r="CC18" s="35">
        <v>0</v>
      </c>
      <c r="CD18" s="35">
        <v>0</v>
      </c>
      <c r="CF18" s="35">
        <v>24387.716450964155</v>
      </c>
      <c r="CG18" s="35">
        <v>-3389.2526771560392</v>
      </c>
      <c r="CH18" s="35">
        <v>20998.343783272212</v>
      </c>
      <c r="CI18" s="35">
        <v>156.9876178082732</v>
      </c>
      <c r="CJ18" s="35">
        <v>1.9998422650735439</v>
      </c>
      <c r="CK18" s="35">
        <v>0</v>
      </c>
      <c r="CL18" s="35">
        <v>44.996450964154739</v>
      </c>
      <c r="CM18" s="35">
        <v>21202.327694309715</v>
      </c>
      <c r="CO18" s="35">
        <v>21127.078761470246</v>
      </c>
      <c r="CP18" s="35">
        <v>-2936.1095942202764</v>
      </c>
      <c r="CQ18" s="35">
        <v>18190.865219448715</v>
      </c>
      <c r="CR18" s="35">
        <v>135.99837330730708</v>
      </c>
      <c r="CS18" s="35">
        <v>1.7324633542332111</v>
      </c>
      <c r="CT18" s="35">
        <v>0</v>
      </c>
      <c r="CU18" s="35">
        <v>38.980425470247248</v>
      </c>
      <c r="CV18" s="35">
        <v>18367.576481580501</v>
      </c>
    </row>
    <row r="19" spans="1:100">
      <c r="A19" s="22">
        <v>14</v>
      </c>
      <c r="B19" s="314">
        <v>1</v>
      </c>
      <c r="C19" s="700"/>
      <c r="D19" s="14" t="s">
        <v>216</v>
      </c>
      <c r="E19" s="14" t="s">
        <v>285</v>
      </c>
      <c r="F19" s="14" t="s">
        <v>286</v>
      </c>
      <c r="G19" s="724"/>
      <c r="H19" s="724"/>
      <c r="I19" s="724"/>
      <c r="J19" s="718"/>
      <c r="K19" s="88">
        <v>27.85</v>
      </c>
      <c r="L19" s="23">
        <v>29.11</v>
      </c>
      <c r="M19" s="28">
        <v>60781.68</v>
      </c>
      <c r="N19" s="28">
        <v>6.9</v>
      </c>
      <c r="O19" s="23">
        <v>90</v>
      </c>
      <c r="P19" s="23">
        <v>1.5814610844194901</v>
      </c>
      <c r="Q19" s="28">
        <v>4143</v>
      </c>
      <c r="R19" s="28">
        <v>1823</v>
      </c>
      <c r="S19" s="28">
        <v>66755</v>
      </c>
      <c r="U19" s="28">
        <v>4139</v>
      </c>
      <c r="V19" s="28">
        <v>968</v>
      </c>
      <c r="W19" s="28">
        <v>122</v>
      </c>
      <c r="X19" s="28">
        <v>42</v>
      </c>
      <c r="Y19" s="28">
        <v>5271</v>
      </c>
      <c r="AA19" s="35">
        <v>62612</v>
      </c>
      <c r="AB19" s="35">
        <v>66755</v>
      </c>
      <c r="AD19" s="46">
        <v>1.4999999999999999E-2</v>
      </c>
      <c r="AE19" s="46" t="s">
        <v>57</v>
      </c>
      <c r="AF19" s="35">
        <v>939</v>
      </c>
      <c r="AG19" s="35">
        <v>0</v>
      </c>
      <c r="AH19" s="35">
        <v>0</v>
      </c>
      <c r="AI19" s="35">
        <v>274</v>
      </c>
      <c r="AK19" s="35">
        <v>8410.1999999999989</v>
      </c>
      <c r="AL19" s="35">
        <v>-1505.76</v>
      </c>
      <c r="AM19" s="35">
        <v>6904</v>
      </c>
      <c r="AN19" s="35">
        <v>76000</v>
      </c>
      <c r="AO19" s="35">
        <v>157</v>
      </c>
      <c r="AP19" s="35">
        <v>2</v>
      </c>
      <c r="AQ19" s="35">
        <v>0</v>
      </c>
      <c r="AR19" s="35">
        <v>45</v>
      </c>
      <c r="AS19" s="35">
        <v>7108</v>
      </c>
      <c r="AU19" s="102">
        <v>0.99992113253677195</v>
      </c>
      <c r="AV19" s="102">
        <v>0.13370000000000001</v>
      </c>
      <c r="AX19" s="35">
        <v>60776.88630308766</v>
      </c>
      <c r="AY19" s="35">
        <v>6.8994558145037272</v>
      </c>
      <c r="AZ19" s="35">
        <v>4142.6732520998457</v>
      </c>
      <c r="BA19" s="35">
        <v>1822.8562246145352</v>
      </c>
      <c r="BB19" s="35">
        <v>66749.315235616552</v>
      </c>
      <c r="BD19" s="35">
        <v>52651.016604364835</v>
      </c>
      <c r="BE19" s="35">
        <v>5.9769985721045789</v>
      </c>
      <c r="BF19" s="35">
        <v>3588.797838294096</v>
      </c>
      <c r="BG19" s="546">
        <v>1822.8562246145352</v>
      </c>
      <c r="BH19" s="35">
        <v>58068.647665845572</v>
      </c>
      <c r="BJ19" s="35">
        <v>4138.6735675696991</v>
      </c>
      <c r="BK19" s="35">
        <v>967.92365629559526</v>
      </c>
      <c r="BL19" s="35">
        <v>121.99037816948618</v>
      </c>
      <c r="BM19" s="35">
        <v>41.996687566544423</v>
      </c>
      <c r="BN19" s="35">
        <v>5270.5842896013246</v>
      </c>
      <c r="BP19" s="35">
        <v>3585.33291158563</v>
      </c>
      <c r="BQ19" s="35">
        <v>838.51226344887414</v>
      </c>
      <c r="BR19" s="35">
        <v>105.68026460822587</v>
      </c>
      <c r="BS19" s="35">
        <v>36.381730438897435</v>
      </c>
      <c r="BT19" s="35">
        <v>4565.9071700816276</v>
      </c>
      <c r="BV19" s="35">
        <v>938.92594345202883</v>
      </c>
      <c r="BW19" s="35">
        <v>0</v>
      </c>
      <c r="BX19" s="35">
        <v>0</v>
      </c>
      <c r="BY19" s="35">
        <v>273.9783903150755</v>
      </c>
      <c r="CA19" s="35">
        <v>813.3915448124925</v>
      </c>
      <c r="CB19" s="35">
        <v>0</v>
      </c>
      <c r="CC19" s="35">
        <v>0</v>
      </c>
      <c r="CD19" s="35">
        <v>273.9783903150755</v>
      </c>
      <c r="CF19" s="35">
        <v>8409.5367088607582</v>
      </c>
      <c r="CG19" s="35">
        <v>-1505.6412445285698</v>
      </c>
      <c r="CH19" s="35">
        <v>6903.4554990338738</v>
      </c>
      <c r="CI19" s="35">
        <v>156.9876178082732</v>
      </c>
      <c r="CJ19" s="35">
        <v>1.9998422650735439</v>
      </c>
      <c r="CK19" s="35">
        <v>0</v>
      </c>
      <c r="CL19" s="35">
        <v>44.996450964154739</v>
      </c>
      <c r="CM19" s="35">
        <v>7107.4394100713753</v>
      </c>
      <c r="CO19" s="35">
        <v>7285.1816508860747</v>
      </c>
      <c r="CP19" s="35">
        <v>-1304.3370101350999</v>
      </c>
      <c r="CQ19" s="35">
        <v>5980.4634988130447</v>
      </c>
      <c r="CR19" s="35">
        <v>135.99837330730708</v>
      </c>
      <c r="CS19" s="35">
        <v>1.7324633542332111</v>
      </c>
      <c r="CT19" s="35">
        <v>0</v>
      </c>
      <c r="CU19" s="35">
        <v>38.980425470247248</v>
      </c>
      <c r="CV19" s="35">
        <v>6157.1747609448321</v>
      </c>
    </row>
    <row r="20" spans="1:100">
      <c r="A20" s="22">
        <v>15</v>
      </c>
      <c r="B20" s="314">
        <v>1</v>
      </c>
      <c r="C20" s="700"/>
      <c r="D20" s="14" t="s">
        <v>216</v>
      </c>
      <c r="E20" s="14" t="s">
        <v>285</v>
      </c>
      <c r="F20" s="14" t="s">
        <v>286</v>
      </c>
      <c r="G20" s="724"/>
      <c r="H20" s="724"/>
      <c r="I20" s="724"/>
      <c r="J20" s="718"/>
      <c r="K20" s="88">
        <v>27.85</v>
      </c>
      <c r="L20" s="23">
        <v>29.11</v>
      </c>
      <c r="M20" s="28">
        <v>60781.68</v>
      </c>
      <c r="N20" s="28">
        <v>6.9</v>
      </c>
      <c r="O20" s="23">
        <v>72.965788800000013</v>
      </c>
      <c r="P20" s="23">
        <v>1.5814610844194901</v>
      </c>
      <c r="Q20" s="28">
        <v>3359</v>
      </c>
      <c r="R20" s="28">
        <v>1823</v>
      </c>
      <c r="S20" s="28">
        <v>65971</v>
      </c>
      <c r="U20" s="28">
        <v>4090</v>
      </c>
      <c r="V20" s="28">
        <v>957</v>
      </c>
      <c r="W20" s="28">
        <v>122</v>
      </c>
      <c r="X20" s="28">
        <v>42</v>
      </c>
      <c r="Y20" s="28">
        <v>5211</v>
      </c>
      <c r="AA20" s="35">
        <v>62612</v>
      </c>
      <c r="AB20" s="35">
        <v>65971</v>
      </c>
      <c r="AD20" s="46">
        <v>2.5000000000000001E-2</v>
      </c>
      <c r="AE20" s="46" t="s">
        <v>57</v>
      </c>
      <c r="AF20" s="35">
        <v>1565</v>
      </c>
      <c r="AG20" s="35">
        <v>0</v>
      </c>
      <c r="AH20" s="35">
        <v>0</v>
      </c>
      <c r="AI20" s="35">
        <v>0</v>
      </c>
      <c r="AK20" s="35">
        <v>8410.1999999999989</v>
      </c>
      <c r="AL20" s="35">
        <v>-1505.76</v>
      </c>
      <c r="AM20" s="35">
        <v>6904</v>
      </c>
      <c r="AN20" s="35">
        <v>76000</v>
      </c>
      <c r="AO20" s="35">
        <v>157</v>
      </c>
      <c r="AP20" s="35">
        <v>2</v>
      </c>
      <c r="AQ20" s="35">
        <v>0</v>
      </c>
      <c r="AR20" s="35">
        <v>45</v>
      </c>
      <c r="AS20" s="35">
        <v>7108</v>
      </c>
      <c r="AU20" s="102">
        <v>0.99992113253677195</v>
      </c>
      <c r="AV20" s="102">
        <v>0.13370000000000001</v>
      </c>
      <c r="AX20" s="35">
        <v>60776.88630308766</v>
      </c>
      <c r="AY20" s="35">
        <v>6.8994558145037272</v>
      </c>
      <c r="AZ20" s="35">
        <v>3358.735084191017</v>
      </c>
      <c r="BA20" s="35">
        <v>1822.8562246145352</v>
      </c>
      <c r="BB20" s="35">
        <v>65965.377067707712</v>
      </c>
      <c r="BD20" s="35">
        <v>52651.016604364835</v>
      </c>
      <c r="BE20" s="35">
        <v>5.9769985721045789</v>
      </c>
      <c r="BF20" s="35">
        <v>2909.6722034346781</v>
      </c>
      <c r="BG20" s="546">
        <v>1822.8562246145352</v>
      </c>
      <c r="BH20" s="35">
        <v>57389.522030986154</v>
      </c>
      <c r="BJ20" s="35">
        <v>4089.6774320753971</v>
      </c>
      <c r="BK20" s="35">
        <v>956.9245238376908</v>
      </c>
      <c r="BL20" s="35">
        <v>121.99037816948618</v>
      </c>
      <c r="BM20" s="35">
        <v>41.996687566544423</v>
      </c>
      <c r="BN20" s="35">
        <v>5210.5890216491189</v>
      </c>
      <c r="BP20" s="35">
        <v>3542.8875594069164</v>
      </c>
      <c r="BQ20" s="35">
        <v>828.98371500059147</v>
      </c>
      <c r="BR20" s="35">
        <v>105.68026460822587</v>
      </c>
      <c r="BS20" s="35">
        <v>36.381730438897435</v>
      </c>
      <c r="BT20" s="35">
        <v>4513.933269454631</v>
      </c>
      <c r="BV20" s="35">
        <v>1564.8765724200482</v>
      </c>
      <c r="BW20" s="35">
        <v>0</v>
      </c>
      <c r="BX20" s="35">
        <v>0</v>
      </c>
      <c r="BY20" s="35">
        <v>0</v>
      </c>
      <c r="CA20" s="35">
        <v>1355.6525746874877</v>
      </c>
      <c r="CB20" s="35">
        <v>0</v>
      </c>
      <c r="CC20" s="35">
        <v>0</v>
      </c>
      <c r="CD20" s="35">
        <v>0</v>
      </c>
      <c r="CF20" s="35">
        <v>8409.5367088607582</v>
      </c>
      <c r="CG20" s="35">
        <v>-1505.6412445285698</v>
      </c>
      <c r="CH20" s="35">
        <v>6903.4554990338738</v>
      </c>
      <c r="CI20" s="35">
        <v>156.9876178082732</v>
      </c>
      <c r="CJ20" s="35">
        <v>1.9998422650735439</v>
      </c>
      <c r="CK20" s="35">
        <v>0</v>
      </c>
      <c r="CL20" s="35">
        <v>44.996450964154739</v>
      </c>
      <c r="CM20" s="35">
        <v>7107.4394100713753</v>
      </c>
      <c r="CO20" s="35">
        <v>7285.1816508860747</v>
      </c>
      <c r="CP20" s="35">
        <v>-1304.3370101350999</v>
      </c>
      <c r="CQ20" s="35">
        <v>5980.4634988130447</v>
      </c>
      <c r="CR20" s="35">
        <v>135.99837330730708</v>
      </c>
      <c r="CS20" s="35">
        <v>1.7324633542332111</v>
      </c>
      <c r="CT20" s="35">
        <v>0</v>
      </c>
      <c r="CU20" s="35">
        <v>38.980425470247248</v>
      </c>
      <c r="CV20" s="35">
        <v>6157.1747609448321</v>
      </c>
    </row>
    <row r="21" spans="1:100">
      <c r="A21" s="22">
        <v>16</v>
      </c>
      <c r="B21" s="314">
        <v>1</v>
      </c>
      <c r="C21" s="700"/>
      <c r="D21" s="14" t="s">
        <v>216</v>
      </c>
      <c r="E21" s="14" t="s">
        <v>285</v>
      </c>
      <c r="F21" s="14" t="s">
        <v>286</v>
      </c>
      <c r="G21" s="724"/>
      <c r="H21" s="724"/>
      <c r="I21" s="724"/>
      <c r="J21" s="718"/>
      <c r="K21" s="88">
        <v>27.85</v>
      </c>
      <c r="L21" s="23">
        <v>29.11</v>
      </c>
      <c r="M21" s="28">
        <v>60781.68</v>
      </c>
      <c r="N21" s="28">
        <v>6.9</v>
      </c>
      <c r="O21" s="23">
        <v>72.965788800000013</v>
      </c>
      <c r="P21" s="23">
        <v>1.5814610844194901</v>
      </c>
      <c r="Q21" s="28">
        <v>3359</v>
      </c>
      <c r="R21" s="28">
        <v>1823</v>
      </c>
      <c r="S21" s="28">
        <v>65971</v>
      </c>
      <c r="U21" s="28">
        <v>4090</v>
      </c>
      <c r="V21" s="28">
        <v>957</v>
      </c>
      <c r="W21" s="28">
        <v>122</v>
      </c>
      <c r="X21" s="28">
        <v>42</v>
      </c>
      <c r="Y21" s="28">
        <v>5211</v>
      </c>
      <c r="AA21" s="35">
        <v>62612</v>
      </c>
      <c r="AB21" s="35">
        <v>65971</v>
      </c>
      <c r="AD21" s="46">
        <v>2.5000000000000001E-2</v>
      </c>
      <c r="AE21" s="46" t="s">
        <v>57</v>
      </c>
      <c r="AF21" s="35">
        <v>1565</v>
      </c>
      <c r="AG21" s="35">
        <v>0</v>
      </c>
      <c r="AH21" s="35">
        <v>0</v>
      </c>
      <c r="AI21" s="35">
        <v>0</v>
      </c>
      <c r="AK21" s="35">
        <v>24389.64</v>
      </c>
      <c r="AL21" s="35">
        <v>-3389.52</v>
      </c>
      <c r="AM21" s="35">
        <v>21000</v>
      </c>
      <c r="AN21" s="35">
        <v>76000</v>
      </c>
      <c r="AO21" s="35">
        <v>157</v>
      </c>
      <c r="AP21" s="35">
        <v>2</v>
      </c>
      <c r="AQ21" s="35">
        <v>0</v>
      </c>
      <c r="AR21" s="35">
        <v>45</v>
      </c>
      <c r="AS21" s="35">
        <v>21204</v>
      </c>
      <c r="AU21" s="102">
        <v>0.99992113253677195</v>
      </c>
      <c r="AV21" s="102">
        <v>0.13370000000000001</v>
      </c>
      <c r="AX21" s="35">
        <v>60776.88630308766</v>
      </c>
      <c r="AY21" s="35">
        <v>6.8994558145037272</v>
      </c>
      <c r="AZ21" s="35">
        <v>3358.735084191017</v>
      </c>
      <c r="BA21" s="35">
        <v>1822.8562246145352</v>
      </c>
      <c r="BB21" s="35">
        <v>65965.377067707712</v>
      </c>
      <c r="BD21" s="35">
        <v>52651.016604364835</v>
      </c>
      <c r="BE21" s="35">
        <v>5.9769985721045789</v>
      </c>
      <c r="BF21" s="35">
        <v>2909.6722034346781</v>
      </c>
      <c r="BG21" s="546">
        <v>1822.8562246145352</v>
      </c>
      <c r="BH21" s="35">
        <v>57389.522030986154</v>
      </c>
      <c r="BJ21" s="35">
        <v>4089.6774320753971</v>
      </c>
      <c r="BK21" s="35">
        <v>956.9245238376908</v>
      </c>
      <c r="BL21" s="35">
        <v>121.99037816948618</v>
      </c>
      <c r="BM21" s="35">
        <v>41.996687566544423</v>
      </c>
      <c r="BN21" s="35">
        <v>5210.5890216491189</v>
      </c>
      <c r="BP21" s="35">
        <v>3542.8875594069164</v>
      </c>
      <c r="BQ21" s="35">
        <v>828.98371500059147</v>
      </c>
      <c r="BR21" s="35">
        <v>105.68026460822587</v>
      </c>
      <c r="BS21" s="35">
        <v>36.381730438897435</v>
      </c>
      <c r="BT21" s="35">
        <v>4513.933269454631</v>
      </c>
      <c r="BV21" s="35">
        <v>1564.8765724200482</v>
      </c>
      <c r="BW21" s="35">
        <v>0</v>
      </c>
      <c r="BX21" s="35">
        <v>0</v>
      </c>
      <c r="BY21" s="35">
        <v>0</v>
      </c>
      <c r="CA21" s="35">
        <v>1355.6525746874877</v>
      </c>
      <c r="CB21" s="35">
        <v>0</v>
      </c>
      <c r="CC21" s="35">
        <v>0</v>
      </c>
      <c r="CD21" s="35">
        <v>0</v>
      </c>
      <c r="CF21" s="35">
        <v>24387.716450964155</v>
      </c>
      <c r="CG21" s="35">
        <v>-3389.2526771560392</v>
      </c>
      <c r="CH21" s="35">
        <v>20998.343783272212</v>
      </c>
      <c r="CI21" s="35">
        <v>156.9876178082732</v>
      </c>
      <c r="CJ21" s="35">
        <v>1.9998422650735439</v>
      </c>
      <c r="CK21" s="35">
        <v>0</v>
      </c>
      <c r="CL21" s="35">
        <v>44.996450964154739</v>
      </c>
      <c r="CM21" s="35">
        <v>21202.327694309715</v>
      </c>
      <c r="CO21" s="35">
        <v>21127.078761470246</v>
      </c>
      <c r="CP21" s="35">
        <v>-2936.1095942202764</v>
      </c>
      <c r="CQ21" s="35">
        <v>18190.865219448715</v>
      </c>
      <c r="CR21" s="35">
        <v>135.99837330730708</v>
      </c>
      <c r="CS21" s="35">
        <v>1.7324633542332111</v>
      </c>
      <c r="CT21" s="35">
        <v>0</v>
      </c>
      <c r="CU21" s="35">
        <v>38.980425470247248</v>
      </c>
      <c r="CV21" s="35">
        <v>18367.576481580501</v>
      </c>
    </row>
    <row r="22" spans="1:100">
      <c r="A22" s="22">
        <v>17</v>
      </c>
      <c r="B22" s="314">
        <v>1</v>
      </c>
      <c r="C22" s="700"/>
      <c r="D22" s="14" t="s">
        <v>216</v>
      </c>
      <c r="E22" s="14" t="s">
        <v>255</v>
      </c>
      <c r="F22" s="14" t="s">
        <v>256</v>
      </c>
      <c r="G22" s="724"/>
      <c r="H22" s="724"/>
      <c r="I22" s="724"/>
      <c r="J22" s="718"/>
      <c r="K22" s="88">
        <v>29.63</v>
      </c>
      <c r="L22" s="23">
        <v>30.97</v>
      </c>
      <c r="M22" s="28">
        <v>64665.36</v>
      </c>
      <c r="N22" s="28">
        <v>3.2</v>
      </c>
      <c r="O22" s="23">
        <v>192</v>
      </c>
      <c r="P22" s="23">
        <v>1.5814610844194901</v>
      </c>
      <c r="Q22" s="28">
        <v>9404</v>
      </c>
      <c r="R22" s="28">
        <v>1940</v>
      </c>
      <c r="S22" s="28">
        <v>76013</v>
      </c>
      <c r="U22" s="28">
        <v>4713</v>
      </c>
      <c r="V22" s="28">
        <v>1102</v>
      </c>
      <c r="W22" s="28">
        <v>122</v>
      </c>
      <c r="X22" s="28">
        <v>42</v>
      </c>
      <c r="Y22" s="28">
        <v>5979</v>
      </c>
      <c r="AA22" s="35">
        <v>66609</v>
      </c>
      <c r="AB22" s="35">
        <v>76013</v>
      </c>
      <c r="AD22" s="46">
        <v>2.5000000000000001E-2</v>
      </c>
      <c r="AE22" s="46" t="s">
        <v>57</v>
      </c>
      <c r="AF22" s="35">
        <v>1665</v>
      </c>
      <c r="AG22" s="35">
        <v>0</v>
      </c>
      <c r="AH22" s="35">
        <v>0</v>
      </c>
      <c r="AI22" s="35">
        <v>0</v>
      </c>
      <c r="AK22" s="35">
        <v>24389.64</v>
      </c>
      <c r="AL22" s="35">
        <v>-3389.52</v>
      </c>
      <c r="AM22" s="35">
        <v>21000</v>
      </c>
      <c r="AN22" s="35">
        <v>81000</v>
      </c>
      <c r="AO22" s="35">
        <v>167</v>
      </c>
      <c r="AP22" s="35">
        <v>2</v>
      </c>
      <c r="AQ22" s="35">
        <v>0</v>
      </c>
      <c r="AR22" s="35">
        <v>45</v>
      </c>
      <c r="AS22" s="35">
        <v>21214</v>
      </c>
      <c r="AU22" s="102">
        <v>1</v>
      </c>
      <c r="AV22" s="102">
        <v>7.9000000000000008E-3</v>
      </c>
      <c r="AX22" s="35">
        <v>64665.36</v>
      </c>
      <c r="AY22" s="35">
        <v>3.2</v>
      </c>
      <c r="AZ22" s="35">
        <v>9404</v>
      </c>
      <c r="BA22" s="35">
        <v>1940</v>
      </c>
      <c r="BB22" s="35">
        <v>76012.56</v>
      </c>
      <c r="BD22" s="35">
        <v>64154.503656000001</v>
      </c>
      <c r="BE22" s="35">
        <v>3.1747200000000002</v>
      </c>
      <c r="BF22" s="35">
        <v>9329.7083999999995</v>
      </c>
      <c r="BG22" s="546">
        <v>1940</v>
      </c>
      <c r="BH22" s="35">
        <v>75427.386775999999</v>
      </c>
      <c r="BJ22" s="35">
        <v>4713</v>
      </c>
      <c r="BK22" s="35">
        <v>1102</v>
      </c>
      <c r="BL22" s="35">
        <v>122</v>
      </c>
      <c r="BM22" s="35">
        <v>42</v>
      </c>
      <c r="BN22" s="35">
        <v>5979</v>
      </c>
      <c r="BP22" s="35">
        <v>4675.7672999999995</v>
      </c>
      <c r="BQ22" s="35">
        <v>1093.2942</v>
      </c>
      <c r="BR22" s="35">
        <v>121.03619999999999</v>
      </c>
      <c r="BS22" s="35">
        <v>41.668199999999999</v>
      </c>
      <c r="BT22" s="35">
        <v>5931.7658999999994</v>
      </c>
      <c r="BV22" s="35">
        <v>1665</v>
      </c>
      <c r="BW22" s="35">
        <v>0</v>
      </c>
      <c r="BX22" s="35">
        <v>0</v>
      </c>
      <c r="BY22" s="35">
        <v>0</v>
      </c>
      <c r="CA22" s="35">
        <v>1651.8464999999999</v>
      </c>
      <c r="CB22" s="35">
        <v>0</v>
      </c>
      <c r="CC22" s="35">
        <v>0</v>
      </c>
      <c r="CD22" s="35">
        <v>0</v>
      </c>
      <c r="CF22" s="35">
        <v>24389.64</v>
      </c>
      <c r="CG22" s="35">
        <v>-3389.52</v>
      </c>
      <c r="CH22" s="35">
        <v>21000</v>
      </c>
      <c r="CI22" s="35">
        <v>167</v>
      </c>
      <c r="CJ22" s="35">
        <v>2</v>
      </c>
      <c r="CK22" s="35">
        <v>0</v>
      </c>
      <c r="CL22" s="35">
        <v>45</v>
      </c>
      <c r="CM22" s="35">
        <v>21214</v>
      </c>
      <c r="CO22" s="35">
        <v>24196.961843999998</v>
      </c>
      <c r="CP22" s="35">
        <v>-3362.742792</v>
      </c>
      <c r="CQ22" s="35">
        <v>20834.099999999999</v>
      </c>
      <c r="CR22" s="35">
        <v>165.6807</v>
      </c>
      <c r="CS22" s="35">
        <v>1.9842</v>
      </c>
      <c r="CT22" s="35">
        <v>0</v>
      </c>
      <c r="CU22" s="35">
        <v>44.644500000000001</v>
      </c>
      <c r="CV22" s="35">
        <v>21046.409399999997</v>
      </c>
    </row>
    <row r="23" spans="1:100">
      <c r="A23" s="22">
        <v>18</v>
      </c>
      <c r="B23" s="314">
        <v>1</v>
      </c>
      <c r="C23" s="700"/>
      <c r="D23" s="14" t="s">
        <v>216</v>
      </c>
      <c r="E23" s="14" t="s">
        <v>285</v>
      </c>
      <c r="F23" s="14" t="s">
        <v>286</v>
      </c>
      <c r="G23" s="724"/>
      <c r="H23" s="724"/>
      <c r="I23" s="724"/>
      <c r="J23" s="718"/>
      <c r="K23" s="88">
        <v>27.85</v>
      </c>
      <c r="L23" s="23">
        <v>29.11</v>
      </c>
      <c r="M23" s="28">
        <v>60781.68</v>
      </c>
      <c r="N23" s="28">
        <v>6.9</v>
      </c>
      <c r="O23" s="23">
        <v>179.99999999999991</v>
      </c>
      <c r="P23" s="23">
        <v>1.5814610844194901</v>
      </c>
      <c r="Q23" s="28">
        <v>8287</v>
      </c>
      <c r="R23" s="28">
        <v>1823</v>
      </c>
      <c r="S23" s="28">
        <v>70899</v>
      </c>
      <c r="U23" s="28">
        <v>4396</v>
      </c>
      <c r="V23" s="28">
        <v>1028</v>
      </c>
      <c r="W23" s="28">
        <v>122</v>
      </c>
      <c r="X23" s="28">
        <v>42</v>
      </c>
      <c r="Y23" s="28">
        <v>5588</v>
      </c>
      <c r="AA23" s="35">
        <v>62612</v>
      </c>
      <c r="AB23" s="35">
        <v>70899</v>
      </c>
      <c r="AD23" s="46">
        <v>0.04</v>
      </c>
      <c r="AE23" s="46" t="s">
        <v>55</v>
      </c>
      <c r="AF23" s="35">
        <v>2836</v>
      </c>
      <c r="AG23" s="35">
        <v>3287</v>
      </c>
      <c r="AH23" s="35">
        <v>0</v>
      </c>
      <c r="AI23" s="35">
        <v>0</v>
      </c>
      <c r="AK23" s="35">
        <v>24389.64</v>
      </c>
      <c r="AL23" s="35">
        <v>-3389.52</v>
      </c>
      <c r="AM23" s="35">
        <v>21000</v>
      </c>
      <c r="AN23" s="35">
        <v>76000</v>
      </c>
      <c r="AO23" s="35">
        <v>157</v>
      </c>
      <c r="AP23" s="35">
        <v>2</v>
      </c>
      <c r="AQ23" s="35">
        <v>0</v>
      </c>
      <c r="AR23" s="35">
        <v>45</v>
      </c>
      <c r="AS23" s="35">
        <v>21204</v>
      </c>
      <c r="AU23" s="102">
        <v>0.99992113253677195</v>
      </c>
      <c r="AV23" s="102">
        <v>0.13370000000000001</v>
      </c>
      <c r="AX23" s="35">
        <v>60776.88630308766</v>
      </c>
      <c r="AY23" s="35">
        <v>6.8994558145037272</v>
      </c>
      <c r="AZ23" s="35">
        <v>8286.346425332229</v>
      </c>
      <c r="BA23" s="35">
        <v>1822.8562246145352</v>
      </c>
      <c r="BB23" s="35">
        <v>70892.98840884892</v>
      </c>
      <c r="BD23" s="35">
        <v>52651.016604364835</v>
      </c>
      <c r="BE23" s="35">
        <v>5.9769985721045789</v>
      </c>
      <c r="BF23" s="35">
        <v>7178.4619082653098</v>
      </c>
      <c r="BG23" s="546">
        <v>1822.8562246145352</v>
      </c>
      <c r="BH23" s="35">
        <v>61658.311735816787</v>
      </c>
      <c r="BJ23" s="35">
        <v>4395.6532986316497</v>
      </c>
      <c r="BK23" s="35">
        <v>1027.9189242478017</v>
      </c>
      <c r="BL23" s="35">
        <v>121.99037816948618</v>
      </c>
      <c r="BM23" s="35">
        <v>41.996687566544423</v>
      </c>
      <c r="BN23" s="35">
        <v>5587.5592886154818</v>
      </c>
      <c r="BP23" s="35">
        <v>3807.9544526045979</v>
      </c>
      <c r="BQ23" s="35">
        <v>890.48616407587053</v>
      </c>
      <c r="BR23" s="35">
        <v>105.68026460822587</v>
      </c>
      <c r="BS23" s="35">
        <v>36.381730438897435</v>
      </c>
      <c r="BT23" s="35">
        <v>4840.502611727592</v>
      </c>
      <c r="BV23" s="35">
        <v>2835.7763318742855</v>
      </c>
      <c r="BW23" s="35">
        <v>3286.7407626483696</v>
      </c>
      <c r="BX23" s="35">
        <v>0</v>
      </c>
      <c r="BY23" s="35">
        <v>0</v>
      </c>
      <c r="CA23" s="35">
        <v>2456.6330363026932</v>
      </c>
      <c r="CB23" s="35">
        <v>2847.3035226822826</v>
      </c>
      <c r="CC23" s="35">
        <v>0</v>
      </c>
      <c r="CD23" s="35">
        <v>0</v>
      </c>
      <c r="CF23" s="35">
        <v>24387.716450964155</v>
      </c>
      <c r="CG23" s="35">
        <v>-3389.2526771560392</v>
      </c>
      <c r="CH23" s="35">
        <v>20998.343783272212</v>
      </c>
      <c r="CI23" s="35">
        <v>156.9876178082732</v>
      </c>
      <c r="CJ23" s="35">
        <v>1.9998422650735439</v>
      </c>
      <c r="CK23" s="35">
        <v>0</v>
      </c>
      <c r="CL23" s="35">
        <v>44.996450964154739</v>
      </c>
      <c r="CM23" s="35">
        <v>21202.327694309715</v>
      </c>
      <c r="CO23" s="35">
        <v>21127.078761470246</v>
      </c>
      <c r="CP23" s="35">
        <v>-2936.1095942202764</v>
      </c>
      <c r="CQ23" s="35">
        <v>18190.865219448715</v>
      </c>
      <c r="CR23" s="35">
        <v>135.99837330730708</v>
      </c>
      <c r="CS23" s="35">
        <v>1.7324633542332111</v>
      </c>
      <c r="CT23" s="35">
        <v>0</v>
      </c>
      <c r="CU23" s="35">
        <v>38.980425470247248</v>
      </c>
      <c r="CV23" s="35">
        <v>18367.576481580501</v>
      </c>
    </row>
    <row r="24" spans="1:100">
      <c r="A24" s="22">
        <v>19</v>
      </c>
      <c r="B24" s="314">
        <v>1</v>
      </c>
      <c r="C24" s="700"/>
      <c r="D24" s="14" t="s">
        <v>216</v>
      </c>
      <c r="E24" s="14" t="s">
        <v>285</v>
      </c>
      <c r="F24" s="14" t="s">
        <v>286</v>
      </c>
      <c r="G24" s="724"/>
      <c r="H24" s="724"/>
      <c r="I24" s="724"/>
      <c r="J24" s="718"/>
      <c r="K24" s="88">
        <v>25.21</v>
      </c>
      <c r="L24" s="23">
        <v>26.35</v>
      </c>
      <c r="M24" s="28">
        <v>55018.8</v>
      </c>
      <c r="N24" s="28">
        <v>13.4</v>
      </c>
      <c r="O24" s="23">
        <v>240.00000000000009</v>
      </c>
      <c r="P24" s="23">
        <v>1.5814610844194901</v>
      </c>
      <c r="Q24" s="28">
        <v>10001</v>
      </c>
      <c r="R24" s="28">
        <v>1651</v>
      </c>
      <c r="S24" s="28">
        <v>66684</v>
      </c>
      <c r="U24" s="28">
        <v>4134</v>
      </c>
      <c r="V24" s="28">
        <v>967</v>
      </c>
      <c r="W24" s="28">
        <v>122</v>
      </c>
      <c r="X24" s="28">
        <v>42</v>
      </c>
      <c r="Y24" s="28">
        <v>5265</v>
      </c>
      <c r="AA24" s="35">
        <v>56683</v>
      </c>
      <c r="AB24" s="35">
        <v>66684</v>
      </c>
      <c r="AD24" s="46">
        <v>0.04</v>
      </c>
      <c r="AE24" s="46" t="s">
        <v>55</v>
      </c>
      <c r="AF24" s="35">
        <v>2667</v>
      </c>
      <c r="AG24" s="35">
        <v>2976</v>
      </c>
      <c r="AH24" s="35">
        <v>0</v>
      </c>
      <c r="AI24" s="35">
        <v>165</v>
      </c>
      <c r="AK24" s="35">
        <v>24389.64</v>
      </c>
      <c r="AL24" s="35">
        <v>-3389.52</v>
      </c>
      <c r="AM24" s="35">
        <v>21000</v>
      </c>
      <c r="AN24" s="35">
        <v>69000</v>
      </c>
      <c r="AO24" s="35">
        <v>142</v>
      </c>
      <c r="AP24" s="35">
        <v>2</v>
      </c>
      <c r="AQ24" s="35">
        <v>0</v>
      </c>
      <c r="AR24" s="35">
        <v>45</v>
      </c>
      <c r="AS24" s="35">
        <v>21189</v>
      </c>
      <c r="AU24" s="102">
        <v>1</v>
      </c>
      <c r="AV24" s="102">
        <v>0.1434</v>
      </c>
      <c r="AX24" s="35">
        <v>55018.8</v>
      </c>
      <c r="AY24" s="35">
        <v>13.4</v>
      </c>
      <c r="AZ24" s="35">
        <v>10001</v>
      </c>
      <c r="BA24" s="35">
        <v>1651</v>
      </c>
      <c r="BB24" s="35">
        <v>66684.200000000012</v>
      </c>
      <c r="BD24" s="35">
        <v>47129.104080000005</v>
      </c>
      <c r="BE24" s="35">
        <v>11.478440000000001</v>
      </c>
      <c r="BF24" s="35">
        <v>8566.856600000001</v>
      </c>
      <c r="BG24" s="546">
        <v>1651</v>
      </c>
      <c r="BH24" s="35">
        <v>57358.439120000003</v>
      </c>
      <c r="BJ24" s="35">
        <v>4134</v>
      </c>
      <c r="BK24" s="35">
        <v>967</v>
      </c>
      <c r="BL24" s="35">
        <v>122</v>
      </c>
      <c r="BM24" s="35">
        <v>42</v>
      </c>
      <c r="BN24" s="35">
        <v>5265</v>
      </c>
      <c r="BP24" s="35">
        <v>3541.1844000000001</v>
      </c>
      <c r="BQ24" s="35">
        <v>828.33220000000006</v>
      </c>
      <c r="BR24" s="35">
        <v>104.5052</v>
      </c>
      <c r="BS24" s="35">
        <v>35.977200000000003</v>
      </c>
      <c r="BT24" s="35">
        <v>4509.9989999999998</v>
      </c>
      <c r="BV24" s="35">
        <v>2667</v>
      </c>
      <c r="BW24" s="35">
        <v>2976</v>
      </c>
      <c r="BX24" s="35">
        <v>0</v>
      </c>
      <c r="BY24" s="35">
        <v>165</v>
      </c>
      <c r="CA24" s="35">
        <v>2284.5522000000001</v>
      </c>
      <c r="CB24" s="35">
        <v>2549.2416000000003</v>
      </c>
      <c r="CC24" s="35">
        <v>0</v>
      </c>
      <c r="CD24" s="35">
        <v>165</v>
      </c>
      <c r="CF24" s="35">
        <v>24389.64</v>
      </c>
      <c r="CG24" s="35">
        <v>-3389.52</v>
      </c>
      <c r="CH24" s="35">
        <v>21000</v>
      </c>
      <c r="CI24" s="35">
        <v>142</v>
      </c>
      <c r="CJ24" s="35">
        <v>2</v>
      </c>
      <c r="CK24" s="35">
        <v>0</v>
      </c>
      <c r="CL24" s="35">
        <v>45</v>
      </c>
      <c r="CM24" s="35">
        <v>21189</v>
      </c>
      <c r="CO24" s="35">
        <v>20892.165624000001</v>
      </c>
      <c r="CP24" s="35">
        <v>-2903.4628320000002</v>
      </c>
      <c r="CQ24" s="35">
        <v>17988.600000000002</v>
      </c>
      <c r="CR24" s="35">
        <v>121.63720000000001</v>
      </c>
      <c r="CS24" s="35">
        <v>1.7132000000000001</v>
      </c>
      <c r="CT24" s="35">
        <v>0</v>
      </c>
      <c r="CU24" s="35">
        <v>38.547000000000004</v>
      </c>
      <c r="CV24" s="35">
        <v>18150.4974</v>
      </c>
    </row>
    <row r="25" spans="1:100">
      <c r="A25" s="22">
        <v>20</v>
      </c>
      <c r="B25" s="314">
        <v>1</v>
      </c>
      <c r="C25" s="700"/>
      <c r="D25" s="14" t="s">
        <v>216</v>
      </c>
      <c r="E25" s="14" t="s">
        <v>285</v>
      </c>
      <c r="F25" s="14" t="s">
        <v>286</v>
      </c>
      <c r="G25" s="724"/>
      <c r="H25" s="724"/>
      <c r="I25" s="724"/>
      <c r="J25" s="718"/>
      <c r="K25" s="88">
        <v>25.21</v>
      </c>
      <c r="L25" s="23">
        <v>26.35</v>
      </c>
      <c r="M25" s="28">
        <v>55018.8</v>
      </c>
      <c r="N25" s="28">
        <v>13.4</v>
      </c>
      <c r="O25" s="23">
        <v>90</v>
      </c>
      <c r="P25" s="23">
        <v>1.5814610844194901</v>
      </c>
      <c r="Q25" s="28">
        <v>3750</v>
      </c>
      <c r="R25" s="28">
        <v>1651</v>
      </c>
      <c r="S25" s="28">
        <v>60433</v>
      </c>
      <c r="U25" s="28">
        <v>3747</v>
      </c>
      <c r="V25" s="28">
        <v>876</v>
      </c>
      <c r="W25" s="28">
        <v>122</v>
      </c>
      <c r="X25" s="28">
        <v>42</v>
      </c>
      <c r="Y25" s="28">
        <v>4787</v>
      </c>
      <c r="AA25" s="35">
        <v>56683</v>
      </c>
      <c r="AB25" s="35">
        <v>60433</v>
      </c>
      <c r="AD25" s="46">
        <v>0.04</v>
      </c>
      <c r="AE25" s="46" t="s">
        <v>55</v>
      </c>
      <c r="AF25" s="35">
        <v>2417</v>
      </c>
      <c r="AG25" s="35">
        <v>2976</v>
      </c>
      <c r="AH25" s="35">
        <v>0</v>
      </c>
      <c r="AI25" s="35">
        <v>165</v>
      </c>
      <c r="AK25" s="35">
        <v>24389.64</v>
      </c>
      <c r="AL25" s="35">
        <v>-3389.52</v>
      </c>
      <c r="AM25" s="35">
        <v>21000</v>
      </c>
      <c r="AN25" s="35">
        <v>69000</v>
      </c>
      <c r="AO25" s="35">
        <v>142</v>
      </c>
      <c r="AP25" s="35">
        <v>2</v>
      </c>
      <c r="AQ25" s="35">
        <v>0</v>
      </c>
      <c r="AR25" s="35">
        <v>45</v>
      </c>
      <c r="AS25" s="35">
        <v>21189</v>
      </c>
      <c r="AU25" s="102">
        <v>1</v>
      </c>
      <c r="AV25" s="102">
        <v>0.1434</v>
      </c>
      <c r="AX25" s="35">
        <v>55018.8</v>
      </c>
      <c r="AY25" s="35">
        <v>13.4</v>
      </c>
      <c r="AZ25" s="35">
        <v>3750</v>
      </c>
      <c r="BA25" s="35">
        <v>1651</v>
      </c>
      <c r="BB25" s="35">
        <v>60433.200000000004</v>
      </c>
      <c r="BD25" s="35">
        <v>47129.104080000005</v>
      </c>
      <c r="BE25" s="35">
        <v>11.478440000000001</v>
      </c>
      <c r="BF25" s="35">
        <v>3212.25</v>
      </c>
      <c r="BG25" s="546">
        <v>1651</v>
      </c>
      <c r="BH25" s="35">
        <v>52003.832520000004</v>
      </c>
      <c r="BJ25" s="35">
        <v>3747</v>
      </c>
      <c r="BK25" s="35">
        <v>876</v>
      </c>
      <c r="BL25" s="35">
        <v>122</v>
      </c>
      <c r="BM25" s="35">
        <v>42</v>
      </c>
      <c r="BN25" s="35">
        <v>4787</v>
      </c>
      <c r="BP25" s="35">
        <v>3209.6802000000002</v>
      </c>
      <c r="BQ25" s="35">
        <v>750.38160000000005</v>
      </c>
      <c r="BR25" s="35">
        <v>104.5052</v>
      </c>
      <c r="BS25" s="35">
        <v>35.977200000000003</v>
      </c>
      <c r="BT25" s="35">
        <v>4100.5442000000003</v>
      </c>
      <c r="BV25" s="35">
        <v>2417</v>
      </c>
      <c r="BW25" s="35">
        <v>2976</v>
      </c>
      <c r="BX25" s="35">
        <v>0</v>
      </c>
      <c r="BY25" s="35">
        <v>165</v>
      </c>
      <c r="CA25" s="35">
        <v>2070.4022</v>
      </c>
      <c r="CB25" s="35">
        <v>2549.2416000000003</v>
      </c>
      <c r="CC25" s="35">
        <v>0</v>
      </c>
      <c r="CD25" s="35">
        <v>165</v>
      </c>
      <c r="CF25" s="35">
        <v>24389.64</v>
      </c>
      <c r="CG25" s="35">
        <v>-3389.52</v>
      </c>
      <c r="CH25" s="35">
        <v>21000</v>
      </c>
      <c r="CI25" s="35">
        <v>142</v>
      </c>
      <c r="CJ25" s="35">
        <v>2</v>
      </c>
      <c r="CK25" s="35">
        <v>0</v>
      </c>
      <c r="CL25" s="35">
        <v>45</v>
      </c>
      <c r="CM25" s="35">
        <v>21189</v>
      </c>
      <c r="CO25" s="35">
        <v>20892.165624000001</v>
      </c>
      <c r="CP25" s="35">
        <v>-2903.4628320000002</v>
      </c>
      <c r="CQ25" s="35">
        <v>17988.600000000002</v>
      </c>
      <c r="CR25" s="35">
        <v>121.63720000000001</v>
      </c>
      <c r="CS25" s="35">
        <v>1.7132000000000001</v>
      </c>
      <c r="CT25" s="35">
        <v>0</v>
      </c>
      <c r="CU25" s="35">
        <v>38.547000000000004</v>
      </c>
      <c r="CV25" s="35">
        <v>18150.4974</v>
      </c>
    </row>
    <row r="26" spans="1:100">
      <c r="A26" s="22">
        <v>21</v>
      </c>
      <c r="B26" s="314">
        <v>1</v>
      </c>
      <c r="C26" s="700"/>
      <c r="D26" s="14" t="s">
        <v>216</v>
      </c>
      <c r="E26" s="14" t="s">
        <v>285</v>
      </c>
      <c r="F26" s="14" t="s">
        <v>286</v>
      </c>
      <c r="G26" s="724"/>
      <c r="H26" s="724"/>
      <c r="I26" s="724"/>
      <c r="J26" s="718"/>
      <c r="K26" s="88">
        <v>27.85</v>
      </c>
      <c r="L26" s="23">
        <v>29.11</v>
      </c>
      <c r="M26" s="28">
        <v>60781.68</v>
      </c>
      <c r="N26" s="28">
        <v>6.9</v>
      </c>
      <c r="O26" s="23">
        <v>90</v>
      </c>
      <c r="P26" s="23">
        <v>1.5814610844194901</v>
      </c>
      <c r="Q26" s="28">
        <v>4143</v>
      </c>
      <c r="R26" s="28">
        <v>1823</v>
      </c>
      <c r="S26" s="28">
        <v>66755</v>
      </c>
      <c r="U26" s="28">
        <v>4139</v>
      </c>
      <c r="V26" s="28">
        <v>968</v>
      </c>
      <c r="W26" s="28">
        <v>122</v>
      </c>
      <c r="X26" s="28">
        <v>42</v>
      </c>
      <c r="Y26" s="28">
        <v>5271</v>
      </c>
      <c r="AA26" s="35">
        <v>62612</v>
      </c>
      <c r="AB26" s="35">
        <v>66755</v>
      </c>
      <c r="AD26" s="46">
        <v>0.01</v>
      </c>
      <c r="AE26" s="46" t="s">
        <v>55</v>
      </c>
      <c r="AF26" s="35">
        <v>668</v>
      </c>
      <c r="AG26" s="35">
        <v>3287</v>
      </c>
      <c r="AH26" s="35">
        <v>600</v>
      </c>
      <c r="AI26" s="35">
        <v>0</v>
      </c>
      <c r="AK26" s="35">
        <v>24389.64</v>
      </c>
      <c r="AL26" s="35">
        <v>-3389.52</v>
      </c>
      <c r="AM26" s="35">
        <v>21000</v>
      </c>
      <c r="AN26" s="35">
        <v>76000</v>
      </c>
      <c r="AO26" s="35">
        <v>157</v>
      </c>
      <c r="AP26" s="35">
        <v>2</v>
      </c>
      <c r="AQ26" s="35">
        <v>0</v>
      </c>
      <c r="AR26" s="35">
        <v>45</v>
      </c>
      <c r="AS26" s="35">
        <v>21204</v>
      </c>
      <c r="AU26" s="102">
        <v>0.99992113253677195</v>
      </c>
      <c r="AV26" s="102">
        <v>0.13370000000000001</v>
      </c>
      <c r="AX26" s="35">
        <v>60776.88630308766</v>
      </c>
      <c r="AY26" s="35">
        <v>6.8994558145037272</v>
      </c>
      <c r="AZ26" s="35">
        <v>4142.6732520998457</v>
      </c>
      <c r="BA26" s="35">
        <v>1822.8562246145352</v>
      </c>
      <c r="BB26" s="35">
        <v>66749.315235616552</v>
      </c>
      <c r="BD26" s="35">
        <v>52651.016604364835</v>
      </c>
      <c r="BE26" s="35">
        <v>5.9769985721045789</v>
      </c>
      <c r="BF26" s="35">
        <v>3588.797838294096</v>
      </c>
      <c r="BG26" s="546">
        <v>1822.8562246145352</v>
      </c>
      <c r="BH26" s="35">
        <v>58068.647665845572</v>
      </c>
      <c r="BJ26" s="35">
        <v>4138.6735675696991</v>
      </c>
      <c r="BK26" s="35">
        <v>967.92365629559526</v>
      </c>
      <c r="BL26" s="35">
        <v>121.99037816948618</v>
      </c>
      <c r="BM26" s="35">
        <v>41.996687566544423</v>
      </c>
      <c r="BN26" s="35">
        <v>5270.5842896013246</v>
      </c>
      <c r="BP26" s="35">
        <v>3585.33291158563</v>
      </c>
      <c r="BQ26" s="35">
        <v>838.51226344887414</v>
      </c>
      <c r="BR26" s="35">
        <v>105.68026460822587</v>
      </c>
      <c r="BS26" s="35">
        <v>36.381730438897435</v>
      </c>
      <c r="BT26" s="35">
        <v>4565.9071700816276</v>
      </c>
      <c r="BV26" s="35">
        <v>667.9473165345637</v>
      </c>
      <c r="BW26" s="35">
        <v>3286.7407626483696</v>
      </c>
      <c r="BX26" s="35">
        <v>599.95267952206314</v>
      </c>
      <c r="BY26" s="35">
        <v>0</v>
      </c>
      <c r="CA26" s="35">
        <v>578.6427603138925</v>
      </c>
      <c r="CB26" s="35">
        <v>2847.3035226822826</v>
      </c>
      <c r="CC26" s="35">
        <v>519.73900626996328</v>
      </c>
      <c r="CD26" s="35">
        <v>0</v>
      </c>
      <c r="CF26" s="35">
        <v>24387.716450964155</v>
      </c>
      <c r="CG26" s="35">
        <v>-3389.2526771560392</v>
      </c>
      <c r="CH26" s="35">
        <v>20998.343783272212</v>
      </c>
      <c r="CI26" s="35">
        <v>156.9876178082732</v>
      </c>
      <c r="CJ26" s="35">
        <v>1.9998422650735439</v>
      </c>
      <c r="CK26" s="35">
        <v>0</v>
      </c>
      <c r="CL26" s="35">
        <v>44.996450964154739</v>
      </c>
      <c r="CM26" s="35">
        <v>21202.327694309715</v>
      </c>
      <c r="CO26" s="35">
        <v>21127.078761470246</v>
      </c>
      <c r="CP26" s="35">
        <v>-2936.1095942202764</v>
      </c>
      <c r="CQ26" s="35">
        <v>18190.865219448715</v>
      </c>
      <c r="CR26" s="35">
        <v>135.99837330730708</v>
      </c>
      <c r="CS26" s="35">
        <v>1.7324633542332111</v>
      </c>
      <c r="CT26" s="35">
        <v>0</v>
      </c>
      <c r="CU26" s="35">
        <v>38.980425470247248</v>
      </c>
      <c r="CV26" s="35">
        <v>18367.576481580501</v>
      </c>
    </row>
    <row r="27" spans="1:100">
      <c r="A27" s="22">
        <v>22</v>
      </c>
      <c r="B27" s="314">
        <v>1</v>
      </c>
      <c r="C27" s="700"/>
      <c r="D27" s="14" t="s">
        <v>216</v>
      </c>
      <c r="E27" s="14" t="s">
        <v>285</v>
      </c>
      <c r="F27" s="14" t="s">
        <v>286</v>
      </c>
      <c r="G27" s="724"/>
      <c r="H27" s="724"/>
      <c r="I27" s="724"/>
      <c r="J27" s="718"/>
      <c r="K27" s="88">
        <v>25.21</v>
      </c>
      <c r="L27" s="23">
        <v>26.35</v>
      </c>
      <c r="M27" s="28">
        <v>55018.8</v>
      </c>
      <c r="N27" s="28">
        <v>13.4</v>
      </c>
      <c r="O27" s="23">
        <v>240</v>
      </c>
      <c r="P27" s="23">
        <v>1.5814610844194901</v>
      </c>
      <c r="Q27" s="28">
        <v>10001</v>
      </c>
      <c r="R27" s="28">
        <v>1651</v>
      </c>
      <c r="S27" s="28">
        <v>66684</v>
      </c>
      <c r="U27" s="28">
        <v>4134</v>
      </c>
      <c r="V27" s="28">
        <v>967</v>
      </c>
      <c r="W27" s="28">
        <v>122</v>
      </c>
      <c r="X27" s="28">
        <v>42</v>
      </c>
      <c r="Y27" s="28">
        <v>5265</v>
      </c>
      <c r="AA27" s="35">
        <v>56683</v>
      </c>
      <c r="AB27" s="35">
        <v>66684</v>
      </c>
      <c r="AD27" s="46">
        <v>0.04</v>
      </c>
      <c r="AE27" s="46" t="s">
        <v>55</v>
      </c>
      <c r="AF27" s="35">
        <v>2667</v>
      </c>
      <c r="AG27" s="35">
        <v>2976</v>
      </c>
      <c r="AH27" s="35">
        <v>600</v>
      </c>
      <c r="AI27" s="35">
        <v>165</v>
      </c>
      <c r="AK27" s="35">
        <v>24389.64</v>
      </c>
      <c r="AL27" s="35">
        <v>-3389.52</v>
      </c>
      <c r="AM27" s="35">
        <v>21000</v>
      </c>
      <c r="AN27" s="35">
        <v>69000</v>
      </c>
      <c r="AO27" s="35">
        <v>142</v>
      </c>
      <c r="AP27" s="35">
        <v>2</v>
      </c>
      <c r="AQ27" s="35">
        <v>0</v>
      </c>
      <c r="AR27" s="35">
        <v>45</v>
      </c>
      <c r="AS27" s="35">
        <v>21189</v>
      </c>
      <c r="AU27" s="102">
        <v>1</v>
      </c>
      <c r="AV27" s="102">
        <v>0.1434</v>
      </c>
      <c r="AX27" s="35">
        <v>55018.8</v>
      </c>
      <c r="AY27" s="35">
        <v>13.4</v>
      </c>
      <c r="AZ27" s="35">
        <v>10001</v>
      </c>
      <c r="BA27" s="35">
        <v>1651</v>
      </c>
      <c r="BB27" s="35">
        <v>66684.200000000012</v>
      </c>
      <c r="BD27" s="35">
        <v>47129.104080000005</v>
      </c>
      <c r="BE27" s="35">
        <v>11.478440000000001</v>
      </c>
      <c r="BF27" s="35">
        <v>8566.856600000001</v>
      </c>
      <c r="BG27" s="546">
        <v>1651</v>
      </c>
      <c r="BH27" s="35">
        <v>57358.439120000003</v>
      </c>
      <c r="BJ27" s="35">
        <v>4134</v>
      </c>
      <c r="BK27" s="35">
        <v>967</v>
      </c>
      <c r="BL27" s="35">
        <v>122</v>
      </c>
      <c r="BM27" s="35">
        <v>42</v>
      </c>
      <c r="BN27" s="35">
        <v>5265</v>
      </c>
      <c r="BP27" s="35">
        <v>3541.1844000000001</v>
      </c>
      <c r="BQ27" s="35">
        <v>828.33220000000006</v>
      </c>
      <c r="BR27" s="35">
        <v>104.5052</v>
      </c>
      <c r="BS27" s="35">
        <v>35.977200000000003</v>
      </c>
      <c r="BT27" s="35">
        <v>4509.9989999999998</v>
      </c>
      <c r="BV27" s="35">
        <v>2667</v>
      </c>
      <c r="BW27" s="35">
        <v>2976</v>
      </c>
      <c r="BX27" s="35">
        <v>600</v>
      </c>
      <c r="BY27" s="35">
        <v>165</v>
      </c>
      <c r="CA27" s="35">
        <v>2284.5522000000001</v>
      </c>
      <c r="CB27" s="35">
        <v>2549.2416000000003</v>
      </c>
      <c r="CC27" s="35">
        <v>513.96</v>
      </c>
      <c r="CD27" s="35">
        <v>165</v>
      </c>
      <c r="CF27" s="35">
        <v>24389.64</v>
      </c>
      <c r="CG27" s="35">
        <v>-3389.52</v>
      </c>
      <c r="CH27" s="35">
        <v>21000</v>
      </c>
      <c r="CI27" s="35">
        <v>142</v>
      </c>
      <c r="CJ27" s="35">
        <v>2</v>
      </c>
      <c r="CK27" s="35">
        <v>0</v>
      </c>
      <c r="CL27" s="35">
        <v>45</v>
      </c>
      <c r="CM27" s="35">
        <v>21189</v>
      </c>
      <c r="CO27" s="35">
        <v>20892.165624000001</v>
      </c>
      <c r="CP27" s="35">
        <v>-2903.4628320000002</v>
      </c>
      <c r="CQ27" s="35">
        <v>17988.600000000002</v>
      </c>
      <c r="CR27" s="35">
        <v>121.63720000000001</v>
      </c>
      <c r="CS27" s="35">
        <v>1.7132000000000001</v>
      </c>
      <c r="CT27" s="35">
        <v>0</v>
      </c>
      <c r="CU27" s="35">
        <v>38.547000000000004</v>
      </c>
      <c r="CV27" s="35">
        <v>18150.4974</v>
      </c>
    </row>
    <row r="28" spans="1:100">
      <c r="A28" s="22">
        <v>23</v>
      </c>
      <c r="B28" s="314">
        <v>1</v>
      </c>
      <c r="C28" s="700"/>
      <c r="D28" s="14" t="s">
        <v>216</v>
      </c>
      <c r="E28" s="14" t="s">
        <v>285</v>
      </c>
      <c r="F28" s="14" t="s">
        <v>286</v>
      </c>
      <c r="G28" s="724"/>
      <c r="H28" s="724"/>
      <c r="I28" s="724"/>
      <c r="J28" s="718"/>
      <c r="K28" s="88">
        <v>27.85</v>
      </c>
      <c r="L28" s="23">
        <v>29.11</v>
      </c>
      <c r="M28" s="28">
        <v>60781.68</v>
      </c>
      <c r="N28" s="28">
        <v>0</v>
      </c>
      <c r="O28" s="23">
        <v>264</v>
      </c>
      <c r="P28" s="23">
        <v>1.5814610844194901</v>
      </c>
      <c r="Q28" s="28">
        <v>12154</v>
      </c>
      <c r="R28" s="28">
        <v>1823</v>
      </c>
      <c r="S28" s="28">
        <v>74759</v>
      </c>
      <c r="U28" s="28">
        <v>4635</v>
      </c>
      <c r="V28" s="28">
        <v>1084</v>
      </c>
      <c r="W28" s="28">
        <v>122</v>
      </c>
      <c r="X28" s="28">
        <v>42</v>
      </c>
      <c r="Y28" s="28">
        <v>5883</v>
      </c>
      <c r="AA28" s="35">
        <v>62605</v>
      </c>
      <c r="AB28" s="35">
        <v>74759</v>
      </c>
      <c r="AD28" s="46">
        <v>0</v>
      </c>
      <c r="AE28" s="46">
        <v>0</v>
      </c>
      <c r="AF28" s="35">
        <v>0</v>
      </c>
      <c r="AG28" s="35">
        <v>3287</v>
      </c>
      <c r="AH28" s="35">
        <v>600</v>
      </c>
      <c r="AI28" s="35">
        <v>91</v>
      </c>
      <c r="AK28" s="35">
        <v>24389.64</v>
      </c>
      <c r="AL28" s="35">
        <v>-3389.52</v>
      </c>
      <c r="AM28" s="35">
        <v>21000</v>
      </c>
      <c r="AN28" s="35">
        <v>76000</v>
      </c>
      <c r="AO28" s="35">
        <v>157</v>
      </c>
      <c r="AP28" s="35">
        <v>2</v>
      </c>
      <c r="AQ28" s="35">
        <v>0</v>
      </c>
      <c r="AR28" s="35">
        <v>45</v>
      </c>
      <c r="AS28" s="35">
        <v>21204</v>
      </c>
      <c r="AU28" s="102">
        <v>1</v>
      </c>
      <c r="AV28" s="102">
        <v>0.69669999999999999</v>
      </c>
      <c r="AX28" s="35">
        <v>60781.68</v>
      </c>
      <c r="AY28" s="35">
        <v>0</v>
      </c>
      <c r="AZ28" s="35">
        <v>12154</v>
      </c>
      <c r="BA28" s="35">
        <v>1823</v>
      </c>
      <c r="BB28" s="35">
        <v>74758.679999999993</v>
      </c>
      <c r="BD28" s="35">
        <v>18435.083544000001</v>
      </c>
      <c r="BE28" s="35">
        <v>0</v>
      </c>
      <c r="BF28" s="35">
        <v>3686.3082000000004</v>
      </c>
      <c r="BG28" s="546">
        <v>1823</v>
      </c>
      <c r="BH28" s="35">
        <v>23944.391744</v>
      </c>
      <c r="BJ28" s="35">
        <v>4635</v>
      </c>
      <c r="BK28" s="35">
        <v>1084</v>
      </c>
      <c r="BL28" s="35">
        <v>122</v>
      </c>
      <c r="BM28" s="35">
        <v>42</v>
      </c>
      <c r="BN28" s="35">
        <v>5883</v>
      </c>
      <c r="BP28" s="35">
        <v>1405.7955000000002</v>
      </c>
      <c r="BQ28" s="35">
        <v>328.77719999999999</v>
      </c>
      <c r="BR28" s="35">
        <v>37.002600000000001</v>
      </c>
      <c r="BS28" s="35">
        <v>12.7386</v>
      </c>
      <c r="BT28" s="35">
        <v>1784.3139000000001</v>
      </c>
      <c r="BV28" s="35">
        <v>0</v>
      </c>
      <c r="BW28" s="35">
        <v>3287</v>
      </c>
      <c r="BX28" s="35">
        <v>600</v>
      </c>
      <c r="BY28" s="35">
        <v>91</v>
      </c>
      <c r="CA28" s="35">
        <v>0</v>
      </c>
      <c r="CB28" s="35">
        <v>996.94710000000009</v>
      </c>
      <c r="CC28" s="35">
        <v>181.98000000000002</v>
      </c>
      <c r="CD28" s="35">
        <v>91</v>
      </c>
      <c r="CF28" s="35">
        <v>24389.64</v>
      </c>
      <c r="CG28" s="35">
        <v>-3389.52</v>
      </c>
      <c r="CH28" s="35">
        <v>21000</v>
      </c>
      <c r="CI28" s="35">
        <v>157</v>
      </c>
      <c r="CJ28" s="35">
        <v>2</v>
      </c>
      <c r="CK28" s="35">
        <v>0</v>
      </c>
      <c r="CL28" s="35">
        <v>45</v>
      </c>
      <c r="CM28" s="35">
        <v>21204</v>
      </c>
      <c r="CO28" s="35">
        <v>7397.3778119999997</v>
      </c>
      <c r="CP28" s="35">
        <v>-1028.041416</v>
      </c>
      <c r="CQ28" s="35">
        <v>6369.3</v>
      </c>
      <c r="CR28" s="35">
        <v>47.618100000000005</v>
      </c>
      <c r="CS28" s="35">
        <v>0.60660000000000003</v>
      </c>
      <c r="CT28" s="35">
        <v>0</v>
      </c>
      <c r="CU28" s="35">
        <v>13.6485</v>
      </c>
      <c r="CV28" s="35">
        <v>6431.1732000000002</v>
      </c>
    </row>
    <row r="29" spans="1:100">
      <c r="A29" s="22">
        <v>24</v>
      </c>
      <c r="B29" s="314">
        <v>1</v>
      </c>
      <c r="C29" s="700"/>
      <c r="D29" s="14" t="s">
        <v>216</v>
      </c>
      <c r="E29" s="14" t="s">
        <v>285</v>
      </c>
      <c r="F29" s="14" t="s">
        <v>286</v>
      </c>
      <c r="G29" s="724"/>
      <c r="H29" s="724"/>
      <c r="I29" s="724"/>
      <c r="J29" s="718"/>
      <c r="K29" s="88">
        <v>27.85</v>
      </c>
      <c r="L29" s="23">
        <v>29.11</v>
      </c>
      <c r="M29" s="28">
        <v>60781.68</v>
      </c>
      <c r="N29" s="28">
        <v>6.9</v>
      </c>
      <c r="O29" s="23">
        <v>240</v>
      </c>
      <c r="P29" s="23">
        <v>1.5814610844194901</v>
      </c>
      <c r="Q29" s="28">
        <v>11049</v>
      </c>
      <c r="R29" s="28">
        <v>1823</v>
      </c>
      <c r="S29" s="28">
        <v>73661</v>
      </c>
      <c r="U29" s="28">
        <v>4567</v>
      </c>
      <c r="V29" s="28">
        <v>1068</v>
      </c>
      <c r="W29" s="28">
        <v>122</v>
      </c>
      <c r="X29" s="28">
        <v>42</v>
      </c>
      <c r="Y29" s="28">
        <v>5799</v>
      </c>
      <c r="AA29" s="35">
        <v>62612</v>
      </c>
      <c r="AB29" s="35">
        <v>73661</v>
      </c>
      <c r="AD29" s="46">
        <v>0.04</v>
      </c>
      <c r="AE29" s="46" t="s">
        <v>55</v>
      </c>
      <c r="AF29" s="35">
        <v>2946</v>
      </c>
      <c r="AG29" s="35">
        <v>3287</v>
      </c>
      <c r="AH29" s="35">
        <v>600</v>
      </c>
      <c r="AI29" s="35">
        <v>0</v>
      </c>
      <c r="AK29" s="35">
        <v>8410.1999999999989</v>
      </c>
      <c r="AL29" s="35">
        <v>-1505.76</v>
      </c>
      <c r="AM29" s="35">
        <v>6904</v>
      </c>
      <c r="AN29" s="35">
        <v>76000</v>
      </c>
      <c r="AO29" s="35">
        <v>157</v>
      </c>
      <c r="AP29" s="35">
        <v>2</v>
      </c>
      <c r="AQ29" s="35">
        <v>0</v>
      </c>
      <c r="AR29" s="35">
        <v>45</v>
      </c>
      <c r="AS29" s="35">
        <v>7108</v>
      </c>
      <c r="AU29" s="102">
        <v>0.99992113253677195</v>
      </c>
      <c r="AV29" s="102">
        <v>0.13370000000000001</v>
      </c>
      <c r="AX29" s="35">
        <v>60776.88630308766</v>
      </c>
      <c r="AY29" s="35">
        <v>6.8994558145037272</v>
      </c>
      <c r="AZ29" s="35">
        <v>11048.128593398793</v>
      </c>
      <c r="BA29" s="35">
        <v>1822.8562246145352</v>
      </c>
      <c r="BB29" s="35">
        <v>73654.770576915485</v>
      </c>
      <c r="BD29" s="35">
        <v>52651.016604364835</v>
      </c>
      <c r="BE29" s="35">
        <v>5.9769985721045789</v>
      </c>
      <c r="BF29" s="35">
        <v>9570.9938004613741</v>
      </c>
      <c r="BG29" s="546">
        <v>1822.8562246145352</v>
      </c>
      <c r="BH29" s="35">
        <v>64050.843628012852</v>
      </c>
      <c r="BJ29" s="35">
        <v>4566.6398122954379</v>
      </c>
      <c r="BK29" s="35">
        <v>1067.9157695492725</v>
      </c>
      <c r="BL29" s="35">
        <v>121.99037816948618</v>
      </c>
      <c r="BM29" s="35">
        <v>41.996687566544423</v>
      </c>
      <c r="BN29" s="35">
        <v>5798.5426475807408</v>
      </c>
      <c r="BP29" s="35">
        <v>3956.0800693915376</v>
      </c>
      <c r="BQ29" s="35">
        <v>925.13543116053472</v>
      </c>
      <c r="BR29" s="35">
        <v>105.68026460822587</v>
      </c>
      <c r="BS29" s="35">
        <v>36.381730438897435</v>
      </c>
      <c r="BT29" s="35">
        <v>5023.2774955991963</v>
      </c>
      <c r="BV29" s="35">
        <v>2945.7676564533303</v>
      </c>
      <c r="BW29" s="35">
        <v>3286.7407626483696</v>
      </c>
      <c r="BX29" s="35">
        <v>599.95267952206314</v>
      </c>
      <c r="BY29" s="35">
        <v>0</v>
      </c>
      <c r="CA29" s="35">
        <v>2551.9185207855198</v>
      </c>
      <c r="CB29" s="35">
        <v>2847.3035226822826</v>
      </c>
      <c r="CC29" s="35">
        <v>519.73900626996328</v>
      </c>
      <c r="CD29" s="35">
        <v>0</v>
      </c>
      <c r="CF29" s="35">
        <v>8409.5367088607582</v>
      </c>
      <c r="CG29" s="35">
        <v>-1505.6412445285698</v>
      </c>
      <c r="CH29" s="35">
        <v>6903.4554990338738</v>
      </c>
      <c r="CI29" s="35">
        <v>156.9876178082732</v>
      </c>
      <c r="CJ29" s="35">
        <v>1.9998422650735439</v>
      </c>
      <c r="CK29" s="35">
        <v>0</v>
      </c>
      <c r="CL29" s="35">
        <v>44.996450964154739</v>
      </c>
      <c r="CM29" s="35">
        <v>7107.4394100713753</v>
      </c>
      <c r="CO29" s="35">
        <v>7285.1816508860747</v>
      </c>
      <c r="CP29" s="35">
        <v>-1304.3370101350999</v>
      </c>
      <c r="CQ29" s="35">
        <v>5980.4634988130447</v>
      </c>
      <c r="CR29" s="35">
        <v>135.99837330730708</v>
      </c>
      <c r="CS29" s="35">
        <v>1.7324633542332111</v>
      </c>
      <c r="CT29" s="35">
        <v>0</v>
      </c>
      <c r="CU29" s="35">
        <v>38.980425470247248</v>
      </c>
      <c r="CV29" s="35">
        <v>6157.1747609448321</v>
      </c>
    </row>
    <row r="30" spans="1:100">
      <c r="A30" s="22">
        <v>25</v>
      </c>
      <c r="B30" s="314">
        <v>1</v>
      </c>
      <c r="C30" s="700"/>
      <c r="D30" s="14" t="s">
        <v>216</v>
      </c>
      <c r="E30" s="14" t="s">
        <v>263</v>
      </c>
      <c r="F30" s="14" t="s">
        <v>264</v>
      </c>
      <c r="G30" s="724"/>
      <c r="H30" s="724"/>
      <c r="I30" s="724"/>
      <c r="J30" s="718"/>
      <c r="K30" s="88">
        <v>28.8</v>
      </c>
      <c r="L30" s="23">
        <v>30.09</v>
      </c>
      <c r="M30" s="28">
        <v>62827.92</v>
      </c>
      <c r="N30" s="28">
        <v>0</v>
      </c>
      <c r="O30" s="23">
        <v>240</v>
      </c>
      <c r="P30" s="23">
        <v>1.5814610844194901</v>
      </c>
      <c r="Q30" s="28">
        <v>11421</v>
      </c>
      <c r="R30" s="28">
        <v>1885</v>
      </c>
      <c r="S30" s="28">
        <v>76134</v>
      </c>
      <c r="U30" s="28">
        <v>4720</v>
      </c>
      <c r="V30" s="28">
        <v>1104</v>
      </c>
      <c r="W30" s="28">
        <v>122</v>
      </c>
      <c r="X30" s="28">
        <v>42</v>
      </c>
      <c r="Y30" s="28">
        <v>5988</v>
      </c>
      <c r="AA30" s="35">
        <v>64713</v>
      </c>
      <c r="AB30" s="35">
        <v>76134</v>
      </c>
      <c r="AD30" s="46">
        <v>0.04</v>
      </c>
      <c r="AE30" s="46" t="s">
        <v>55</v>
      </c>
      <c r="AF30" s="35">
        <v>3045</v>
      </c>
      <c r="AG30" s="35">
        <v>3397</v>
      </c>
      <c r="AH30" s="35">
        <v>600</v>
      </c>
      <c r="AI30" s="35">
        <v>0</v>
      </c>
      <c r="AK30" s="35">
        <v>8410.1999999999989</v>
      </c>
      <c r="AL30" s="35">
        <v>-1505.76</v>
      </c>
      <c r="AM30" s="35">
        <v>6904</v>
      </c>
      <c r="AN30" s="35">
        <v>79000</v>
      </c>
      <c r="AO30" s="35">
        <v>163</v>
      </c>
      <c r="AP30" s="35">
        <v>2</v>
      </c>
      <c r="AQ30" s="35">
        <v>0</v>
      </c>
      <c r="AR30" s="35">
        <v>45</v>
      </c>
      <c r="AS30" s="35">
        <v>7114</v>
      </c>
      <c r="AU30" s="102">
        <v>0.99691805311716697</v>
      </c>
      <c r="AV30" s="102">
        <v>0.10829999999999999</v>
      </c>
      <c r="AX30" s="35">
        <v>62634.287687801116</v>
      </c>
      <c r="AY30" s="35">
        <v>0</v>
      </c>
      <c r="AZ30" s="35">
        <v>11385.801084651164</v>
      </c>
      <c r="BA30" s="35">
        <v>1879.1905301258598</v>
      </c>
      <c r="BB30" s="35">
        <v>75899.279302578143</v>
      </c>
      <c r="BD30" s="35">
        <v>55850.994331212256</v>
      </c>
      <c r="BE30" s="35">
        <v>0</v>
      </c>
      <c r="BF30" s="35">
        <v>10152.718827183444</v>
      </c>
      <c r="BG30" s="546">
        <v>1879.1905301258598</v>
      </c>
      <c r="BH30" s="35">
        <v>67882.903688521561</v>
      </c>
      <c r="BJ30" s="35">
        <v>4705.4532107130281</v>
      </c>
      <c r="BK30" s="35">
        <v>1100.5975306413523</v>
      </c>
      <c r="BL30" s="35">
        <v>121.62400248029437</v>
      </c>
      <c r="BM30" s="35">
        <v>41.870558230921013</v>
      </c>
      <c r="BN30" s="35">
        <v>5969.5453020655959</v>
      </c>
      <c r="BP30" s="35">
        <v>4195.8526279928074</v>
      </c>
      <c r="BQ30" s="35">
        <v>981.40281807289387</v>
      </c>
      <c r="BR30" s="35">
        <v>108.45212301167849</v>
      </c>
      <c r="BS30" s="35">
        <v>37.335976774512268</v>
      </c>
      <c r="BT30" s="35">
        <v>5323.0435458518923</v>
      </c>
      <c r="BV30" s="35">
        <v>3035.6154717417735</v>
      </c>
      <c r="BW30" s="35">
        <v>3386.530626439016</v>
      </c>
      <c r="BX30" s="35">
        <v>598.15083187030018</v>
      </c>
      <c r="BY30" s="35">
        <v>0</v>
      </c>
      <c r="CA30" s="35">
        <v>2706.8583161521397</v>
      </c>
      <c r="CB30" s="35">
        <v>3019.7693595956707</v>
      </c>
      <c r="CC30" s="35">
        <v>533.37109677874673</v>
      </c>
      <c r="CD30" s="35">
        <v>0</v>
      </c>
      <c r="CF30" s="35">
        <v>8384.2802103259964</v>
      </c>
      <c r="CG30" s="35">
        <v>-1501.1193276617053</v>
      </c>
      <c r="CH30" s="35">
        <v>6882.7222387209204</v>
      </c>
      <c r="CI30" s="35">
        <v>162.49764265809821</v>
      </c>
      <c r="CJ30" s="35">
        <v>1.9938361062343339</v>
      </c>
      <c r="CK30" s="35">
        <v>0</v>
      </c>
      <c r="CL30" s="35">
        <v>44.861312390272516</v>
      </c>
      <c r="CM30" s="35">
        <v>7092.0750298755247</v>
      </c>
      <c r="CO30" s="35">
        <v>7476.2626635476918</v>
      </c>
      <c r="CP30" s="35">
        <v>-1338.5481044759426</v>
      </c>
      <c r="CQ30" s="35">
        <v>6137.3234202674448</v>
      </c>
      <c r="CR30" s="35">
        <v>144.89914795822619</v>
      </c>
      <c r="CS30" s="35">
        <v>1.7779036559291557</v>
      </c>
      <c r="CT30" s="35">
        <v>0</v>
      </c>
      <c r="CU30" s="35">
        <v>40.002832258406002</v>
      </c>
      <c r="CV30" s="35">
        <v>6324.0033041400065</v>
      </c>
    </row>
    <row r="31" spans="1:100">
      <c r="A31" s="22">
        <v>26</v>
      </c>
      <c r="B31" s="314">
        <v>1</v>
      </c>
      <c r="C31" s="700"/>
      <c r="D31" s="14" t="s">
        <v>216</v>
      </c>
      <c r="E31" s="14" t="s">
        <v>285</v>
      </c>
      <c r="F31" s="14" t="s">
        <v>286</v>
      </c>
      <c r="G31" s="724"/>
      <c r="H31" s="724"/>
      <c r="I31" s="724"/>
      <c r="J31" s="718"/>
      <c r="K31" s="88">
        <v>25.21</v>
      </c>
      <c r="L31" s="23">
        <v>26.35</v>
      </c>
      <c r="M31" s="28">
        <v>55018.8</v>
      </c>
      <c r="N31" s="28">
        <v>13.4</v>
      </c>
      <c r="O31" s="23">
        <v>240.00000000000009</v>
      </c>
      <c r="P31" s="23">
        <v>1.5814610844194901</v>
      </c>
      <c r="Q31" s="28">
        <v>10001</v>
      </c>
      <c r="R31" s="28">
        <v>1651</v>
      </c>
      <c r="S31" s="28">
        <v>66684</v>
      </c>
      <c r="U31" s="28">
        <v>4134</v>
      </c>
      <c r="V31" s="28">
        <v>967</v>
      </c>
      <c r="W31" s="28">
        <v>122</v>
      </c>
      <c r="X31" s="28">
        <v>42</v>
      </c>
      <c r="Y31" s="28">
        <v>5265</v>
      </c>
      <c r="AA31" s="35">
        <v>56683</v>
      </c>
      <c r="AB31" s="35">
        <v>66684</v>
      </c>
      <c r="AD31" s="46">
        <v>0</v>
      </c>
      <c r="AE31" s="46">
        <v>0</v>
      </c>
      <c r="AF31" s="35">
        <v>0</v>
      </c>
      <c r="AG31" s="35">
        <v>2976</v>
      </c>
      <c r="AH31" s="35">
        <v>600</v>
      </c>
      <c r="AI31" s="35">
        <v>0</v>
      </c>
      <c r="AK31" s="35">
        <v>24389.64</v>
      </c>
      <c r="AL31" s="35">
        <v>-3389.52</v>
      </c>
      <c r="AM31" s="35">
        <v>21000</v>
      </c>
      <c r="AN31" s="35">
        <v>69000</v>
      </c>
      <c r="AO31" s="35">
        <v>142</v>
      </c>
      <c r="AP31" s="35">
        <v>2</v>
      </c>
      <c r="AQ31" s="35">
        <v>0</v>
      </c>
      <c r="AR31" s="35">
        <v>45</v>
      </c>
      <c r="AS31" s="35">
        <v>21189</v>
      </c>
      <c r="AU31" s="102">
        <v>1</v>
      </c>
      <c r="AV31" s="102">
        <v>0.1434</v>
      </c>
      <c r="AX31" s="35">
        <v>55018.8</v>
      </c>
      <c r="AY31" s="35">
        <v>13.4</v>
      </c>
      <c r="AZ31" s="35">
        <v>10001</v>
      </c>
      <c r="BA31" s="35">
        <v>1651</v>
      </c>
      <c r="BB31" s="35">
        <v>66684.200000000012</v>
      </c>
      <c r="BD31" s="35">
        <v>47129.104080000005</v>
      </c>
      <c r="BE31" s="35">
        <v>11.478440000000001</v>
      </c>
      <c r="BF31" s="35">
        <v>8566.856600000001</v>
      </c>
      <c r="BG31" s="546">
        <v>1651</v>
      </c>
      <c r="BH31" s="35">
        <v>57358.439120000003</v>
      </c>
      <c r="BJ31" s="35">
        <v>4134</v>
      </c>
      <c r="BK31" s="35">
        <v>967</v>
      </c>
      <c r="BL31" s="35">
        <v>122</v>
      </c>
      <c r="BM31" s="35">
        <v>42</v>
      </c>
      <c r="BN31" s="35">
        <v>5265</v>
      </c>
      <c r="BP31" s="35">
        <v>3541.1844000000001</v>
      </c>
      <c r="BQ31" s="35">
        <v>828.33220000000006</v>
      </c>
      <c r="BR31" s="35">
        <v>104.5052</v>
      </c>
      <c r="BS31" s="35">
        <v>35.977200000000003</v>
      </c>
      <c r="BT31" s="35">
        <v>4509.9989999999998</v>
      </c>
      <c r="BV31" s="35">
        <v>0</v>
      </c>
      <c r="BW31" s="35">
        <v>2976</v>
      </c>
      <c r="BX31" s="35">
        <v>600</v>
      </c>
      <c r="BY31" s="35">
        <v>0</v>
      </c>
      <c r="CA31" s="35">
        <v>0</v>
      </c>
      <c r="CB31" s="35">
        <v>2549.2416000000003</v>
      </c>
      <c r="CC31" s="35">
        <v>513.96</v>
      </c>
      <c r="CD31" s="35">
        <v>0</v>
      </c>
      <c r="CF31" s="35">
        <v>24389.64</v>
      </c>
      <c r="CG31" s="35">
        <v>-3389.52</v>
      </c>
      <c r="CH31" s="35">
        <v>21000</v>
      </c>
      <c r="CI31" s="35">
        <v>142</v>
      </c>
      <c r="CJ31" s="35">
        <v>2</v>
      </c>
      <c r="CK31" s="35">
        <v>0</v>
      </c>
      <c r="CL31" s="35">
        <v>45</v>
      </c>
      <c r="CM31" s="35">
        <v>21189</v>
      </c>
      <c r="CO31" s="35">
        <v>20892.165624000001</v>
      </c>
      <c r="CP31" s="35">
        <v>-2903.4628320000002</v>
      </c>
      <c r="CQ31" s="35">
        <v>17988.600000000002</v>
      </c>
      <c r="CR31" s="35">
        <v>121.63720000000001</v>
      </c>
      <c r="CS31" s="35">
        <v>1.7132000000000001</v>
      </c>
      <c r="CT31" s="35">
        <v>0</v>
      </c>
      <c r="CU31" s="35">
        <v>38.547000000000004</v>
      </c>
      <c r="CV31" s="35">
        <v>18150.4974</v>
      </c>
    </row>
    <row r="32" spans="1:100">
      <c r="A32" s="22">
        <v>27</v>
      </c>
      <c r="B32" s="314">
        <v>1</v>
      </c>
      <c r="C32" s="700"/>
      <c r="D32" s="14" t="s">
        <v>216</v>
      </c>
      <c r="E32" s="14" t="s">
        <v>285</v>
      </c>
      <c r="F32" s="14" t="s">
        <v>286</v>
      </c>
      <c r="G32" s="724"/>
      <c r="H32" s="724"/>
      <c r="I32" s="724"/>
      <c r="J32" s="718"/>
      <c r="K32" s="88">
        <v>26.59</v>
      </c>
      <c r="L32" s="23">
        <v>27.78</v>
      </c>
      <c r="M32" s="28">
        <v>58004.639999999999</v>
      </c>
      <c r="N32" s="28">
        <v>10.866666666666667</v>
      </c>
      <c r="O32" s="23">
        <v>0</v>
      </c>
      <c r="P32" s="23">
        <v>1.5814610844194901</v>
      </c>
      <c r="Q32" s="28">
        <v>0</v>
      </c>
      <c r="R32" s="28">
        <v>1740</v>
      </c>
      <c r="S32" s="28">
        <v>59756</v>
      </c>
      <c r="U32" s="28">
        <v>3705</v>
      </c>
      <c r="V32" s="28">
        <v>866</v>
      </c>
      <c r="W32" s="28">
        <v>122</v>
      </c>
      <c r="X32" s="28">
        <v>42</v>
      </c>
      <c r="Y32" s="28">
        <v>4735</v>
      </c>
      <c r="AA32" s="35">
        <v>59756</v>
      </c>
      <c r="AB32" s="35">
        <v>59756</v>
      </c>
      <c r="AD32" s="46">
        <v>0</v>
      </c>
      <c r="AE32" s="46">
        <v>0</v>
      </c>
      <c r="AF32" s="35">
        <v>0</v>
      </c>
      <c r="AG32" s="35">
        <v>3137</v>
      </c>
      <c r="AH32" s="35">
        <v>600</v>
      </c>
      <c r="AI32" s="35">
        <v>0</v>
      </c>
      <c r="AK32" s="35">
        <v>24389.64</v>
      </c>
      <c r="AL32" s="35">
        <v>-3389.52</v>
      </c>
      <c r="AM32" s="35">
        <v>21000</v>
      </c>
      <c r="AN32" s="35">
        <v>73000</v>
      </c>
      <c r="AO32" s="35">
        <v>151</v>
      </c>
      <c r="AP32" s="35">
        <v>2</v>
      </c>
      <c r="AQ32" s="35">
        <v>0</v>
      </c>
      <c r="AR32" s="35">
        <v>45</v>
      </c>
      <c r="AS32" s="35">
        <v>21198</v>
      </c>
      <c r="AU32" s="102">
        <v>0.99957446894595314</v>
      </c>
      <c r="AV32" s="102">
        <v>0.42059999999999997</v>
      </c>
      <c r="AX32" s="35">
        <v>57979.957224401194</v>
      </c>
      <c r="AY32" s="35">
        <v>10.862042562546025</v>
      </c>
      <c r="AZ32" s="35">
        <v>0</v>
      </c>
      <c r="BA32" s="35">
        <v>1739.2595759659584</v>
      </c>
      <c r="BB32" s="35">
        <v>59730.078842929703</v>
      </c>
      <c r="BD32" s="35">
        <v>33593.58721581805</v>
      </c>
      <c r="BE32" s="35">
        <v>6.2934674607391665</v>
      </c>
      <c r="BF32" s="35">
        <v>0</v>
      </c>
      <c r="BG32" s="546">
        <v>1739.2595759659584</v>
      </c>
      <c r="BH32" s="35">
        <v>35339.140259244748</v>
      </c>
      <c r="BJ32" s="35">
        <v>3703.4234074447563</v>
      </c>
      <c r="BK32" s="35">
        <v>865.63149010719542</v>
      </c>
      <c r="BL32" s="35">
        <v>121.94808521140628</v>
      </c>
      <c r="BM32" s="35">
        <v>41.982127695730028</v>
      </c>
      <c r="BN32" s="35">
        <v>4732.985110459088</v>
      </c>
      <c r="BP32" s="35">
        <v>2145.7635222734921</v>
      </c>
      <c r="BQ32" s="35">
        <v>501.54688536810903</v>
      </c>
      <c r="BR32" s="35">
        <v>70.656720571488805</v>
      </c>
      <c r="BS32" s="35">
        <v>24.324444786905978</v>
      </c>
      <c r="BT32" s="35">
        <v>2742.2915729999959</v>
      </c>
      <c r="BV32" s="35">
        <v>0</v>
      </c>
      <c r="BW32" s="35">
        <v>3135.6651090834548</v>
      </c>
      <c r="BX32" s="35">
        <v>599.74468136757184</v>
      </c>
      <c r="BY32" s="35">
        <v>0</v>
      </c>
      <c r="CA32" s="35">
        <v>0</v>
      </c>
      <c r="CB32" s="35">
        <v>1816.8043642029538</v>
      </c>
      <c r="CC32" s="35">
        <v>347.49206838437112</v>
      </c>
      <c r="CD32" s="35">
        <v>0</v>
      </c>
      <c r="CF32" s="35">
        <v>24379.261450782975</v>
      </c>
      <c r="CG32" s="35">
        <v>-3388.077653981687</v>
      </c>
      <c r="CH32" s="35">
        <v>20991.063847865014</v>
      </c>
      <c r="CI32" s="35">
        <v>150.93574481083891</v>
      </c>
      <c r="CJ32" s="35">
        <v>1.9991489378919063</v>
      </c>
      <c r="CK32" s="35">
        <v>0</v>
      </c>
      <c r="CL32" s="35">
        <v>44.98085110256789</v>
      </c>
      <c r="CM32" s="35">
        <v>21188.979592716314</v>
      </c>
      <c r="CO32" s="35">
        <v>14125.344084583656</v>
      </c>
      <c r="CP32" s="35">
        <v>-1963.0521927169896</v>
      </c>
      <c r="CQ32" s="35">
        <v>12162.22239345299</v>
      </c>
      <c r="CR32" s="35">
        <v>87.452170543400072</v>
      </c>
      <c r="CS32" s="35">
        <v>1.1583068946145705</v>
      </c>
      <c r="CT32" s="35">
        <v>0</v>
      </c>
      <c r="CU32" s="35">
        <v>26.061905128827835</v>
      </c>
      <c r="CV32" s="35">
        <v>12276.894776019833</v>
      </c>
    </row>
    <row r="33" spans="1:100">
      <c r="A33" s="22">
        <v>28</v>
      </c>
      <c r="B33" s="314">
        <v>1</v>
      </c>
      <c r="C33" s="700"/>
      <c r="D33" s="14" t="s">
        <v>216</v>
      </c>
      <c r="E33" s="14" t="s">
        <v>285</v>
      </c>
      <c r="F33" s="14" t="s">
        <v>286</v>
      </c>
      <c r="G33" s="724"/>
      <c r="H33" s="724"/>
      <c r="I33" s="724"/>
      <c r="J33" s="718"/>
      <c r="K33" s="88">
        <v>27.85</v>
      </c>
      <c r="L33" s="23">
        <v>29.11</v>
      </c>
      <c r="M33" s="28">
        <v>60781.68</v>
      </c>
      <c r="N33" s="28">
        <v>0</v>
      </c>
      <c r="O33" s="23">
        <v>300</v>
      </c>
      <c r="P33" s="23">
        <v>1.5814610844194901</v>
      </c>
      <c r="Q33" s="28">
        <v>13811</v>
      </c>
      <c r="R33" s="28">
        <v>1823</v>
      </c>
      <c r="S33" s="28">
        <v>76416</v>
      </c>
      <c r="U33" s="28">
        <v>4738</v>
      </c>
      <c r="V33" s="28">
        <v>1108</v>
      </c>
      <c r="W33" s="28">
        <v>122</v>
      </c>
      <c r="X33" s="28">
        <v>42</v>
      </c>
      <c r="Y33" s="28">
        <v>6010</v>
      </c>
      <c r="AA33" s="35">
        <v>62605</v>
      </c>
      <c r="AB33" s="35">
        <v>76416</v>
      </c>
      <c r="AD33" s="46">
        <v>0.04</v>
      </c>
      <c r="AE33" s="46" t="s">
        <v>55</v>
      </c>
      <c r="AF33" s="35">
        <v>3057</v>
      </c>
      <c r="AG33" s="35">
        <v>3287</v>
      </c>
      <c r="AH33" s="35">
        <v>600</v>
      </c>
      <c r="AI33" s="35">
        <v>274</v>
      </c>
      <c r="AK33" s="35">
        <v>24389.64</v>
      </c>
      <c r="AL33" s="35">
        <v>-3389.52</v>
      </c>
      <c r="AM33" s="35">
        <v>21000</v>
      </c>
      <c r="AN33" s="35">
        <v>76000</v>
      </c>
      <c r="AO33" s="35">
        <v>157</v>
      </c>
      <c r="AP33" s="35">
        <v>2</v>
      </c>
      <c r="AQ33" s="35">
        <v>0</v>
      </c>
      <c r="AR33" s="35">
        <v>45</v>
      </c>
      <c r="AS33" s="35">
        <v>21204</v>
      </c>
      <c r="AU33" s="102">
        <v>1</v>
      </c>
      <c r="AV33" s="102">
        <v>0.69669999999999999</v>
      </c>
      <c r="AX33" s="35">
        <v>60781.68</v>
      </c>
      <c r="AY33" s="35">
        <v>0</v>
      </c>
      <c r="AZ33" s="35">
        <v>13811</v>
      </c>
      <c r="BA33" s="35">
        <v>1823</v>
      </c>
      <c r="BB33" s="35">
        <v>76415.679999999993</v>
      </c>
      <c r="BD33" s="35">
        <v>18435.083544000001</v>
      </c>
      <c r="BE33" s="35">
        <v>0</v>
      </c>
      <c r="BF33" s="35">
        <v>4188.8762999999999</v>
      </c>
      <c r="BG33" s="546">
        <v>1823</v>
      </c>
      <c r="BH33" s="35">
        <v>24446.959844000001</v>
      </c>
      <c r="BJ33" s="35">
        <v>4738</v>
      </c>
      <c r="BK33" s="35">
        <v>1108</v>
      </c>
      <c r="BL33" s="35">
        <v>122</v>
      </c>
      <c r="BM33" s="35">
        <v>42</v>
      </c>
      <c r="BN33" s="35">
        <v>6010</v>
      </c>
      <c r="BP33" s="35">
        <v>1437.0354</v>
      </c>
      <c r="BQ33" s="35">
        <v>336.0564</v>
      </c>
      <c r="BR33" s="35">
        <v>37.002600000000001</v>
      </c>
      <c r="BS33" s="35">
        <v>12.7386</v>
      </c>
      <c r="BT33" s="35">
        <v>1822.8329999999999</v>
      </c>
      <c r="BV33" s="35">
        <v>3057</v>
      </c>
      <c r="BW33" s="35">
        <v>3287</v>
      </c>
      <c r="BX33" s="35">
        <v>600</v>
      </c>
      <c r="BY33" s="35">
        <v>274</v>
      </c>
      <c r="CA33" s="35">
        <v>927.18810000000008</v>
      </c>
      <c r="CB33" s="35">
        <v>996.94710000000009</v>
      </c>
      <c r="CC33" s="35">
        <v>181.98000000000002</v>
      </c>
      <c r="CD33" s="35">
        <v>274</v>
      </c>
      <c r="CF33" s="35">
        <v>24389.64</v>
      </c>
      <c r="CG33" s="35">
        <v>-3389.52</v>
      </c>
      <c r="CH33" s="35">
        <v>21000</v>
      </c>
      <c r="CI33" s="35">
        <v>157</v>
      </c>
      <c r="CJ33" s="35">
        <v>2</v>
      </c>
      <c r="CK33" s="35">
        <v>0</v>
      </c>
      <c r="CL33" s="35">
        <v>45</v>
      </c>
      <c r="CM33" s="35">
        <v>21204</v>
      </c>
      <c r="CO33" s="35">
        <v>7397.3778119999997</v>
      </c>
      <c r="CP33" s="35">
        <v>-1028.041416</v>
      </c>
      <c r="CQ33" s="35">
        <v>6369.3</v>
      </c>
      <c r="CR33" s="35">
        <v>47.618100000000005</v>
      </c>
      <c r="CS33" s="35">
        <v>0.60660000000000003</v>
      </c>
      <c r="CT33" s="35">
        <v>0</v>
      </c>
      <c r="CU33" s="35">
        <v>13.6485</v>
      </c>
      <c r="CV33" s="35">
        <v>6431.1732000000002</v>
      </c>
    </row>
    <row r="34" spans="1:100">
      <c r="A34" s="22">
        <v>29</v>
      </c>
      <c r="B34" s="314">
        <v>1</v>
      </c>
      <c r="C34" s="700"/>
      <c r="D34" s="14" t="s">
        <v>216</v>
      </c>
      <c r="E34" s="14" t="s">
        <v>285</v>
      </c>
      <c r="F34" s="14" t="s">
        <v>286</v>
      </c>
      <c r="G34" s="724"/>
      <c r="H34" s="724"/>
      <c r="I34" s="724"/>
      <c r="J34" s="718"/>
      <c r="K34" s="88">
        <v>25.21</v>
      </c>
      <c r="L34" s="23">
        <v>26.35</v>
      </c>
      <c r="M34" s="28">
        <v>55018.8</v>
      </c>
      <c r="N34" s="28">
        <v>13.4</v>
      </c>
      <c r="O34" s="23">
        <v>300</v>
      </c>
      <c r="P34" s="23">
        <v>1.5814610844194901</v>
      </c>
      <c r="Q34" s="28">
        <v>12501</v>
      </c>
      <c r="R34" s="28">
        <v>1651</v>
      </c>
      <c r="S34" s="28">
        <v>69184</v>
      </c>
      <c r="U34" s="28">
        <v>4289</v>
      </c>
      <c r="V34" s="28">
        <v>1003</v>
      </c>
      <c r="W34" s="28">
        <v>122</v>
      </c>
      <c r="X34" s="28">
        <v>42</v>
      </c>
      <c r="Y34" s="28">
        <v>5456</v>
      </c>
      <c r="AA34" s="35">
        <v>56683</v>
      </c>
      <c r="AB34" s="35">
        <v>69184</v>
      </c>
      <c r="AD34" s="46">
        <v>0</v>
      </c>
      <c r="AE34" s="46">
        <v>0</v>
      </c>
      <c r="AF34" s="35">
        <v>0</v>
      </c>
      <c r="AG34" s="35">
        <v>2976</v>
      </c>
      <c r="AH34" s="35">
        <v>600</v>
      </c>
      <c r="AI34" s="35">
        <v>0</v>
      </c>
      <c r="AK34" s="35">
        <v>24389.64</v>
      </c>
      <c r="AL34" s="35">
        <v>-3389.52</v>
      </c>
      <c r="AM34" s="35">
        <v>21000</v>
      </c>
      <c r="AN34" s="35">
        <v>69000</v>
      </c>
      <c r="AO34" s="35">
        <v>142</v>
      </c>
      <c r="AP34" s="35">
        <v>2</v>
      </c>
      <c r="AQ34" s="35">
        <v>0</v>
      </c>
      <c r="AR34" s="35">
        <v>45</v>
      </c>
      <c r="AS34" s="35">
        <v>21189</v>
      </c>
      <c r="AU34" s="102">
        <v>1</v>
      </c>
      <c r="AV34" s="102">
        <v>0.1434</v>
      </c>
      <c r="AX34" s="35">
        <v>55018.8</v>
      </c>
      <c r="AY34" s="35">
        <v>13.4</v>
      </c>
      <c r="AZ34" s="35">
        <v>12501</v>
      </c>
      <c r="BA34" s="35">
        <v>1651</v>
      </c>
      <c r="BB34" s="35">
        <v>69184.200000000012</v>
      </c>
      <c r="BD34" s="35">
        <v>47129.104080000005</v>
      </c>
      <c r="BE34" s="35">
        <v>11.478440000000001</v>
      </c>
      <c r="BF34" s="35">
        <v>10708.356600000001</v>
      </c>
      <c r="BG34" s="546">
        <v>1651</v>
      </c>
      <c r="BH34" s="35">
        <v>59499.939120000003</v>
      </c>
      <c r="BJ34" s="35">
        <v>4289</v>
      </c>
      <c r="BK34" s="35">
        <v>1003</v>
      </c>
      <c r="BL34" s="35">
        <v>122</v>
      </c>
      <c r="BM34" s="35">
        <v>42</v>
      </c>
      <c r="BN34" s="35">
        <v>5456</v>
      </c>
      <c r="BP34" s="35">
        <v>3673.9574000000002</v>
      </c>
      <c r="BQ34" s="35">
        <v>859.16980000000001</v>
      </c>
      <c r="BR34" s="35">
        <v>104.5052</v>
      </c>
      <c r="BS34" s="35">
        <v>35.977200000000003</v>
      </c>
      <c r="BT34" s="35">
        <v>4673.6095999999998</v>
      </c>
      <c r="BV34" s="35">
        <v>0</v>
      </c>
      <c r="BW34" s="35">
        <v>2976</v>
      </c>
      <c r="BX34" s="35">
        <v>600</v>
      </c>
      <c r="BY34" s="35">
        <v>0</v>
      </c>
      <c r="CA34" s="35">
        <v>0</v>
      </c>
      <c r="CB34" s="35">
        <v>2549.2416000000003</v>
      </c>
      <c r="CC34" s="35">
        <v>513.96</v>
      </c>
      <c r="CD34" s="35">
        <v>0</v>
      </c>
      <c r="CF34" s="35">
        <v>24389.64</v>
      </c>
      <c r="CG34" s="35">
        <v>-3389.52</v>
      </c>
      <c r="CH34" s="35">
        <v>21000</v>
      </c>
      <c r="CI34" s="35">
        <v>142</v>
      </c>
      <c r="CJ34" s="35">
        <v>2</v>
      </c>
      <c r="CK34" s="35">
        <v>0</v>
      </c>
      <c r="CL34" s="35">
        <v>45</v>
      </c>
      <c r="CM34" s="35">
        <v>21189</v>
      </c>
      <c r="CO34" s="35">
        <v>20892.165624000001</v>
      </c>
      <c r="CP34" s="35">
        <v>-2903.4628320000002</v>
      </c>
      <c r="CQ34" s="35">
        <v>17988.600000000002</v>
      </c>
      <c r="CR34" s="35">
        <v>121.63720000000001</v>
      </c>
      <c r="CS34" s="35">
        <v>1.7132000000000001</v>
      </c>
      <c r="CT34" s="35">
        <v>0</v>
      </c>
      <c r="CU34" s="35">
        <v>38.547000000000004</v>
      </c>
      <c r="CV34" s="35">
        <v>18150.4974</v>
      </c>
    </row>
    <row r="35" spans="1:100">
      <c r="A35" s="22">
        <v>30</v>
      </c>
      <c r="B35" s="314">
        <v>1</v>
      </c>
      <c r="C35" s="700"/>
      <c r="D35" s="14" t="s">
        <v>216</v>
      </c>
      <c r="E35" s="14" t="s">
        <v>285</v>
      </c>
      <c r="F35" s="14" t="s">
        <v>286</v>
      </c>
      <c r="G35" s="724"/>
      <c r="H35" s="724"/>
      <c r="I35" s="724"/>
      <c r="J35" s="718"/>
      <c r="K35" s="88">
        <v>26.59</v>
      </c>
      <c r="L35" s="23">
        <v>27.78</v>
      </c>
      <c r="M35" s="28">
        <v>58004.639999999999</v>
      </c>
      <c r="N35" s="28">
        <v>10.866666666666667</v>
      </c>
      <c r="O35" s="23">
        <v>240</v>
      </c>
      <c r="P35" s="23">
        <v>1.5814610844194901</v>
      </c>
      <c r="Q35" s="28">
        <v>10544</v>
      </c>
      <c r="R35" s="28">
        <v>1740</v>
      </c>
      <c r="S35" s="28">
        <v>70300</v>
      </c>
      <c r="U35" s="28">
        <v>4359</v>
      </c>
      <c r="V35" s="28">
        <v>1019</v>
      </c>
      <c r="W35" s="28">
        <v>122</v>
      </c>
      <c r="X35" s="28">
        <v>42</v>
      </c>
      <c r="Y35" s="28">
        <v>5542</v>
      </c>
      <c r="AA35" s="35">
        <v>59756</v>
      </c>
      <c r="AB35" s="35">
        <v>70300</v>
      </c>
      <c r="AD35" s="46">
        <v>0.03</v>
      </c>
      <c r="AE35" s="46" t="s">
        <v>55</v>
      </c>
      <c r="AF35" s="35">
        <v>2109</v>
      </c>
      <c r="AG35" s="35">
        <v>3137</v>
      </c>
      <c r="AH35" s="35">
        <v>600</v>
      </c>
      <c r="AI35" s="35">
        <v>87</v>
      </c>
      <c r="AK35" s="35">
        <v>24389.64</v>
      </c>
      <c r="AL35" s="35">
        <v>-3389.52</v>
      </c>
      <c r="AM35" s="35">
        <v>21000</v>
      </c>
      <c r="AN35" s="35">
        <v>73000</v>
      </c>
      <c r="AO35" s="35">
        <v>151</v>
      </c>
      <c r="AP35" s="35">
        <v>2</v>
      </c>
      <c r="AQ35" s="35">
        <v>0</v>
      </c>
      <c r="AR35" s="35">
        <v>45</v>
      </c>
      <c r="AS35" s="35">
        <v>21198</v>
      </c>
      <c r="AU35" s="102">
        <v>0.99957446894595314</v>
      </c>
      <c r="AV35" s="102">
        <v>0.42059999999999997</v>
      </c>
      <c r="AX35" s="35">
        <v>57979.957224401194</v>
      </c>
      <c r="AY35" s="35">
        <v>10.862042562546025</v>
      </c>
      <c r="AZ35" s="35">
        <v>10539.513200566131</v>
      </c>
      <c r="BA35" s="35">
        <v>1739.2595759659584</v>
      </c>
      <c r="BB35" s="35">
        <v>70269.592043495839</v>
      </c>
      <c r="BD35" s="35">
        <v>33593.58721581805</v>
      </c>
      <c r="BE35" s="35">
        <v>6.2934674607391665</v>
      </c>
      <c r="BF35" s="35">
        <v>6106.5939484080163</v>
      </c>
      <c r="BG35" s="546">
        <v>1739.2595759659584</v>
      </c>
      <c r="BH35" s="35">
        <v>41445.734207652764</v>
      </c>
      <c r="BJ35" s="35">
        <v>4357.1451101354096</v>
      </c>
      <c r="BK35" s="35">
        <v>1018.5663838559262</v>
      </c>
      <c r="BL35" s="35">
        <v>121.94808521140628</v>
      </c>
      <c r="BM35" s="35">
        <v>41.982127695730028</v>
      </c>
      <c r="BN35" s="35">
        <v>5539.641706898472</v>
      </c>
      <c r="BP35" s="35">
        <v>2524.5298768124562</v>
      </c>
      <c r="BQ35" s="35">
        <v>590.15736280612373</v>
      </c>
      <c r="BR35" s="35">
        <v>70.656720571488805</v>
      </c>
      <c r="BS35" s="35">
        <v>24.324444786905978</v>
      </c>
      <c r="BT35" s="35">
        <v>3209.6684049769747</v>
      </c>
      <c r="BV35" s="35">
        <v>2108.1025550070153</v>
      </c>
      <c r="BW35" s="35">
        <v>3135.6651090834548</v>
      </c>
      <c r="BX35" s="35">
        <v>599.74468136757184</v>
      </c>
      <c r="BY35" s="35">
        <v>86.962978798297925</v>
      </c>
      <c r="CA35" s="35">
        <v>1221.4346203710647</v>
      </c>
      <c r="CB35" s="35">
        <v>1816.8043642029538</v>
      </c>
      <c r="CC35" s="35">
        <v>347.49206838437112</v>
      </c>
      <c r="CD35" s="35">
        <v>86.962978798297925</v>
      </c>
      <c r="CF35" s="35">
        <v>24379.261450782975</v>
      </c>
      <c r="CG35" s="35">
        <v>-3388.077653981687</v>
      </c>
      <c r="CH35" s="35">
        <v>20991.063847865014</v>
      </c>
      <c r="CI35" s="35">
        <v>150.93574481083891</v>
      </c>
      <c r="CJ35" s="35">
        <v>1.9991489378919063</v>
      </c>
      <c r="CK35" s="35">
        <v>0</v>
      </c>
      <c r="CL35" s="35">
        <v>44.98085110256789</v>
      </c>
      <c r="CM35" s="35">
        <v>21188.979592716314</v>
      </c>
      <c r="CO35" s="35">
        <v>14125.344084583656</v>
      </c>
      <c r="CP35" s="35">
        <v>-1963.0521927169896</v>
      </c>
      <c r="CQ35" s="35">
        <v>12162.22239345299</v>
      </c>
      <c r="CR35" s="35">
        <v>87.452170543400072</v>
      </c>
      <c r="CS35" s="35">
        <v>1.1583068946145705</v>
      </c>
      <c r="CT35" s="35">
        <v>0</v>
      </c>
      <c r="CU35" s="35">
        <v>26.061905128827835</v>
      </c>
      <c r="CV35" s="35">
        <v>12276.894776019833</v>
      </c>
    </row>
    <row r="36" spans="1:100">
      <c r="A36" s="22">
        <v>31</v>
      </c>
      <c r="B36" s="314">
        <v>1</v>
      </c>
      <c r="C36" s="700"/>
      <c r="D36" s="14" t="s">
        <v>216</v>
      </c>
      <c r="E36" s="14" t="s">
        <v>285</v>
      </c>
      <c r="F36" s="14" t="s">
        <v>286</v>
      </c>
      <c r="G36" s="724"/>
      <c r="H36" s="724"/>
      <c r="I36" s="724"/>
      <c r="J36" s="718"/>
      <c r="K36" s="88">
        <v>26.59</v>
      </c>
      <c r="L36" s="23">
        <v>27.78</v>
      </c>
      <c r="M36" s="28">
        <v>58004.639999999999</v>
      </c>
      <c r="N36" s="28">
        <v>10.866666666666667</v>
      </c>
      <c r="O36" s="23">
        <v>240.00000000000006</v>
      </c>
      <c r="P36" s="23">
        <v>1.5814610844194901</v>
      </c>
      <c r="Q36" s="28">
        <v>10544</v>
      </c>
      <c r="R36" s="28">
        <v>1740</v>
      </c>
      <c r="S36" s="28">
        <v>70300</v>
      </c>
      <c r="U36" s="28">
        <v>4359</v>
      </c>
      <c r="V36" s="28">
        <v>1019</v>
      </c>
      <c r="W36" s="28">
        <v>122</v>
      </c>
      <c r="X36" s="28">
        <v>42</v>
      </c>
      <c r="Y36" s="28">
        <v>5542</v>
      </c>
      <c r="AA36" s="35">
        <v>59756</v>
      </c>
      <c r="AB36" s="35">
        <v>70300</v>
      </c>
      <c r="AD36" s="46">
        <v>0.02</v>
      </c>
      <c r="AE36" s="46" t="s">
        <v>55</v>
      </c>
      <c r="AF36" s="35">
        <v>1406</v>
      </c>
      <c r="AG36" s="35">
        <v>3137</v>
      </c>
      <c r="AH36" s="35">
        <v>600</v>
      </c>
      <c r="AI36" s="35">
        <v>87</v>
      </c>
      <c r="AK36" s="35">
        <v>24389.64</v>
      </c>
      <c r="AL36" s="35">
        <v>-3389.52</v>
      </c>
      <c r="AM36" s="35">
        <v>21000</v>
      </c>
      <c r="AN36" s="35">
        <v>73000</v>
      </c>
      <c r="AO36" s="35">
        <v>151</v>
      </c>
      <c r="AP36" s="35">
        <v>2</v>
      </c>
      <c r="AQ36" s="35">
        <v>0</v>
      </c>
      <c r="AR36" s="35">
        <v>45</v>
      </c>
      <c r="AS36" s="35">
        <v>21198</v>
      </c>
      <c r="AU36" s="102">
        <v>0.99957446894595314</v>
      </c>
      <c r="AV36" s="102">
        <v>0.42059999999999997</v>
      </c>
      <c r="AX36" s="35">
        <v>57979.957224401194</v>
      </c>
      <c r="AY36" s="35">
        <v>10.862042562546025</v>
      </c>
      <c r="AZ36" s="35">
        <v>10539.513200566131</v>
      </c>
      <c r="BA36" s="35">
        <v>1739.2595759659584</v>
      </c>
      <c r="BB36" s="35">
        <v>70269.592043495839</v>
      </c>
      <c r="BD36" s="35">
        <v>33593.58721581805</v>
      </c>
      <c r="BE36" s="35">
        <v>6.2934674607391665</v>
      </c>
      <c r="BF36" s="35">
        <v>6106.5939484080163</v>
      </c>
      <c r="BG36" s="546">
        <v>1739.2595759659584</v>
      </c>
      <c r="BH36" s="35">
        <v>41445.734207652764</v>
      </c>
      <c r="BJ36" s="35">
        <v>4357.1451101354096</v>
      </c>
      <c r="BK36" s="35">
        <v>1018.5663838559262</v>
      </c>
      <c r="BL36" s="35">
        <v>121.94808521140628</v>
      </c>
      <c r="BM36" s="35">
        <v>41.982127695730028</v>
      </c>
      <c r="BN36" s="35">
        <v>5539.641706898472</v>
      </c>
      <c r="BP36" s="35">
        <v>2524.5298768124562</v>
      </c>
      <c r="BQ36" s="35">
        <v>590.15736280612373</v>
      </c>
      <c r="BR36" s="35">
        <v>70.656720571488805</v>
      </c>
      <c r="BS36" s="35">
        <v>24.324444786905978</v>
      </c>
      <c r="BT36" s="35">
        <v>3209.6684049769747</v>
      </c>
      <c r="BV36" s="35">
        <v>1405.4017033380101</v>
      </c>
      <c r="BW36" s="35">
        <v>3135.6651090834548</v>
      </c>
      <c r="BX36" s="35">
        <v>599.74468136757184</v>
      </c>
      <c r="BY36" s="35">
        <v>86.962978798297925</v>
      </c>
      <c r="CA36" s="35">
        <v>814.28974691404312</v>
      </c>
      <c r="CB36" s="35">
        <v>1816.8043642029538</v>
      </c>
      <c r="CC36" s="35">
        <v>347.49206838437112</v>
      </c>
      <c r="CD36" s="35">
        <v>86.962978798297925</v>
      </c>
      <c r="CF36" s="35">
        <v>24379.261450782975</v>
      </c>
      <c r="CG36" s="35">
        <v>-3388.077653981687</v>
      </c>
      <c r="CH36" s="35">
        <v>20991.063847865014</v>
      </c>
      <c r="CI36" s="35">
        <v>150.93574481083891</v>
      </c>
      <c r="CJ36" s="35">
        <v>1.9991489378919063</v>
      </c>
      <c r="CK36" s="35">
        <v>0</v>
      </c>
      <c r="CL36" s="35">
        <v>44.98085110256789</v>
      </c>
      <c r="CM36" s="35">
        <v>21188.979592716314</v>
      </c>
      <c r="CO36" s="35">
        <v>14125.344084583656</v>
      </c>
      <c r="CP36" s="35">
        <v>-1963.0521927169896</v>
      </c>
      <c r="CQ36" s="35">
        <v>12162.22239345299</v>
      </c>
      <c r="CR36" s="35">
        <v>87.452170543400072</v>
      </c>
      <c r="CS36" s="35">
        <v>1.1583068946145705</v>
      </c>
      <c r="CT36" s="35">
        <v>0</v>
      </c>
      <c r="CU36" s="35">
        <v>26.061905128827835</v>
      </c>
      <c r="CV36" s="35">
        <v>12276.894776019833</v>
      </c>
    </row>
    <row r="37" spans="1:100">
      <c r="A37" s="22">
        <v>32</v>
      </c>
      <c r="B37" s="314">
        <v>1</v>
      </c>
      <c r="C37" s="700"/>
      <c r="D37" s="14" t="s">
        <v>216</v>
      </c>
      <c r="E37" s="14" t="s">
        <v>285</v>
      </c>
      <c r="F37" s="14" t="s">
        <v>286</v>
      </c>
      <c r="G37" s="724"/>
      <c r="H37" s="724"/>
      <c r="I37" s="724"/>
      <c r="J37" s="718"/>
      <c r="K37" s="88">
        <v>25.21</v>
      </c>
      <c r="L37" s="23">
        <v>26.35</v>
      </c>
      <c r="M37" s="28">
        <v>55018.8</v>
      </c>
      <c r="N37" s="28">
        <v>8.3104166666666668</v>
      </c>
      <c r="O37" s="23">
        <v>180</v>
      </c>
      <c r="P37" s="23">
        <v>1.5814610844194901</v>
      </c>
      <c r="Q37" s="28">
        <v>7501</v>
      </c>
      <c r="R37" s="28">
        <v>1651</v>
      </c>
      <c r="S37" s="28">
        <v>64179</v>
      </c>
      <c r="U37" s="28">
        <v>3979</v>
      </c>
      <c r="V37" s="28">
        <v>931</v>
      </c>
      <c r="W37" s="28">
        <v>122</v>
      </c>
      <c r="X37" s="28">
        <v>42</v>
      </c>
      <c r="Y37" s="28">
        <v>5074</v>
      </c>
      <c r="AA37" s="35">
        <v>56678</v>
      </c>
      <c r="AB37" s="35">
        <v>64179</v>
      </c>
      <c r="AD37" s="46">
        <v>0.04</v>
      </c>
      <c r="AE37" s="46" t="s">
        <v>55</v>
      </c>
      <c r="AF37" s="35">
        <v>2567</v>
      </c>
      <c r="AG37" s="35">
        <v>2976</v>
      </c>
      <c r="AH37" s="35">
        <v>600</v>
      </c>
      <c r="AI37" s="35">
        <v>330</v>
      </c>
      <c r="AK37" s="35">
        <v>24389.64</v>
      </c>
      <c r="AL37" s="35">
        <v>-3389.52</v>
      </c>
      <c r="AM37" s="35">
        <v>21000</v>
      </c>
      <c r="AN37" s="35">
        <v>69000</v>
      </c>
      <c r="AO37" s="35">
        <v>142</v>
      </c>
      <c r="AP37" s="35">
        <v>2</v>
      </c>
      <c r="AQ37" s="35">
        <v>0</v>
      </c>
      <c r="AR37" s="35">
        <v>45</v>
      </c>
      <c r="AS37" s="35">
        <v>21189</v>
      </c>
      <c r="AU37" s="102">
        <v>1</v>
      </c>
      <c r="AV37" s="102">
        <v>0.39229999999999998</v>
      </c>
      <c r="AX37" s="35">
        <v>55018.8</v>
      </c>
      <c r="AY37" s="35">
        <v>8.3104166666666668</v>
      </c>
      <c r="AZ37" s="35">
        <v>7501</v>
      </c>
      <c r="BA37" s="35">
        <v>1651</v>
      </c>
      <c r="BB37" s="35">
        <v>64179.11041666667</v>
      </c>
      <c r="BD37" s="35">
        <v>33434.924760000002</v>
      </c>
      <c r="BE37" s="35">
        <v>5.0502402083333333</v>
      </c>
      <c r="BF37" s="35">
        <v>4558.3577000000005</v>
      </c>
      <c r="BG37" s="546">
        <v>1651</v>
      </c>
      <c r="BH37" s="35">
        <v>39649.332700208339</v>
      </c>
      <c r="BJ37" s="35">
        <v>3979</v>
      </c>
      <c r="BK37" s="35">
        <v>931</v>
      </c>
      <c r="BL37" s="35">
        <v>122</v>
      </c>
      <c r="BM37" s="35">
        <v>42</v>
      </c>
      <c r="BN37" s="35">
        <v>5074</v>
      </c>
      <c r="BP37" s="35">
        <v>2418.0383000000002</v>
      </c>
      <c r="BQ37" s="35">
        <v>565.76869999999997</v>
      </c>
      <c r="BR37" s="35">
        <v>74.139400000000009</v>
      </c>
      <c r="BS37" s="35">
        <v>25.523400000000002</v>
      </c>
      <c r="BT37" s="35">
        <v>3083.4698000000003</v>
      </c>
      <c r="BV37" s="35">
        <v>2567</v>
      </c>
      <c r="BW37" s="35">
        <v>2976</v>
      </c>
      <c r="BX37" s="35">
        <v>600</v>
      </c>
      <c r="BY37" s="35">
        <v>330</v>
      </c>
      <c r="CA37" s="35">
        <v>1559.9659000000001</v>
      </c>
      <c r="CB37" s="35">
        <v>1808.5152</v>
      </c>
      <c r="CC37" s="35">
        <v>364.62</v>
      </c>
      <c r="CD37" s="35">
        <v>330</v>
      </c>
      <c r="CF37" s="35">
        <v>24389.64</v>
      </c>
      <c r="CG37" s="35">
        <v>-3389.52</v>
      </c>
      <c r="CH37" s="35">
        <v>21000</v>
      </c>
      <c r="CI37" s="35">
        <v>142</v>
      </c>
      <c r="CJ37" s="35">
        <v>2</v>
      </c>
      <c r="CK37" s="35">
        <v>0</v>
      </c>
      <c r="CL37" s="35">
        <v>45</v>
      </c>
      <c r="CM37" s="35">
        <v>21189</v>
      </c>
      <c r="CO37" s="35">
        <v>14821.584228</v>
      </c>
      <c r="CP37" s="35">
        <v>-2059.8113039999998</v>
      </c>
      <c r="CQ37" s="35">
        <v>12761.7</v>
      </c>
      <c r="CR37" s="35">
        <v>86.293400000000005</v>
      </c>
      <c r="CS37" s="35">
        <v>1.2154</v>
      </c>
      <c r="CT37" s="35">
        <v>0</v>
      </c>
      <c r="CU37" s="35">
        <v>27.346500000000002</v>
      </c>
      <c r="CV37" s="35">
        <v>12876.5553</v>
      </c>
    </row>
    <row r="38" spans="1:100">
      <c r="A38" s="22">
        <v>33</v>
      </c>
      <c r="B38" s="314">
        <v>1</v>
      </c>
      <c r="C38" s="700"/>
      <c r="D38" s="14" t="s">
        <v>216</v>
      </c>
      <c r="E38" s="14" t="s">
        <v>272</v>
      </c>
      <c r="F38" s="14" t="s">
        <v>273</v>
      </c>
      <c r="G38" s="724"/>
      <c r="H38" s="724"/>
      <c r="I38" s="724"/>
      <c r="J38" s="718"/>
      <c r="K38" s="88">
        <v>28.36</v>
      </c>
      <c r="L38" s="23">
        <v>29.64</v>
      </c>
      <c r="M38" s="28">
        <v>61888.32</v>
      </c>
      <c r="N38" s="28">
        <v>31.037500000000001</v>
      </c>
      <c r="O38" s="23">
        <v>192</v>
      </c>
      <c r="P38" s="23">
        <v>1.5814610844194901</v>
      </c>
      <c r="Q38" s="28">
        <v>9000</v>
      </c>
      <c r="R38" s="28">
        <v>1857</v>
      </c>
      <c r="S38" s="28">
        <v>72776</v>
      </c>
      <c r="U38" s="28">
        <v>4512</v>
      </c>
      <c r="V38" s="28">
        <v>1055</v>
      </c>
      <c r="W38" s="28">
        <v>122</v>
      </c>
      <c r="X38" s="28">
        <v>42</v>
      </c>
      <c r="Y38" s="28">
        <v>5731</v>
      </c>
      <c r="AA38" s="35">
        <v>63776</v>
      </c>
      <c r="AB38" s="35">
        <v>72776</v>
      </c>
      <c r="AD38" s="46">
        <v>0.04</v>
      </c>
      <c r="AE38" s="46" t="s">
        <v>55</v>
      </c>
      <c r="AF38" s="35">
        <v>2911</v>
      </c>
      <c r="AG38" s="35">
        <v>3348</v>
      </c>
      <c r="AH38" s="35">
        <v>600</v>
      </c>
      <c r="AI38" s="35">
        <v>186</v>
      </c>
      <c r="AK38" s="35">
        <v>24389.64</v>
      </c>
      <c r="AL38" s="35">
        <v>-3389.52</v>
      </c>
      <c r="AM38" s="35">
        <v>21000</v>
      </c>
      <c r="AN38" s="35">
        <v>78000</v>
      </c>
      <c r="AO38" s="35">
        <v>161</v>
      </c>
      <c r="AP38" s="35">
        <v>2</v>
      </c>
      <c r="AQ38" s="35">
        <v>0</v>
      </c>
      <c r="AR38" s="35">
        <v>45</v>
      </c>
      <c r="AS38" s="35">
        <v>21208</v>
      </c>
      <c r="AU38" s="102">
        <v>1</v>
      </c>
      <c r="AV38" s="102">
        <v>9.7000000000000003E-3</v>
      </c>
      <c r="AX38" s="35">
        <v>61888.32</v>
      </c>
      <c r="AY38" s="35">
        <v>31.037500000000001</v>
      </c>
      <c r="AZ38" s="35">
        <v>9000</v>
      </c>
      <c r="BA38" s="35">
        <v>1857</v>
      </c>
      <c r="BB38" s="35">
        <v>72776.357499999998</v>
      </c>
      <c r="BD38" s="35">
        <v>61288.003295999995</v>
      </c>
      <c r="BE38" s="35">
        <v>30.736436250000001</v>
      </c>
      <c r="BF38" s="35">
        <v>8912.6999999999989</v>
      </c>
      <c r="BG38" s="546">
        <v>1857</v>
      </c>
      <c r="BH38" s="35">
        <v>72088.439732250001</v>
      </c>
      <c r="BJ38" s="35">
        <v>4512</v>
      </c>
      <c r="BK38" s="35">
        <v>1055</v>
      </c>
      <c r="BL38" s="35">
        <v>122</v>
      </c>
      <c r="BM38" s="35">
        <v>42</v>
      </c>
      <c r="BN38" s="35">
        <v>5731</v>
      </c>
      <c r="BP38" s="35">
        <v>4468.2335999999996</v>
      </c>
      <c r="BQ38" s="35">
        <v>1044.7665</v>
      </c>
      <c r="BR38" s="35">
        <v>120.81659999999999</v>
      </c>
      <c r="BS38" s="35">
        <v>41.592599999999997</v>
      </c>
      <c r="BT38" s="35">
        <v>5675.4092999999993</v>
      </c>
      <c r="BV38" s="35">
        <v>2911</v>
      </c>
      <c r="BW38" s="35">
        <v>3348</v>
      </c>
      <c r="BX38" s="35">
        <v>600</v>
      </c>
      <c r="BY38" s="35">
        <v>186</v>
      </c>
      <c r="CA38" s="35">
        <v>2882.7633000000001</v>
      </c>
      <c r="CB38" s="35">
        <v>3315.5243999999998</v>
      </c>
      <c r="CC38" s="35">
        <v>594.17999999999995</v>
      </c>
      <c r="CD38" s="35">
        <v>186</v>
      </c>
      <c r="CF38" s="35">
        <v>24389.64</v>
      </c>
      <c r="CG38" s="35">
        <v>-3389.52</v>
      </c>
      <c r="CH38" s="35">
        <v>21000</v>
      </c>
      <c r="CI38" s="35">
        <v>161</v>
      </c>
      <c r="CJ38" s="35">
        <v>2</v>
      </c>
      <c r="CK38" s="35">
        <v>0</v>
      </c>
      <c r="CL38" s="35">
        <v>45</v>
      </c>
      <c r="CM38" s="35">
        <v>21208</v>
      </c>
      <c r="CO38" s="35">
        <v>24153.060491999997</v>
      </c>
      <c r="CP38" s="35">
        <v>-3356.6416559999998</v>
      </c>
      <c r="CQ38" s="35">
        <v>20796.3</v>
      </c>
      <c r="CR38" s="35">
        <v>159.4383</v>
      </c>
      <c r="CS38" s="35">
        <v>1.9805999999999999</v>
      </c>
      <c r="CT38" s="35">
        <v>0</v>
      </c>
      <c r="CU38" s="35">
        <v>44.563499999999998</v>
      </c>
      <c r="CV38" s="35">
        <v>21002.2824</v>
      </c>
    </row>
    <row r="39" spans="1:100">
      <c r="A39" s="22">
        <v>34</v>
      </c>
      <c r="B39" s="314">
        <v>1</v>
      </c>
      <c r="C39" s="700"/>
      <c r="D39" s="14" t="s">
        <v>216</v>
      </c>
      <c r="E39" s="14" t="s">
        <v>285</v>
      </c>
      <c r="F39" s="14" t="s">
        <v>286</v>
      </c>
      <c r="G39" s="724"/>
      <c r="H39" s="724"/>
      <c r="I39" s="724"/>
      <c r="J39" s="718"/>
      <c r="K39" s="88">
        <v>27.22</v>
      </c>
      <c r="L39" s="23">
        <v>28.45</v>
      </c>
      <c r="M39" s="28">
        <v>59403.6</v>
      </c>
      <c r="N39" s="28">
        <v>6.4</v>
      </c>
      <c r="O39" s="23">
        <v>240</v>
      </c>
      <c r="P39" s="23">
        <v>1.5814610844194901</v>
      </c>
      <c r="Q39" s="28">
        <v>10798</v>
      </c>
      <c r="R39" s="28">
        <v>1782</v>
      </c>
      <c r="S39" s="28">
        <v>71990</v>
      </c>
      <c r="U39" s="28">
        <v>4463</v>
      </c>
      <c r="V39" s="28">
        <v>1044</v>
      </c>
      <c r="W39" s="28">
        <v>122</v>
      </c>
      <c r="X39" s="28">
        <v>42</v>
      </c>
      <c r="Y39" s="28">
        <v>5671</v>
      </c>
      <c r="AA39" s="35">
        <v>61192</v>
      </c>
      <c r="AB39" s="35">
        <v>71990</v>
      </c>
      <c r="AD39" s="46">
        <v>0.03</v>
      </c>
      <c r="AE39" s="46" t="s">
        <v>55</v>
      </c>
      <c r="AF39" s="35">
        <v>2160</v>
      </c>
      <c r="AG39" s="35">
        <v>3213</v>
      </c>
      <c r="AH39" s="35">
        <v>600</v>
      </c>
      <c r="AI39" s="35">
        <v>446</v>
      </c>
      <c r="AK39" s="35">
        <v>24389.64</v>
      </c>
      <c r="AL39" s="35">
        <v>-3389.52</v>
      </c>
      <c r="AM39" s="35">
        <v>21000</v>
      </c>
      <c r="AN39" s="35">
        <v>75000</v>
      </c>
      <c r="AO39" s="35">
        <v>155</v>
      </c>
      <c r="AP39" s="35">
        <v>2</v>
      </c>
      <c r="AQ39" s="35">
        <v>0</v>
      </c>
      <c r="AR39" s="35">
        <v>45</v>
      </c>
      <c r="AS39" s="35">
        <v>21202</v>
      </c>
      <c r="AU39" s="102">
        <v>1</v>
      </c>
      <c r="AV39" s="102">
        <v>0.49990000000000001</v>
      </c>
      <c r="AX39" s="35">
        <v>59403.6</v>
      </c>
      <c r="AY39" s="35">
        <v>6.4</v>
      </c>
      <c r="AZ39" s="35">
        <v>10798</v>
      </c>
      <c r="BA39" s="35">
        <v>1782</v>
      </c>
      <c r="BB39" s="35">
        <v>71990</v>
      </c>
      <c r="BD39" s="35">
        <v>29707.74036</v>
      </c>
      <c r="BE39" s="35">
        <v>3.2006399999999999</v>
      </c>
      <c r="BF39" s="35">
        <v>5400.0797999999995</v>
      </c>
      <c r="BG39" s="546">
        <v>1782</v>
      </c>
      <c r="BH39" s="35">
        <v>36893.020799999998</v>
      </c>
      <c r="BJ39" s="35">
        <v>4463</v>
      </c>
      <c r="BK39" s="35">
        <v>1044</v>
      </c>
      <c r="BL39" s="35">
        <v>122</v>
      </c>
      <c r="BM39" s="35">
        <v>42</v>
      </c>
      <c r="BN39" s="35">
        <v>5671</v>
      </c>
      <c r="BP39" s="35">
        <v>2231.9463000000001</v>
      </c>
      <c r="BQ39" s="35">
        <v>522.10439999999994</v>
      </c>
      <c r="BR39" s="35">
        <v>61.0122</v>
      </c>
      <c r="BS39" s="35">
        <v>21.004200000000001</v>
      </c>
      <c r="BT39" s="35">
        <v>2836.0670999999998</v>
      </c>
      <c r="BV39" s="35">
        <v>2160</v>
      </c>
      <c r="BW39" s="35">
        <v>3213</v>
      </c>
      <c r="BX39" s="35">
        <v>600</v>
      </c>
      <c r="BY39" s="35">
        <v>446</v>
      </c>
      <c r="CA39" s="35">
        <v>1080.2159999999999</v>
      </c>
      <c r="CB39" s="35">
        <v>1606.8213000000001</v>
      </c>
      <c r="CC39" s="35">
        <v>300.06</v>
      </c>
      <c r="CD39" s="35">
        <v>446</v>
      </c>
      <c r="CF39" s="35">
        <v>24389.64</v>
      </c>
      <c r="CG39" s="35">
        <v>-3389.52</v>
      </c>
      <c r="CH39" s="35">
        <v>21000</v>
      </c>
      <c r="CI39" s="35">
        <v>155</v>
      </c>
      <c r="CJ39" s="35">
        <v>2</v>
      </c>
      <c r="CK39" s="35">
        <v>0</v>
      </c>
      <c r="CL39" s="35">
        <v>45</v>
      </c>
      <c r="CM39" s="35">
        <v>21202</v>
      </c>
      <c r="CO39" s="35">
        <v>12197.258963999999</v>
      </c>
      <c r="CP39" s="35">
        <v>-1695.0989520000001</v>
      </c>
      <c r="CQ39" s="35">
        <v>10502.1</v>
      </c>
      <c r="CR39" s="35">
        <v>77.515500000000003</v>
      </c>
      <c r="CS39" s="35">
        <v>1.0002</v>
      </c>
      <c r="CT39" s="35">
        <v>0</v>
      </c>
      <c r="CU39" s="35">
        <v>22.5045</v>
      </c>
      <c r="CV39" s="35">
        <v>10603.120199999999</v>
      </c>
    </row>
    <row r="40" spans="1:100">
      <c r="A40" s="22">
        <v>35</v>
      </c>
      <c r="B40" s="314">
        <v>1</v>
      </c>
      <c r="C40" s="700"/>
      <c r="D40" s="14" t="s">
        <v>216</v>
      </c>
      <c r="E40" s="14" t="s">
        <v>285</v>
      </c>
      <c r="F40" s="14" t="s">
        <v>286</v>
      </c>
      <c r="G40" s="724"/>
      <c r="H40" s="724"/>
      <c r="I40" s="724"/>
      <c r="J40" s="718"/>
      <c r="K40" s="88">
        <v>26.59</v>
      </c>
      <c r="L40" s="23">
        <v>27.78</v>
      </c>
      <c r="M40" s="28">
        <v>58004.639999999999</v>
      </c>
      <c r="N40" s="28">
        <v>10.866666666666667</v>
      </c>
      <c r="O40" s="23">
        <v>300</v>
      </c>
      <c r="P40" s="23">
        <v>1.5814610844194901</v>
      </c>
      <c r="Q40" s="28">
        <v>13180</v>
      </c>
      <c r="R40" s="28">
        <v>1740</v>
      </c>
      <c r="S40" s="28">
        <v>72936</v>
      </c>
      <c r="U40" s="28">
        <v>4522</v>
      </c>
      <c r="V40" s="28">
        <v>1058</v>
      </c>
      <c r="W40" s="28">
        <v>122</v>
      </c>
      <c r="X40" s="28">
        <v>42</v>
      </c>
      <c r="Y40" s="28">
        <v>5744</v>
      </c>
      <c r="AA40" s="35">
        <v>59756</v>
      </c>
      <c r="AB40" s="35">
        <v>72936</v>
      </c>
      <c r="AD40" s="46">
        <v>0.04</v>
      </c>
      <c r="AE40" s="46" t="s">
        <v>55</v>
      </c>
      <c r="AF40" s="35">
        <v>2917</v>
      </c>
      <c r="AG40" s="35">
        <v>3137</v>
      </c>
      <c r="AH40" s="35">
        <v>600</v>
      </c>
      <c r="AI40" s="35">
        <v>261</v>
      </c>
      <c r="AK40" s="35">
        <v>24389.64</v>
      </c>
      <c r="AL40" s="35">
        <v>-3389.52</v>
      </c>
      <c r="AM40" s="35">
        <v>21000</v>
      </c>
      <c r="AN40" s="35">
        <v>73000</v>
      </c>
      <c r="AO40" s="35">
        <v>151</v>
      </c>
      <c r="AP40" s="35">
        <v>2</v>
      </c>
      <c r="AQ40" s="35">
        <v>0</v>
      </c>
      <c r="AR40" s="35">
        <v>45</v>
      </c>
      <c r="AS40" s="35">
        <v>21198</v>
      </c>
      <c r="AU40" s="102">
        <v>0.99957446894595314</v>
      </c>
      <c r="AV40" s="102">
        <v>0.42059999999999997</v>
      </c>
      <c r="AX40" s="35">
        <v>57979.957224401194</v>
      </c>
      <c r="AY40" s="35">
        <v>10.862042562546025</v>
      </c>
      <c r="AZ40" s="35">
        <v>13174.391500707663</v>
      </c>
      <c r="BA40" s="35">
        <v>1739.2595759659584</v>
      </c>
      <c r="BB40" s="35">
        <v>72904.470343637367</v>
      </c>
      <c r="BD40" s="35">
        <v>33593.58721581805</v>
      </c>
      <c r="BE40" s="35">
        <v>6.2934674607391665</v>
      </c>
      <c r="BF40" s="35">
        <v>7633.2424355100202</v>
      </c>
      <c r="BG40" s="546">
        <v>1739.2595759659584</v>
      </c>
      <c r="BH40" s="35">
        <v>42972.382694754771</v>
      </c>
      <c r="BJ40" s="35">
        <v>4520.0757485736003</v>
      </c>
      <c r="BK40" s="35">
        <v>1057.5497881448184</v>
      </c>
      <c r="BL40" s="35">
        <v>121.94808521140628</v>
      </c>
      <c r="BM40" s="35">
        <v>41.982127695730028</v>
      </c>
      <c r="BN40" s="35">
        <v>5741.5557496255551</v>
      </c>
      <c r="BP40" s="35">
        <v>2618.931888723544</v>
      </c>
      <c r="BQ40" s="35">
        <v>612.7443472511078</v>
      </c>
      <c r="BR40" s="35">
        <v>70.656720571488805</v>
      </c>
      <c r="BS40" s="35">
        <v>24.324444786905978</v>
      </c>
      <c r="BT40" s="35">
        <v>3326.6574013330464</v>
      </c>
      <c r="BV40" s="35">
        <v>2915.7587259153452</v>
      </c>
      <c r="BW40" s="35">
        <v>3135.6651090834548</v>
      </c>
      <c r="BX40" s="35">
        <v>599.74468136757184</v>
      </c>
      <c r="BY40" s="35">
        <v>260.88893639489379</v>
      </c>
      <c r="CA40" s="35">
        <v>1689.3906057953511</v>
      </c>
      <c r="CB40" s="35">
        <v>1816.8043642029538</v>
      </c>
      <c r="CC40" s="35">
        <v>347.49206838437112</v>
      </c>
      <c r="CD40" s="35">
        <v>260.88893639489379</v>
      </c>
      <c r="CF40" s="35">
        <v>24379.261450782975</v>
      </c>
      <c r="CG40" s="35">
        <v>-3388.077653981687</v>
      </c>
      <c r="CH40" s="35">
        <v>20991.063847865014</v>
      </c>
      <c r="CI40" s="35">
        <v>150.93574481083891</v>
      </c>
      <c r="CJ40" s="35">
        <v>1.9991489378919063</v>
      </c>
      <c r="CK40" s="35">
        <v>0</v>
      </c>
      <c r="CL40" s="35">
        <v>44.98085110256789</v>
      </c>
      <c r="CM40" s="35">
        <v>21188.979592716314</v>
      </c>
      <c r="CO40" s="35">
        <v>14125.344084583656</v>
      </c>
      <c r="CP40" s="35">
        <v>-1963.0521927169896</v>
      </c>
      <c r="CQ40" s="35">
        <v>12162.22239345299</v>
      </c>
      <c r="CR40" s="35">
        <v>87.452170543400072</v>
      </c>
      <c r="CS40" s="35">
        <v>1.1583068946145705</v>
      </c>
      <c r="CT40" s="35">
        <v>0</v>
      </c>
      <c r="CU40" s="35">
        <v>26.061905128827835</v>
      </c>
      <c r="CV40" s="35">
        <v>12276.894776019833</v>
      </c>
    </row>
    <row r="41" spans="1:100">
      <c r="A41" s="22">
        <v>36</v>
      </c>
      <c r="B41" s="314">
        <v>1</v>
      </c>
      <c r="C41" s="700"/>
      <c r="D41" s="14" t="s">
        <v>216</v>
      </c>
      <c r="E41" s="14" t="s">
        <v>285</v>
      </c>
      <c r="F41" s="14" t="s">
        <v>286</v>
      </c>
      <c r="G41" s="724"/>
      <c r="H41" s="724"/>
      <c r="I41" s="724"/>
      <c r="J41" s="718"/>
      <c r="K41" s="88">
        <v>27.85</v>
      </c>
      <c r="L41" s="23">
        <v>29.11</v>
      </c>
      <c r="M41" s="28">
        <v>60781.68</v>
      </c>
      <c r="N41" s="28">
        <v>6.9</v>
      </c>
      <c r="O41" s="23">
        <v>180</v>
      </c>
      <c r="P41" s="23">
        <v>1.5814610844194901</v>
      </c>
      <c r="Q41" s="28">
        <v>8287</v>
      </c>
      <c r="R41" s="28">
        <v>1823</v>
      </c>
      <c r="S41" s="28">
        <v>70899</v>
      </c>
      <c r="U41" s="28">
        <v>4396</v>
      </c>
      <c r="V41" s="28">
        <v>1028</v>
      </c>
      <c r="W41" s="28">
        <v>122</v>
      </c>
      <c r="X41" s="28">
        <v>42</v>
      </c>
      <c r="Y41" s="28">
        <v>5588</v>
      </c>
      <c r="AA41" s="35">
        <v>62612</v>
      </c>
      <c r="AB41" s="35">
        <v>70899</v>
      </c>
      <c r="AD41" s="46">
        <v>0.04</v>
      </c>
      <c r="AE41" s="46" t="s">
        <v>55</v>
      </c>
      <c r="AF41" s="35">
        <v>2836</v>
      </c>
      <c r="AG41" s="35">
        <v>3287</v>
      </c>
      <c r="AH41" s="35">
        <v>600</v>
      </c>
      <c r="AI41" s="35">
        <v>182</v>
      </c>
      <c r="AK41" s="35">
        <v>24389.64</v>
      </c>
      <c r="AL41" s="35">
        <v>-3389.52</v>
      </c>
      <c r="AM41" s="35">
        <v>21000</v>
      </c>
      <c r="AN41" s="35">
        <v>76000</v>
      </c>
      <c r="AO41" s="35">
        <v>157</v>
      </c>
      <c r="AP41" s="35">
        <v>2</v>
      </c>
      <c r="AQ41" s="35">
        <v>0</v>
      </c>
      <c r="AR41" s="35">
        <v>45</v>
      </c>
      <c r="AS41" s="35">
        <v>21204</v>
      </c>
      <c r="AU41" s="102">
        <v>0.99992113253677195</v>
      </c>
      <c r="AV41" s="102">
        <v>0.13370000000000001</v>
      </c>
      <c r="AX41" s="35">
        <v>60776.88630308766</v>
      </c>
      <c r="AY41" s="35">
        <v>6.8994558145037272</v>
      </c>
      <c r="AZ41" s="35">
        <v>8286.346425332229</v>
      </c>
      <c r="BA41" s="35">
        <v>1822.8562246145352</v>
      </c>
      <c r="BB41" s="35">
        <v>70892.98840884892</v>
      </c>
      <c r="BD41" s="35">
        <v>52651.016604364835</v>
      </c>
      <c r="BE41" s="35">
        <v>5.9769985721045789</v>
      </c>
      <c r="BF41" s="35">
        <v>7178.4619082653098</v>
      </c>
      <c r="BG41" s="546">
        <v>1822.8562246145352</v>
      </c>
      <c r="BH41" s="35">
        <v>61658.311735816787</v>
      </c>
      <c r="BJ41" s="35">
        <v>4395.6532986316497</v>
      </c>
      <c r="BK41" s="35">
        <v>1027.9189242478017</v>
      </c>
      <c r="BL41" s="35">
        <v>121.99037816948618</v>
      </c>
      <c r="BM41" s="35">
        <v>41.996687566544423</v>
      </c>
      <c r="BN41" s="35">
        <v>5587.5592886154818</v>
      </c>
      <c r="BP41" s="35">
        <v>3807.9544526045979</v>
      </c>
      <c r="BQ41" s="35">
        <v>890.48616407587053</v>
      </c>
      <c r="BR41" s="35">
        <v>105.68026460822587</v>
      </c>
      <c r="BS41" s="35">
        <v>36.381730438897435</v>
      </c>
      <c r="BT41" s="35">
        <v>4840.502611727592</v>
      </c>
      <c r="BV41" s="35">
        <v>2835.7763318742855</v>
      </c>
      <c r="BW41" s="35">
        <v>3286.7407626483696</v>
      </c>
      <c r="BX41" s="35">
        <v>599.95267952206314</v>
      </c>
      <c r="BY41" s="35">
        <v>181.9856461216925</v>
      </c>
      <c r="CA41" s="35">
        <v>2456.6330363026932</v>
      </c>
      <c r="CB41" s="35">
        <v>2847.3035226822826</v>
      </c>
      <c r="CC41" s="35">
        <v>519.73900626996328</v>
      </c>
      <c r="CD41" s="35">
        <v>181.9856461216925</v>
      </c>
      <c r="CF41" s="35">
        <v>24387.716450964155</v>
      </c>
      <c r="CG41" s="35">
        <v>-3389.2526771560392</v>
      </c>
      <c r="CH41" s="35">
        <v>20998.343783272212</v>
      </c>
      <c r="CI41" s="35">
        <v>156.9876178082732</v>
      </c>
      <c r="CJ41" s="35">
        <v>1.9998422650735439</v>
      </c>
      <c r="CK41" s="35">
        <v>0</v>
      </c>
      <c r="CL41" s="35">
        <v>44.996450964154739</v>
      </c>
      <c r="CM41" s="35">
        <v>21202.327694309715</v>
      </c>
      <c r="CO41" s="35">
        <v>21127.078761470246</v>
      </c>
      <c r="CP41" s="35">
        <v>-2936.1095942202764</v>
      </c>
      <c r="CQ41" s="35">
        <v>18190.865219448715</v>
      </c>
      <c r="CR41" s="35">
        <v>135.99837330730708</v>
      </c>
      <c r="CS41" s="35">
        <v>1.7324633542332111</v>
      </c>
      <c r="CT41" s="35">
        <v>0</v>
      </c>
      <c r="CU41" s="35">
        <v>38.980425470247248</v>
      </c>
      <c r="CV41" s="35">
        <v>18367.576481580501</v>
      </c>
    </row>
    <row r="42" spans="1:100">
      <c r="A42" s="22">
        <v>37</v>
      </c>
      <c r="B42" s="314">
        <v>1</v>
      </c>
      <c r="C42" s="700"/>
      <c r="D42" s="14" t="s">
        <v>216</v>
      </c>
      <c r="E42" s="14" t="s">
        <v>285</v>
      </c>
      <c r="F42" s="14" t="s">
        <v>286</v>
      </c>
      <c r="G42" s="724"/>
      <c r="H42" s="724"/>
      <c r="I42" s="724"/>
      <c r="J42" s="718"/>
      <c r="K42" s="88">
        <v>26.59</v>
      </c>
      <c r="L42" s="23">
        <v>27.78</v>
      </c>
      <c r="M42" s="28">
        <v>58004.639999999999</v>
      </c>
      <c r="N42" s="28">
        <v>10.866666666666667</v>
      </c>
      <c r="O42" s="23">
        <v>240</v>
      </c>
      <c r="P42" s="23">
        <v>1.5814610844194901</v>
      </c>
      <c r="Q42" s="28">
        <v>10544</v>
      </c>
      <c r="R42" s="28">
        <v>1740</v>
      </c>
      <c r="S42" s="28">
        <v>70300</v>
      </c>
      <c r="U42" s="28">
        <v>4359</v>
      </c>
      <c r="V42" s="28">
        <v>1019</v>
      </c>
      <c r="W42" s="28">
        <v>122</v>
      </c>
      <c r="X42" s="28">
        <v>42</v>
      </c>
      <c r="Y42" s="28">
        <v>5542</v>
      </c>
      <c r="AA42" s="35">
        <v>59756</v>
      </c>
      <c r="AB42" s="35">
        <v>70300</v>
      </c>
      <c r="AD42" s="46">
        <v>0</v>
      </c>
      <c r="AE42" s="46">
        <v>0</v>
      </c>
      <c r="AF42" s="35">
        <v>0</v>
      </c>
      <c r="AG42" s="35">
        <v>3137</v>
      </c>
      <c r="AH42" s="35">
        <v>600</v>
      </c>
      <c r="AI42" s="35">
        <v>0</v>
      </c>
      <c r="AK42" s="35">
        <v>24389.64</v>
      </c>
      <c r="AL42" s="35">
        <v>-3389.52</v>
      </c>
      <c r="AM42" s="35">
        <v>21000</v>
      </c>
      <c r="AN42" s="35">
        <v>73000</v>
      </c>
      <c r="AO42" s="35">
        <v>151</v>
      </c>
      <c r="AP42" s="35">
        <v>2</v>
      </c>
      <c r="AQ42" s="35">
        <v>0</v>
      </c>
      <c r="AR42" s="35">
        <v>45</v>
      </c>
      <c r="AS42" s="35">
        <v>21198</v>
      </c>
      <c r="AU42" s="102">
        <v>0.99957446894595314</v>
      </c>
      <c r="AV42" s="102">
        <v>0.42059999999999997</v>
      </c>
      <c r="AX42" s="35">
        <v>57979.957224401194</v>
      </c>
      <c r="AY42" s="35">
        <v>10.862042562546025</v>
      </c>
      <c r="AZ42" s="35">
        <v>10539.513200566131</v>
      </c>
      <c r="BA42" s="35">
        <v>1739.2595759659584</v>
      </c>
      <c r="BB42" s="35">
        <v>70269.592043495839</v>
      </c>
      <c r="BD42" s="35">
        <v>33593.58721581805</v>
      </c>
      <c r="BE42" s="35">
        <v>6.2934674607391665</v>
      </c>
      <c r="BF42" s="35">
        <v>6106.5939484080163</v>
      </c>
      <c r="BG42" s="546">
        <v>1739.2595759659584</v>
      </c>
      <c r="BH42" s="35">
        <v>41445.734207652764</v>
      </c>
      <c r="BJ42" s="35">
        <v>4357.1451101354096</v>
      </c>
      <c r="BK42" s="35">
        <v>1018.5663838559262</v>
      </c>
      <c r="BL42" s="35">
        <v>121.94808521140628</v>
      </c>
      <c r="BM42" s="35">
        <v>41.982127695730028</v>
      </c>
      <c r="BN42" s="35">
        <v>5539.641706898472</v>
      </c>
      <c r="BP42" s="35">
        <v>2524.5298768124562</v>
      </c>
      <c r="BQ42" s="35">
        <v>590.15736280612373</v>
      </c>
      <c r="BR42" s="35">
        <v>70.656720571488805</v>
      </c>
      <c r="BS42" s="35">
        <v>24.324444786905978</v>
      </c>
      <c r="BT42" s="35">
        <v>3209.6684049769747</v>
      </c>
      <c r="BV42" s="35">
        <v>0</v>
      </c>
      <c r="BW42" s="35">
        <v>3135.6651090834548</v>
      </c>
      <c r="BX42" s="35">
        <v>599.74468136757184</v>
      </c>
      <c r="BY42" s="35">
        <v>0</v>
      </c>
      <c r="CA42" s="35">
        <v>0</v>
      </c>
      <c r="CB42" s="35">
        <v>1816.8043642029538</v>
      </c>
      <c r="CC42" s="35">
        <v>347.49206838437112</v>
      </c>
      <c r="CD42" s="35">
        <v>0</v>
      </c>
      <c r="CF42" s="35">
        <v>24379.261450782975</v>
      </c>
      <c r="CG42" s="35">
        <v>-3388.077653981687</v>
      </c>
      <c r="CH42" s="35">
        <v>20991.063847865014</v>
      </c>
      <c r="CI42" s="35">
        <v>150.93574481083891</v>
      </c>
      <c r="CJ42" s="35">
        <v>1.9991489378919063</v>
      </c>
      <c r="CK42" s="35">
        <v>0</v>
      </c>
      <c r="CL42" s="35">
        <v>44.98085110256789</v>
      </c>
      <c r="CM42" s="35">
        <v>21188.979592716314</v>
      </c>
      <c r="CO42" s="35">
        <v>14125.344084583656</v>
      </c>
      <c r="CP42" s="35">
        <v>-1963.0521927169896</v>
      </c>
      <c r="CQ42" s="35">
        <v>12162.22239345299</v>
      </c>
      <c r="CR42" s="35">
        <v>87.452170543400072</v>
      </c>
      <c r="CS42" s="35">
        <v>1.1583068946145705</v>
      </c>
      <c r="CT42" s="35">
        <v>0</v>
      </c>
      <c r="CU42" s="35">
        <v>26.061905128827835</v>
      </c>
      <c r="CV42" s="35">
        <v>12276.894776019833</v>
      </c>
    </row>
    <row r="43" spans="1:100">
      <c r="A43" s="22">
        <v>38</v>
      </c>
      <c r="B43" s="314">
        <v>1</v>
      </c>
      <c r="C43" s="700"/>
      <c r="D43" s="14" t="s">
        <v>216</v>
      </c>
      <c r="E43" s="14" t="s">
        <v>285</v>
      </c>
      <c r="F43" s="14" t="s">
        <v>286</v>
      </c>
      <c r="G43" s="724"/>
      <c r="H43" s="724"/>
      <c r="I43" s="724"/>
      <c r="J43" s="718"/>
      <c r="K43" s="88">
        <v>26.59</v>
      </c>
      <c r="L43" s="23">
        <v>27.78</v>
      </c>
      <c r="M43" s="28">
        <v>58004.639999999999</v>
      </c>
      <c r="N43" s="28">
        <v>10.866666666666667</v>
      </c>
      <c r="O43" s="23">
        <v>300</v>
      </c>
      <c r="P43" s="23">
        <v>1.5814610844194901</v>
      </c>
      <c r="Q43" s="28">
        <v>13180</v>
      </c>
      <c r="R43" s="28">
        <v>1740</v>
      </c>
      <c r="S43" s="28">
        <v>72936</v>
      </c>
      <c r="U43" s="28">
        <v>4522</v>
      </c>
      <c r="V43" s="28">
        <v>1058</v>
      </c>
      <c r="W43" s="28">
        <v>122</v>
      </c>
      <c r="X43" s="28">
        <v>42</v>
      </c>
      <c r="Y43" s="28">
        <v>5744</v>
      </c>
      <c r="AA43" s="35">
        <v>59756</v>
      </c>
      <c r="AB43" s="35">
        <v>72936</v>
      </c>
      <c r="AD43" s="46">
        <v>0.04</v>
      </c>
      <c r="AE43" s="46" t="s">
        <v>55</v>
      </c>
      <c r="AF43" s="35">
        <v>2917</v>
      </c>
      <c r="AG43" s="35">
        <v>3137</v>
      </c>
      <c r="AH43" s="35">
        <v>600</v>
      </c>
      <c r="AI43" s="35">
        <v>0</v>
      </c>
      <c r="AK43" s="35">
        <v>24389.64</v>
      </c>
      <c r="AL43" s="35">
        <v>-3389.52</v>
      </c>
      <c r="AM43" s="35">
        <v>21000</v>
      </c>
      <c r="AN43" s="35">
        <v>73000</v>
      </c>
      <c r="AO43" s="35">
        <v>151</v>
      </c>
      <c r="AP43" s="35">
        <v>2</v>
      </c>
      <c r="AQ43" s="35">
        <v>0</v>
      </c>
      <c r="AR43" s="35">
        <v>45</v>
      </c>
      <c r="AS43" s="35">
        <v>21198</v>
      </c>
      <c r="AU43" s="102">
        <v>0.99957446894595314</v>
      </c>
      <c r="AV43" s="102">
        <v>0.42059999999999997</v>
      </c>
      <c r="AX43" s="35">
        <v>57979.957224401194</v>
      </c>
      <c r="AY43" s="35">
        <v>10.862042562546025</v>
      </c>
      <c r="AZ43" s="35">
        <v>13174.391500707663</v>
      </c>
      <c r="BA43" s="35">
        <v>1739.2595759659584</v>
      </c>
      <c r="BB43" s="35">
        <v>72904.470343637367</v>
      </c>
      <c r="BD43" s="35">
        <v>33593.58721581805</v>
      </c>
      <c r="BE43" s="35">
        <v>6.2934674607391665</v>
      </c>
      <c r="BF43" s="35">
        <v>7633.2424355100202</v>
      </c>
      <c r="BG43" s="546">
        <v>1739.2595759659584</v>
      </c>
      <c r="BH43" s="35">
        <v>42972.382694754771</v>
      </c>
      <c r="BJ43" s="35">
        <v>4520.0757485736003</v>
      </c>
      <c r="BK43" s="35">
        <v>1057.5497881448184</v>
      </c>
      <c r="BL43" s="35">
        <v>121.94808521140628</v>
      </c>
      <c r="BM43" s="35">
        <v>41.982127695730028</v>
      </c>
      <c r="BN43" s="35">
        <v>5741.5557496255551</v>
      </c>
      <c r="BP43" s="35">
        <v>2618.931888723544</v>
      </c>
      <c r="BQ43" s="35">
        <v>612.7443472511078</v>
      </c>
      <c r="BR43" s="35">
        <v>70.656720571488805</v>
      </c>
      <c r="BS43" s="35">
        <v>24.324444786905978</v>
      </c>
      <c r="BT43" s="35">
        <v>3326.6574013330464</v>
      </c>
      <c r="BV43" s="35">
        <v>2915.7587259153452</v>
      </c>
      <c r="BW43" s="35">
        <v>3135.6651090834548</v>
      </c>
      <c r="BX43" s="35">
        <v>599.74468136757184</v>
      </c>
      <c r="BY43" s="35">
        <v>0</v>
      </c>
      <c r="CA43" s="35">
        <v>1689.3906057953511</v>
      </c>
      <c r="CB43" s="35">
        <v>1816.8043642029538</v>
      </c>
      <c r="CC43" s="35">
        <v>347.49206838437112</v>
      </c>
      <c r="CD43" s="35">
        <v>0</v>
      </c>
      <c r="CF43" s="35">
        <v>24379.261450782975</v>
      </c>
      <c r="CG43" s="35">
        <v>-3388.077653981687</v>
      </c>
      <c r="CH43" s="35">
        <v>20991.063847865014</v>
      </c>
      <c r="CI43" s="35">
        <v>150.93574481083891</v>
      </c>
      <c r="CJ43" s="35">
        <v>1.9991489378919063</v>
      </c>
      <c r="CK43" s="35">
        <v>0</v>
      </c>
      <c r="CL43" s="35">
        <v>44.98085110256789</v>
      </c>
      <c r="CM43" s="35">
        <v>21188.979592716314</v>
      </c>
      <c r="CO43" s="35">
        <v>14125.344084583656</v>
      </c>
      <c r="CP43" s="35">
        <v>-1963.0521927169896</v>
      </c>
      <c r="CQ43" s="35">
        <v>12162.22239345299</v>
      </c>
      <c r="CR43" s="35">
        <v>87.452170543400072</v>
      </c>
      <c r="CS43" s="35">
        <v>1.1583068946145705</v>
      </c>
      <c r="CT43" s="35">
        <v>0</v>
      </c>
      <c r="CU43" s="35">
        <v>26.061905128827835</v>
      </c>
      <c r="CV43" s="35">
        <v>12276.894776019833</v>
      </c>
    </row>
    <row r="44" spans="1:100">
      <c r="A44" s="22">
        <v>39</v>
      </c>
      <c r="B44" s="314">
        <v>1</v>
      </c>
      <c r="C44" s="700"/>
      <c r="D44" s="14" t="s">
        <v>216</v>
      </c>
      <c r="E44" s="14" t="s">
        <v>285</v>
      </c>
      <c r="F44" s="14" t="s">
        <v>286</v>
      </c>
      <c r="G44" s="724"/>
      <c r="H44" s="724"/>
      <c r="I44" s="724"/>
      <c r="J44" s="718"/>
      <c r="K44" s="88">
        <v>27.85</v>
      </c>
      <c r="L44" s="23">
        <v>29.11</v>
      </c>
      <c r="M44" s="28">
        <v>60781.68</v>
      </c>
      <c r="N44" s="28">
        <v>6.9</v>
      </c>
      <c r="O44" s="23">
        <v>119.99999999999997</v>
      </c>
      <c r="P44" s="23">
        <v>1.5814610844194901</v>
      </c>
      <c r="Q44" s="28">
        <v>5524</v>
      </c>
      <c r="R44" s="28">
        <v>1823</v>
      </c>
      <c r="S44" s="28">
        <v>68136</v>
      </c>
      <c r="U44" s="28">
        <v>4224</v>
      </c>
      <c r="V44" s="28">
        <v>988</v>
      </c>
      <c r="W44" s="28">
        <v>122</v>
      </c>
      <c r="X44" s="28">
        <v>42</v>
      </c>
      <c r="Y44" s="28">
        <v>5376</v>
      </c>
      <c r="AA44" s="35">
        <v>62612</v>
      </c>
      <c r="AB44" s="35">
        <v>68136</v>
      </c>
      <c r="AD44" s="46">
        <v>0.04</v>
      </c>
      <c r="AE44" s="46" t="s">
        <v>55</v>
      </c>
      <c r="AF44" s="35">
        <v>2725</v>
      </c>
      <c r="AG44" s="35">
        <v>3287</v>
      </c>
      <c r="AH44" s="35">
        <v>600</v>
      </c>
      <c r="AI44" s="35">
        <v>365</v>
      </c>
      <c r="AK44" s="35">
        <v>24389.64</v>
      </c>
      <c r="AL44" s="35">
        <v>-3389.52</v>
      </c>
      <c r="AM44" s="35">
        <v>21000</v>
      </c>
      <c r="AN44" s="35">
        <v>76000</v>
      </c>
      <c r="AO44" s="35">
        <v>157</v>
      </c>
      <c r="AP44" s="35">
        <v>2</v>
      </c>
      <c r="AQ44" s="35">
        <v>0</v>
      </c>
      <c r="AR44" s="35">
        <v>45</v>
      </c>
      <c r="AS44" s="35">
        <v>21204</v>
      </c>
      <c r="AU44" s="102">
        <v>0.99992113253677195</v>
      </c>
      <c r="AV44" s="102">
        <v>0.13370000000000001</v>
      </c>
      <c r="AX44" s="35">
        <v>60776.88630308766</v>
      </c>
      <c r="AY44" s="35">
        <v>6.8994558145037272</v>
      </c>
      <c r="AZ44" s="35">
        <v>5523.5643361331286</v>
      </c>
      <c r="BA44" s="35">
        <v>1822.8562246145352</v>
      </c>
      <c r="BB44" s="35">
        <v>68130.20631964982</v>
      </c>
      <c r="BD44" s="35">
        <v>52651.016604364835</v>
      </c>
      <c r="BE44" s="35">
        <v>5.9769985721045789</v>
      </c>
      <c r="BF44" s="35">
        <v>4785.0637843921295</v>
      </c>
      <c r="BG44" s="546">
        <v>1822.8562246145352</v>
      </c>
      <c r="BH44" s="35">
        <v>59264.913611943608</v>
      </c>
      <c r="BJ44" s="35">
        <v>4223.6668638353249</v>
      </c>
      <c r="BK44" s="35">
        <v>987.92207894633066</v>
      </c>
      <c r="BL44" s="35">
        <v>121.99037816948618</v>
      </c>
      <c r="BM44" s="35">
        <v>41.996687566544423</v>
      </c>
      <c r="BN44" s="35">
        <v>5375.5760085176862</v>
      </c>
      <c r="BP44" s="35">
        <v>3658.9626041405418</v>
      </c>
      <c r="BQ44" s="35">
        <v>855.83689699120623</v>
      </c>
      <c r="BR44" s="35">
        <v>105.68026460822587</v>
      </c>
      <c r="BS44" s="35">
        <v>36.381730438897435</v>
      </c>
      <c r="BT44" s="35">
        <v>4656.8614961788717</v>
      </c>
      <c r="BV44" s="35">
        <v>2724.7850861627035</v>
      </c>
      <c r="BW44" s="35">
        <v>3286.7407626483696</v>
      </c>
      <c r="BX44" s="35">
        <v>599.95267952206314</v>
      </c>
      <c r="BY44" s="35">
        <v>364.97121337592176</v>
      </c>
      <c r="CA44" s="35">
        <v>2360.4813201427501</v>
      </c>
      <c r="CB44" s="35">
        <v>2847.3035226822826</v>
      </c>
      <c r="CC44" s="35">
        <v>519.73900626996328</v>
      </c>
      <c r="CD44" s="35">
        <v>364.97121337592176</v>
      </c>
      <c r="CF44" s="35">
        <v>24387.716450964155</v>
      </c>
      <c r="CG44" s="35">
        <v>-3389.2526771560392</v>
      </c>
      <c r="CH44" s="35">
        <v>20998.343783272212</v>
      </c>
      <c r="CI44" s="35">
        <v>156.9876178082732</v>
      </c>
      <c r="CJ44" s="35">
        <v>1.9998422650735439</v>
      </c>
      <c r="CK44" s="35">
        <v>0</v>
      </c>
      <c r="CL44" s="35">
        <v>44.996450964154739</v>
      </c>
      <c r="CM44" s="35">
        <v>21202.327694309715</v>
      </c>
      <c r="CO44" s="35">
        <v>21127.078761470246</v>
      </c>
      <c r="CP44" s="35">
        <v>-2936.1095942202764</v>
      </c>
      <c r="CQ44" s="35">
        <v>18190.865219448715</v>
      </c>
      <c r="CR44" s="35">
        <v>135.99837330730708</v>
      </c>
      <c r="CS44" s="35">
        <v>1.7324633542332111</v>
      </c>
      <c r="CT44" s="35">
        <v>0</v>
      </c>
      <c r="CU44" s="35">
        <v>38.980425470247248</v>
      </c>
      <c r="CV44" s="35">
        <v>18367.576481580501</v>
      </c>
    </row>
    <row r="45" spans="1:100">
      <c r="A45" s="22">
        <v>40</v>
      </c>
      <c r="B45" s="314">
        <v>1</v>
      </c>
      <c r="C45" s="700"/>
      <c r="D45" s="14" t="s">
        <v>216</v>
      </c>
      <c r="E45" s="14" t="s">
        <v>255</v>
      </c>
      <c r="F45" s="14" t="s">
        <v>256</v>
      </c>
      <c r="G45" s="724"/>
      <c r="H45" s="724"/>
      <c r="I45" s="724"/>
      <c r="J45" s="718"/>
      <c r="K45" s="88">
        <v>27.79</v>
      </c>
      <c r="L45" s="23">
        <v>29.04</v>
      </c>
      <c r="M45" s="28">
        <v>60635.519999999997</v>
      </c>
      <c r="N45" s="28">
        <v>0.93333333333333346</v>
      </c>
      <c r="O45" s="23">
        <v>192</v>
      </c>
      <c r="P45" s="23">
        <v>1.5814610844194901</v>
      </c>
      <c r="Q45" s="28">
        <v>8818</v>
      </c>
      <c r="R45" s="28">
        <v>1819</v>
      </c>
      <c r="S45" s="28">
        <v>71273</v>
      </c>
      <c r="U45" s="28">
        <v>4419</v>
      </c>
      <c r="V45" s="28">
        <v>1033</v>
      </c>
      <c r="W45" s="28">
        <v>122</v>
      </c>
      <c r="X45" s="28">
        <v>42</v>
      </c>
      <c r="Y45" s="28">
        <v>5616</v>
      </c>
      <c r="AA45" s="35">
        <v>62455</v>
      </c>
      <c r="AB45" s="35">
        <v>71273</v>
      </c>
      <c r="AD45" s="46">
        <v>0.04</v>
      </c>
      <c r="AE45" s="46" t="s">
        <v>55</v>
      </c>
      <c r="AF45" s="35">
        <v>2851</v>
      </c>
      <c r="AG45" s="35">
        <v>3279</v>
      </c>
      <c r="AH45" s="35">
        <v>600</v>
      </c>
      <c r="AI45" s="35">
        <v>455</v>
      </c>
      <c r="AK45" s="35">
        <v>24389.64</v>
      </c>
      <c r="AL45" s="35">
        <v>-3389.52</v>
      </c>
      <c r="AM45" s="35">
        <v>21000</v>
      </c>
      <c r="AN45" s="35">
        <v>76000</v>
      </c>
      <c r="AO45" s="35">
        <v>157</v>
      </c>
      <c r="AP45" s="35">
        <v>2</v>
      </c>
      <c r="AQ45" s="35">
        <v>0</v>
      </c>
      <c r="AR45" s="35">
        <v>45</v>
      </c>
      <c r="AS45" s="35">
        <v>21204</v>
      </c>
      <c r="AU45" s="102">
        <v>1</v>
      </c>
      <c r="AV45" s="102">
        <v>7.1999999999999998E-3</v>
      </c>
      <c r="AX45" s="35">
        <v>60635.519999999997</v>
      </c>
      <c r="AY45" s="35">
        <v>0.93333333333333346</v>
      </c>
      <c r="AZ45" s="35">
        <v>8818</v>
      </c>
      <c r="BA45" s="35">
        <v>1819</v>
      </c>
      <c r="BB45" s="35">
        <v>71273.453333333338</v>
      </c>
      <c r="BD45" s="35">
        <v>60198.944255999995</v>
      </c>
      <c r="BE45" s="35">
        <v>0.92661333333333351</v>
      </c>
      <c r="BF45" s="35">
        <v>8754.510400000001</v>
      </c>
      <c r="BG45" s="546">
        <v>1819</v>
      </c>
      <c r="BH45" s="35">
        <v>70773.381269333331</v>
      </c>
      <c r="BJ45" s="35">
        <v>4419</v>
      </c>
      <c r="BK45" s="35">
        <v>1033</v>
      </c>
      <c r="BL45" s="35">
        <v>122</v>
      </c>
      <c r="BM45" s="35">
        <v>42</v>
      </c>
      <c r="BN45" s="35">
        <v>5616</v>
      </c>
      <c r="BP45" s="35">
        <v>4387.1832000000004</v>
      </c>
      <c r="BQ45" s="35">
        <v>1025.5624</v>
      </c>
      <c r="BR45" s="35">
        <v>121.1216</v>
      </c>
      <c r="BS45" s="35">
        <v>41.697600000000001</v>
      </c>
      <c r="BT45" s="35">
        <v>5575.564800000001</v>
      </c>
      <c r="BV45" s="35">
        <v>2851</v>
      </c>
      <c r="BW45" s="35">
        <v>3279</v>
      </c>
      <c r="BX45" s="35">
        <v>600</v>
      </c>
      <c r="BY45" s="35">
        <v>455</v>
      </c>
      <c r="CA45" s="35">
        <v>2830.4728</v>
      </c>
      <c r="CB45" s="35">
        <v>3255.3912</v>
      </c>
      <c r="CC45" s="35">
        <v>595.68000000000006</v>
      </c>
      <c r="CD45" s="35">
        <v>455</v>
      </c>
      <c r="CF45" s="35">
        <v>24389.64</v>
      </c>
      <c r="CG45" s="35">
        <v>-3389.52</v>
      </c>
      <c r="CH45" s="35">
        <v>21000</v>
      </c>
      <c r="CI45" s="35">
        <v>157</v>
      </c>
      <c r="CJ45" s="35">
        <v>2</v>
      </c>
      <c r="CK45" s="35">
        <v>0</v>
      </c>
      <c r="CL45" s="35">
        <v>45</v>
      </c>
      <c r="CM45" s="35">
        <v>21204</v>
      </c>
      <c r="CO45" s="35">
        <v>24214.034592</v>
      </c>
      <c r="CP45" s="35">
        <v>-3365.115456</v>
      </c>
      <c r="CQ45" s="35">
        <v>20848.8</v>
      </c>
      <c r="CR45" s="35">
        <v>155.86959999999999</v>
      </c>
      <c r="CS45" s="35">
        <v>1.9856</v>
      </c>
      <c r="CT45" s="35">
        <v>0</v>
      </c>
      <c r="CU45" s="35">
        <v>44.676000000000002</v>
      </c>
      <c r="CV45" s="35">
        <v>21051.331200000001</v>
      </c>
    </row>
    <row r="46" spans="1:100">
      <c r="A46" s="22">
        <v>41</v>
      </c>
      <c r="B46" s="314">
        <v>1</v>
      </c>
      <c r="C46" s="700"/>
      <c r="D46" s="14" t="s">
        <v>216</v>
      </c>
      <c r="E46" s="14" t="s">
        <v>263</v>
      </c>
      <c r="F46" s="14" t="s">
        <v>264</v>
      </c>
      <c r="G46" s="724"/>
      <c r="H46" s="724"/>
      <c r="I46" s="724"/>
      <c r="J46" s="718"/>
      <c r="K46" s="88">
        <v>28.8</v>
      </c>
      <c r="L46" s="23">
        <v>30.09</v>
      </c>
      <c r="M46" s="28">
        <v>62827.92</v>
      </c>
      <c r="N46" s="28">
        <v>0</v>
      </c>
      <c r="O46" s="23">
        <v>240</v>
      </c>
      <c r="P46" s="23">
        <v>1.5814610844194901</v>
      </c>
      <c r="Q46" s="28">
        <v>11421</v>
      </c>
      <c r="R46" s="28">
        <v>1885</v>
      </c>
      <c r="S46" s="28">
        <v>76134</v>
      </c>
      <c r="U46" s="28">
        <v>4720</v>
      </c>
      <c r="V46" s="28">
        <v>1104</v>
      </c>
      <c r="W46" s="28">
        <v>122</v>
      </c>
      <c r="X46" s="28">
        <v>42</v>
      </c>
      <c r="Y46" s="28">
        <v>5988</v>
      </c>
      <c r="AA46" s="35">
        <v>64713</v>
      </c>
      <c r="AB46" s="35">
        <v>76134</v>
      </c>
      <c r="AD46" s="46">
        <v>0.04</v>
      </c>
      <c r="AE46" s="46" t="s">
        <v>55</v>
      </c>
      <c r="AF46" s="35">
        <v>3045</v>
      </c>
      <c r="AG46" s="35">
        <v>3397</v>
      </c>
      <c r="AH46" s="35">
        <v>600</v>
      </c>
      <c r="AI46" s="35">
        <v>0</v>
      </c>
      <c r="AK46" s="35">
        <v>24389.64</v>
      </c>
      <c r="AL46" s="35">
        <v>-3389.52</v>
      </c>
      <c r="AM46" s="35">
        <v>21000</v>
      </c>
      <c r="AN46" s="35">
        <v>79000</v>
      </c>
      <c r="AO46" s="35">
        <v>163</v>
      </c>
      <c r="AP46" s="35">
        <v>2</v>
      </c>
      <c r="AQ46" s="35">
        <v>0</v>
      </c>
      <c r="AR46" s="35">
        <v>45</v>
      </c>
      <c r="AS46" s="35">
        <v>21210</v>
      </c>
      <c r="AU46" s="102">
        <v>0.99691805311716697</v>
      </c>
      <c r="AV46" s="102">
        <v>0.10829999999999999</v>
      </c>
      <c r="AX46" s="35">
        <v>62634.287687801116</v>
      </c>
      <c r="AY46" s="35">
        <v>0</v>
      </c>
      <c r="AZ46" s="35">
        <v>11385.801084651164</v>
      </c>
      <c r="BA46" s="35">
        <v>1879.1905301258598</v>
      </c>
      <c r="BB46" s="35">
        <v>75899.279302578143</v>
      </c>
      <c r="BD46" s="35">
        <v>55850.994331212256</v>
      </c>
      <c r="BE46" s="35">
        <v>0</v>
      </c>
      <c r="BF46" s="35">
        <v>10152.718827183444</v>
      </c>
      <c r="BG46" s="546">
        <v>1879.1905301258598</v>
      </c>
      <c r="BH46" s="35">
        <v>67882.903688521561</v>
      </c>
      <c r="BJ46" s="35">
        <v>4705.4532107130281</v>
      </c>
      <c r="BK46" s="35">
        <v>1100.5975306413523</v>
      </c>
      <c r="BL46" s="35">
        <v>121.62400248029437</v>
      </c>
      <c r="BM46" s="35">
        <v>41.870558230921013</v>
      </c>
      <c r="BN46" s="35">
        <v>5969.5453020655959</v>
      </c>
      <c r="BP46" s="35">
        <v>4195.8526279928074</v>
      </c>
      <c r="BQ46" s="35">
        <v>981.40281807289387</v>
      </c>
      <c r="BR46" s="35">
        <v>108.45212301167849</v>
      </c>
      <c r="BS46" s="35">
        <v>37.335976774512268</v>
      </c>
      <c r="BT46" s="35">
        <v>5323.0435458518923</v>
      </c>
      <c r="BV46" s="35">
        <v>3035.6154717417735</v>
      </c>
      <c r="BW46" s="35">
        <v>3386.530626439016</v>
      </c>
      <c r="BX46" s="35">
        <v>598.15083187030018</v>
      </c>
      <c r="BY46" s="35">
        <v>0</v>
      </c>
      <c r="CA46" s="35">
        <v>2706.8583161521397</v>
      </c>
      <c r="CB46" s="35">
        <v>3019.7693595956707</v>
      </c>
      <c r="CC46" s="35">
        <v>533.37109677874673</v>
      </c>
      <c r="CD46" s="35">
        <v>0</v>
      </c>
      <c r="CF46" s="35">
        <v>24314.47242502858</v>
      </c>
      <c r="CG46" s="35">
        <v>-3379.0736794016998</v>
      </c>
      <c r="CH46" s="35">
        <v>20935.279115460507</v>
      </c>
      <c r="CI46" s="35">
        <v>162.49764265809821</v>
      </c>
      <c r="CJ46" s="35">
        <v>1.9938361062343339</v>
      </c>
      <c r="CK46" s="35">
        <v>0</v>
      </c>
      <c r="CL46" s="35">
        <v>44.861312390272516</v>
      </c>
      <c r="CM46" s="35">
        <v>21144.631906615112</v>
      </c>
      <c r="CO46" s="35">
        <v>21681.215061397987</v>
      </c>
      <c r="CP46" s="35">
        <v>-3013.1199999224959</v>
      </c>
      <c r="CQ46" s="35">
        <v>18667.988387256137</v>
      </c>
      <c r="CR46" s="35">
        <v>144.89914795822619</v>
      </c>
      <c r="CS46" s="35">
        <v>1.7779036559291557</v>
      </c>
      <c r="CT46" s="35">
        <v>0</v>
      </c>
      <c r="CU46" s="35">
        <v>40.002832258406002</v>
      </c>
      <c r="CV46" s="35">
        <v>18854.668271128699</v>
      </c>
    </row>
    <row r="47" spans="1:100">
      <c r="A47" s="22">
        <v>42</v>
      </c>
      <c r="B47" s="314">
        <v>1</v>
      </c>
      <c r="C47" s="700"/>
      <c r="D47" s="14" t="s">
        <v>216</v>
      </c>
      <c r="E47" s="14" t="s">
        <v>285</v>
      </c>
      <c r="F47" s="14" t="s">
        <v>286</v>
      </c>
      <c r="G47" s="724"/>
      <c r="H47" s="724"/>
      <c r="I47" s="724"/>
      <c r="J47" s="718"/>
      <c r="K47" s="88">
        <v>26.59</v>
      </c>
      <c r="L47" s="23">
        <v>27.78</v>
      </c>
      <c r="M47" s="28">
        <v>58004.639999999999</v>
      </c>
      <c r="N47" s="28">
        <v>8.3104166666666668</v>
      </c>
      <c r="O47" s="23">
        <v>240</v>
      </c>
      <c r="P47" s="23">
        <v>1.5814610844194901</v>
      </c>
      <c r="Q47" s="28">
        <v>10544</v>
      </c>
      <c r="R47" s="28">
        <v>1740</v>
      </c>
      <c r="S47" s="28">
        <v>70297</v>
      </c>
      <c r="U47" s="28">
        <v>4358</v>
      </c>
      <c r="V47" s="28">
        <v>1019</v>
      </c>
      <c r="W47" s="28">
        <v>122</v>
      </c>
      <c r="X47" s="28">
        <v>42</v>
      </c>
      <c r="Y47" s="28">
        <v>5541</v>
      </c>
      <c r="AA47" s="35">
        <v>59753</v>
      </c>
      <c r="AB47" s="35">
        <v>70297</v>
      </c>
      <c r="AD47" s="46">
        <v>0.04</v>
      </c>
      <c r="AE47" s="46" t="s">
        <v>55</v>
      </c>
      <c r="AF47" s="35">
        <v>2812</v>
      </c>
      <c r="AG47" s="35">
        <v>3137</v>
      </c>
      <c r="AH47" s="35">
        <v>600</v>
      </c>
      <c r="AI47" s="35">
        <v>261</v>
      </c>
      <c r="AK47" s="35">
        <v>24389.64</v>
      </c>
      <c r="AL47" s="35">
        <v>-3389.52</v>
      </c>
      <c r="AM47" s="35">
        <v>21000</v>
      </c>
      <c r="AN47" s="35">
        <v>73000</v>
      </c>
      <c r="AO47" s="35">
        <v>151</v>
      </c>
      <c r="AP47" s="35">
        <v>2</v>
      </c>
      <c r="AQ47" s="35">
        <v>0</v>
      </c>
      <c r="AR47" s="35">
        <v>45</v>
      </c>
      <c r="AS47" s="35">
        <v>21198</v>
      </c>
      <c r="AU47" s="102">
        <v>1</v>
      </c>
      <c r="AV47" s="102">
        <v>0.39229999999999998</v>
      </c>
      <c r="AX47" s="35">
        <v>58004.639999999999</v>
      </c>
      <c r="AY47" s="35">
        <v>8.3104166666666668</v>
      </c>
      <c r="AZ47" s="35">
        <v>10544</v>
      </c>
      <c r="BA47" s="35">
        <v>1740</v>
      </c>
      <c r="BB47" s="35">
        <v>70296.950416666659</v>
      </c>
      <c r="BD47" s="35">
        <v>35249.419728000001</v>
      </c>
      <c r="BE47" s="35">
        <v>5.0502402083333333</v>
      </c>
      <c r="BF47" s="35">
        <v>6407.5888000000004</v>
      </c>
      <c r="BG47" s="546">
        <v>1740</v>
      </c>
      <c r="BH47" s="35">
        <v>43402.058768208335</v>
      </c>
      <c r="BJ47" s="35">
        <v>4358</v>
      </c>
      <c r="BK47" s="35">
        <v>1019</v>
      </c>
      <c r="BL47" s="35">
        <v>122</v>
      </c>
      <c r="BM47" s="35">
        <v>42</v>
      </c>
      <c r="BN47" s="35">
        <v>5541</v>
      </c>
      <c r="BP47" s="35">
        <v>2648.3566000000001</v>
      </c>
      <c r="BQ47" s="35">
        <v>619.24630000000002</v>
      </c>
      <c r="BR47" s="35">
        <v>74.139400000000009</v>
      </c>
      <c r="BS47" s="35">
        <v>25.523400000000002</v>
      </c>
      <c r="BT47" s="35">
        <v>3367.2656999999999</v>
      </c>
      <c r="BV47" s="35">
        <v>2812</v>
      </c>
      <c r="BW47" s="35">
        <v>3137</v>
      </c>
      <c r="BX47" s="35">
        <v>600</v>
      </c>
      <c r="BY47" s="35">
        <v>261</v>
      </c>
      <c r="CA47" s="35">
        <v>1708.8524</v>
      </c>
      <c r="CB47" s="35">
        <v>1906.3549</v>
      </c>
      <c r="CC47" s="35">
        <v>364.62</v>
      </c>
      <c r="CD47" s="35">
        <v>261</v>
      </c>
      <c r="CF47" s="35">
        <v>24389.64</v>
      </c>
      <c r="CG47" s="35">
        <v>-3389.52</v>
      </c>
      <c r="CH47" s="35">
        <v>21000</v>
      </c>
      <c r="CI47" s="35">
        <v>151</v>
      </c>
      <c r="CJ47" s="35">
        <v>2</v>
      </c>
      <c r="CK47" s="35">
        <v>0</v>
      </c>
      <c r="CL47" s="35">
        <v>45</v>
      </c>
      <c r="CM47" s="35">
        <v>21198</v>
      </c>
      <c r="CO47" s="35">
        <v>14821.584228</v>
      </c>
      <c r="CP47" s="35">
        <v>-2059.8113039999998</v>
      </c>
      <c r="CQ47" s="35">
        <v>12761.7</v>
      </c>
      <c r="CR47" s="35">
        <v>91.762700000000009</v>
      </c>
      <c r="CS47" s="35">
        <v>1.2154</v>
      </c>
      <c r="CT47" s="35">
        <v>0</v>
      </c>
      <c r="CU47" s="35">
        <v>27.346500000000002</v>
      </c>
      <c r="CV47" s="35">
        <v>12882.024599999999</v>
      </c>
    </row>
    <row r="48" spans="1:100">
      <c r="A48" s="22">
        <v>43</v>
      </c>
      <c r="B48" s="314">
        <v>1</v>
      </c>
      <c r="C48" s="700"/>
      <c r="D48" s="14" t="s">
        <v>216</v>
      </c>
      <c r="E48" s="14" t="s">
        <v>285</v>
      </c>
      <c r="F48" s="14" t="s">
        <v>286</v>
      </c>
      <c r="G48" s="724"/>
      <c r="H48" s="724"/>
      <c r="I48" s="724"/>
      <c r="J48" s="718"/>
      <c r="K48" s="88">
        <v>26.59</v>
      </c>
      <c r="L48" s="23">
        <v>27.78</v>
      </c>
      <c r="M48" s="28">
        <v>58004.639999999999</v>
      </c>
      <c r="N48" s="28">
        <v>10.866666666666667</v>
      </c>
      <c r="O48" s="23">
        <v>264</v>
      </c>
      <c r="P48" s="23">
        <v>1.5814610844194901</v>
      </c>
      <c r="Q48" s="28">
        <v>11598</v>
      </c>
      <c r="R48" s="28">
        <v>1740</v>
      </c>
      <c r="S48" s="28">
        <v>71354</v>
      </c>
      <c r="U48" s="28">
        <v>4424</v>
      </c>
      <c r="V48" s="28">
        <v>1035</v>
      </c>
      <c r="W48" s="28">
        <v>122</v>
      </c>
      <c r="X48" s="28">
        <v>42</v>
      </c>
      <c r="Y48" s="28">
        <v>5623</v>
      </c>
      <c r="AA48" s="35">
        <v>59756</v>
      </c>
      <c r="AB48" s="35">
        <v>71354</v>
      </c>
      <c r="AD48" s="46">
        <v>0.04</v>
      </c>
      <c r="AE48" s="46" t="s">
        <v>55</v>
      </c>
      <c r="AF48" s="35">
        <v>2854</v>
      </c>
      <c r="AG48" s="35">
        <v>3137</v>
      </c>
      <c r="AH48" s="35">
        <v>600</v>
      </c>
      <c r="AI48" s="35">
        <v>0</v>
      </c>
      <c r="AK48" s="35">
        <v>24389.64</v>
      </c>
      <c r="AL48" s="35">
        <v>-3389.52</v>
      </c>
      <c r="AM48" s="35">
        <v>21000</v>
      </c>
      <c r="AN48" s="35">
        <v>73000</v>
      </c>
      <c r="AO48" s="35">
        <v>151</v>
      </c>
      <c r="AP48" s="35">
        <v>2</v>
      </c>
      <c r="AQ48" s="35">
        <v>0</v>
      </c>
      <c r="AR48" s="35">
        <v>45</v>
      </c>
      <c r="AS48" s="35">
        <v>21198</v>
      </c>
      <c r="AU48" s="102">
        <v>0.99957446894595314</v>
      </c>
      <c r="AV48" s="102">
        <v>0.42059999999999997</v>
      </c>
      <c r="AX48" s="35">
        <v>57979.957224401194</v>
      </c>
      <c r="AY48" s="35">
        <v>10.862042562546025</v>
      </c>
      <c r="AZ48" s="35">
        <v>11593.064690835165</v>
      </c>
      <c r="BA48" s="35">
        <v>1739.2595759659584</v>
      </c>
      <c r="BB48" s="35">
        <v>71323.143533764873</v>
      </c>
      <c r="BD48" s="35">
        <v>33593.58721581805</v>
      </c>
      <c r="BE48" s="35">
        <v>6.2934674607391665</v>
      </c>
      <c r="BF48" s="35">
        <v>6717.0216818698946</v>
      </c>
      <c r="BG48" s="546">
        <v>1739.2595759659584</v>
      </c>
      <c r="BH48" s="35">
        <v>42056.161941114646</v>
      </c>
      <c r="BJ48" s="35">
        <v>4422.1174506168963</v>
      </c>
      <c r="BK48" s="35">
        <v>1034.5595753590615</v>
      </c>
      <c r="BL48" s="35">
        <v>121.94808521140628</v>
      </c>
      <c r="BM48" s="35">
        <v>41.982127695730028</v>
      </c>
      <c r="BN48" s="35">
        <v>5620.6072388830944</v>
      </c>
      <c r="BP48" s="35">
        <v>2562.1748508874298</v>
      </c>
      <c r="BQ48" s="35">
        <v>599.42381796304028</v>
      </c>
      <c r="BR48" s="35">
        <v>70.656720571488805</v>
      </c>
      <c r="BS48" s="35">
        <v>24.324444786905978</v>
      </c>
      <c r="BT48" s="35">
        <v>3256.5798342088647</v>
      </c>
      <c r="BV48" s="35">
        <v>2852.7855343717501</v>
      </c>
      <c r="BW48" s="35">
        <v>3135.6651090834548</v>
      </c>
      <c r="BX48" s="35">
        <v>599.74468136757184</v>
      </c>
      <c r="BY48" s="35">
        <v>0</v>
      </c>
      <c r="CA48" s="35">
        <v>1652.9039386149921</v>
      </c>
      <c r="CB48" s="35">
        <v>1816.8043642029538</v>
      </c>
      <c r="CC48" s="35">
        <v>347.49206838437112</v>
      </c>
      <c r="CD48" s="35">
        <v>0</v>
      </c>
      <c r="CF48" s="35">
        <v>24379.261450782975</v>
      </c>
      <c r="CG48" s="35">
        <v>-3388.077653981687</v>
      </c>
      <c r="CH48" s="35">
        <v>20991.063847865014</v>
      </c>
      <c r="CI48" s="35">
        <v>150.93574481083891</v>
      </c>
      <c r="CJ48" s="35">
        <v>1.9991489378919063</v>
      </c>
      <c r="CK48" s="35">
        <v>0</v>
      </c>
      <c r="CL48" s="35">
        <v>44.98085110256789</v>
      </c>
      <c r="CM48" s="35">
        <v>21188.979592716314</v>
      </c>
      <c r="CO48" s="35">
        <v>14125.344084583656</v>
      </c>
      <c r="CP48" s="35">
        <v>-1963.0521927169896</v>
      </c>
      <c r="CQ48" s="35">
        <v>12162.22239345299</v>
      </c>
      <c r="CR48" s="35">
        <v>87.452170543400072</v>
      </c>
      <c r="CS48" s="35">
        <v>1.1583068946145705</v>
      </c>
      <c r="CT48" s="35">
        <v>0</v>
      </c>
      <c r="CU48" s="35">
        <v>26.061905128827835</v>
      </c>
      <c r="CV48" s="35">
        <v>12276.894776019833</v>
      </c>
    </row>
    <row r="49" spans="1:100">
      <c r="A49" s="22">
        <v>44</v>
      </c>
      <c r="B49" s="314">
        <v>1</v>
      </c>
      <c r="C49" s="700"/>
      <c r="D49" s="14" t="s">
        <v>216</v>
      </c>
      <c r="E49" s="14" t="s">
        <v>272</v>
      </c>
      <c r="F49" s="14" t="s">
        <v>273</v>
      </c>
      <c r="G49" s="724"/>
      <c r="H49" s="724"/>
      <c r="I49" s="724"/>
      <c r="J49" s="718"/>
      <c r="K49" s="88">
        <v>29.63</v>
      </c>
      <c r="L49" s="23">
        <v>30.97</v>
      </c>
      <c r="M49" s="28">
        <v>64665.36</v>
      </c>
      <c r="N49" s="28">
        <v>31.037500000000001</v>
      </c>
      <c r="O49" s="23">
        <v>192</v>
      </c>
      <c r="P49" s="23">
        <v>1.5814610844194901</v>
      </c>
      <c r="Q49" s="28">
        <v>9404</v>
      </c>
      <c r="R49" s="28">
        <v>1940</v>
      </c>
      <c r="S49" s="28">
        <v>76040</v>
      </c>
      <c r="U49" s="28">
        <v>4714</v>
      </c>
      <c r="V49" s="28">
        <v>1103</v>
      </c>
      <c r="W49" s="28">
        <v>122</v>
      </c>
      <c r="X49" s="28">
        <v>42</v>
      </c>
      <c r="Y49" s="28">
        <v>5981</v>
      </c>
      <c r="AA49" s="35">
        <v>66636</v>
      </c>
      <c r="AB49" s="35">
        <v>76040</v>
      </c>
      <c r="AD49" s="46">
        <v>0.04</v>
      </c>
      <c r="AE49" s="46" t="s">
        <v>55</v>
      </c>
      <c r="AF49" s="35">
        <v>3042</v>
      </c>
      <c r="AG49" s="35">
        <v>3498</v>
      </c>
      <c r="AH49" s="35">
        <v>600</v>
      </c>
      <c r="AI49" s="35">
        <v>0</v>
      </c>
      <c r="AK49" s="35">
        <v>24389.64</v>
      </c>
      <c r="AL49" s="35">
        <v>-3389.52</v>
      </c>
      <c r="AM49" s="35">
        <v>21000</v>
      </c>
      <c r="AN49" s="35">
        <v>81000</v>
      </c>
      <c r="AO49" s="35">
        <v>167</v>
      </c>
      <c r="AP49" s="35">
        <v>2</v>
      </c>
      <c r="AQ49" s="35">
        <v>0</v>
      </c>
      <c r="AR49" s="35">
        <v>45</v>
      </c>
      <c r="AS49" s="35">
        <v>21214</v>
      </c>
      <c r="AU49" s="102">
        <v>1</v>
      </c>
      <c r="AV49" s="102">
        <v>9.7000000000000003E-3</v>
      </c>
      <c r="AX49" s="35">
        <v>64665.36</v>
      </c>
      <c r="AY49" s="35">
        <v>31.037500000000001</v>
      </c>
      <c r="AZ49" s="35">
        <v>9404</v>
      </c>
      <c r="BA49" s="35">
        <v>1940</v>
      </c>
      <c r="BB49" s="35">
        <v>76040.397499999992</v>
      </c>
      <c r="BD49" s="35">
        <v>64038.106007999995</v>
      </c>
      <c r="BE49" s="35">
        <v>30.736436250000001</v>
      </c>
      <c r="BF49" s="35">
        <v>9312.7811999999994</v>
      </c>
      <c r="BG49" s="546">
        <v>1940</v>
      </c>
      <c r="BH49" s="35">
        <v>75321.623644249994</v>
      </c>
      <c r="BJ49" s="35">
        <v>4714</v>
      </c>
      <c r="BK49" s="35">
        <v>1103</v>
      </c>
      <c r="BL49" s="35">
        <v>122</v>
      </c>
      <c r="BM49" s="35">
        <v>42</v>
      </c>
      <c r="BN49" s="35">
        <v>5981</v>
      </c>
      <c r="BP49" s="35">
        <v>4668.2741999999998</v>
      </c>
      <c r="BQ49" s="35">
        <v>1092.3009</v>
      </c>
      <c r="BR49" s="35">
        <v>120.81659999999999</v>
      </c>
      <c r="BS49" s="35">
        <v>41.592599999999997</v>
      </c>
      <c r="BT49" s="35">
        <v>5922.9843000000001</v>
      </c>
      <c r="BV49" s="35">
        <v>3042</v>
      </c>
      <c r="BW49" s="35">
        <v>3498</v>
      </c>
      <c r="BX49" s="35">
        <v>600</v>
      </c>
      <c r="BY49" s="35">
        <v>0</v>
      </c>
      <c r="CA49" s="35">
        <v>3012.4926</v>
      </c>
      <c r="CB49" s="35">
        <v>3464.0693999999999</v>
      </c>
      <c r="CC49" s="35">
        <v>594.17999999999995</v>
      </c>
      <c r="CD49" s="35">
        <v>0</v>
      </c>
      <c r="CF49" s="35">
        <v>24389.64</v>
      </c>
      <c r="CG49" s="35">
        <v>-3389.52</v>
      </c>
      <c r="CH49" s="35">
        <v>21000</v>
      </c>
      <c r="CI49" s="35">
        <v>167</v>
      </c>
      <c r="CJ49" s="35">
        <v>2</v>
      </c>
      <c r="CK49" s="35">
        <v>0</v>
      </c>
      <c r="CL49" s="35">
        <v>45</v>
      </c>
      <c r="CM49" s="35">
        <v>21214</v>
      </c>
      <c r="CO49" s="35">
        <v>24153.060491999997</v>
      </c>
      <c r="CP49" s="35">
        <v>-3356.6416559999998</v>
      </c>
      <c r="CQ49" s="35">
        <v>20796.3</v>
      </c>
      <c r="CR49" s="35">
        <v>165.3801</v>
      </c>
      <c r="CS49" s="35">
        <v>1.9805999999999999</v>
      </c>
      <c r="CT49" s="35">
        <v>0</v>
      </c>
      <c r="CU49" s="35">
        <v>44.563499999999998</v>
      </c>
      <c r="CV49" s="35">
        <v>21008.224199999997</v>
      </c>
    </row>
    <row r="50" spans="1:100">
      <c r="A50" s="22">
        <v>45</v>
      </c>
      <c r="B50" s="314">
        <v>1</v>
      </c>
      <c r="C50" s="700"/>
      <c r="D50" s="14" t="s">
        <v>216</v>
      </c>
      <c r="E50" s="14" t="s">
        <v>272</v>
      </c>
      <c r="F50" s="14" t="s">
        <v>273</v>
      </c>
      <c r="G50" s="724"/>
      <c r="H50" s="724"/>
      <c r="I50" s="724"/>
      <c r="J50" s="718"/>
      <c r="K50" s="88">
        <v>29.51</v>
      </c>
      <c r="L50" s="23">
        <v>30.84</v>
      </c>
      <c r="M50" s="28">
        <v>64393.919999999998</v>
      </c>
      <c r="N50" s="28">
        <v>0</v>
      </c>
      <c r="O50" s="23">
        <v>192</v>
      </c>
      <c r="P50" s="23">
        <v>1.5814610844194901</v>
      </c>
      <c r="Q50" s="28">
        <v>9364</v>
      </c>
      <c r="R50" s="28">
        <v>1932</v>
      </c>
      <c r="S50" s="28">
        <v>75690</v>
      </c>
      <c r="U50" s="28">
        <v>4693</v>
      </c>
      <c r="V50" s="28">
        <v>1098</v>
      </c>
      <c r="W50" s="28">
        <v>122</v>
      </c>
      <c r="X50" s="28">
        <v>42</v>
      </c>
      <c r="Y50" s="28">
        <v>5955</v>
      </c>
      <c r="AA50" s="35">
        <v>66326</v>
      </c>
      <c r="AB50" s="35">
        <v>75690</v>
      </c>
      <c r="AD50" s="46">
        <v>0.04</v>
      </c>
      <c r="AE50" s="46" t="s">
        <v>55</v>
      </c>
      <c r="AF50" s="35">
        <v>3028</v>
      </c>
      <c r="AG50" s="35">
        <v>3482</v>
      </c>
      <c r="AH50" s="35">
        <v>600</v>
      </c>
      <c r="AI50" s="35">
        <v>0</v>
      </c>
      <c r="AK50" s="35">
        <v>24389.64</v>
      </c>
      <c r="AL50" s="35">
        <v>-3389.52</v>
      </c>
      <c r="AM50" s="35">
        <v>21000</v>
      </c>
      <c r="AN50" s="35">
        <v>81000</v>
      </c>
      <c r="AO50" s="35">
        <v>167</v>
      </c>
      <c r="AP50" s="35">
        <v>2</v>
      </c>
      <c r="AQ50" s="35">
        <v>0</v>
      </c>
      <c r="AR50" s="35">
        <v>45</v>
      </c>
      <c r="AS50" s="35">
        <v>21214</v>
      </c>
      <c r="AU50" s="102">
        <v>1</v>
      </c>
      <c r="AV50" s="102">
        <v>9.2999999999999992E-3</v>
      </c>
      <c r="AX50" s="35">
        <v>64393.919999999998</v>
      </c>
      <c r="AY50" s="35">
        <v>0</v>
      </c>
      <c r="AZ50" s="35">
        <v>9364</v>
      </c>
      <c r="BA50" s="35">
        <v>1932</v>
      </c>
      <c r="BB50" s="35">
        <v>75689.919999999998</v>
      </c>
      <c r="BD50" s="35">
        <v>63795.056543999999</v>
      </c>
      <c r="BE50" s="35">
        <v>0</v>
      </c>
      <c r="BF50" s="35">
        <v>9276.9148000000005</v>
      </c>
      <c r="BG50" s="546">
        <v>1932</v>
      </c>
      <c r="BH50" s="35">
        <v>75003.971344000005</v>
      </c>
      <c r="BJ50" s="35">
        <v>4693</v>
      </c>
      <c r="BK50" s="35">
        <v>1098</v>
      </c>
      <c r="BL50" s="35">
        <v>122</v>
      </c>
      <c r="BM50" s="35">
        <v>42</v>
      </c>
      <c r="BN50" s="35">
        <v>5955</v>
      </c>
      <c r="BP50" s="35">
        <v>4649.3550999999998</v>
      </c>
      <c r="BQ50" s="35">
        <v>1087.7886000000001</v>
      </c>
      <c r="BR50" s="35">
        <v>120.86540000000001</v>
      </c>
      <c r="BS50" s="35">
        <v>41.609400000000001</v>
      </c>
      <c r="BT50" s="35">
        <v>5899.6184999999996</v>
      </c>
      <c r="BV50" s="35">
        <v>3028</v>
      </c>
      <c r="BW50" s="35">
        <v>3482</v>
      </c>
      <c r="BX50" s="35">
        <v>600</v>
      </c>
      <c r="BY50" s="35">
        <v>0</v>
      </c>
      <c r="CA50" s="35">
        <v>2999.8396000000002</v>
      </c>
      <c r="CB50" s="35">
        <v>3449.6174000000001</v>
      </c>
      <c r="CC50" s="35">
        <v>594.41999999999996</v>
      </c>
      <c r="CD50" s="35">
        <v>0</v>
      </c>
      <c r="CF50" s="35">
        <v>24389.64</v>
      </c>
      <c r="CG50" s="35">
        <v>-3389.52</v>
      </c>
      <c r="CH50" s="35">
        <v>21000</v>
      </c>
      <c r="CI50" s="35">
        <v>167</v>
      </c>
      <c r="CJ50" s="35">
        <v>2</v>
      </c>
      <c r="CK50" s="35">
        <v>0</v>
      </c>
      <c r="CL50" s="35">
        <v>45</v>
      </c>
      <c r="CM50" s="35">
        <v>21214</v>
      </c>
      <c r="CO50" s="35">
        <v>24162.816348</v>
      </c>
      <c r="CP50" s="35">
        <v>-3357.997464</v>
      </c>
      <c r="CQ50" s="35">
        <v>20804.7</v>
      </c>
      <c r="CR50" s="35">
        <v>165.4469</v>
      </c>
      <c r="CS50" s="35">
        <v>1.9814000000000001</v>
      </c>
      <c r="CT50" s="35">
        <v>0</v>
      </c>
      <c r="CU50" s="35">
        <v>44.581499999999998</v>
      </c>
      <c r="CV50" s="35">
        <v>21016.709800000001</v>
      </c>
    </row>
    <row r="51" spans="1:100">
      <c r="A51" s="22">
        <v>46</v>
      </c>
      <c r="B51" s="314">
        <v>1</v>
      </c>
      <c r="C51" s="700"/>
      <c r="D51" s="14" t="s">
        <v>216</v>
      </c>
      <c r="E51" s="14" t="s">
        <v>285</v>
      </c>
      <c r="F51" s="14" t="s">
        <v>286</v>
      </c>
      <c r="G51" s="724"/>
      <c r="H51" s="724"/>
      <c r="I51" s="724"/>
      <c r="J51" s="718"/>
      <c r="K51" s="88">
        <v>25.21</v>
      </c>
      <c r="L51" s="23">
        <v>26.35</v>
      </c>
      <c r="M51" s="28">
        <v>55018.8</v>
      </c>
      <c r="N51" s="28">
        <v>8.3104166666666668</v>
      </c>
      <c r="O51" s="23">
        <v>180</v>
      </c>
      <c r="P51" s="23">
        <v>1.5814610844194901</v>
      </c>
      <c r="Q51" s="28">
        <v>7501</v>
      </c>
      <c r="R51" s="28">
        <v>1651</v>
      </c>
      <c r="S51" s="28">
        <v>64179</v>
      </c>
      <c r="U51" s="28">
        <v>3979</v>
      </c>
      <c r="V51" s="28">
        <v>931</v>
      </c>
      <c r="W51" s="28">
        <v>122</v>
      </c>
      <c r="X51" s="28">
        <v>42</v>
      </c>
      <c r="Y51" s="28">
        <v>5074</v>
      </c>
      <c r="AA51" s="35">
        <v>56678</v>
      </c>
      <c r="AB51" s="35">
        <v>64179</v>
      </c>
      <c r="AD51" s="46">
        <v>0.04</v>
      </c>
      <c r="AE51" s="46" t="s">
        <v>55</v>
      </c>
      <c r="AF51" s="35">
        <v>2567</v>
      </c>
      <c r="AG51" s="35">
        <v>2976</v>
      </c>
      <c r="AH51" s="35">
        <v>600</v>
      </c>
      <c r="AI51" s="35">
        <v>330</v>
      </c>
      <c r="AK51" s="35">
        <v>24389.64</v>
      </c>
      <c r="AL51" s="35">
        <v>-3389.52</v>
      </c>
      <c r="AM51" s="35">
        <v>21000</v>
      </c>
      <c r="AN51" s="35">
        <v>69000</v>
      </c>
      <c r="AO51" s="35">
        <v>142</v>
      </c>
      <c r="AP51" s="35">
        <v>2</v>
      </c>
      <c r="AQ51" s="35">
        <v>0</v>
      </c>
      <c r="AR51" s="35">
        <v>45</v>
      </c>
      <c r="AS51" s="35">
        <v>21189</v>
      </c>
      <c r="AU51" s="102">
        <v>1</v>
      </c>
      <c r="AV51" s="102">
        <v>0.39229999999999998</v>
      </c>
      <c r="AX51" s="35">
        <v>55018.8</v>
      </c>
      <c r="AY51" s="35">
        <v>8.3104166666666668</v>
      </c>
      <c r="AZ51" s="35">
        <v>7501</v>
      </c>
      <c r="BA51" s="35">
        <v>1651</v>
      </c>
      <c r="BB51" s="35">
        <v>64179.11041666667</v>
      </c>
      <c r="BD51" s="35">
        <v>33434.924760000002</v>
      </c>
      <c r="BE51" s="35">
        <v>5.0502402083333333</v>
      </c>
      <c r="BF51" s="35">
        <v>4558.3577000000005</v>
      </c>
      <c r="BG51" s="546">
        <v>1651</v>
      </c>
      <c r="BH51" s="35">
        <v>39649.332700208339</v>
      </c>
      <c r="BJ51" s="35">
        <v>3979</v>
      </c>
      <c r="BK51" s="35">
        <v>931</v>
      </c>
      <c r="BL51" s="35">
        <v>122</v>
      </c>
      <c r="BM51" s="35">
        <v>42</v>
      </c>
      <c r="BN51" s="35">
        <v>5074</v>
      </c>
      <c r="BP51" s="35">
        <v>2418.0383000000002</v>
      </c>
      <c r="BQ51" s="35">
        <v>565.76869999999997</v>
      </c>
      <c r="BR51" s="35">
        <v>74.139400000000009</v>
      </c>
      <c r="BS51" s="35">
        <v>25.523400000000002</v>
      </c>
      <c r="BT51" s="35">
        <v>3083.4698000000003</v>
      </c>
      <c r="BV51" s="35">
        <v>2567</v>
      </c>
      <c r="BW51" s="35">
        <v>2976</v>
      </c>
      <c r="BX51" s="35">
        <v>600</v>
      </c>
      <c r="BY51" s="35">
        <v>330</v>
      </c>
      <c r="CA51" s="35">
        <v>1559.9659000000001</v>
      </c>
      <c r="CB51" s="35">
        <v>1808.5152</v>
      </c>
      <c r="CC51" s="35">
        <v>364.62</v>
      </c>
      <c r="CD51" s="35">
        <v>330</v>
      </c>
      <c r="CF51" s="35">
        <v>24389.64</v>
      </c>
      <c r="CG51" s="35">
        <v>-3389.52</v>
      </c>
      <c r="CH51" s="35">
        <v>21000</v>
      </c>
      <c r="CI51" s="35">
        <v>142</v>
      </c>
      <c r="CJ51" s="35">
        <v>2</v>
      </c>
      <c r="CK51" s="35">
        <v>0</v>
      </c>
      <c r="CL51" s="35">
        <v>45</v>
      </c>
      <c r="CM51" s="35">
        <v>21189</v>
      </c>
      <c r="CO51" s="35">
        <v>14821.584228</v>
      </c>
      <c r="CP51" s="35">
        <v>-2059.8113039999998</v>
      </c>
      <c r="CQ51" s="35">
        <v>12761.7</v>
      </c>
      <c r="CR51" s="35">
        <v>86.293400000000005</v>
      </c>
      <c r="CS51" s="35">
        <v>1.2154</v>
      </c>
      <c r="CT51" s="35">
        <v>0</v>
      </c>
      <c r="CU51" s="35">
        <v>27.346500000000002</v>
      </c>
      <c r="CV51" s="35">
        <v>12876.5553</v>
      </c>
    </row>
    <row r="52" spans="1:100">
      <c r="A52" s="22">
        <v>47</v>
      </c>
      <c r="B52" s="314">
        <v>1</v>
      </c>
      <c r="C52" s="700"/>
      <c r="D52" s="14" t="s">
        <v>216</v>
      </c>
      <c r="E52" s="14" t="s">
        <v>285</v>
      </c>
      <c r="F52" s="14" t="s">
        <v>286</v>
      </c>
      <c r="G52" s="724"/>
      <c r="H52" s="724"/>
      <c r="I52" s="724"/>
      <c r="J52" s="718"/>
      <c r="K52" s="88">
        <v>20.34</v>
      </c>
      <c r="L52" s="23">
        <v>21.26</v>
      </c>
      <c r="M52" s="28">
        <v>44390.879999999997</v>
      </c>
      <c r="N52" s="28">
        <v>8.3104166666666668</v>
      </c>
      <c r="O52" s="23">
        <v>264</v>
      </c>
      <c r="P52" s="23">
        <v>1.5814610844194901</v>
      </c>
      <c r="Q52" s="28">
        <v>8876</v>
      </c>
      <c r="R52" s="28">
        <v>1332</v>
      </c>
      <c r="S52" s="28">
        <v>54607</v>
      </c>
      <c r="U52" s="28">
        <v>3386</v>
      </c>
      <c r="V52" s="28">
        <v>792</v>
      </c>
      <c r="W52" s="28">
        <v>122</v>
      </c>
      <c r="X52" s="28">
        <v>42</v>
      </c>
      <c r="Y52" s="28">
        <v>4342</v>
      </c>
      <c r="AA52" s="35">
        <v>45731</v>
      </c>
      <c r="AB52" s="35">
        <v>54607</v>
      </c>
      <c r="AD52" s="46">
        <v>0</v>
      </c>
      <c r="AE52" s="46">
        <v>0</v>
      </c>
      <c r="AF52" s="35">
        <v>0</v>
      </c>
      <c r="AG52" s="35">
        <v>2401</v>
      </c>
      <c r="AH52" s="35">
        <v>600</v>
      </c>
      <c r="AI52" s="35">
        <v>0</v>
      </c>
      <c r="AK52" s="35">
        <v>24389.64</v>
      </c>
      <c r="AL52" s="35">
        <v>-3389.52</v>
      </c>
      <c r="AM52" s="35">
        <v>21000</v>
      </c>
      <c r="AN52" s="35">
        <v>56000</v>
      </c>
      <c r="AO52" s="35">
        <v>116</v>
      </c>
      <c r="AP52" s="35">
        <v>2</v>
      </c>
      <c r="AQ52" s="35">
        <v>0</v>
      </c>
      <c r="AR52" s="35">
        <v>45</v>
      </c>
      <c r="AS52" s="35">
        <v>21163</v>
      </c>
      <c r="AU52" s="102">
        <v>1</v>
      </c>
      <c r="AV52" s="102">
        <v>0.39229999999999998</v>
      </c>
      <c r="AX52" s="35">
        <v>44390.879999999997</v>
      </c>
      <c r="AY52" s="35">
        <v>8.3104166666666668</v>
      </c>
      <c r="AZ52" s="35">
        <v>8876</v>
      </c>
      <c r="BA52" s="35">
        <v>1332</v>
      </c>
      <c r="BB52" s="35">
        <v>54607.190416666665</v>
      </c>
      <c r="BD52" s="35">
        <v>26976.337776</v>
      </c>
      <c r="BE52" s="35">
        <v>5.0502402083333333</v>
      </c>
      <c r="BF52" s="35">
        <v>5393.9452000000001</v>
      </c>
      <c r="BG52" s="546">
        <v>1332</v>
      </c>
      <c r="BH52" s="35">
        <v>33707.333216208332</v>
      </c>
      <c r="BJ52" s="35">
        <v>3386</v>
      </c>
      <c r="BK52" s="35">
        <v>792</v>
      </c>
      <c r="BL52" s="35">
        <v>122</v>
      </c>
      <c r="BM52" s="35">
        <v>42</v>
      </c>
      <c r="BN52" s="35">
        <v>4342</v>
      </c>
      <c r="BP52" s="35">
        <v>2057.6722</v>
      </c>
      <c r="BQ52" s="35">
        <v>481.29840000000002</v>
      </c>
      <c r="BR52" s="35">
        <v>74.139400000000009</v>
      </c>
      <c r="BS52" s="35">
        <v>25.523400000000002</v>
      </c>
      <c r="BT52" s="35">
        <v>2638.6334000000002</v>
      </c>
      <c r="BV52" s="35">
        <v>0</v>
      </c>
      <c r="BW52" s="35">
        <v>2401</v>
      </c>
      <c r="BX52" s="35">
        <v>600</v>
      </c>
      <c r="BY52" s="35">
        <v>0</v>
      </c>
      <c r="CA52" s="35">
        <v>0</v>
      </c>
      <c r="CB52" s="35">
        <v>1459.0877</v>
      </c>
      <c r="CC52" s="35">
        <v>364.62</v>
      </c>
      <c r="CD52" s="35">
        <v>0</v>
      </c>
      <c r="CF52" s="35">
        <v>24389.64</v>
      </c>
      <c r="CG52" s="35">
        <v>-3389.52</v>
      </c>
      <c r="CH52" s="35">
        <v>21000</v>
      </c>
      <c r="CI52" s="35">
        <v>116</v>
      </c>
      <c r="CJ52" s="35">
        <v>2</v>
      </c>
      <c r="CK52" s="35">
        <v>0</v>
      </c>
      <c r="CL52" s="35">
        <v>45</v>
      </c>
      <c r="CM52" s="35">
        <v>21163</v>
      </c>
      <c r="CO52" s="35">
        <v>14821.584228</v>
      </c>
      <c r="CP52" s="35">
        <v>-2059.8113039999998</v>
      </c>
      <c r="CQ52" s="35">
        <v>12761.7</v>
      </c>
      <c r="CR52" s="35">
        <v>70.493200000000002</v>
      </c>
      <c r="CS52" s="35">
        <v>1.2154</v>
      </c>
      <c r="CT52" s="35">
        <v>0</v>
      </c>
      <c r="CU52" s="35">
        <v>27.346500000000002</v>
      </c>
      <c r="CV52" s="35">
        <v>12860.7551</v>
      </c>
    </row>
    <row r="53" spans="1:100">
      <c r="A53" s="22">
        <v>48</v>
      </c>
      <c r="B53" s="314">
        <v>1</v>
      </c>
      <c r="C53" s="700"/>
      <c r="D53" s="14" t="s">
        <v>216</v>
      </c>
      <c r="E53" s="14" t="s">
        <v>272</v>
      </c>
      <c r="F53" s="14" t="s">
        <v>273</v>
      </c>
      <c r="G53" s="724"/>
      <c r="H53" s="724"/>
      <c r="I53" s="724"/>
      <c r="J53" s="718"/>
      <c r="K53" s="88">
        <v>27.95</v>
      </c>
      <c r="L53" s="23">
        <v>29.21</v>
      </c>
      <c r="M53" s="28">
        <v>60990.48</v>
      </c>
      <c r="N53" s="28">
        <v>31.037500000000001</v>
      </c>
      <c r="O53" s="23">
        <v>192</v>
      </c>
      <c r="P53" s="23">
        <v>1.5814610844194901</v>
      </c>
      <c r="Q53" s="28">
        <v>8869</v>
      </c>
      <c r="R53" s="28">
        <v>1830</v>
      </c>
      <c r="S53" s="28">
        <v>71721</v>
      </c>
      <c r="U53" s="28">
        <v>4447</v>
      </c>
      <c r="V53" s="28">
        <v>1040</v>
      </c>
      <c r="W53" s="28">
        <v>122</v>
      </c>
      <c r="X53" s="28">
        <v>42</v>
      </c>
      <c r="Y53" s="28">
        <v>5651</v>
      </c>
      <c r="AA53" s="35">
        <v>62852</v>
      </c>
      <c r="AB53" s="35">
        <v>71721</v>
      </c>
      <c r="AD53" s="46">
        <v>0.02</v>
      </c>
      <c r="AE53" s="46" t="s">
        <v>55</v>
      </c>
      <c r="AF53" s="35">
        <v>1434</v>
      </c>
      <c r="AG53" s="35">
        <v>3300</v>
      </c>
      <c r="AH53" s="35">
        <v>600</v>
      </c>
      <c r="AI53" s="35">
        <v>0</v>
      </c>
      <c r="AK53" s="35">
        <v>24389.64</v>
      </c>
      <c r="AL53" s="35">
        <v>-3389.52</v>
      </c>
      <c r="AM53" s="35">
        <v>21000</v>
      </c>
      <c r="AN53" s="35">
        <v>77000</v>
      </c>
      <c r="AO53" s="35">
        <v>159</v>
      </c>
      <c r="AP53" s="35">
        <v>2</v>
      </c>
      <c r="AQ53" s="35">
        <v>0</v>
      </c>
      <c r="AR53" s="35">
        <v>45</v>
      </c>
      <c r="AS53" s="35">
        <v>21206</v>
      </c>
      <c r="AU53" s="102">
        <v>1</v>
      </c>
      <c r="AV53" s="102">
        <v>9.7000000000000003E-3</v>
      </c>
      <c r="AX53" s="35">
        <v>60990.48</v>
      </c>
      <c r="AY53" s="35">
        <v>31.037500000000001</v>
      </c>
      <c r="AZ53" s="35">
        <v>8869</v>
      </c>
      <c r="BA53" s="35">
        <v>1830</v>
      </c>
      <c r="BB53" s="35">
        <v>71720.517500000002</v>
      </c>
      <c r="BD53" s="35">
        <v>60398.872344000003</v>
      </c>
      <c r="BE53" s="35">
        <v>30.736436250000001</v>
      </c>
      <c r="BF53" s="35">
        <v>8782.9706999999999</v>
      </c>
      <c r="BG53" s="546">
        <v>1830</v>
      </c>
      <c r="BH53" s="35">
        <v>71042.579480250002</v>
      </c>
      <c r="BJ53" s="35">
        <v>4447</v>
      </c>
      <c r="BK53" s="35">
        <v>1040</v>
      </c>
      <c r="BL53" s="35">
        <v>122</v>
      </c>
      <c r="BM53" s="35">
        <v>42</v>
      </c>
      <c r="BN53" s="35">
        <v>5651</v>
      </c>
      <c r="BP53" s="35">
        <v>4403.8640999999998</v>
      </c>
      <c r="BQ53" s="35">
        <v>1029.912</v>
      </c>
      <c r="BR53" s="35">
        <v>120.81659999999999</v>
      </c>
      <c r="BS53" s="35">
        <v>41.592599999999997</v>
      </c>
      <c r="BT53" s="35">
        <v>5596.1853000000001</v>
      </c>
      <c r="BV53" s="35">
        <v>1434</v>
      </c>
      <c r="BW53" s="35">
        <v>3300</v>
      </c>
      <c r="BX53" s="35">
        <v>600</v>
      </c>
      <c r="BY53" s="35">
        <v>0</v>
      </c>
      <c r="CA53" s="35">
        <v>1420.0901999999999</v>
      </c>
      <c r="CB53" s="35">
        <v>3267.99</v>
      </c>
      <c r="CC53" s="35">
        <v>594.17999999999995</v>
      </c>
      <c r="CD53" s="35">
        <v>0</v>
      </c>
      <c r="CF53" s="35">
        <v>24389.64</v>
      </c>
      <c r="CG53" s="35">
        <v>-3389.52</v>
      </c>
      <c r="CH53" s="35">
        <v>21000</v>
      </c>
      <c r="CI53" s="35">
        <v>159</v>
      </c>
      <c r="CJ53" s="35">
        <v>2</v>
      </c>
      <c r="CK53" s="35">
        <v>0</v>
      </c>
      <c r="CL53" s="35">
        <v>45</v>
      </c>
      <c r="CM53" s="35">
        <v>21206</v>
      </c>
      <c r="CO53" s="35">
        <v>24153.060491999997</v>
      </c>
      <c r="CP53" s="35">
        <v>-3356.6416559999998</v>
      </c>
      <c r="CQ53" s="35">
        <v>20796.3</v>
      </c>
      <c r="CR53" s="35">
        <v>157.45769999999999</v>
      </c>
      <c r="CS53" s="35">
        <v>1.9805999999999999</v>
      </c>
      <c r="CT53" s="35">
        <v>0</v>
      </c>
      <c r="CU53" s="35">
        <v>44.563499999999998</v>
      </c>
      <c r="CV53" s="35">
        <v>21000.301799999997</v>
      </c>
    </row>
    <row r="54" spans="1:100">
      <c r="A54" s="22">
        <v>49</v>
      </c>
      <c r="B54" s="314">
        <v>1</v>
      </c>
      <c r="C54" s="700"/>
      <c r="D54" s="14" t="s">
        <v>216</v>
      </c>
      <c r="E54" s="14" t="s">
        <v>285</v>
      </c>
      <c r="F54" s="14" t="s">
        <v>286</v>
      </c>
      <c r="G54" s="724"/>
      <c r="H54" s="724"/>
      <c r="I54" s="724"/>
      <c r="J54" s="718"/>
      <c r="K54" s="88">
        <v>20.34</v>
      </c>
      <c r="L54" s="23">
        <v>21.26</v>
      </c>
      <c r="M54" s="28">
        <v>44390.879999999997</v>
      </c>
      <c r="N54" s="28">
        <v>8.3104166666666668</v>
      </c>
      <c r="O54" s="23">
        <v>0</v>
      </c>
      <c r="P54" s="23">
        <v>1.5814610844194901</v>
      </c>
      <c r="Q54" s="28">
        <v>0</v>
      </c>
      <c r="R54" s="28">
        <v>1332</v>
      </c>
      <c r="S54" s="28">
        <v>45731</v>
      </c>
      <c r="U54" s="28">
        <v>2835</v>
      </c>
      <c r="V54" s="28">
        <v>663</v>
      </c>
      <c r="W54" s="28">
        <v>122</v>
      </c>
      <c r="X54" s="28">
        <v>42</v>
      </c>
      <c r="Y54" s="28">
        <v>3662</v>
      </c>
      <c r="AA54" s="35">
        <v>45731</v>
      </c>
      <c r="AB54" s="35">
        <v>45731</v>
      </c>
      <c r="AD54" s="46">
        <v>0.04</v>
      </c>
      <c r="AE54" s="46" t="s">
        <v>55</v>
      </c>
      <c r="AF54" s="35">
        <v>1829</v>
      </c>
      <c r="AG54" s="35">
        <v>2401</v>
      </c>
      <c r="AH54" s="35">
        <v>600</v>
      </c>
      <c r="AI54" s="35">
        <v>0</v>
      </c>
      <c r="AK54" s="35">
        <v>24389.64</v>
      </c>
      <c r="AL54" s="35">
        <v>-3389.52</v>
      </c>
      <c r="AM54" s="35">
        <v>21000</v>
      </c>
      <c r="AN54" s="35">
        <v>56000</v>
      </c>
      <c r="AO54" s="35">
        <v>116</v>
      </c>
      <c r="AP54" s="35">
        <v>2</v>
      </c>
      <c r="AQ54" s="35">
        <v>0</v>
      </c>
      <c r="AR54" s="35">
        <v>45</v>
      </c>
      <c r="AS54" s="35">
        <v>21163</v>
      </c>
      <c r="AU54" s="102">
        <v>1</v>
      </c>
      <c r="AV54" s="102">
        <v>0.39229999999999998</v>
      </c>
      <c r="AX54" s="35">
        <v>44390.879999999997</v>
      </c>
      <c r="AY54" s="35">
        <v>8.3104166666666668</v>
      </c>
      <c r="AZ54" s="35">
        <v>0</v>
      </c>
      <c r="BA54" s="35">
        <v>1332</v>
      </c>
      <c r="BB54" s="35">
        <v>45731.190416666665</v>
      </c>
      <c r="BD54" s="35">
        <v>26976.337776</v>
      </c>
      <c r="BE54" s="35">
        <v>5.0502402083333333</v>
      </c>
      <c r="BF54" s="35">
        <v>0</v>
      </c>
      <c r="BG54" s="546">
        <v>1332</v>
      </c>
      <c r="BH54" s="35">
        <v>28313.388016208333</v>
      </c>
      <c r="BJ54" s="35">
        <v>2835</v>
      </c>
      <c r="BK54" s="35">
        <v>663</v>
      </c>
      <c r="BL54" s="35">
        <v>122</v>
      </c>
      <c r="BM54" s="35">
        <v>42</v>
      </c>
      <c r="BN54" s="35">
        <v>3662</v>
      </c>
      <c r="BP54" s="35">
        <v>1722.8295000000001</v>
      </c>
      <c r="BQ54" s="35">
        <v>402.9051</v>
      </c>
      <c r="BR54" s="35">
        <v>74.139400000000009</v>
      </c>
      <c r="BS54" s="35">
        <v>25.523400000000002</v>
      </c>
      <c r="BT54" s="35">
        <v>2225.3974000000003</v>
      </c>
      <c r="BV54" s="35">
        <v>1829</v>
      </c>
      <c r="BW54" s="35">
        <v>2401</v>
      </c>
      <c r="BX54" s="35">
        <v>600</v>
      </c>
      <c r="BY54" s="35">
        <v>0</v>
      </c>
      <c r="CA54" s="35">
        <v>1111.4833000000001</v>
      </c>
      <c r="CB54" s="35">
        <v>1459.0877</v>
      </c>
      <c r="CC54" s="35">
        <v>364.62</v>
      </c>
      <c r="CD54" s="35">
        <v>0</v>
      </c>
      <c r="CF54" s="35">
        <v>24389.64</v>
      </c>
      <c r="CG54" s="35">
        <v>-3389.52</v>
      </c>
      <c r="CH54" s="35">
        <v>21000</v>
      </c>
      <c r="CI54" s="35">
        <v>116</v>
      </c>
      <c r="CJ54" s="35">
        <v>2</v>
      </c>
      <c r="CK54" s="35">
        <v>0</v>
      </c>
      <c r="CL54" s="35">
        <v>45</v>
      </c>
      <c r="CM54" s="35">
        <v>21163</v>
      </c>
      <c r="CO54" s="35">
        <v>14821.584228</v>
      </c>
      <c r="CP54" s="35">
        <v>-2059.8113039999998</v>
      </c>
      <c r="CQ54" s="35">
        <v>12761.7</v>
      </c>
      <c r="CR54" s="35">
        <v>70.493200000000002</v>
      </c>
      <c r="CS54" s="35">
        <v>1.2154</v>
      </c>
      <c r="CT54" s="35">
        <v>0</v>
      </c>
      <c r="CU54" s="35">
        <v>27.346500000000002</v>
      </c>
      <c r="CV54" s="35">
        <v>12860.7551</v>
      </c>
    </row>
    <row r="55" spans="1:100">
      <c r="A55" s="22">
        <v>50</v>
      </c>
      <c r="B55" s="314">
        <v>1</v>
      </c>
      <c r="C55" s="700"/>
      <c r="D55" s="14" t="s">
        <v>216</v>
      </c>
      <c r="E55" s="14" t="s">
        <v>285</v>
      </c>
      <c r="F55" s="14" t="s">
        <v>286</v>
      </c>
      <c r="G55" s="724"/>
      <c r="H55" s="724"/>
      <c r="I55" s="724"/>
      <c r="J55" s="718"/>
      <c r="K55" s="88">
        <v>22.47</v>
      </c>
      <c r="L55" s="23">
        <v>23.49</v>
      </c>
      <c r="M55" s="28">
        <v>49047.12</v>
      </c>
      <c r="N55" s="28">
        <v>8.3104166666666668</v>
      </c>
      <c r="O55" s="23">
        <v>0</v>
      </c>
      <c r="P55" s="23">
        <v>1.5814610844194901</v>
      </c>
      <c r="Q55" s="28">
        <v>0</v>
      </c>
      <c r="R55" s="28">
        <v>1471</v>
      </c>
      <c r="S55" s="28">
        <v>50526</v>
      </c>
      <c r="U55" s="28">
        <v>3133</v>
      </c>
      <c r="V55" s="28">
        <v>733</v>
      </c>
      <c r="W55" s="28">
        <v>122</v>
      </c>
      <c r="X55" s="28">
        <v>42</v>
      </c>
      <c r="Y55" s="28">
        <v>4030</v>
      </c>
      <c r="AA55" s="35">
        <v>50526</v>
      </c>
      <c r="AB55" s="35">
        <v>50526</v>
      </c>
      <c r="AD55" s="46">
        <v>0.04</v>
      </c>
      <c r="AE55" s="46" t="s">
        <v>55</v>
      </c>
      <c r="AF55" s="35">
        <v>2021</v>
      </c>
      <c r="AG55" s="35">
        <v>2653</v>
      </c>
      <c r="AH55" s="35">
        <v>600</v>
      </c>
      <c r="AI55" s="35">
        <v>147</v>
      </c>
      <c r="AK55" s="35">
        <v>1231.9199999999998</v>
      </c>
      <c r="AL55" s="35">
        <v>-199.32</v>
      </c>
      <c r="AM55" s="35">
        <v>1033</v>
      </c>
      <c r="AN55" s="35">
        <v>62000</v>
      </c>
      <c r="AO55" s="35">
        <v>128</v>
      </c>
      <c r="AP55" s="35">
        <v>2</v>
      </c>
      <c r="AQ55" s="35">
        <v>0</v>
      </c>
      <c r="AR55" s="35">
        <v>45</v>
      </c>
      <c r="AS55" s="35">
        <v>1208</v>
      </c>
      <c r="AU55" s="102">
        <v>1</v>
      </c>
      <c r="AV55" s="102">
        <v>0.39229999999999998</v>
      </c>
      <c r="AX55" s="35">
        <v>49047.12</v>
      </c>
      <c r="AY55" s="35">
        <v>8.3104166666666668</v>
      </c>
      <c r="AZ55" s="35">
        <v>0</v>
      </c>
      <c r="BA55" s="35">
        <v>1471</v>
      </c>
      <c r="BB55" s="35">
        <v>50526.43041666667</v>
      </c>
      <c r="BD55" s="35">
        <v>29805.934824000004</v>
      </c>
      <c r="BE55" s="35">
        <v>5.0502402083333333</v>
      </c>
      <c r="BF55" s="35">
        <v>0</v>
      </c>
      <c r="BG55" s="546">
        <v>1471</v>
      </c>
      <c r="BH55" s="35">
        <v>31281.985064208337</v>
      </c>
      <c r="BJ55" s="35">
        <v>3133</v>
      </c>
      <c r="BK55" s="35">
        <v>733</v>
      </c>
      <c r="BL55" s="35">
        <v>122</v>
      </c>
      <c r="BM55" s="35">
        <v>42</v>
      </c>
      <c r="BN55" s="35">
        <v>4030</v>
      </c>
      <c r="BP55" s="35">
        <v>1903.9241</v>
      </c>
      <c r="BQ55" s="35">
        <v>445.44409999999999</v>
      </c>
      <c r="BR55" s="35">
        <v>74.139400000000009</v>
      </c>
      <c r="BS55" s="35">
        <v>25.523400000000002</v>
      </c>
      <c r="BT55" s="35">
        <v>2449.0309999999999</v>
      </c>
      <c r="BV55" s="35">
        <v>2021</v>
      </c>
      <c r="BW55" s="35">
        <v>2653</v>
      </c>
      <c r="BX55" s="35">
        <v>600</v>
      </c>
      <c r="BY55" s="35">
        <v>147</v>
      </c>
      <c r="CA55" s="35">
        <v>1228.1617000000001</v>
      </c>
      <c r="CB55" s="35">
        <v>1612.2281</v>
      </c>
      <c r="CC55" s="35">
        <v>364.62</v>
      </c>
      <c r="CD55" s="35">
        <v>147</v>
      </c>
      <c r="CF55" s="35">
        <v>1231.9199999999998</v>
      </c>
      <c r="CG55" s="35">
        <v>-199.32</v>
      </c>
      <c r="CH55" s="35">
        <v>1033</v>
      </c>
      <c r="CI55" s="35">
        <v>128</v>
      </c>
      <c r="CJ55" s="35">
        <v>2</v>
      </c>
      <c r="CK55" s="35">
        <v>0</v>
      </c>
      <c r="CL55" s="35">
        <v>45</v>
      </c>
      <c r="CM55" s="35">
        <v>1208</v>
      </c>
      <c r="CO55" s="35">
        <v>748.6377839999999</v>
      </c>
      <c r="CP55" s="35">
        <v>-121.12676399999999</v>
      </c>
      <c r="CQ55" s="35">
        <v>627.75409999999999</v>
      </c>
      <c r="CR55" s="35">
        <v>77.785600000000002</v>
      </c>
      <c r="CS55" s="35">
        <v>1.2154</v>
      </c>
      <c r="CT55" s="35">
        <v>0</v>
      </c>
      <c r="CU55" s="35">
        <v>27.346500000000002</v>
      </c>
      <c r="CV55" s="35">
        <v>734.10160000000008</v>
      </c>
    </row>
    <row r="56" spans="1:100">
      <c r="A56" s="22">
        <v>51</v>
      </c>
      <c r="B56" s="314">
        <v>1</v>
      </c>
      <c r="C56" s="700"/>
      <c r="D56" s="14" t="s">
        <v>216</v>
      </c>
      <c r="E56" s="14" t="s">
        <v>285</v>
      </c>
      <c r="F56" s="14" t="s">
        <v>286</v>
      </c>
      <c r="G56" s="724"/>
      <c r="H56" s="724"/>
      <c r="I56" s="724"/>
      <c r="J56" s="718"/>
      <c r="K56" s="88">
        <v>25.21</v>
      </c>
      <c r="L56" s="23">
        <v>26.35</v>
      </c>
      <c r="M56" s="28">
        <v>55018.8</v>
      </c>
      <c r="N56" s="28">
        <v>8.3104166666666668</v>
      </c>
      <c r="O56" s="23">
        <v>0</v>
      </c>
      <c r="P56" s="23">
        <v>1.5814610844194901</v>
      </c>
      <c r="Q56" s="28">
        <v>0</v>
      </c>
      <c r="R56" s="28">
        <v>1651</v>
      </c>
      <c r="S56" s="28">
        <v>56678</v>
      </c>
      <c r="U56" s="28">
        <v>3514</v>
      </c>
      <c r="V56" s="28">
        <v>822</v>
      </c>
      <c r="W56" s="28">
        <v>122</v>
      </c>
      <c r="X56" s="28">
        <v>42</v>
      </c>
      <c r="Y56" s="28">
        <v>4500</v>
      </c>
      <c r="AA56" s="35">
        <v>56678</v>
      </c>
      <c r="AB56" s="35">
        <v>56678</v>
      </c>
      <c r="AD56" s="46">
        <v>0.04</v>
      </c>
      <c r="AE56" s="46" t="s">
        <v>55</v>
      </c>
      <c r="AF56" s="35">
        <v>2267</v>
      </c>
      <c r="AG56" s="35">
        <v>2976</v>
      </c>
      <c r="AH56" s="35">
        <v>600</v>
      </c>
      <c r="AI56" s="35">
        <v>248</v>
      </c>
      <c r="AK56" s="35">
        <v>24389.64</v>
      </c>
      <c r="AL56" s="35">
        <v>-3389.52</v>
      </c>
      <c r="AM56" s="35">
        <v>21000</v>
      </c>
      <c r="AN56" s="35">
        <v>69000</v>
      </c>
      <c r="AO56" s="35">
        <v>142</v>
      </c>
      <c r="AP56" s="35">
        <v>2</v>
      </c>
      <c r="AQ56" s="35">
        <v>0</v>
      </c>
      <c r="AR56" s="35">
        <v>45</v>
      </c>
      <c r="AS56" s="35">
        <v>21189</v>
      </c>
      <c r="AU56" s="102">
        <v>1</v>
      </c>
      <c r="AV56" s="102">
        <v>0.39229999999999998</v>
      </c>
      <c r="AX56" s="35">
        <v>55018.8</v>
      </c>
      <c r="AY56" s="35">
        <v>8.3104166666666668</v>
      </c>
      <c r="AZ56" s="35">
        <v>0</v>
      </c>
      <c r="BA56" s="35">
        <v>1651</v>
      </c>
      <c r="BB56" s="35">
        <v>56678.11041666667</v>
      </c>
      <c r="BD56" s="35">
        <v>33434.924760000002</v>
      </c>
      <c r="BE56" s="35">
        <v>5.0502402083333333</v>
      </c>
      <c r="BF56" s="35">
        <v>0</v>
      </c>
      <c r="BG56" s="546">
        <v>1651</v>
      </c>
      <c r="BH56" s="35">
        <v>35090.975000208338</v>
      </c>
      <c r="BJ56" s="35">
        <v>3514</v>
      </c>
      <c r="BK56" s="35">
        <v>822</v>
      </c>
      <c r="BL56" s="35">
        <v>122</v>
      </c>
      <c r="BM56" s="35">
        <v>42</v>
      </c>
      <c r="BN56" s="35">
        <v>4500</v>
      </c>
      <c r="BP56" s="35">
        <v>2135.4578000000001</v>
      </c>
      <c r="BQ56" s="35">
        <v>499.52940000000001</v>
      </c>
      <c r="BR56" s="35">
        <v>74.139400000000009</v>
      </c>
      <c r="BS56" s="35">
        <v>25.523400000000002</v>
      </c>
      <c r="BT56" s="35">
        <v>2734.65</v>
      </c>
      <c r="BV56" s="35">
        <v>2267</v>
      </c>
      <c r="BW56" s="35">
        <v>2976</v>
      </c>
      <c r="BX56" s="35">
        <v>600</v>
      </c>
      <c r="BY56" s="35">
        <v>248</v>
      </c>
      <c r="CA56" s="35">
        <v>1377.6559</v>
      </c>
      <c r="CB56" s="35">
        <v>1808.5152</v>
      </c>
      <c r="CC56" s="35">
        <v>364.62</v>
      </c>
      <c r="CD56" s="35">
        <v>248</v>
      </c>
      <c r="CF56" s="35">
        <v>24389.64</v>
      </c>
      <c r="CG56" s="35">
        <v>-3389.52</v>
      </c>
      <c r="CH56" s="35">
        <v>21000</v>
      </c>
      <c r="CI56" s="35">
        <v>142</v>
      </c>
      <c r="CJ56" s="35">
        <v>2</v>
      </c>
      <c r="CK56" s="35">
        <v>0</v>
      </c>
      <c r="CL56" s="35">
        <v>45</v>
      </c>
      <c r="CM56" s="35">
        <v>21189</v>
      </c>
      <c r="CO56" s="35">
        <v>14821.584228</v>
      </c>
      <c r="CP56" s="35">
        <v>-2059.8113039999998</v>
      </c>
      <c r="CQ56" s="35">
        <v>12761.7</v>
      </c>
      <c r="CR56" s="35">
        <v>86.293400000000005</v>
      </c>
      <c r="CS56" s="35">
        <v>1.2154</v>
      </c>
      <c r="CT56" s="35">
        <v>0</v>
      </c>
      <c r="CU56" s="35">
        <v>27.346500000000002</v>
      </c>
      <c r="CV56" s="35">
        <v>12876.5553</v>
      </c>
    </row>
    <row r="57" spans="1:100">
      <c r="A57" s="22">
        <v>52</v>
      </c>
      <c r="B57" s="314">
        <v>1</v>
      </c>
      <c r="C57" s="700"/>
      <c r="D57" s="14" t="s">
        <v>216</v>
      </c>
      <c r="E57" s="14" t="s">
        <v>255</v>
      </c>
      <c r="F57" s="14" t="s">
        <v>256</v>
      </c>
      <c r="G57" s="724"/>
      <c r="H57" s="724"/>
      <c r="I57" s="724"/>
      <c r="J57" s="718"/>
      <c r="K57" s="88">
        <v>23.55</v>
      </c>
      <c r="L57" s="23">
        <v>24.6</v>
      </c>
      <c r="M57" s="28">
        <v>51364.800000000003</v>
      </c>
      <c r="N57" s="28">
        <v>13.625</v>
      </c>
      <c r="O57" s="23">
        <v>192</v>
      </c>
      <c r="P57" s="23">
        <v>1.5814610844194901</v>
      </c>
      <c r="Q57" s="28">
        <v>7470</v>
      </c>
      <c r="R57" s="28">
        <v>1541</v>
      </c>
      <c r="S57" s="28">
        <v>60389</v>
      </c>
      <c r="U57" s="28">
        <v>3744</v>
      </c>
      <c r="V57" s="28">
        <v>876</v>
      </c>
      <c r="W57" s="28">
        <v>122</v>
      </c>
      <c r="X57" s="28">
        <v>42</v>
      </c>
      <c r="Y57" s="28">
        <v>4784</v>
      </c>
      <c r="AA57" s="35">
        <v>52919</v>
      </c>
      <c r="AB57" s="35">
        <v>60389</v>
      </c>
      <c r="AD57" s="46">
        <v>0</v>
      </c>
      <c r="AE57" s="46">
        <v>0</v>
      </c>
      <c r="AF57" s="35">
        <v>0</v>
      </c>
      <c r="AG57" s="35">
        <v>2778</v>
      </c>
      <c r="AH57" s="35">
        <v>600</v>
      </c>
      <c r="AI57" s="35">
        <v>231</v>
      </c>
      <c r="AK57" s="35">
        <v>8410.1999999999989</v>
      </c>
      <c r="AL57" s="35">
        <v>-1505.76</v>
      </c>
      <c r="AM57" s="35">
        <v>6904</v>
      </c>
      <c r="AN57" s="35">
        <v>65000</v>
      </c>
      <c r="AO57" s="35">
        <v>134</v>
      </c>
      <c r="AP57" s="35">
        <v>2</v>
      </c>
      <c r="AQ57" s="35">
        <v>0</v>
      </c>
      <c r="AR57" s="35">
        <v>45</v>
      </c>
      <c r="AS57" s="35">
        <v>7085</v>
      </c>
      <c r="AU57" s="102">
        <v>1</v>
      </c>
      <c r="AV57" s="102">
        <v>0.25700000000000001</v>
      </c>
      <c r="AX57" s="35">
        <v>51364.800000000003</v>
      </c>
      <c r="AY57" s="35">
        <v>13.625</v>
      </c>
      <c r="AZ57" s="35">
        <v>7470</v>
      </c>
      <c r="BA57" s="35">
        <v>1541</v>
      </c>
      <c r="BB57" s="35">
        <v>60389.425000000003</v>
      </c>
      <c r="BD57" s="35">
        <v>38164.046399999999</v>
      </c>
      <c r="BE57" s="35">
        <v>10.123374999999999</v>
      </c>
      <c r="BF57" s="35">
        <v>5550.21</v>
      </c>
      <c r="BG57" s="546">
        <v>1541</v>
      </c>
      <c r="BH57" s="35">
        <v>45265.379775000001</v>
      </c>
      <c r="BJ57" s="35">
        <v>3744</v>
      </c>
      <c r="BK57" s="35">
        <v>876</v>
      </c>
      <c r="BL57" s="35">
        <v>122</v>
      </c>
      <c r="BM57" s="35">
        <v>42</v>
      </c>
      <c r="BN57" s="35">
        <v>4784</v>
      </c>
      <c r="BP57" s="35">
        <v>2781.7919999999999</v>
      </c>
      <c r="BQ57" s="35">
        <v>650.86799999999994</v>
      </c>
      <c r="BR57" s="35">
        <v>90.646000000000001</v>
      </c>
      <c r="BS57" s="35">
        <v>31.206</v>
      </c>
      <c r="BT57" s="35">
        <v>3554.5120000000002</v>
      </c>
      <c r="BV57" s="35">
        <v>0</v>
      </c>
      <c r="BW57" s="35">
        <v>2778</v>
      </c>
      <c r="BX57" s="35">
        <v>600</v>
      </c>
      <c r="BY57" s="35">
        <v>231</v>
      </c>
      <c r="CA57" s="35">
        <v>0</v>
      </c>
      <c r="CB57" s="35">
        <v>2064.0540000000001</v>
      </c>
      <c r="CC57" s="35">
        <v>445.8</v>
      </c>
      <c r="CD57" s="35">
        <v>231</v>
      </c>
      <c r="CF57" s="35">
        <v>8410.1999999999989</v>
      </c>
      <c r="CG57" s="35">
        <v>-1505.76</v>
      </c>
      <c r="CH57" s="35">
        <v>6904</v>
      </c>
      <c r="CI57" s="35">
        <v>134</v>
      </c>
      <c r="CJ57" s="35">
        <v>2</v>
      </c>
      <c r="CK57" s="35">
        <v>0</v>
      </c>
      <c r="CL57" s="35">
        <v>45</v>
      </c>
      <c r="CM57" s="35">
        <v>7085</v>
      </c>
      <c r="CO57" s="35">
        <v>6248.7785999999987</v>
      </c>
      <c r="CP57" s="35">
        <v>-1118.7796799999999</v>
      </c>
      <c r="CQ57" s="35">
        <v>5129.6719999999996</v>
      </c>
      <c r="CR57" s="35">
        <v>99.561999999999998</v>
      </c>
      <c r="CS57" s="35">
        <v>1.486</v>
      </c>
      <c r="CT57" s="35">
        <v>0</v>
      </c>
      <c r="CU57" s="35">
        <v>33.435000000000002</v>
      </c>
      <c r="CV57" s="35">
        <v>5264.1549999999997</v>
      </c>
    </row>
    <row r="58" spans="1:100">
      <c r="A58" s="22">
        <v>53</v>
      </c>
      <c r="B58" s="314">
        <v>1</v>
      </c>
      <c r="C58" s="700"/>
      <c r="D58" s="14" t="s">
        <v>216</v>
      </c>
      <c r="E58" s="14" t="s">
        <v>272</v>
      </c>
      <c r="F58" s="14" t="s">
        <v>273</v>
      </c>
      <c r="G58" s="724"/>
      <c r="H58" s="724"/>
      <c r="I58" s="724"/>
      <c r="J58" s="718"/>
      <c r="K58" s="88">
        <v>30.01</v>
      </c>
      <c r="L58" s="23">
        <v>31.37</v>
      </c>
      <c r="M58" s="28">
        <v>65500.56</v>
      </c>
      <c r="N58" s="28">
        <v>0</v>
      </c>
      <c r="O58" s="23">
        <v>192</v>
      </c>
      <c r="P58" s="23">
        <v>1.5814610844194901</v>
      </c>
      <c r="Q58" s="28">
        <v>9525</v>
      </c>
      <c r="R58" s="28">
        <v>1965</v>
      </c>
      <c r="S58" s="28">
        <v>76991</v>
      </c>
      <c r="U58" s="28">
        <v>4773</v>
      </c>
      <c r="V58" s="28">
        <v>1116</v>
      </c>
      <c r="W58" s="28">
        <v>122</v>
      </c>
      <c r="X58" s="28">
        <v>42</v>
      </c>
      <c r="Y58" s="28">
        <v>6053</v>
      </c>
      <c r="AA58" s="35">
        <v>67466</v>
      </c>
      <c r="AB58" s="35">
        <v>76991</v>
      </c>
      <c r="AD58" s="46">
        <v>0.04</v>
      </c>
      <c r="AE58" s="46" t="s">
        <v>55</v>
      </c>
      <c r="AF58" s="35">
        <v>3080</v>
      </c>
      <c r="AG58" s="35">
        <v>3542</v>
      </c>
      <c r="AH58" s="35">
        <v>600</v>
      </c>
      <c r="AI58" s="35">
        <v>0</v>
      </c>
      <c r="AJ58" s="82"/>
      <c r="AK58" s="35">
        <v>24389.64</v>
      </c>
      <c r="AL58" s="35">
        <v>-3389.52</v>
      </c>
      <c r="AM58" s="35">
        <v>21000</v>
      </c>
      <c r="AN58" s="35">
        <v>82000</v>
      </c>
      <c r="AO58" s="35">
        <v>169</v>
      </c>
      <c r="AP58" s="35">
        <v>2</v>
      </c>
      <c r="AQ58" s="35">
        <v>0</v>
      </c>
      <c r="AR58" s="35">
        <v>45</v>
      </c>
      <c r="AS58" s="35">
        <v>21216</v>
      </c>
      <c r="AU58" s="102">
        <v>1</v>
      </c>
      <c r="AV58" s="102">
        <v>1.3100000000000001E-2</v>
      </c>
      <c r="AX58" s="35">
        <v>65500.56</v>
      </c>
      <c r="AY58" s="35">
        <v>0</v>
      </c>
      <c r="AZ58" s="35">
        <v>9525</v>
      </c>
      <c r="BA58" s="35">
        <v>1965</v>
      </c>
      <c r="BB58" s="35">
        <v>76990.559999999998</v>
      </c>
      <c r="BD58" s="35">
        <v>64642.502664</v>
      </c>
      <c r="BE58" s="35">
        <v>0</v>
      </c>
      <c r="BF58" s="35">
        <v>9400.2224999999999</v>
      </c>
      <c r="BG58" s="546">
        <v>1965</v>
      </c>
      <c r="BH58" s="35">
        <v>76007.725164000003</v>
      </c>
      <c r="BJ58" s="35">
        <v>4773</v>
      </c>
      <c r="BK58" s="35">
        <v>1116</v>
      </c>
      <c r="BL58" s="35">
        <v>122</v>
      </c>
      <c r="BM58" s="35">
        <v>42</v>
      </c>
      <c r="BN58" s="35">
        <v>6053</v>
      </c>
      <c r="BP58" s="35">
        <v>4710.4736999999996</v>
      </c>
      <c r="BQ58" s="35">
        <v>1101.3804</v>
      </c>
      <c r="BR58" s="35">
        <v>120.40179999999999</v>
      </c>
      <c r="BS58" s="35">
        <v>41.449800000000003</v>
      </c>
      <c r="BT58" s="35">
        <v>5973.7056999999995</v>
      </c>
      <c r="BV58" s="35">
        <v>3080</v>
      </c>
      <c r="BW58" s="35">
        <v>3542</v>
      </c>
      <c r="BX58" s="35">
        <v>600</v>
      </c>
      <c r="BY58" s="35">
        <v>0</v>
      </c>
      <c r="CA58" s="35">
        <v>3039.652</v>
      </c>
      <c r="CB58" s="35">
        <v>3495.5998</v>
      </c>
      <c r="CC58" s="35">
        <v>592.14</v>
      </c>
      <c r="CD58" s="35">
        <v>0</v>
      </c>
      <c r="CF58" s="35">
        <v>24389.64</v>
      </c>
      <c r="CG58" s="35">
        <v>-3389.52</v>
      </c>
      <c r="CH58" s="35">
        <v>21000</v>
      </c>
      <c r="CI58" s="35">
        <v>169</v>
      </c>
      <c r="CJ58" s="35">
        <v>2</v>
      </c>
      <c r="CK58" s="35">
        <v>0</v>
      </c>
      <c r="CL58" s="35">
        <v>45</v>
      </c>
      <c r="CM58" s="35">
        <v>21216</v>
      </c>
      <c r="CO58" s="35">
        <v>24070.135716000001</v>
      </c>
      <c r="CP58" s="35">
        <v>-3345.1172879999999</v>
      </c>
      <c r="CQ58" s="35">
        <v>20724.900000000001</v>
      </c>
      <c r="CR58" s="35">
        <v>166.7861</v>
      </c>
      <c r="CS58" s="35">
        <v>1.9738</v>
      </c>
      <c r="CT58" s="35">
        <v>0</v>
      </c>
      <c r="CU58" s="35">
        <v>44.410499999999999</v>
      </c>
      <c r="CV58" s="35">
        <v>20938.070400000004</v>
      </c>
    </row>
    <row r="59" spans="1:100">
      <c r="A59" s="22">
        <v>54</v>
      </c>
      <c r="B59" s="314">
        <v>1</v>
      </c>
      <c r="C59" s="700"/>
      <c r="D59" s="14" t="s">
        <v>216</v>
      </c>
      <c r="E59" s="14" t="s">
        <v>255</v>
      </c>
      <c r="F59" s="14" t="s">
        <v>256</v>
      </c>
      <c r="G59" s="724"/>
      <c r="H59" s="724"/>
      <c r="I59" s="724"/>
      <c r="J59" s="718"/>
      <c r="K59" s="88">
        <v>26.95</v>
      </c>
      <c r="L59" s="23">
        <v>28.16</v>
      </c>
      <c r="M59" s="28">
        <v>58798.080000000002</v>
      </c>
      <c r="N59" s="28">
        <v>9.6854166666666668</v>
      </c>
      <c r="O59" s="23">
        <v>192</v>
      </c>
      <c r="P59" s="23">
        <v>1.5814610844194901</v>
      </c>
      <c r="Q59" s="28">
        <v>8551</v>
      </c>
      <c r="R59" s="28">
        <v>1764</v>
      </c>
      <c r="S59" s="28">
        <v>69123</v>
      </c>
      <c r="U59" s="28">
        <v>4286</v>
      </c>
      <c r="V59" s="28">
        <v>1002</v>
      </c>
      <c r="W59" s="28">
        <v>122</v>
      </c>
      <c r="X59" s="28">
        <v>42</v>
      </c>
      <c r="Y59" s="28">
        <v>5452</v>
      </c>
      <c r="AA59" s="35">
        <v>60572</v>
      </c>
      <c r="AB59" s="35">
        <v>69123</v>
      </c>
      <c r="AD59" s="46">
        <v>0.04</v>
      </c>
      <c r="AE59" s="46" t="s">
        <v>55</v>
      </c>
      <c r="AF59" s="35">
        <v>2765</v>
      </c>
      <c r="AG59" s="35">
        <v>3180</v>
      </c>
      <c r="AH59" s="35">
        <v>600</v>
      </c>
      <c r="AI59" s="35">
        <v>0</v>
      </c>
      <c r="AJ59" s="82"/>
      <c r="AK59" s="35">
        <v>24389.64</v>
      </c>
      <c r="AL59" s="35">
        <v>-3389.52</v>
      </c>
      <c r="AM59" s="35">
        <v>21000</v>
      </c>
      <c r="AN59" s="35">
        <v>74000</v>
      </c>
      <c r="AO59" s="35">
        <v>153</v>
      </c>
      <c r="AP59" s="35">
        <v>2</v>
      </c>
      <c r="AQ59" s="35">
        <v>0</v>
      </c>
      <c r="AR59" s="35">
        <v>45</v>
      </c>
      <c r="AS59" s="35">
        <v>21200</v>
      </c>
      <c r="AU59" s="102">
        <v>1</v>
      </c>
      <c r="AV59" s="102">
        <v>6.8999999999999999E-3</v>
      </c>
      <c r="AX59" s="35">
        <v>58798.080000000002</v>
      </c>
      <c r="AY59" s="35">
        <v>9.6854166666666668</v>
      </c>
      <c r="AZ59" s="35">
        <v>8551</v>
      </c>
      <c r="BA59" s="35">
        <v>1764</v>
      </c>
      <c r="BB59" s="35">
        <v>69122.765416666662</v>
      </c>
      <c r="BD59" s="35">
        <v>58392.373248000004</v>
      </c>
      <c r="BE59" s="35">
        <v>9.6185872916666675</v>
      </c>
      <c r="BF59" s="35">
        <v>8491.9981000000007</v>
      </c>
      <c r="BG59" s="546">
        <v>1764</v>
      </c>
      <c r="BH59" s="35">
        <v>68657.989935291669</v>
      </c>
      <c r="BJ59" s="35">
        <v>4286</v>
      </c>
      <c r="BK59" s="35">
        <v>1002</v>
      </c>
      <c r="BL59" s="35">
        <v>122</v>
      </c>
      <c r="BM59" s="35">
        <v>42</v>
      </c>
      <c r="BN59" s="35">
        <v>5452</v>
      </c>
      <c r="BP59" s="35">
        <v>4256.4265999999998</v>
      </c>
      <c r="BQ59" s="35">
        <v>995.08619999999996</v>
      </c>
      <c r="BR59" s="35">
        <v>121.15819999999999</v>
      </c>
      <c r="BS59" s="35">
        <v>41.7102</v>
      </c>
      <c r="BT59" s="35">
        <v>5414.3811999999998</v>
      </c>
      <c r="BV59" s="35">
        <v>2765</v>
      </c>
      <c r="BW59" s="35">
        <v>3180</v>
      </c>
      <c r="BX59" s="35">
        <v>600</v>
      </c>
      <c r="BY59" s="35">
        <v>0</v>
      </c>
      <c r="CA59" s="35">
        <v>2745.9214999999999</v>
      </c>
      <c r="CB59" s="35">
        <v>3158.058</v>
      </c>
      <c r="CC59" s="35">
        <v>595.86</v>
      </c>
      <c r="CD59" s="35">
        <v>0</v>
      </c>
      <c r="CF59" s="35">
        <v>24389.64</v>
      </c>
      <c r="CG59" s="35">
        <v>-3389.52</v>
      </c>
      <c r="CH59" s="35">
        <v>21000</v>
      </c>
      <c r="CI59" s="35">
        <v>153</v>
      </c>
      <c r="CJ59" s="35">
        <v>2</v>
      </c>
      <c r="CK59" s="35">
        <v>0</v>
      </c>
      <c r="CL59" s="35">
        <v>45</v>
      </c>
      <c r="CM59" s="35">
        <v>21200</v>
      </c>
      <c r="CO59" s="35">
        <v>24221.351483999999</v>
      </c>
      <c r="CP59" s="35">
        <v>-3366.1323119999997</v>
      </c>
      <c r="CQ59" s="35">
        <v>20855.099999999999</v>
      </c>
      <c r="CR59" s="35">
        <v>151.9443</v>
      </c>
      <c r="CS59" s="35">
        <v>1.9862</v>
      </c>
      <c r="CT59" s="35">
        <v>0</v>
      </c>
      <c r="CU59" s="35">
        <v>44.689500000000002</v>
      </c>
      <c r="CV59" s="35">
        <v>21053.719999999998</v>
      </c>
    </row>
    <row r="60" spans="1:100">
      <c r="A60" s="22">
        <v>55</v>
      </c>
      <c r="B60" s="314">
        <v>1</v>
      </c>
      <c r="C60" s="700"/>
      <c r="D60" s="14" t="s">
        <v>216</v>
      </c>
      <c r="E60" s="14" t="s">
        <v>263</v>
      </c>
      <c r="F60" s="14" t="s">
        <v>264</v>
      </c>
      <c r="G60" s="724"/>
      <c r="H60" s="724"/>
      <c r="I60" s="724"/>
      <c r="J60" s="718"/>
      <c r="K60" s="88">
        <v>29.98</v>
      </c>
      <c r="L60" s="23">
        <v>31.33</v>
      </c>
      <c r="M60" s="28">
        <v>65417.04</v>
      </c>
      <c r="N60" s="28">
        <v>0</v>
      </c>
      <c r="O60" s="23">
        <v>240</v>
      </c>
      <c r="P60" s="23">
        <v>1.5814610844194901</v>
      </c>
      <c r="Q60" s="28">
        <v>11891</v>
      </c>
      <c r="R60" s="28">
        <v>1963</v>
      </c>
      <c r="S60" s="28">
        <v>79271</v>
      </c>
      <c r="U60" s="28">
        <v>4915</v>
      </c>
      <c r="V60" s="28">
        <v>1149</v>
      </c>
      <c r="W60" s="28">
        <v>122</v>
      </c>
      <c r="X60" s="28">
        <v>42</v>
      </c>
      <c r="Y60" s="28">
        <v>6228</v>
      </c>
      <c r="AA60" s="35">
        <v>67380</v>
      </c>
      <c r="AB60" s="35">
        <v>79271</v>
      </c>
      <c r="AD60" s="46">
        <v>0.04</v>
      </c>
      <c r="AE60" s="46" t="s">
        <v>55</v>
      </c>
      <c r="AF60" s="35">
        <v>3171</v>
      </c>
      <c r="AG60" s="35">
        <v>3537</v>
      </c>
      <c r="AH60" s="35">
        <v>600</v>
      </c>
      <c r="AI60" s="35">
        <v>981</v>
      </c>
      <c r="AK60" s="35">
        <v>8410.1999999999989</v>
      </c>
      <c r="AL60" s="35">
        <v>-1505.76</v>
      </c>
      <c r="AM60" s="35">
        <v>6904</v>
      </c>
      <c r="AN60" s="35">
        <v>82000</v>
      </c>
      <c r="AO60" s="35">
        <v>169</v>
      </c>
      <c r="AP60" s="35">
        <v>2</v>
      </c>
      <c r="AQ60" s="35">
        <v>0</v>
      </c>
      <c r="AR60" s="35">
        <v>45</v>
      </c>
      <c r="AS60" s="35">
        <v>7120</v>
      </c>
      <c r="AU60" s="102">
        <v>0.99979452406636871</v>
      </c>
      <c r="AV60" s="102">
        <v>8.7599999999999997E-2</v>
      </c>
      <c r="AX60" s="35">
        <v>65403.598372630608</v>
      </c>
      <c r="AY60" s="35">
        <v>0</v>
      </c>
      <c r="AZ60" s="35">
        <v>11888.556685673191</v>
      </c>
      <c r="BA60" s="35">
        <v>1962.5966507422818</v>
      </c>
      <c r="BB60" s="35">
        <v>79254.75170904609</v>
      </c>
      <c r="BD60" s="35">
        <v>59674.243155188167</v>
      </c>
      <c r="BE60" s="35">
        <v>0</v>
      </c>
      <c r="BF60" s="35">
        <v>10847.119120008219</v>
      </c>
      <c r="BG60" s="546">
        <v>1962.5966507422818</v>
      </c>
      <c r="BH60" s="35">
        <v>72483.95892593867</v>
      </c>
      <c r="BJ60" s="35">
        <v>4913.9900857862021</v>
      </c>
      <c r="BK60" s="35">
        <v>1148.7639081522577</v>
      </c>
      <c r="BL60" s="35">
        <v>121.97493193609698</v>
      </c>
      <c r="BM60" s="35">
        <v>41.991370010787485</v>
      </c>
      <c r="BN60" s="35">
        <v>6226.7202958853441</v>
      </c>
      <c r="BP60" s="35">
        <v>4483.524554271331</v>
      </c>
      <c r="BQ60" s="35">
        <v>1048.13218979812</v>
      </c>
      <c r="BR60" s="35">
        <v>111.28992789849488</v>
      </c>
      <c r="BS60" s="35">
        <v>38.312925997842498</v>
      </c>
      <c r="BT60" s="35">
        <v>5681.2595979657881</v>
      </c>
      <c r="BV60" s="35">
        <v>3170.3484358144551</v>
      </c>
      <c r="BW60" s="35">
        <v>3536.2732316227462</v>
      </c>
      <c r="BX60" s="35">
        <v>599.87671443982117</v>
      </c>
      <c r="BY60" s="35">
        <v>980.7984281091077</v>
      </c>
      <c r="CA60" s="35">
        <v>2892.6259128371089</v>
      </c>
      <c r="CB60" s="35">
        <v>3226.4956965325937</v>
      </c>
      <c r="CC60" s="35">
        <v>547.32751425489278</v>
      </c>
      <c r="CD60" s="35">
        <v>980.7984281091077</v>
      </c>
      <c r="CF60" s="35">
        <v>8408.4719063029734</v>
      </c>
      <c r="CG60" s="35">
        <v>-1505.4506025581754</v>
      </c>
      <c r="CH60" s="35">
        <v>6902.5813941542092</v>
      </c>
      <c r="CI60" s="35">
        <v>168.96527456721631</v>
      </c>
      <c r="CJ60" s="35">
        <v>1.9995890481327374</v>
      </c>
      <c r="CK60" s="35">
        <v>0</v>
      </c>
      <c r="CL60" s="35">
        <v>44.990753582986592</v>
      </c>
      <c r="CM60" s="35">
        <v>7118.5370113525441</v>
      </c>
      <c r="CO60" s="35">
        <v>7671.8897673108331</v>
      </c>
      <c r="CP60" s="35">
        <v>-1373.5731297740792</v>
      </c>
      <c r="CQ60" s="35">
        <v>6297.9152640263001</v>
      </c>
      <c r="CR60" s="35">
        <v>154.16391651512816</v>
      </c>
      <c r="CS60" s="35">
        <v>1.8244250475163095</v>
      </c>
      <c r="CT60" s="35">
        <v>0</v>
      </c>
      <c r="CU60" s="35">
        <v>41.04956356911697</v>
      </c>
      <c r="CV60" s="35">
        <v>6494.9531691580614</v>
      </c>
    </row>
    <row r="61" spans="1:100">
      <c r="A61" s="22">
        <v>56</v>
      </c>
      <c r="B61" s="314">
        <v>1</v>
      </c>
      <c r="C61" s="700"/>
      <c r="D61" s="14" t="s">
        <v>216</v>
      </c>
      <c r="E61" s="14" t="s">
        <v>285</v>
      </c>
      <c r="F61" s="14" t="s">
        <v>286</v>
      </c>
      <c r="G61" s="724"/>
      <c r="H61" s="724"/>
      <c r="I61" s="724"/>
      <c r="J61" s="718"/>
      <c r="K61" s="88">
        <v>20.34</v>
      </c>
      <c r="L61" s="23">
        <v>21.26</v>
      </c>
      <c r="M61" s="28">
        <v>44390.879999999997</v>
      </c>
      <c r="N61" s="28">
        <v>8.3104166666666668</v>
      </c>
      <c r="O61" s="23">
        <v>0</v>
      </c>
      <c r="P61" s="23">
        <v>1.5814610844194901</v>
      </c>
      <c r="Q61" s="28">
        <v>0</v>
      </c>
      <c r="R61" s="28">
        <v>1332</v>
      </c>
      <c r="S61" s="28">
        <v>45731</v>
      </c>
      <c r="U61" s="28">
        <v>2835</v>
      </c>
      <c r="V61" s="28">
        <v>663</v>
      </c>
      <c r="W61" s="28">
        <v>122</v>
      </c>
      <c r="X61" s="28">
        <v>42</v>
      </c>
      <c r="Y61" s="28">
        <v>3662</v>
      </c>
      <c r="AA61" s="35">
        <v>45731</v>
      </c>
      <c r="AB61" s="35">
        <v>45731</v>
      </c>
      <c r="AD61" s="46">
        <v>0.04</v>
      </c>
      <c r="AE61" s="46" t="s">
        <v>55</v>
      </c>
      <c r="AF61" s="35">
        <v>1829</v>
      </c>
      <c r="AG61" s="35">
        <v>2401</v>
      </c>
      <c r="AH61" s="35">
        <v>600</v>
      </c>
      <c r="AI61" s="35">
        <v>0</v>
      </c>
      <c r="AK61" s="35">
        <v>24389.64</v>
      </c>
      <c r="AL61" s="35">
        <v>-3389.52</v>
      </c>
      <c r="AM61" s="35">
        <v>21000</v>
      </c>
      <c r="AN61" s="35">
        <v>56000</v>
      </c>
      <c r="AO61" s="35">
        <v>116</v>
      </c>
      <c r="AP61" s="35">
        <v>2</v>
      </c>
      <c r="AQ61" s="35">
        <v>0</v>
      </c>
      <c r="AR61" s="35">
        <v>45</v>
      </c>
      <c r="AS61" s="35">
        <v>21163</v>
      </c>
      <c r="AU61" s="102">
        <v>1</v>
      </c>
      <c r="AV61" s="102">
        <v>0.39229999999999998</v>
      </c>
      <c r="AX61" s="35">
        <v>44390.879999999997</v>
      </c>
      <c r="AY61" s="35">
        <v>8.3104166666666668</v>
      </c>
      <c r="AZ61" s="35">
        <v>0</v>
      </c>
      <c r="BA61" s="35">
        <v>1332</v>
      </c>
      <c r="BB61" s="35">
        <v>45731.190416666665</v>
      </c>
      <c r="BD61" s="35">
        <v>26976.337776</v>
      </c>
      <c r="BE61" s="35">
        <v>5.0502402083333333</v>
      </c>
      <c r="BF61" s="35">
        <v>0</v>
      </c>
      <c r="BG61" s="546">
        <v>1332</v>
      </c>
      <c r="BH61" s="35">
        <v>28313.388016208333</v>
      </c>
      <c r="BJ61" s="35">
        <v>2835</v>
      </c>
      <c r="BK61" s="35">
        <v>663</v>
      </c>
      <c r="BL61" s="35">
        <v>122</v>
      </c>
      <c r="BM61" s="35">
        <v>42</v>
      </c>
      <c r="BN61" s="35">
        <v>3662</v>
      </c>
      <c r="BP61" s="35">
        <v>1722.8295000000001</v>
      </c>
      <c r="BQ61" s="35">
        <v>402.9051</v>
      </c>
      <c r="BR61" s="35">
        <v>74.139400000000009</v>
      </c>
      <c r="BS61" s="35">
        <v>25.523400000000002</v>
      </c>
      <c r="BT61" s="35">
        <v>2225.3974000000003</v>
      </c>
      <c r="BV61" s="35">
        <v>1829</v>
      </c>
      <c r="BW61" s="35">
        <v>2401</v>
      </c>
      <c r="BX61" s="35">
        <v>600</v>
      </c>
      <c r="BY61" s="35">
        <v>0</v>
      </c>
      <c r="CA61" s="35">
        <v>1111.4833000000001</v>
      </c>
      <c r="CB61" s="35">
        <v>1459.0877</v>
      </c>
      <c r="CC61" s="35">
        <v>364.62</v>
      </c>
      <c r="CD61" s="35">
        <v>0</v>
      </c>
      <c r="CF61" s="35">
        <v>24389.64</v>
      </c>
      <c r="CG61" s="35">
        <v>-3389.52</v>
      </c>
      <c r="CH61" s="35">
        <v>21000</v>
      </c>
      <c r="CI61" s="35">
        <v>116</v>
      </c>
      <c r="CJ61" s="35">
        <v>2</v>
      </c>
      <c r="CK61" s="35">
        <v>0</v>
      </c>
      <c r="CL61" s="35">
        <v>45</v>
      </c>
      <c r="CM61" s="35">
        <v>21163</v>
      </c>
      <c r="CO61" s="35">
        <v>14821.584228</v>
      </c>
      <c r="CP61" s="35">
        <v>-2059.8113039999998</v>
      </c>
      <c r="CQ61" s="35">
        <v>12761.7</v>
      </c>
      <c r="CR61" s="35">
        <v>70.493200000000002</v>
      </c>
      <c r="CS61" s="35">
        <v>1.2154</v>
      </c>
      <c r="CT61" s="35">
        <v>0</v>
      </c>
      <c r="CU61" s="35">
        <v>27.346500000000002</v>
      </c>
      <c r="CV61" s="35">
        <v>12860.7551</v>
      </c>
    </row>
    <row r="62" spans="1:100">
      <c r="A62" s="22">
        <v>57</v>
      </c>
      <c r="B62" s="314">
        <v>1</v>
      </c>
      <c r="C62" s="700"/>
      <c r="D62" s="14" t="s">
        <v>216</v>
      </c>
      <c r="E62" s="14" t="s">
        <v>255</v>
      </c>
      <c r="F62" s="14" t="s">
        <v>256</v>
      </c>
      <c r="G62" s="724"/>
      <c r="H62" s="724"/>
      <c r="I62" s="724"/>
      <c r="J62" s="718"/>
      <c r="K62" s="88">
        <v>30.01</v>
      </c>
      <c r="L62" s="23">
        <v>31.37</v>
      </c>
      <c r="M62" s="28">
        <v>65500.56</v>
      </c>
      <c r="N62" s="28">
        <v>8.8861111111111093</v>
      </c>
      <c r="O62" s="23">
        <v>192</v>
      </c>
      <c r="P62" s="23">
        <v>1.5814610844194901</v>
      </c>
      <c r="Q62" s="28">
        <v>9525</v>
      </c>
      <c r="R62" s="28">
        <v>1965</v>
      </c>
      <c r="S62" s="28">
        <v>76999</v>
      </c>
      <c r="U62" s="28">
        <v>4774</v>
      </c>
      <c r="V62" s="28">
        <v>1116</v>
      </c>
      <c r="W62" s="28">
        <v>122</v>
      </c>
      <c r="X62" s="28">
        <v>42</v>
      </c>
      <c r="Y62" s="28">
        <v>6054</v>
      </c>
      <c r="AA62" s="35">
        <v>67474</v>
      </c>
      <c r="AB62" s="35">
        <v>76999</v>
      </c>
      <c r="AD62" s="46">
        <v>0.03</v>
      </c>
      <c r="AE62" s="46" t="s">
        <v>55</v>
      </c>
      <c r="AF62" s="35">
        <v>2310</v>
      </c>
      <c r="AG62" s="35">
        <v>3542</v>
      </c>
      <c r="AH62" s="35">
        <v>600</v>
      </c>
      <c r="AI62" s="35">
        <v>0</v>
      </c>
      <c r="AK62" s="35">
        <v>24389.64</v>
      </c>
      <c r="AL62" s="35">
        <v>-3389.52</v>
      </c>
      <c r="AM62" s="35">
        <v>21000</v>
      </c>
      <c r="AN62" s="35">
        <v>82000</v>
      </c>
      <c r="AO62" s="35">
        <v>169</v>
      </c>
      <c r="AP62" s="35">
        <v>2</v>
      </c>
      <c r="AQ62" s="35">
        <v>0</v>
      </c>
      <c r="AR62" s="35">
        <v>45</v>
      </c>
      <c r="AS62" s="35">
        <v>21216</v>
      </c>
      <c r="AU62" s="102">
        <v>1</v>
      </c>
      <c r="AV62" s="102">
        <v>8.0999999999999996E-3</v>
      </c>
      <c r="AX62" s="35">
        <v>65500.56</v>
      </c>
      <c r="AY62" s="35">
        <v>8.8861111111111093</v>
      </c>
      <c r="AZ62" s="35">
        <v>9525</v>
      </c>
      <c r="BA62" s="35">
        <v>1965</v>
      </c>
      <c r="BB62" s="35">
        <v>76999.446111111116</v>
      </c>
      <c r="BD62" s="35">
        <v>64970.005463999994</v>
      </c>
      <c r="BE62" s="35">
        <v>8.8141336111111102</v>
      </c>
      <c r="BF62" s="35">
        <v>9447.8474999999999</v>
      </c>
      <c r="BG62" s="546">
        <v>1965</v>
      </c>
      <c r="BH62" s="35">
        <v>76391.667097611105</v>
      </c>
      <c r="BJ62" s="35">
        <v>4774</v>
      </c>
      <c r="BK62" s="35">
        <v>1116</v>
      </c>
      <c r="BL62" s="35">
        <v>122</v>
      </c>
      <c r="BM62" s="35">
        <v>42</v>
      </c>
      <c r="BN62" s="35">
        <v>6054</v>
      </c>
      <c r="BP62" s="35">
        <v>4735.3306000000002</v>
      </c>
      <c r="BQ62" s="35">
        <v>1106.9603999999999</v>
      </c>
      <c r="BR62" s="35">
        <v>121.01179999999999</v>
      </c>
      <c r="BS62" s="35">
        <v>41.659799999999997</v>
      </c>
      <c r="BT62" s="35">
        <v>6004.9626000000007</v>
      </c>
      <c r="BV62" s="35">
        <v>2310</v>
      </c>
      <c r="BW62" s="35">
        <v>3542</v>
      </c>
      <c r="BX62" s="35">
        <v>600</v>
      </c>
      <c r="BY62" s="35">
        <v>0</v>
      </c>
      <c r="CA62" s="35">
        <v>2291.2890000000002</v>
      </c>
      <c r="CB62" s="35">
        <v>3513.3098</v>
      </c>
      <c r="CC62" s="35">
        <v>595.14</v>
      </c>
      <c r="CD62" s="35">
        <v>0</v>
      </c>
      <c r="CF62" s="35">
        <v>24389.64</v>
      </c>
      <c r="CG62" s="35">
        <v>-3389.52</v>
      </c>
      <c r="CH62" s="35">
        <v>21000</v>
      </c>
      <c r="CI62" s="35">
        <v>169</v>
      </c>
      <c r="CJ62" s="35">
        <v>2</v>
      </c>
      <c r="CK62" s="35">
        <v>0</v>
      </c>
      <c r="CL62" s="35">
        <v>45</v>
      </c>
      <c r="CM62" s="35">
        <v>21216</v>
      </c>
      <c r="CO62" s="35">
        <v>24192.083916</v>
      </c>
      <c r="CP62" s="35">
        <v>-3362.0648879999999</v>
      </c>
      <c r="CQ62" s="35">
        <v>20829.900000000001</v>
      </c>
      <c r="CR62" s="35">
        <v>167.6311</v>
      </c>
      <c r="CS62" s="35">
        <v>1.9838</v>
      </c>
      <c r="CT62" s="35">
        <v>0</v>
      </c>
      <c r="CU62" s="35">
        <v>44.6355</v>
      </c>
      <c r="CV62" s="35">
        <v>21044.150400000002</v>
      </c>
    </row>
    <row r="63" spans="1:100">
      <c r="A63" s="22">
        <v>58</v>
      </c>
      <c r="B63" s="314">
        <v>1</v>
      </c>
      <c r="C63" s="700"/>
      <c r="D63" s="14" t="s">
        <v>216</v>
      </c>
      <c r="E63" s="14" t="s">
        <v>285</v>
      </c>
      <c r="F63" s="14" t="s">
        <v>286</v>
      </c>
      <c r="G63" s="724"/>
      <c r="H63" s="724"/>
      <c r="I63" s="724"/>
      <c r="J63" s="718"/>
      <c r="K63" s="88">
        <v>19.27</v>
      </c>
      <c r="L63" s="23">
        <v>20.14</v>
      </c>
      <c r="M63" s="28">
        <v>42052.32</v>
      </c>
      <c r="N63" s="28">
        <v>8.3104166666666668</v>
      </c>
      <c r="O63" s="23">
        <v>0</v>
      </c>
      <c r="P63" s="23">
        <v>1.5814610844194901</v>
      </c>
      <c r="Q63" s="28">
        <v>0</v>
      </c>
      <c r="R63" s="28">
        <v>1262</v>
      </c>
      <c r="S63" s="28">
        <v>43323</v>
      </c>
      <c r="U63" s="28">
        <v>2686</v>
      </c>
      <c r="V63" s="28">
        <v>628</v>
      </c>
      <c r="W63" s="28">
        <v>122</v>
      </c>
      <c r="X63" s="28">
        <v>42</v>
      </c>
      <c r="Y63" s="28">
        <v>3478</v>
      </c>
      <c r="AA63" s="35">
        <v>43323</v>
      </c>
      <c r="AB63" s="35">
        <v>43323</v>
      </c>
      <c r="AD63" s="46">
        <v>0.04</v>
      </c>
      <c r="AE63" s="46" t="s">
        <v>55</v>
      </c>
      <c r="AF63" s="35">
        <v>1733</v>
      </c>
      <c r="AG63" s="35">
        <v>2274</v>
      </c>
      <c r="AH63" s="35">
        <v>600</v>
      </c>
      <c r="AI63" s="35">
        <v>189</v>
      </c>
      <c r="AK63" s="35">
        <v>8410.1999999999989</v>
      </c>
      <c r="AL63" s="35">
        <v>-1505.76</v>
      </c>
      <c r="AM63" s="35">
        <v>6904</v>
      </c>
      <c r="AN63" s="35">
        <v>53000</v>
      </c>
      <c r="AO63" s="35">
        <v>109</v>
      </c>
      <c r="AP63" s="35">
        <v>2</v>
      </c>
      <c r="AQ63" s="35">
        <v>0</v>
      </c>
      <c r="AR63" s="35">
        <v>45</v>
      </c>
      <c r="AS63" s="35">
        <v>7060</v>
      </c>
      <c r="AU63" s="102">
        <v>1</v>
      </c>
      <c r="AV63" s="102">
        <v>0.39229999999999998</v>
      </c>
      <c r="AX63" s="35">
        <v>42052.32</v>
      </c>
      <c r="AY63" s="35">
        <v>8.3104166666666668</v>
      </c>
      <c r="AZ63" s="35">
        <v>0</v>
      </c>
      <c r="BA63" s="35">
        <v>1262</v>
      </c>
      <c r="BB63" s="35">
        <v>43322.630416666667</v>
      </c>
      <c r="BD63" s="35">
        <v>25555.194864000001</v>
      </c>
      <c r="BE63" s="35">
        <v>5.0502402083333333</v>
      </c>
      <c r="BF63" s="35">
        <v>0</v>
      </c>
      <c r="BG63" s="546">
        <v>1262</v>
      </c>
      <c r="BH63" s="35">
        <v>26822.245104208334</v>
      </c>
      <c r="BJ63" s="35">
        <v>2686</v>
      </c>
      <c r="BK63" s="35">
        <v>628</v>
      </c>
      <c r="BL63" s="35">
        <v>122</v>
      </c>
      <c r="BM63" s="35">
        <v>42</v>
      </c>
      <c r="BN63" s="35">
        <v>3478</v>
      </c>
      <c r="BP63" s="35">
        <v>1632.2822000000001</v>
      </c>
      <c r="BQ63" s="35">
        <v>381.63560000000001</v>
      </c>
      <c r="BR63" s="35">
        <v>74.139400000000009</v>
      </c>
      <c r="BS63" s="35">
        <v>25.523400000000002</v>
      </c>
      <c r="BT63" s="35">
        <v>2113.5806000000002</v>
      </c>
      <c r="BV63" s="35">
        <v>1733</v>
      </c>
      <c r="BW63" s="35">
        <v>2274</v>
      </c>
      <c r="BX63" s="35">
        <v>600</v>
      </c>
      <c r="BY63" s="35">
        <v>189</v>
      </c>
      <c r="CA63" s="35">
        <v>1053.1441</v>
      </c>
      <c r="CB63" s="35">
        <v>1381.9098000000001</v>
      </c>
      <c r="CC63" s="35">
        <v>364.62</v>
      </c>
      <c r="CD63" s="35">
        <v>189</v>
      </c>
      <c r="CF63" s="35">
        <v>8410.1999999999989</v>
      </c>
      <c r="CG63" s="35">
        <v>-1505.76</v>
      </c>
      <c r="CH63" s="35">
        <v>6904</v>
      </c>
      <c r="CI63" s="35">
        <v>109</v>
      </c>
      <c r="CJ63" s="35">
        <v>2</v>
      </c>
      <c r="CK63" s="35">
        <v>0</v>
      </c>
      <c r="CL63" s="35">
        <v>45</v>
      </c>
      <c r="CM63" s="35">
        <v>7060</v>
      </c>
      <c r="CO63" s="35">
        <v>5110.8785399999997</v>
      </c>
      <c r="CP63" s="35">
        <v>-915.05035199999998</v>
      </c>
      <c r="CQ63" s="35">
        <v>4195.5608000000002</v>
      </c>
      <c r="CR63" s="35">
        <v>66.2393</v>
      </c>
      <c r="CS63" s="35">
        <v>1.2154</v>
      </c>
      <c r="CT63" s="35">
        <v>0</v>
      </c>
      <c r="CU63" s="35">
        <v>27.346500000000002</v>
      </c>
      <c r="CV63" s="35">
        <v>4290.3620000000001</v>
      </c>
    </row>
    <row r="64" spans="1:100">
      <c r="A64" s="22">
        <v>59</v>
      </c>
      <c r="B64" s="314">
        <v>1</v>
      </c>
      <c r="C64" s="700"/>
      <c r="D64" s="14" t="s">
        <v>216</v>
      </c>
      <c r="E64" s="14" t="s">
        <v>263</v>
      </c>
      <c r="F64" s="14" t="s">
        <v>264</v>
      </c>
      <c r="G64" s="724"/>
      <c r="H64" s="724"/>
      <c r="I64" s="724"/>
      <c r="J64" s="718"/>
      <c r="K64" s="88">
        <v>29.98</v>
      </c>
      <c r="L64" s="23">
        <v>31.33</v>
      </c>
      <c r="M64" s="28">
        <v>65417.04</v>
      </c>
      <c r="N64" s="28">
        <v>0</v>
      </c>
      <c r="O64" s="23">
        <v>240</v>
      </c>
      <c r="P64" s="23">
        <v>1.5814610844194901</v>
      </c>
      <c r="Q64" s="28">
        <v>11891</v>
      </c>
      <c r="R64" s="28">
        <v>1963</v>
      </c>
      <c r="S64" s="28">
        <v>79271</v>
      </c>
      <c r="U64" s="28">
        <v>4915</v>
      </c>
      <c r="V64" s="28">
        <v>1149</v>
      </c>
      <c r="W64" s="28">
        <v>122</v>
      </c>
      <c r="X64" s="28">
        <v>42</v>
      </c>
      <c r="Y64" s="28">
        <v>6228</v>
      </c>
      <c r="AA64" s="35">
        <v>67380</v>
      </c>
      <c r="AB64" s="35">
        <v>79271</v>
      </c>
      <c r="AD64" s="46">
        <v>0.04</v>
      </c>
      <c r="AE64" s="46" t="s">
        <v>55</v>
      </c>
      <c r="AF64" s="35">
        <v>3171</v>
      </c>
      <c r="AG64" s="35">
        <v>3537</v>
      </c>
      <c r="AH64" s="35">
        <v>600</v>
      </c>
      <c r="AI64" s="35">
        <v>0</v>
      </c>
      <c r="AK64" s="35">
        <v>8410.1999999999989</v>
      </c>
      <c r="AL64" s="35">
        <v>-1505.76</v>
      </c>
      <c r="AM64" s="35">
        <v>6904</v>
      </c>
      <c r="AN64" s="35">
        <v>82000</v>
      </c>
      <c r="AO64" s="35">
        <v>169</v>
      </c>
      <c r="AP64" s="35">
        <v>2</v>
      </c>
      <c r="AQ64" s="35">
        <v>0</v>
      </c>
      <c r="AR64" s="35">
        <v>45</v>
      </c>
      <c r="AS64" s="35">
        <v>7120</v>
      </c>
      <c r="AU64" s="102">
        <v>0.99979452406636871</v>
      </c>
      <c r="AV64" s="102">
        <v>8.7599999999999997E-2</v>
      </c>
      <c r="AX64" s="35">
        <v>65403.598372630608</v>
      </c>
      <c r="AY64" s="35">
        <v>0</v>
      </c>
      <c r="AZ64" s="35">
        <v>11888.556685673191</v>
      </c>
      <c r="BA64" s="35">
        <v>1962.5966507422818</v>
      </c>
      <c r="BB64" s="35">
        <v>79254.75170904609</v>
      </c>
      <c r="BD64" s="35">
        <v>59674.243155188167</v>
      </c>
      <c r="BE64" s="35">
        <v>0</v>
      </c>
      <c r="BF64" s="35">
        <v>10847.119120008219</v>
      </c>
      <c r="BG64" s="546">
        <v>1962.5966507422818</v>
      </c>
      <c r="BH64" s="35">
        <v>72483.95892593867</v>
      </c>
      <c r="BJ64" s="35">
        <v>4913.9900857862021</v>
      </c>
      <c r="BK64" s="35">
        <v>1148.7639081522577</v>
      </c>
      <c r="BL64" s="35">
        <v>121.97493193609698</v>
      </c>
      <c r="BM64" s="35">
        <v>41.991370010787485</v>
      </c>
      <c r="BN64" s="35">
        <v>6226.7202958853441</v>
      </c>
      <c r="BP64" s="35">
        <v>4483.524554271331</v>
      </c>
      <c r="BQ64" s="35">
        <v>1048.13218979812</v>
      </c>
      <c r="BR64" s="35">
        <v>111.28992789849488</v>
      </c>
      <c r="BS64" s="35">
        <v>38.312925997842498</v>
      </c>
      <c r="BT64" s="35">
        <v>5681.2595979657881</v>
      </c>
      <c r="BV64" s="35">
        <v>3170.3484358144551</v>
      </c>
      <c r="BW64" s="35">
        <v>3536.2732316227462</v>
      </c>
      <c r="BX64" s="35">
        <v>599.87671443982117</v>
      </c>
      <c r="BY64" s="35">
        <v>0</v>
      </c>
      <c r="CA64" s="35">
        <v>2892.6259128371089</v>
      </c>
      <c r="CB64" s="35">
        <v>3226.4956965325937</v>
      </c>
      <c r="CC64" s="35">
        <v>547.32751425489278</v>
      </c>
      <c r="CD64" s="35">
        <v>0</v>
      </c>
      <c r="CF64" s="35">
        <v>8408.4719063029734</v>
      </c>
      <c r="CG64" s="35">
        <v>-1505.4506025581754</v>
      </c>
      <c r="CH64" s="35">
        <v>6902.5813941542092</v>
      </c>
      <c r="CI64" s="35">
        <v>168.96527456721631</v>
      </c>
      <c r="CJ64" s="35">
        <v>1.9995890481327374</v>
      </c>
      <c r="CK64" s="35">
        <v>0</v>
      </c>
      <c r="CL64" s="35">
        <v>44.990753582986592</v>
      </c>
      <c r="CM64" s="35">
        <v>7118.5370113525441</v>
      </c>
      <c r="CO64" s="35">
        <v>7671.8897673108331</v>
      </c>
      <c r="CP64" s="35">
        <v>-1373.5731297740792</v>
      </c>
      <c r="CQ64" s="35">
        <v>6297.9152640263001</v>
      </c>
      <c r="CR64" s="35">
        <v>154.16391651512816</v>
      </c>
      <c r="CS64" s="35">
        <v>1.8244250475163095</v>
      </c>
      <c r="CT64" s="35">
        <v>0</v>
      </c>
      <c r="CU64" s="35">
        <v>41.04956356911697</v>
      </c>
      <c r="CV64" s="35">
        <v>6494.9531691580614</v>
      </c>
    </row>
    <row r="65" spans="1:100">
      <c r="A65" s="22">
        <v>60</v>
      </c>
      <c r="B65" s="314">
        <v>1</v>
      </c>
      <c r="C65" s="700"/>
      <c r="D65" s="14" t="s">
        <v>216</v>
      </c>
      <c r="E65" s="14" t="s">
        <v>285</v>
      </c>
      <c r="F65" s="14" t="s">
        <v>286</v>
      </c>
      <c r="G65" s="724"/>
      <c r="H65" s="724"/>
      <c r="I65" s="724"/>
      <c r="J65" s="718"/>
      <c r="K65" s="88">
        <v>25.21</v>
      </c>
      <c r="L65" s="23">
        <v>26.35</v>
      </c>
      <c r="M65" s="28">
        <v>55018.8</v>
      </c>
      <c r="N65" s="28">
        <v>8.3104166666666668</v>
      </c>
      <c r="O65" s="23">
        <v>0</v>
      </c>
      <c r="P65" s="23">
        <v>1.5814610844194901</v>
      </c>
      <c r="Q65" s="28">
        <v>0</v>
      </c>
      <c r="R65" s="28">
        <v>1651</v>
      </c>
      <c r="S65" s="28">
        <v>56678</v>
      </c>
      <c r="U65" s="28">
        <v>3514</v>
      </c>
      <c r="V65" s="28">
        <v>822</v>
      </c>
      <c r="W65" s="28">
        <v>122</v>
      </c>
      <c r="X65" s="28">
        <v>42</v>
      </c>
      <c r="Y65" s="28">
        <v>4500</v>
      </c>
      <c r="AA65" s="35">
        <v>56678</v>
      </c>
      <c r="AB65" s="35">
        <v>56678</v>
      </c>
      <c r="AD65" s="46">
        <v>0.04</v>
      </c>
      <c r="AE65" s="46" t="s">
        <v>55</v>
      </c>
      <c r="AF65" s="35">
        <v>2267</v>
      </c>
      <c r="AG65" s="35">
        <v>2976</v>
      </c>
      <c r="AH65" s="35">
        <v>600</v>
      </c>
      <c r="AI65" s="35">
        <v>0</v>
      </c>
      <c r="AK65" s="35">
        <v>24389.64</v>
      </c>
      <c r="AL65" s="35">
        <v>-3389.52</v>
      </c>
      <c r="AM65" s="35">
        <v>21000</v>
      </c>
      <c r="AN65" s="35">
        <v>69000</v>
      </c>
      <c r="AO65" s="35">
        <v>142</v>
      </c>
      <c r="AP65" s="35">
        <v>2</v>
      </c>
      <c r="AQ65" s="35">
        <v>0</v>
      </c>
      <c r="AR65" s="35">
        <v>45</v>
      </c>
      <c r="AS65" s="35">
        <v>21189</v>
      </c>
      <c r="AU65" s="102">
        <v>1</v>
      </c>
      <c r="AV65" s="102">
        <v>0.39229999999999998</v>
      </c>
      <c r="AX65" s="35">
        <v>55018.8</v>
      </c>
      <c r="AY65" s="35">
        <v>8.3104166666666668</v>
      </c>
      <c r="AZ65" s="35">
        <v>0</v>
      </c>
      <c r="BA65" s="35">
        <v>1651</v>
      </c>
      <c r="BB65" s="35">
        <v>56678.11041666667</v>
      </c>
      <c r="BD65" s="35">
        <v>33434.924760000002</v>
      </c>
      <c r="BE65" s="35">
        <v>5.0502402083333333</v>
      </c>
      <c r="BF65" s="35">
        <v>0</v>
      </c>
      <c r="BG65" s="546">
        <v>1651</v>
      </c>
      <c r="BH65" s="35">
        <v>35090.975000208338</v>
      </c>
      <c r="BJ65" s="35">
        <v>3514</v>
      </c>
      <c r="BK65" s="35">
        <v>822</v>
      </c>
      <c r="BL65" s="35">
        <v>122</v>
      </c>
      <c r="BM65" s="35">
        <v>42</v>
      </c>
      <c r="BN65" s="35">
        <v>4500</v>
      </c>
      <c r="BP65" s="35">
        <v>2135.4578000000001</v>
      </c>
      <c r="BQ65" s="35">
        <v>499.52940000000001</v>
      </c>
      <c r="BR65" s="35">
        <v>74.139400000000009</v>
      </c>
      <c r="BS65" s="35">
        <v>25.523400000000002</v>
      </c>
      <c r="BT65" s="35">
        <v>2734.65</v>
      </c>
      <c r="BV65" s="35">
        <v>2267</v>
      </c>
      <c r="BW65" s="35">
        <v>2976</v>
      </c>
      <c r="BX65" s="35">
        <v>600</v>
      </c>
      <c r="BY65" s="35">
        <v>0</v>
      </c>
      <c r="CA65" s="35">
        <v>1377.6559</v>
      </c>
      <c r="CB65" s="35">
        <v>1808.5152</v>
      </c>
      <c r="CC65" s="35">
        <v>364.62</v>
      </c>
      <c r="CD65" s="35">
        <v>0</v>
      </c>
      <c r="CF65" s="35">
        <v>24389.64</v>
      </c>
      <c r="CG65" s="35">
        <v>-3389.52</v>
      </c>
      <c r="CH65" s="35">
        <v>21000</v>
      </c>
      <c r="CI65" s="35">
        <v>142</v>
      </c>
      <c r="CJ65" s="35">
        <v>2</v>
      </c>
      <c r="CK65" s="35">
        <v>0</v>
      </c>
      <c r="CL65" s="35">
        <v>45</v>
      </c>
      <c r="CM65" s="35">
        <v>21189</v>
      </c>
      <c r="CO65" s="35">
        <v>14821.584228</v>
      </c>
      <c r="CP65" s="35">
        <v>-2059.8113039999998</v>
      </c>
      <c r="CQ65" s="35">
        <v>12761.7</v>
      </c>
      <c r="CR65" s="35">
        <v>86.293400000000005</v>
      </c>
      <c r="CS65" s="35">
        <v>1.2154</v>
      </c>
      <c r="CT65" s="35">
        <v>0</v>
      </c>
      <c r="CU65" s="35">
        <v>27.346500000000002</v>
      </c>
      <c r="CV65" s="35">
        <v>12876.5553</v>
      </c>
    </row>
    <row r="66" spans="1:100">
      <c r="A66" s="22">
        <v>61</v>
      </c>
      <c r="B66" s="314">
        <v>1</v>
      </c>
      <c r="C66" s="700"/>
      <c r="D66" s="14" t="s">
        <v>216</v>
      </c>
      <c r="E66" s="14" t="s">
        <v>285</v>
      </c>
      <c r="F66" s="14" t="s">
        <v>286</v>
      </c>
      <c r="G66" s="724"/>
      <c r="H66" s="724"/>
      <c r="I66" s="724"/>
      <c r="J66" s="718"/>
      <c r="K66" s="88">
        <v>26.59</v>
      </c>
      <c r="L66" s="23">
        <v>27.78</v>
      </c>
      <c r="M66" s="28">
        <v>58004.639999999999</v>
      </c>
      <c r="N66" s="28">
        <v>10.866666666666667</v>
      </c>
      <c r="O66" s="23">
        <v>0</v>
      </c>
      <c r="P66" s="23">
        <v>1.5814610844194901</v>
      </c>
      <c r="Q66" s="28">
        <v>0</v>
      </c>
      <c r="R66" s="28">
        <v>1740</v>
      </c>
      <c r="S66" s="28">
        <v>59756</v>
      </c>
      <c r="U66" s="28">
        <v>3705</v>
      </c>
      <c r="V66" s="28">
        <v>866</v>
      </c>
      <c r="W66" s="28">
        <v>122</v>
      </c>
      <c r="X66" s="28">
        <v>42</v>
      </c>
      <c r="Y66" s="28">
        <v>4735</v>
      </c>
      <c r="AA66" s="35">
        <v>59756</v>
      </c>
      <c r="AB66" s="35">
        <v>59756</v>
      </c>
      <c r="AD66" s="46">
        <v>0</v>
      </c>
      <c r="AE66" s="46">
        <v>0</v>
      </c>
      <c r="AF66" s="35">
        <v>0</v>
      </c>
      <c r="AG66" s="35">
        <v>3137</v>
      </c>
      <c r="AH66" s="35">
        <v>600</v>
      </c>
      <c r="AI66" s="35">
        <v>0</v>
      </c>
      <c r="AK66" s="35">
        <v>8410.1999999999989</v>
      </c>
      <c r="AL66" s="35">
        <v>-1505.76</v>
      </c>
      <c r="AM66" s="35">
        <v>6904</v>
      </c>
      <c r="AN66" s="35">
        <v>73000</v>
      </c>
      <c r="AO66" s="35">
        <v>151</v>
      </c>
      <c r="AP66" s="35">
        <v>2</v>
      </c>
      <c r="AQ66" s="35">
        <v>0</v>
      </c>
      <c r="AR66" s="35">
        <v>45</v>
      </c>
      <c r="AS66" s="35">
        <v>7102</v>
      </c>
      <c r="AU66" s="102">
        <v>0.99957446894595314</v>
      </c>
      <c r="AV66" s="102">
        <v>0.42059999999999997</v>
      </c>
      <c r="AX66" s="35">
        <v>57979.957224401194</v>
      </c>
      <c r="AY66" s="35">
        <v>10.862042562546025</v>
      </c>
      <c r="AZ66" s="35">
        <v>0</v>
      </c>
      <c r="BA66" s="35">
        <v>1739.2595759659584</v>
      </c>
      <c r="BB66" s="35">
        <v>59730.078842929703</v>
      </c>
      <c r="BD66" s="35">
        <v>33593.58721581805</v>
      </c>
      <c r="BE66" s="35">
        <v>6.2934674607391665</v>
      </c>
      <c r="BF66" s="35">
        <v>0</v>
      </c>
      <c r="BG66" s="546">
        <v>1739.2595759659584</v>
      </c>
      <c r="BH66" s="35">
        <v>35339.140259244748</v>
      </c>
      <c r="BJ66" s="35">
        <v>3703.4234074447563</v>
      </c>
      <c r="BK66" s="35">
        <v>865.63149010719542</v>
      </c>
      <c r="BL66" s="35">
        <v>121.94808521140628</v>
      </c>
      <c r="BM66" s="35">
        <v>41.982127695730028</v>
      </c>
      <c r="BN66" s="35">
        <v>4732.985110459088</v>
      </c>
      <c r="BP66" s="35">
        <v>2145.7635222734921</v>
      </c>
      <c r="BQ66" s="35">
        <v>501.54688536810903</v>
      </c>
      <c r="BR66" s="35">
        <v>70.656720571488805</v>
      </c>
      <c r="BS66" s="35">
        <v>24.324444786905978</v>
      </c>
      <c r="BT66" s="35">
        <v>2742.2915729999959</v>
      </c>
      <c r="BV66" s="35">
        <v>0</v>
      </c>
      <c r="BW66" s="35">
        <v>3135.6651090834548</v>
      </c>
      <c r="BX66" s="35">
        <v>599.74468136757184</v>
      </c>
      <c r="BY66" s="35">
        <v>0</v>
      </c>
      <c r="CA66" s="35">
        <v>0</v>
      </c>
      <c r="CB66" s="35">
        <v>1816.8043642029538</v>
      </c>
      <c r="CC66" s="35">
        <v>347.49206838437112</v>
      </c>
      <c r="CD66" s="35">
        <v>0</v>
      </c>
      <c r="CF66" s="35">
        <v>8406.6211987292536</v>
      </c>
      <c r="CG66" s="35">
        <v>-1505.1192523600585</v>
      </c>
      <c r="CH66" s="35">
        <v>6901.0621336028607</v>
      </c>
      <c r="CI66" s="35">
        <v>150.93574481083891</v>
      </c>
      <c r="CJ66" s="35">
        <v>1.9991489378919063</v>
      </c>
      <c r="CK66" s="35">
        <v>0</v>
      </c>
      <c r="CL66" s="35">
        <v>44.98085110256789</v>
      </c>
      <c r="CM66" s="35">
        <v>7098.9778784541586</v>
      </c>
      <c r="CO66" s="35">
        <v>4870.7963225437297</v>
      </c>
      <c r="CP66" s="35">
        <v>-872.06609481741793</v>
      </c>
      <c r="CQ66" s="35">
        <v>3998.4754002094978</v>
      </c>
      <c r="CR66" s="35">
        <v>87.452170543400072</v>
      </c>
      <c r="CS66" s="35">
        <v>1.1583068946145705</v>
      </c>
      <c r="CT66" s="35">
        <v>0</v>
      </c>
      <c r="CU66" s="35">
        <v>26.061905128827835</v>
      </c>
      <c r="CV66" s="35">
        <v>4113.1477827763401</v>
      </c>
    </row>
    <row r="67" spans="1:100">
      <c r="A67" s="22">
        <v>62</v>
      </c>
      <c r="B67" s="314">
        <v>1</v>
      </c>
      <c r="C67" s="700"/>
      <c r="D67" s="14" t="s">
        <v>216</v>
      </c>
      <c r="E67" s="14" t="s">
        <v>285</v>
      </c>
      <c r="F67" s="14" t="s">
        <v>286</v>
      </c>
      <c r="G67" s="724"/>
      <c r="H67" s="724"/>
      <c r="I67" s="724"/>
      <c r="J67" s="718"/>
      <c r="K67" s="88">
        <v>18.5</v>
      </c>
      <c r="L67" s="23">
        <v>19.329999999999998</v>
      </c>
      <c r="M67" s="28">
        <v>40361.040000000001</v>
      </c>
      <c r="N67" s="28">
        <v>8.3104166666666668</v>
      </c>
      <c r="O67" s="23">
        <v>0</v>
      </c>
      <c r="P67" s="23">
        <v>1.5814610844194901</v>
      </c>
      <c r="Q67" s="28">
        <v>0</v>
      </c>
      <c r="R67" s="28">
        <v>1211</v>
      </c>
      <c r="S67" s="28">
        <v>41580</v>
      </c>
      <c r="U67" s="28">
        <v>2578</v>
      </c>
      <c r="V67" s="28">
        <v>603</v>
      </c>
      <c r="W67" s="28">
        <v>122</v>
      </c>
      <c r="X67" s="28">
        <v>42</v>
      </c>
      <c r="Y67" s="28">
        <v>3345</v>
      </c>
      <c r="AA67" s="35">
        <v>41580</v>
      </c>
      <c r="AB67" s="35">
        <v>41580</v>
      </c>
      <c r="AD67" s="46">
        <v>0.04</v>
      </c>
      <c r="AE67" s="46" t="s">
        <v>55</v>
      </c>
      <c r="AF67" s="35">
        <v>1663</v>
      </c>
      <c r="AG67" s="35">
        <v>2183</v>
      </c>
      <c r="AH67" s="35">
        <v>600</v>
      </c>
      <c r="AI67" s="35">
        <v>0</v>
      </c>
      <c r="AK67" s="35">
        <v>24389.64</v>
      </c>
      <c r="AL67" s="35">
        <v>-3389.52</v>
      </c>
      <c r="AM67" s="35">
        <v>21000</v>
      </c>
      <c r="AN67" s="35">
        <v>51000</v>
      </c>
      <c r="AO67" s="35">
        <v>105</v>
      </c>
      <c r="AP67" s="35">
        <v>2</v>
      </c>
      <c r="AQ67" s="35">
        <v>0</v>
      </c>
      <c r="AR67" s="35">
        <v>45</v>
      </c>
      <c r="AS67" s="35">
        <v>21152</v>
      </c>
      <c r="AU67" s="102">
        <v>1</v>
      </c>
      <c r="AV67" s="102">
        <v>0.39229999999999998</v>
      </c>
      <c r="AX67" s="35">
        <v>40361.040000000001</v>
      </c>
      <c r="AY67" s="35">
        <v>8.3104166666666668</v>
      </c>
      <c r="AZ67" s="35">
        <v>0</v>
      </c>
      <c r="BA67" s="35">
        <v>1211</v>
      </c>
      <c r="BB67" s="35">
        <v>41580.350416666668</v>
      </c>
      <c r="BD67" s="35">
        <v>24527.404008000001</v>
      </c>
      <c r="BE67" s="35">
        <v>5.0502402083333333</v>
      </c>
      <c r="BF67" s="35">
        <v>0</v>
      </c>
      <c r="BG67" s="546">
        <v>1211</v>
      </c>
      <c r="BH67" s="35">
        <v>25743.454248208334</v>
      </c>
      <c r="BJ67" s="35">
        <v>2578</v>
      </c>
      <c r="BK67" s="35">
        <v>603</v>
      </c>
      <c r="BL67" s="35">
        <v>122</v>
      </c>
      <c r="BM67" s="35">
        <v>42</v>
      </c>
      <c r="BN67" s="35">
        <v>3345</v>
      </c>
      <c r="BP67" s="35">
        <v>1566.6505999999999</v>
      </c>
      <c r="BQ67" s="35">
        <v>366.44310000000002</v>
      </c>
      <c r="BR67" s="35">
        <v>74.139400000000009</v>
      </c>
      <c r="BS67" s="35">
        <v>25.523400000000002</v>
      </c>
      <c r="BT67" s="35">
        <v>2032.7565</v>
      </c>
      <c r="BV67" s="35">
        <v>1663</v>
      </c>
      <c r="BW67" s="35">
        <v>2183</v>
      </c>
      <c r="BX67" s="35">
        <v>600</v>
      </c>
      <c r="BY67" s="35">
        <v>0</v>
      </c>
      <c r="CA67" s="35">
        <v>1010.6051</v>
      </c>
      <c r="CB67" s="35">
        <v>1326.6091000000001</v>
      </c>
      <c r="CC67" s="35">
        <v>364.62</v>
      </c>
      <c r="CD67" s="35">
        <v>0</v>
      </c>
      <c r="CF67" s="35">
        <v>24389.64</v>
      </c>
      <c r="CG67" s="35">
        <v>-3389.52</v>
      </c>
      <c r="CH67" s="35">
        <v>21000</v>
      </c>
      <c r="CI67" s="35">
        <v>105</v>
      </c>
      <c r="CJ67" s="35">
        <v>2</v>
      </c>
      <c r="CK67" s="35">
        <v>0</v>
      </c>
      <c r="CL67" s="35">
        <v>45</v>
      </c>
      <c r="CM67" s="35">
        <v>21152</v>
      </c>
      <c r="CO67" s="35">
        <v>14821.584228</v>
      </c>
      <c r="CP67" s="35">
        <v>-2059.8113039999998</v>
      </c>
      <c r="CQ67" s="35">
        <v>12761.7</v>
      </c>
      <c r="CR67" s="35">
        <v>63.808500000000002</v>
      </c>
      <c r="CS67" s="35">
        <v>1.2154</v>
      </c>
      <c r="CT67" s="35">
        <v>0</v>
      </c>
      <c r="CU67" s="35">
        <v>27.346500000000002</v>
      </c>
      <c r="CV67" s="35">
        <v>12854.070399999999</v>
      </c>
    </row>
    <row r="68" spans="1:100">
      <c r="A68" s="22">
        <v>63</v>
      </c>
      <c r="B68" s="314">
        <v>1</v>
      </c>
      <c r="C68" s="700"/>
      <c r="D68" s="14" t="s">
        <v>216</v>
      </c>
      <c r="E68" s="14" t="s">
        <v>285</v>
      </c>
      <c r="F68" s="14" t="s">
        <v>286</v>
      </c>
      <c r="G68" s="724"/>
      <c r="H68" s="724"/>
      <c r="I68" s="724"/>
      <c r="J68" s="718"/>
      <c r="K68" s="88">
        <v>17</v>
      </c>
      <c r="L68" s="23">
        <v>17.77</v>
      </c>
      <c r="M68" s="28">
        <v>37103.760000000002</v>
      </c>
      <c r="N68" s="28">
        <v>8.3104166666666668</v>
      </c>
      <c r="O68" s="23">
        <v>0</v>
      </c>
      <c r="P68" s="23">
        <v>1.5814610844194901</v>
      </c>
      <c r="Q68" s="28">
        <v>0</v>
      </c>
      <c r="R68" s="28">
        <v>1113</v>
      </c>
      <c r="S68" s="28">
        <v>38225</v>
      </c>
      <c r="U68" s="28">
        <v>2370</v>
      </c>
      <c r="V68" s="28">
        <v>554</v>
      </c>
      <c r="W68" s="28">
        <v>122</v>
      </c>
      <c r="X68" s="28">
        <v>42</v>
      </c>
      <c r="Y68" s="28">
        <v>3088</v>
      </c>
      <c r="AA68" s="35">
        <v>38225</v>
      </c>
      <c r="AB68" s="35">
        <v>38225</v>
      </c>
      <c r="AD68" s="46">
        <v>0.03</v>
      </c>
      <c r="AE68" s="46" t="s">
        <v>55</v>
      </c>
      <c r="AF68" s="35">
        <v>1147</v>
      </c>
      <c r="AG68" s="35">
        <v>2007</v>
      </c>
      <c r="AH68" s="35">
        <v>600</v>
      </c>
      <c r="AI68" s="35">
        <v>0</v>
      </c>
      <c r="AK68" s="35">
        <v>8410.1999999999989</v>
      </c>
      <c r="AL68" s="35">
        <v>-1505.76</v>
      </c>
      <c r="AM68" s="35">
        <v>6904</v>
      </c>
      <c r="AN68" s="35">
        <v>47000</v>
      </c>
      <c r="AO68" s="35">
        <v>97</v>
      </c>
      <c r="AP68" s="35">
        <v>2</v>
      </c>
      <c r="AQ68" s="35">
        <v>0</v>
      </c>
      <c r="AR68" s="35">
        <v>45</v>
      </c>
      <c r="AS68" s="35">
        <v>7048</v>
      </c>
      <c r="AU68" s="102">
        <v>1</v>
      </c>
      <c r="AV68" s="102">
        <v>0.39229999999999998</v>
      </c>
      <c r="AX68" s="35">
        <v>37103.760000000002</v>
      </c>
      <c r="AY68" s="35">
        <v>8.3104166666666668</v>
      </c>
      <c r="AZ68" s="35">
        <v>0</v>
      </c>
      <c r="BA68" s="35">
        <v>1113</v>
      </c>
      <c r="BB68" s="35">
        <v>38225.070416666669</v>
      </c>
      <c r="BD68" s="35">
        <v>22547.954952000004</v>
      </c>
      <c r="BE68" s="35">
        <v>5.0502402083333333</v>
      </c>
      <c r="BF68" s="35">
        <v>0</v>
      </c>
      <c r="BG68" s="546">
        <v>1113</v>
      </c>
      <c r="BH68" s="35">
        <v>23666.005192208337</v>
      </c>
      <c r="BJ68" s="35">
        <v>2370</v>
      </c>
      <c r="BK68" s="35">
        <v>554</v>
      </c>
      <c r="BL68" s="35">
        <v>122</v>
      </c>
      <c r="BM68" s="35">
        <v>42</v>
      </c>
      <c r="BN68" s="35">
        <v>3088</v>
      </c>
      <c r="BP68" s="35">
        <v>1440.249</v>
      </c>
      <c r="BQ68" s="35">
        <v>336.66579999999999</v>
      </c>
      <c r="BR68" s="35">
        <v>74.139400000000009</v>
      </c>
      <c r="BS68" s="35">
        <v>25.523400000000002</v>
      </c>
      <c r="BT68" s="35">
        <v>1876.5776000000001</v>
      </c>
      <c r="BV68" s="35">
        <v>1147</v>
      </c>
      <c r="BW68" s="35">
        <v>2007</v>
      </c>
      <c r="BX68" s="35">
        <v>600</v>
      </c>
      <c r="BY68" s="35">
        <v>0</v>
      </c>
      <c r="CA68" s="35">
        <v>697.03190000000006</v>
      </c>
      <c r="CB68" s="35">
        <v>1219.6539</v>
      </c>
      <c r="CC68" s="35">
        <v>364.62</v>
      </c>
      <c r="CD68" s="35">
        <v>0</v>
      </c>
      <c r="CF68" s="35">
        <v>8410.1999999999989</v>
      </c>
      <c r="CG68" s="35">
        <v>-1505.76</v>
      </c>
      <c r="CH68" s="35">
        <v>6904</v>
      </c>
      <c r="CI68" s="35">
        <v>97</v>
      </c>
      <c r="CJ68" s="35">
        <v>2</v>
      </c>
      <c r="CK68" s="35">
        <v>0</v>
      </c>
      <c r="CL68" s="35">
        <v>45</v>
      </c>
      <c r="CM68" s="35">
        <v>7048</v>
      </c>
      <c r="CO68" s="35">
        <v>5110.8785399999997</v>
      </c>
      <c r="CP68" s="35">
        <v>-915.05035199999998</v>
      </c>
      <c r="CQ68" s="35">
        <v>4195.5608000000002</v>
      </c>
      <c r="CR68" s="35">
        <v>58.946899999999999</v>
      </c>
      <c r="CS68" s="35">
        <v>1.2154</v>
      </c>
      <c r="CT68" s="35">
        <v>0</v>
      </c>
      <c r="CU68" s="35">
        <v>27.346500000000002</v>
      </c>
      <c r="CV68" s="35">
        <v>4283.0695999999998</v>
      </c>
    </row>
    <row r="69" spans="1:100">
      <c r="A69" s="22">
        <v>64</v>
      </c>
      <c r="B69" s="314">
        <v>1</v>
      </c>
      <c r="C69" s="700"/>
      <c r="D69" s="14" t="s">
        <v>216</v>
      </c>
      <c r="E69" s="14" t="s">
        <v>285</v>
      </c>
      <c r="F69" s="14" t="s">
        <v>286</v>
      </c>
      <c r="G69" s="724"/>
      <c r="H69" s="724"/>
      <c r="I69" s="724"/>
      <c r="J69" s="718"/>
      <c r="K69" s="88">
        <v>17</v>
      </c>
      <c r="L69" s="23">
        <v>17.77</v>
      </c>
      <c r="M69" s="28">
        <v>37103.760000000002</v>
      </c>
      <c r="N69" s="28">
        <v>8.3104166666666668</v>
      </c>
      <c r="O69" s="23">
        <v>0</v>
      </c>
      <c r="P69" s="23">
        <v>1.5814610844194901</v>
      </c>
      <c r="Q69" s="28">
        <v>0</v>
      </c>
      <c r="R69" s="28">
        <v>1113</v>
      </c>
      <c r="S69" s="28">
        <v>38225</v>
      </c>
      <c r="U69" s="28">
        <v>2370</v>
      </c>
      <c r="V69" s="28">
        <v>554</v>
      </c>
      <c r="W69" s="28">
        <v>122</v>
      </c>
      <c r="X69" s="28">
        <v>42</v>
      </c>
      <c r="Y69" s="28">
        <v>3088</v>
      </c>
      <c r="AA69" s="35">
        <v>38225</v>
      </c>
      <c r="AB69" s="35">
        <v>38225</v>
      </c>
      <c r="AD69" s="46">
        <v>0.03</v>
      </c>
      <c r="AE69" s="46" t="s">
        <v>55</v>
      </c>
      <c r="AF69" s="35">
        <v>1147</v>
      </c>
      <c r="AG69" s="35">
        <v>2007</v>
      </c>
      <c r="AH69" s="35">
        <v>600</v>
      </c>
      <c r="AI69" s="35">
        <v>0</v>
      </c>
      <c r="AK69" s="35">
        <v>0</v>
      </c>
      <c r="AL69" s="35">
        <v>0</v>
      </c>
      <c r="AM69" s="35">
        <v>0</v>
      </c>
      <c r="AN69" s="35">
        <v>47000</v>
      </c>
      <c r="AO69" s="35">
        <v>97</v>
      </c>
      <c r="AP69" s="35">
        <v>2</v>
      </c>
      <c r="AQ69" s="35">
        <v>0</v>
      </c>
      <c r="AR69" s="35">
        <v>45</v>
      </c>
      <c r="AS69" s="35">
        <v>144</v>
      </c>
      <c r="AU69" s="102">
        <v>1</v>
      </c>
      <c r="AV69" s="102">
        <v>0.39229999999999998</v>
      </c>
      <c r="AX69" s="35">
        <v>37103.760000000002</v>
      </c>
      <c r="AY69" s="35">
        <v>8.3104166666666668</v>
      </c>
      <c r="AZ69" s="35">
        <v>0</v>
      </c>
      <c r="BA69" s="35">
        <v>1113</v>
      </c>
      <c r="BB69" s="35">
        <v>38225.070416666669</v>
      </c>
      <c r="BD69" s="35">
        <v>22547.954952000004</v>
      </c>
      <c r="BE69" s="35">
        <v>5.0502402083333333</v>
      </c>
      <c r="BF69" s="35">
        <v>0</v>
      </c>
      <c r="BG69" s="546">
        <v>1113</v>
      </c>
      <c r="BH69" s="35">
        <v>23666.005192208337</v>
      </c>
      <c r="BJ69" s="35">
        <v>2370</v>
      </c>
      <c r="BK69" s="35">
        <v>554</v>
      </c>
      <c r="BL69" s="35">
        <v>122</v>
      </c>
      <c r="BM69" s="35">
        <v>42</v>
      </c>
      <c r="BN69" s="35">
        <v>3088</v>
      </c>
      <c r="BP69" s="35">
        <v>1440.249</v>
      </c>
      <c r="BQ69" s="35">
        <v>336.66579999999999</v>
      </c>
      <c r="BR69" s="35">
        <v>74.139400000000009</v>
      </c>
      <c r="BS69" s="35">
        <v>25.523400000000002</v>
      </c>
      <c r="BT69" s="35">
        <v>1876.5776000000001</v>
      </c>
      <c r="BV69" s="35">
        <v>1147</v>
      </c>
      <c r="BW69" s="35">
        <v>2007</v>
      </c>
      <c r="BX69" s="35">
        <v>600</v>
      </c>
      <c r="BY69" s="35">
        <v>0</v>
      </c>
      <c r="CA69" s="35">
        <v>697.03190000000006</v>
      </c>
      <c r="CB69" s="35">
        <v>1219.6539</v>
      </c>
      <c r="CC69" s="35">
        <v>364.62</v>
      </c>
      <c r="CD69" s="35">
        <v>0</v>
      </c>
      <c r="CF69" s="35">
        <v>0</v>
      </c>
      <c r="CG69" s="35">
        <v>0</v>
      </c>
      <c r="CH69" s="35">
        <v>0</v>
      </c>
      <c r="CI69" s="35">
        <v>97</v>
      </c>
      <c r="CJ69" s="35">
        <v>2</v>
      </c>
      <c r="CK69" s="35">
        <v>0</v>
      </c>
      <c r="CL69" s="35">
        <v>45</v>
      </c>
      <c r="CM69" s="35">
        <v>144</v>
      </c>
      <c r="CO69" s="35">
        <v>0</v>
      </c>
      <c r="CP69" s="35">
        <v>0</v>
      </c>
      <c r="CQ69" s="35">
        <v>0</v>
      </c>
      <c r="CR69" s="35">
        <v>58.946899999999999</v>
      </c>
      <c r="CS69" s="35">
        <v>1.2154</v>
      </c>
      <c r="CT69" s="35">
        <v>0</v>
      </c>
      <c r="CU69" s="35">
        <v>27.346500000000002</v>
      </c>
      <c r="CV69" s="35">
        <v>87.508800000000008</v>
      </c>
    </row>
    <row r="70" spans="1:100">
      <c r="A70" s="22">
        <v>65</v>
      </c>
      <c r="B70" s="314">
        <v>1</v>
      </c>
      <c r="C70" s="700"/>
      <c r="D70" s="14" t="s">
        <v>216</v>
      </c>
      <c r="E70" s="14" t="s">
        <v>285</v>
      </c>
      <c r="F70" s="14" t="s">
        <v>286</v>
      </c>
      <c r="G70" s="724"/>
      <c r="H70" s="724"/>
      <c r="I70" s="724"/>
      <c r="J70" s="718"/>
      <c r="K70" s="88">
        <v>20.34</v>
      </c>
      <c r="L70" s="23">
        <v>21.26</v>
      </c>
      <c r="M70" s="28">
        <v>44390.879999999997</v>
      </c>
      <c r="N70" s="28">
        <v>8.3104166666666668</v>
      </c>
      <c r="O70" s="23">
        <v>0</v>
      </c>
      <c r="P70" s="23">
        <v>1.5814610844194901</v>
      </c>
      <c r="Q70" s="28">
        <v>0</v>
      </c>
      <c r="R70" s="28">
        <v>1332</v>
      </c>
      <c r="S70" s="28">
        <v>45731</v>
      </c>
      <c r="U70" s="28">
        <v>2835</v>
      </c>
      <c r="V70" s="28">
        <v>663</v>
      </c>
      <c r="W70" s="28">
        <v>122</v>
      </c>
      <c r="X70" s="28">
        <v>42</v>
      </c>
      <c r="Y70" s="28">
        <v>3662</v>
      </c>
      <c r="AA70" s="35">
        <v>45731</v>
      </c>
      <c r="AB70" s="35">
        <v>45731</v>
      </c>
      <c r="AD70" s="46">
        <v>0.04</v>
      </c>
      <c r="AE70" s="46" t="s">
        <v>55</v>
      </c>
      <c r="AF70" s="35">
        <v>1829</v>
      </c>
      <c r="AG70" s="35">
        <v>2401</v>
      </c>
      <c r="AH70" s="35">
        <v>600</v>
      </c>
      <c r="AI70" s="35">
        <v>200</v>
      </c>
      <c r="AK70" s="35">
        <v>8410.1999999999989</v>
      </c>
      <c r="AL70" s="35">
        <v>-1505.76</v>
      </c>
      <c r="AM70" s="35">
        <v>6904</v>
      </c>
      <c r="AN70" s="35">
        <v>56000</v>
      </c>
      <c r="AO70" s="35">
        <v>116</v>
      </c>
      <c r="AP70" s="35">
        <v>2</v>
      </c>
      <c r="AQ70" s="35">
        <v>0</v>
      </c>
      <c r="AR70" s="35">
        <v>45</v>
      </c>
      <c r="AS70" s="35">
        <v>7067</v>
      </c>
      <c r="AU70" s="102">
        <v>1</v>
      </c>
      <c r="AV70" s="102">
        <v>0.39229999999999998</v>
      </c>
      <c r="AX70" s="35">
        <v>44390.879999999997</v>
      </c>
      <c r="AY70" s="35">
        <v>8.3104166666666668</v>
      </c>
      <c r="AZ70" s="35">
        <v>0</v>
      </c>
      <c r="BA70" s="35">
        <v>1332</v>
      </c>
      <c r="BB70" s="35">
        <v>45731.190416666665</v>
      </c>
      <c r="BD70" s="35">
        <v>26976.337776</v>
      </c>
      <c r="BE70" s="35">
        <v>5.0502402083333333</v>
      </c>
      <c r="BF70" s="35">
        <v>0</v>
      </c>
      <c r="BG70" s="546">
        <v>1332</v>
      </c>
      <c r="BH70" s="35">
        <v>28313.388016208333</v>
      </c>
      <c r="BJ70" s="35">
        <v>2835</v>
      </c>
      <c r="BK70" s="35">
        <v>663</v>
      </c>
      <c r="BL70" s="35">
        <v>122</v>
      </c>
      <c r="BM70" s="35">
        <v>42</v>
      </c>
      <c r="BN70" s="35">
        <v>3662</v>
      </c>
      <c r="BP70" s="35">
        <v>1722.8295000000001</v>
      </c>
      <c r="BQ70" s="35">
        <v>402.9051</v>
      </c>
      <c r="BR70" s="35">
        <v>74.139400000000009</v>
      </c>
      <c r="BS70" s="35">
        <v>25.523400000000002</v>
      </c>
      <c r="BT70" s="35">
        <v>2225.3974000000003</v>
      </c>
      <c r="BV70" s="35">
        <v>1829</v>
      </c>
      <c r="BW70" s="35">
        <v>2401</v>
      </c>
      <c r="BX70" s="35">
        <v>600</v>
      </c>
      <c r="BY70" s="35">
        <v>200</v>
      </c>
      <c r="CA70" s="35">
        <v>1111.4833000000001</v>
      </c>
      <c r="CB70" s="35">
        <v>1459.0877</v>
      </c>
      <c r="CC70" s="35">
        <v>364.62</v>
      </c>
      <c r="CD70" s="35">
        <v>200</v>
      </c>
      <c r="CF70" s="35">
        <v>8410.1999999999989</v>
      </c>
      <c r="CG70" s="35">
        <v>-1505.76</v>
      </c>
      <c r="CH70" s="35">
        <v>6904</v>
      </c>
      <c r="CI70" s="35">
        <v>116</v>
      </c>
      <c r="CJ70" s="35">
        <v>2</v>
      </c>
      <c r="CK70" s="35">
        <v>0</v>
      </c>
      <c r="CL70" s="35">
        <v>45</v>
      </c>
      <c r="CM70" s="35">
        <v>7067</v>
      </c>
      <c r="CO70" s="35">
        <v>5110.8785399999997</v>
      </c>
      <c r="CP70" s="35">
        <v>-915.05035199999998</v>
      </c>
      <c r="CQ70" s="35">
        <v>4195.5608000000002</v>
      </c>
      <c r="CR70" s="35">
        <v>70.493200000000002</v>
      </c>
      <c r="CS70" s="35">
        <v>1.2154</v>
      </c>
      <c r="CT70" s="35">
        <v>0</v>
      </c>
      <c r="CU70" s="35">
        <v>27.346500000000002</v>
      </c>
      <c r="CV70" s="35">
        <v>4294.6158999999998</v>
      </c>
    </row>
    <row r="71" spans="1:100">
      <c r="A71" s="22">
        <v>66</v>
      </c>
      <c r="B71" s="314">
        <v>1</v>
      </c>
      <c r="C71" s="700"/>
      <c r="D71" s="14" t="s">
        <v>216</v>
      </c>
      <c r="E71" s="14" t="s">
        <v>285</v>
      </c>
      <c r="F71" s="14" t="s">
        <v>286</v>
      </c>
      <c r="G71" s="724"/>
      <c r="H71" s="724"/>
      <c r="I71" s="724"/>
      <c r="J71" s="718"/>
      <c r="K71" s="88">
        <v>17</v>
      </c>
      <c r="L71" s="23">
        <v>17.77</v>
      </c>
      <c r="M71" s="28">
        <v>37103.760000000002</v>
      </c>
      <c r="N71" s="28">
        <v>8.3104166666666668</v>
      </c>
      <c r="O71" s="23">
        <v>0</v>
      </c>
      <c r="P71" s="23">
        <v>1.5814610844194901</v>
      </c>
      <c r="Q71" s="28">
        <v>0</v>
      </c>
      <c r="R71" s="28">
        <v>1113</v>
      </c>
      <c r="S71" s="28">
        <v>38225</v>
      </c>
      <c r="U71" s="28">
        <v>2370</v>
      </c>
      <c r="V71" s="28">
        <v>554</v>
      </c>
      <c r="W71" s="28">
        <v>122</v>
      </c>
      <c r="X71" s="28">
        <v>42</v>
      </c>
      <c r="Y71" s="28">
        <v>3088</v>
      </c>
      <c r="AA71" s="35">
        <v>38225</v>
      </c>
      <c r="AB71" s="35">
        <v>38225</v>
      </c>
      <c r="AD71" s="46">
        <v>0</v>
      </c>
      <c r="AE71" s="46">
        <v>0</v>
      </c>
      <c r="AF71" s="35">
        <v>0</v>
      </c>
      <c r="AG71" s="35">
        <v>2007</v>
      </c>
      <c r="AH71" s="35">
        <v>600</v>
      </c>
      <c r="AI71" s="35">
        <v>167</v>
      </c>
      <c r="AK71" s="35">
        <v>24389.64</v>
      </c>
      <c r="AL71" s="35">
        <v>-3389.52</v>
      </c>
      <c r="AM71" s="35">
        <v>21000</v>
      </c>
      <c r="AN71" s="35">
        <v>47000</v>
      </c>
      <c r="AO71" s="35">
        <v>97</v>
      </c>
      <c r="AP71" s="35">
        <v>2</v>
      </c>
      <c r="AQ71" s="35">
        <v>0</v>
      </c>
      <c r="AR71" s="35">
        <v>45</v>
      </c>
      <c r="AS71" s="35">
        <v>21144</v>
      </c>
      <c r="AU71" s="102">
        <v>1</v>
      </c>
      <c r="AV71" s="102">
        <v>0.39229999999999998</v>
      </c>
      <c r="AX71" s="35">
        <v>37103.760000000002</v>
      </c>
      <c r="AY71" s="35">
        <v>8.3104166666666668</v>
      </c>
      <c r="AZ71" s="35">
        <v>0</v>
      </c>
      <c r="BA71" s="35">
        <v>1113</v>
      </c>
      <c r="BB71" s="35">
        <v>38225.070416666669</v>
      </c>
      <c r="BD71" s="35">
        <v>22547.954952000004</v>
      </c>
      <c r="BE71" s="35">
        <v>5.0502402083333333</v>
      </c>
      <c r="BF71" s="35">
        <v>0</v>
      </c>
      <c r="BG71" s="546">
        <v>1113</v>
      </c>
      <c r="BH71" s="35">
        <v>23666.005192208337</v>
      </c>
      <c r="BJ71" s="35">
        <v>2370</v>
      </c>
      <c r="BK71" s="35">
        <v>554</v>
      </c>
      <c r="BL71" s="35">
        <v>122</v>
      </c>
      <c r="BM71" s="35">
        <v>42</v>
      </c>
      <c r="BN71" s="35">
        <v>3088</v>
      </c>
      <c r="BP71" s="35">
        <v>1440.249</v>
      </c>
      <c r="BQ71" s="35">
        <v>336.66579999999999</v>
      </c>
      <c r="BR71" s="35">
        <v>74.139400000000009</v>
      </c>
      <c r="BS71" s="35">
        <v>25.523400000000002</v>
      </c>
      <c r="BT71" s="35">
        <v>1876.5776000000001</v>
      </c>
      <c r="BV71" s="35">
        <v>0</v>
      </c>
      <c r="BW71" s="35">
        <v>2007</v>
      </c>
      <c r="BX71" s="35">
        <v>600</v>
      </c>
      <c r="BY71" s="35">
        <v>167</v>
      </c>
      <c r="CA71" s="35">
        <v>0</v>
      </c>
      <c r="CB71" s="35">
        <v>1219.6539</v>
      </c>
      <c r="CC71" s="35">
        <v>364.62</v>
      </c>
      <c r="CD71" s="35">
        <v>167</v>
      </c>
      <c r="CF71" s="35">
        <v>24389.64</v>
      </c>
      <c r="CG71" s="35">
        <v>-3389.52</v>
      </c>
      <c r="CH71" s="35">
        <v>21000</v>
      </c>
      <c r="CI71" s="35">
        <v>97</v>
      </c>
      <c r="CJ71" s="35">
        <v>2</v>
      </c>
      <c r="CK71" s="35">
        <v>0</v>
      </c>
      <c r="CL71" s="35">
        <v>45</v>
      </c>
      <c r="CM71" s="35">
        <v>21144</v>
      </c>
      <c r="CO71" s="35">
        <v>14821.584228</v>
      </c>
      <c r="CP71" s="35">
        <v>-2059.8113039999998</v>
      </c>
      <c r="CQ71" s="35">
        <v>12761.7</v>
      </c>
      <c r="CR71" s="35">
        <v>58.946899999999999</v>
      </c>
      <c r="CS71" s="35">
        <v>1.2154</v>
      </c>
      <c r="CT71" s="35">
        <v>0</v>
      </c>
      <c r="CU71" s="35">
        <v>27.346500000000002</v>
      </c>
      <c r="CV71" s="35">
        <v>12849.2088</v>
      </c>
    </row>
    <row r="72" spans="1:100">
      <c r="A72" s="22">
        <v>67</v>
      </c>
      <c r="B72" s="314">
        <v>1</v>
      </c>
      <c r="C72" s="700"/>
      <c r="D72" s="14" t="s">
        <v>216</v>
      </c>
      <c r="E72" s="14" t="s">
        <v>285</v>
      </c>
      <c r="F72" s="14" t="s">
        <v>286</v>
      </c>
      <c r="G72" s="724"/>
      <c r="H72" s="724"/>
      <c r="I72" s="724"/>
      <c r="J72" s="718"/>
      <c r="K72" s="88">
        <v>17</v>
      </c>
      <c r="L72" s="23">
        <v>17.77</v>
      </c>
      <c r="M72" s="28">
        <v>37103.760000000002</v>
      </c>
      <c r="N72" s="28">
        <v>8.3104166666666668</v>
      </c>
      <c r="O72" s="23">
        <v>0</v>
      </c>
      <c r="P72" s="23">
        <v>1.5814610844194901</v>
      </c>
      <c r="Q72" s="28">
        <v>0</v>
      </c>
      <c r="R72" s="28">
        <v>1113</v>
      </c>
      <c r="S72" s="28">
        <v>38225</v>
      </c>
      <c r="U72" s="28">
        <v>2370</v>
      </c>
      <c r="V72" s="28">
        <v>554</v>
      </c>
      <c r="W72" s="28">
        <v>122</v>
      </c>
      <c r="X72" s="28">
        <v>42</v>
      </c>
      <c r="Y72" s="28">
        <v>3088</v>
      </c>
      <c r="AA72" s="35">
        <v>38225</v>
      </c>
      <c r="AB72" s="35">
        <v>38225</v>
      </c>
      <c r="AD72" s="46">
        <v>0</v>
      </c>
      <c r="AE72" s="46">
        <v>0</v>
      </c>
      <c r="AF72" s="35">
        <v>0</v>
      </c>
      <c r="AG72" s="35">
        <v>2007</v>
      </c>
      <c r="AH72" s="35">
        <v>600</v>
      </c>
      <c r="AI72" s="35">
        <v>111</v>
      </c>
      <c r="AK72" s="35">
        <v>8410.1999999999989</v>
      </c>
      <c r="AL72" s="35">
        <v>-1505.76</v>
      </c>
      <c r="AM72" s="35">
        <v>6904</v>
      </c>
      <c r="AN72" s="35">
        <v>47000</v>
      </c>
      <c r="AO72" s="35">
        <v>97</v>
      </c>
      <c r="AP72" s="35">
        <v>2</v>
      </c>
      <c r="AQ72" s="35">
        <v>0</v>
      </c>
      <c r="AR72" s="35">
        <v>45</v>
      </c>
      <c r="AS72" s="35">
        <v>7048</v>
      </c>
      <c r="AU72" s="102">
        <v>1</v>
      </c>
      <c r="AV72" s="102">
        <v>0.39229999999999998</v>
      </c>
      <c r="AX72" s="35">
        <v>37103.760000000002</v>
      </c>
      <c r="AY72" s="35">
        <v>8.3104166666666668</v>
      </c>
      <c r="AZ72" s="35">
        <v>0</v>
      </c>
      <c r="BA72" s="35">
        <v>1113</v>
      </c>
      <c r="BB72" s="35">
        <v>38225.070416666669</v>
      </c>
      <c r="BD72" s="35">
        <v>22547.954952000004</v>
      </c>
      <c r="BE72" s="35">
        <v>5.0502402083333333</v>
      </c>
      <c r="BF72" s="35">
        <v>0</v>
      </c>
      <c r="BG72" s="546">
        <v>1113</v>
      </c>
      <c r="BH72" s="35">
        <v>23666.005192208337</v>
      </c>
      <c r="BJ72" s="35">
        <v>2370</v>
      </c>
      <c r="BK72" s="35">
        <v>554</v>
      </c>
      <c r="BL72" s="35">
        <v>122</v>
      </c>
      <c r="BM72" s="35">
        <v>42</v>
      </c>
      <c r="BN72" s="35">
        <v>3088</v>
      </c>
      <c r="BP72" s="35">
        <v>1440.249</v>
      </c>
      <c r="BQ72" s="35">
        <v>336.66579999999999</v>
      </c>
      <c r="BR72" s="35">
        <v>74.139400000000009</v>
      </c>
      <c r="BS72" s="35">
        <v>25.523400000000002</v>
      </c>
      <c r="BT72" s="35">
        <v>1876.5776000000001</v>
      </c>
      <c r="BV72" s="35">
        <v>0</v>
      </c>
      <c r="BW72" s="35">
        <v>2007</v>
      </c>
      <c r="BX72" s="35">
        <v>600</v>
      </c>
      <c r="BY72" s="35">
        <v>111</v>
      </c>
      <c r="CA72" s="35">
        <v>0</v>
      </c>
      <c r="CB72" s="35">
        <v>1219.6539</v>
      </c>
      <c r="CC72" s="35">
        <v>364.62</v>
      </c>
      <c r="CD72" s="35">
        <v>111</v>
      </c>
      <c r="CF72" s="35">
        <v>8410.1999999999989</v>
      </c>
      <c r="CG72" s="35">
        <v>-1505.76</v>
      </c>
      <c r="CH72" s="35">
        <v>6904</v>
      </c>
      <c r="CI72" s="35">
        <v>97</v>
      </c>
      <c r="CJ72" s="35">
        <v>2</v>
      </c>
      <c r="CK72" s="35">
        <v>0</v>
      </c>
      <c r="CL72" s="35">
        <v>45</v>
      </c>
      <c r="CM72" s="35">
        <v>7048</v>
      </c>
      <c r="CO72" s="35">
        <v>5110.8785399999997</v>
      </c>
      <c r="CP72" s="35">
        <v>-915.05035199999998</v>
      </c>
      <c r="CQ72" s="35">
        <v>4195.5608000000002</v>
      </c>
      <c r="CR72" s="35">
        <v>58.946899999999999</v>
      </c>
      <c r="CS72" s="35">
        <v>1.2154</v>
      </c>
      <c r="CT72" s="35">
        <v>0</v>
      </c>
      <c r="CU72" s="35">
        <v>27.346500000000002</v>
      </c>
      <c r="CV72" s="35">
        <v>4283.0695999999998</v>
      </c>
    </row>
    <row r="73" spans="1:100">
      <c r="A73" s="22">
        <v>68</v>
      </c>
      <c r="B73" s="314">
        <v>1</v>
      </c>
      <c r="C73" s="700"/>
      <c r="D73" s="14" t="s">
        <v>216</v>
      </c>
      <c r="E73" s="14" t="s">
        <v>285</v>
      </c>
      <c r="F73" s="14" t="s">
        <v>286</v>
      </c>
      <c r="G73" s="724"/>
      <c r="H73" s="724"/>
      <c r="I73" s="724"/>
      <c r="J73" s="718"/>
      <c r="K73" s="88">
        <v>17</v>
      </c>
      <c r="L73" s="23">
        <v>17.77</v>
      </c>
      <c r="M73" s="28">
        <v>37103.760000000002</v>
      </c>
      <c r="N73" s="28">
        <v>8.3104166666666668</v>
      </c>
      <c r="O73" s="23">
        <v>0</v>
      </c>
      <c r="P73" s="23">
        <v>1.5814610844194901</v>
      </c>
      <c r="Q73" s="28">
        <v>0</v>
      </c>
      <c r="R73" s="28">
        <v>1113</v>
      </c>
      <c r="S73" s="28">
        <v>38225</v>
      </c>
      <c r="U73" s="28">
        <v>2370</v>
      </c>
      <c r="V73" s="28">
        <v>554</v>
      </c>
      <c r="W73" s="28">
        <v>122</v>
      </c>
      <c r="X73" s="28">
        <v>42</v>
      </c>
      <c r="Y73" s="28">
        <v>3088</v>
      </c>
      <c r="AA73" s="35">
        <v>38225</v>
      </c>
      <c r="AB73" s="35">
        <v>38225</v>
      </c>
      <c r="AD73" s="46">
        <v>0.04</v>
      </c>
      <c r="AE73" s="46" t="s">
        <v>55</v>
      </c>
      <c r="AF73" s="35">
        <v>1529</v>
      </c>
      <c r="AG73" s="35">
        <v>2007</v>
      </c>
      <c r="AH73" s="35">
        <v>600</v>
      </c>
      <c r="AI73" s="35">
        <v>278</v>
      </c>
      <c r="AK73" s="35">
        <v>8410.1999999999989</v>
      </c>
      <c r="AL73" s="35">
        <v>-1505.76</v>
      </c>
      <c r="AM73" s="35">
        <v>6904</v>
      </c>
      <c r="AN73" s="35">
        <v>47000</v>
      </c>
      <c r="AO73" s="35">
        <v>97</v>
      </c>
      <c r="AP73" s="35">
        <v>2</v>
      </c>
      <c r="AQ73" s="35">
        <v>0</v>
      </c>
      <c r="AR73" s="35">
        <v>45</v>
      </c>
      <c r="AS73" s="35">
        <v>7048</v>
      </c>
      <c r="AU73" s="102">
        <v>1</v>
      </c>
      <c r="AV73" s="102">
        <v>0.39229999999999998</v>
      </c>
      <c r="AX73" s="35">
        <v>37103.760000000002</v>
      </c>
      <c r="AY73" s="35">
        <v>8.3104166666666668</v>
      </c>
      <c r="AZ73" s="35">
        <v>0</v>
      </c>
      <c r="BA73" s="35">
        <v>1113</v>
      </c>
      <c r="BB73" s="35">
        <v>38225.070416666669</v>
      </c>
      <c r="BD73" s="35">
        <v>22547.954952000004</v>
      </c>
      <c r="BE73" s="35">
        <v>5.0502402083333333</v>
      </c>
      <c r="BF73" s="35">
        <v>0</v>
      </c>
      <c r="BG73" s="546">
        <v>1113</v>
      </c>
      <c r="BH73" s="35">
        <v>23666.005192208337</v>
      </c>
      <c r="BJ73" s="35">
        <v>2370</v>
      </c>
      <c r="BK73" s="35">
        <v>554</v>
      </c>
      <c r="BL73" s="35">
        <v>122</v>
      </c>
      <c r="BM73" s="35">
        <v>42</v>
      </c>
      <c r="BN73" s="35">
        <v>3088</v>
      </c>
      <c r="BP73" s="35">
        <v>1440.249</v>
      </c>
      <c r="BQ73" s="35">
        <v>336.66579999999999</v>
      </c>
      <c r="BR73" s="35">
        <v>74.139400000000009</v>
      </c>
      <c r="BS73" s="35">
        <v>25.523400000000002</v>
      </c>
      <c r="BT73" s="35">
        <v>1876.5776000000001</v>
      </c>
      <c r="BV73" s="35">
        <v>1529</v>
      </c>
      <c r="BW73" s="35">
        <v>2007</v>
      </c>
      <c r="BX73" s="35">
        <v>600</v>
      </c>
      <c r="BY73" s="35">
        <v>278</v>
      </c>
      <c r="CA73" s="35">
        <v>929.17330000000004</v>
      </c>
      <c r="CB73" s="35">
        <v>1219.6539</v>
      </c>
      <c r="CC73" s="35">
        <v>364.62</v>
      </c>
      <c r="CD73" s="35">
        <v>278</v>
      </c>
      <c r="CF73" s="35">
        <v>8410.1999999999989</v>
      </c>
      <c r="CG73" s="35">
        <v>-1505.76</v>
      </c>
      <c r="CH73" s="35">
        <v>6904</v>
      </c>
      <c r="CI73" s="35">
        <v>97</v>
      </c>
      <c r="CJ73" s="35">
        <v>2</v>
      </c>
      <c r="CK73" s="35">
        <v>0</v>
      </c>
      <c r="CL73" s="35">
        <v>45</v>
      </c>
      <c r="CM73" s="35">
        <v>7048</v>
      </c>
      <c r="CO73" s="35">
        <v>5110.8785399999997</v>
      </c>
      <c r="CP73" s="35">
        <v>-915.05035199999998</v>
      </c>
      <c r="CQ73" s="35">
        <v>4195.5608000000002</v>
      </c>
      <c r="CR73" s="35">
        <v>58.946899999999999</v>
      </c>
      <c r="CS73" s="35">
        <v>1.2154</v>
      </c>
      <c r="CT73" s="35">
        <v>0</v>
      </c>
      <c r="CU73" s="35">
        <v>27.346500000000002</v>
      </c>
      <c r="CV73" s="35">
        <v>4283.0695999999998</v>
      </c>
    </row>
    <row r="74" spans="1:100">
      <c r="A74" s="22">
        <v>69</v>
      </c>
      <c r="B74" s="314">
        <v>1</v>
      </c>
      <c r="C74" s="700"/>
      <c r="D74" s="14" t="s">
        <v>216</v>
      </c>
      <c r="E74" s="14" t="s">
        <v>263</v>
      </c>
      <c r="F74" s="14" t="s">
        <v>264</v>
      </c>
      <c r="G74" s="724"/>
      <c r="H74" s="724"/>
      <c r="I74" s="724"/>
      <c r="J74" s="719"/>
      <c r="K74" s="88">
        <v>17.93</v>
      </c>
      <c r="L74" s="23">
        <v>17.77</v>
      </c>
      <c r="M74" s="28">
        <v>37103.760000000002</v>
      </c>
      <c r="N74" s="28">
        <v>0</v>
      </c>
      <c r="O74" s="23">
        <v>240</v>
      </c>
      <c r="P74" s="23">
        <v>1.5814610844194901</v>
      </c>
      <c r="Q74" s="28">
        <v>6745</v>
      </c>
      <c r="R74" s="28">
        <v>1113</v>
      </c>
      <c r="S74" s="28">
        <v>44962</v>
      </c>
      <c r="U74" s="28">
        <v>2788</v>
      </c>
      <c r="V74" s="28">
        <v>652</v>
      </c>
      <c r="W74" s="28">
        <v>122</v>
      </c>
      <c r="X74" s="28">
        <v>42</v>
      </c>
      <c r="Y74" s="28">
        <v>3604</v>
      </c>
      <c r="AA74" s="35">
        <v>38217</v>
      </c>
      <c r="AB74" s="35">
        <v>44962</v>
      </c>
      <c r="AD74" s="46">
        <v>3.2631578947368442E-2</v>
      </c>
      <c r="AE74" s="46" t="s">
        <v>129</v>
      </c>
      <c r="AF74" s="35">
        <v>1467</v>
      </c>
      <c r="AG74" s="35">
        <v>2006</v>
      </c>
      <c r="AH74" s="35">
        <v>600</v>
      </c>
      <c r="AI74" s="35">
        <v>0</v>
      </c>
      <c r="AK74" s="35">
        <v>19132.824000000008</v>
      </c>
      <c r="AL74" s="35">
        <v>-2741.1959999999981</v>
      </c>
      <c r="AM74" s="35">
        <v>16392</v>
      </c>
      <c r="AN74" s="35">
        <v>47000</v>
      </c>
      <c r="AO74" s="35">
        <v>97</v>
      </c>
      <c r="AP74" s="35">
        <v>2</v>
      </c>
      <c r="AQ74" s="35">
        <v>0</v>
      </c>
      <c r="AR74" s="35">
        <v>45</v>
      </c>
      <c r="AS74" s="35">
        <v>16536</v>
      </c>
      <c r="AU74" s="102">
        <v>0.99979452406636871</v>
      </c>
      <c r="AV74" s="102">
        <v>8.7599999999999997E-2</v>
      </c>
      <c r="AX74" s="35">
        <v>37096.136070272769</v>
      </c>
      <c r="AY74" s="35">
        <v>0</v>
      </c>
      <c r="AZ74" s="35">
        <v>6743.6140648276569</v>
      </c>
      <c r="BA74" s="35">
        <v>1112.7713052858683</v>
      </c>
      <c r="BB74" s="35">
        <v>44952.521440386292</v>
      </c>
      <c r="BD74" s="35">
        <v>33846.514550516877</v>
      </c>
      <c r="BE74" s="35">
        <v>0</v>
      </c>
      <c r="BF74" s="35">
        <v>6152.8734727487545</v>
      </c>
      <c r="BG74" s="546">
        <v>1112.7713052858683</v>
      </c>
      <c r="BH74" s="35">
        <v>41112.159328551497</v>
      </c>
      <c r="BJ74" s="35">
        <v>2787.4271330970359</v>
      </c>
      <c r="BK74" s="35">
        <v>651.86602969127239</v>
      </c>
      <c r="BL74" s="35">
        <v>121.97493193609698</v>
      </c>
      <c r="BM74" s="35">
        <v>41.991370010787485</v>
      </c>
      <c r="BN74" s="35">
        <v>3603.259464735193</v>
      </c>
      <c r="BP74" s="35">
        <v>2543.2485162377357</v>
      </c>
      <c r="BQ74" s="35">
        <v>594.76256549031689</v>
      </c>
      <c r="BR74" s="35">
        <v>111.28992789849488</v>
      </c>
      <c r="BS74" s="35">
        <v>38.312925997842498</v>
      </c>
      <c r="BT74" s="35">
        <v>3287.6139356243898</v>
      </c>
      <c r="BV74" s="35">
        <v>1466.6985668053628</v>
      </c>
      <c r="BW74" s="35">
        <v>2005.5878152771356</v>
      </c>
      <c r="BX74" s="35">
        <v>599.87671443982117</v>
      </c>
      <c r="BY74" s="35">
        <v>0</v>
      </c>
      <c r="CA74" s="35">
        <v>1338.215772353213</v>
      </c>
      <c r="CB74" s="35">
        <v>1829.8983226588584</v>
      </c>
      <c r="CC74" s="35">
        <v>547.32751425489278</v>
      </c>
      <c r="CD74" s="35">
        <v>0</v>
      </c>
      <c r="CF74" s="35">
        <v>19128.892665125604</v>
      </c>
      <c r="CG74" s="35">
        <v>-2740.6327501926316</v>
      </c>
      <c r="CH74" s="35">
        <v>16388.631838495916</v>
      </c>
      <c r="CI74" s="35">
        <v>96.980068834437759</v>
      </c>
      <c r="CJ74" s="35">
        <v>1.9995890481327374</v>
      </c>
      <c r="CK74" s="35">
        <v>0</v>
      </c>
      <c r="CL74" s="35">
        <v>44.990753582986592</v>
      </c>
      <c r="CM74" s="35">
        <v>16532.602249961474</v>
      </c>
      <c r="CO74" s="35">
        <v>17453.2016676606</v>
      </c>
      <c r="CP74" s="35">
        <v>-2500.5533212757573</v>
      </c>
      <c r="CQ74" s="35">
        <v>14952.987689443673</v>
      </c>
      <c r="CR74" s="35">
        <v>88.48461480454101</v>
      </c>
      <c r="CS74" s="35">
        <v>1.8244250475163095</v>
      </c>
      <c r="CT74" s="35">
        <v>0</v>
      </c>
      <c r="CU74" s="35">
        <v>41.04956356911697</v>
      </c>
      <c r="CV74" s="35">
        <v>15084.346292864848</v>
      </c>
    </row>
    <row r="75" spans="1:100">
      <c r="A75" s="22">
        <v>70</v>
      </c>
      <c r="B75" s="314">
        <v>1</v>
      </c>
      <c r="C75" s="700"/>
      <c r="D75" s="14" t="s">
        <v>216</v>
      </c>
      <c r="E75" s="14" t="s">
        <v>285</v>
      </c>
      <c r="F75" s="14" t="s">
        <v>286</v>
      </c>
      <c r="G75" s="724"/>
      <c r="H75" s="724"/>
      <c r="I75" s="724"/>
      <c r="J75" s="718"/>
      <c r="K75" s="88">
        <v>17</v>
      </c>
      <c r="L75" s="23">
        <v>17.77</v>
      </c>
      <c r="M75" s="28">
        <v>37103.760000000002</v>
      </c>
      <c r="N75" s="28">
        <v>8.3104166666666668</v>
      </c>
      <c r="O75" s="23">
        <v>0</v>
      </c>
      <c r="P75" s="23">
        <v>1.5814610844194901</v>
      </c>
      <c r="Q75" s="28">
        <v>0</v>
      </c>
      <c r="R75" s="28">
        <v>1113</v>
      </c>
      <c r="S75" s="28">
        <v>38225</v>
      </c>
      <c r="U75" s="28">
        <v>2370</v>
      </c>
      <c r="V75" s="28">
        <v>554</v>
      </c>
      <c r="W75" s="28">
        <v>122</v>
      </c>
      <c r="X75" s="28">
        <v>42</v>
      </c>
      <c r="Y75" s="28">
        <v>3088</v>
      </c>
      <c r="AA75" s="35">
        <v>38225</v>
      </c>
      <c r="AB75" s="35">
        <v>38225</v>
      </c>
      <c r="AD75" s="46">
        <v>3.2631578947368442E-2</v>
      </c>
      <c r="AE75" s="46" t="s">
        <v>129</v>
      </c>
      <c r="AF75" s="35">
        <v>1247</v>
      </c>
      <c r="AG75" s="35">
        <v>2007</v>
      </c>
      <c r="AH75" s="35">
        <v>600</v>
      </c>
      <c r="AI75" s="35">
        <v>0</v>
      </c>
      <c r="AK75" s="35">
        <v>19132.824000000008</v>
      </c>
      <c r="AL75" s="35">
        <v>-2741.1959999999981</v>
      </c>
      <c r="AM75" s="35">
        <v>16392</v>
      </c>
      <c r="AN75" s="35">
        <v>47000</v>
      </c>
      <c r="AO75" s="35">
        <v>97</v>
      </c>
      <c r="AP75" s="35">
        <v>2</v>
      </c>
      <c r="AQ75" s="35">
        <v>0</v>
      </c>
      <c r="AR75" s="35">
        <v>45</v>
      </c>
      <c r="AS75" s="35">
        <v>16536</v>
      </c>
      <c r="AU75" s="102">
        <v>1</v>
      </c>
      <c r="AV75" s="102">
        <v>0.39229999999999998</v>
      </c>
      <c r="AX75" s="35">
        <v>37103.760000000002</v>
      </c>
      <c r="AY75" s="35">
        <v>8.3104166666666668</v>
      </c>
      <c r="AZ75" s="35">
        <v>0</v>
      </c>
      <c r="BA75" s="35">
        <v>1113</v>
      </c>
      <c r="BB75" s="35">
        <v>38225.070416666669</v>
      </c>
      <c r="BD75" s="35">
        <v>22547.954952000004</v>
      </c>
      <c r="BE75" s="35">
        <v>5.0502402083333333</v>
      </c>
      <c r="BF75" s="35">
        <v>0</v>
      </c>
      <c r="BG75" s="546">
        <v>1113</v>
      </c>
      <c r="BH75" s="35">
        <v>23666.005192208337</v>
      </c>
      <c r="BJ75" s="35">
        <v>2370</v>
      </c>
      <c r="BK75" s="35">
        <v>554</v>
      </c>
      <c r="BL75" s="35">
        <v>122</v>
      </c>
      <c r="BM75" s="35">
        <v>42</v>
      </c>
      <c r="BN75" s="35">
        <v>3088</v>
      </c>
      <c r="BP75" s="35">
        <v>1440.249</v>
      </c>
      <c r="BQ75" s="35">
        <v>336.66579999999999</v>
      </c>
      <c r="BR75" s="35">
        <v>74.139400000000009</v>
      </c>
      <c r="BS75" s="35">
        <v>25.523400000000002</v>
      </c>
      <c r="BT75" s="35">
        <v>1876.5776000000001</v>
      </c>
      <c r="BV75" s="35">
        <v>1247</v>
      </c>
      <c r="BW75" s="35">
        <v>2007</v>
      </c>
      <c r="BX75" s="35">
        <v>600</v>
      </c>
      <c r="BY75" s="35">
        <v>0</v>
      </c>
      <c r="CA75" s="35">
        <v>757.80190000000005</v>
      </c>
      <c r="CB75" s="35">
        <v>1219.6539</v>
      </c>
      <c r="CC75" s="35">
        <v>364.62</v>
      </c>
      <c r="CD75" s="35">
        <v>0</v>
      </c>
      <c r="CF75" s="35">
        <v>19132.824000000008</v>
      </c>
      <c r="CG75" s="35">
        <v>-2741.1959999999981</v>
      </c>
      <c r="CH75" s="35">
        <v>16392</v>
      </c>
      <c r="CI75" s="35">
        <v>97</v>
      </c>
      <c r="CJ75" s="35">
        <v>2</v>
      </c>
      <c r="CK75" s="35">
        <v>0</v>
      </c>
      <c r="CL75" s="35">
        <v>45</v>
      </c>
      <c r="CM75" s="35">
        <v>16536</v>
      </c>
      <c r="CO75" s="35">
        <v>11627.017144800006</v>
      </c>
      <c r="CP75" s="35">
        <v>-1665.824809199999</v>
      </c>
      <c r="CQ75" s="35">
        <v>9961.4184000000005</v>
      </c>
      <c r="CR75" s="35">
        <v>58.946899999999999</v>
      </c>
      <c r="CS75" s="35">
        <v>1.2154</v>
      </c>
      <c r="CT75" s="35">
        <v>0</v>
      </c>
      <c r="CU75" s="35">
        <v>27.346500000000002</v>
      </c>
      <c r="CV75" s="35">
        <v>10048.9272</v>
      </c>
    </row>
    <row r="76" spans="1:100">
      <c r="A76" s="22">
        <v>71</v>
      </c>
      <c r="B76" s="314">
        <v>1</v>
      </c>
      <c r="C76" s="700"/>
      <c r="D76" s="14" t="s">
        <v>216</v>
      </c>
      <c r="E76" s="14" t="s">
        <v>285</v>
      </c>
      <c r="F76" s="14" t="s">
        <v>286</v>
      </c>
      <c r="G76" s="724"/>
      <c r="H76" s="724"/>
      <c r="I76" s="724"/>
      <c r="J76" s="718"/>
      <c r="K76" s="88">
        <v>17</v>
      </c>
      <c r="L76" s="23">
        <v>17.77</v>
      </c>
      <c r="M76" s="28">
        <v>37103.760000000002</v>
      </c>
      <c r="N76" s="28">
        <v>8.3104166666666668</v>
      </c>
      <c r="O76" s="23">
        <v>0</v>
      </c>
      <c r="P76" s="23">
        <v>1.5814610844194901</v>
      </c>
      <c r="Q76" s="28">
        <v>0</v>
      </c>
      <c r="R76" s="28">
        <v>1113</v>
      </c>
      <c r="S76" s="28">
        <v>38225</v>
      </c>
      <c r="U76" s="28">
        <v>2370</v>
      </c>
      <c r="V76" s="28">
        <v>554</v>
      </c>
      <c r="W76" s="28">
        <v>122</v>
      </c>
      <c r="X76" s="28">
        <v>42</v>
      </c>
      <c r="Y76" s="28">
        <v>3088</v>
      </c>
      <c r="AA76" s="35">
        <v>38225</v>
      </c>
      <c r="AB76" s="35">
        <v>38225</v>
      </c>
      <c r="AD76" s="46">
        <v>3.2631578947368442E-2</v>
      </c>
      <c r="AE76" s="46" t="s">
        <v>129</v>
      </c>
      <c r="AF76" s="35">
        <v>1247</v>
      </c>
      <c r="AG76" s="35">
        <v>2007</v>
      </c>
      <c r="AH76" s="35">
        <v>600</v>
      </c>
      <c r="AI76" s="35">
        <v>0</v>
      </c>
      <c r="AK76" s="35">
        <v>19132.824000000008</v>
      </c>
      <c r="AL76" s="35">
        <v>-2741.1959999999981</v>
      </c>
      <c r="AM76" s="35">
        <v>16392</v>
      </c>
      <c r="AN76" s="35">
        <v>47000</v>
      </c>
      <c r="AO76" s="35">
        <v>97</v>
      </c>
      <c r="AP76" s="35">
        <v>2</v>
      </c>
      <c r="AQ76" s="35">
        <v>0</v>
      </c>
      <c r="AR76" s="35">
        <v>45</v>
      </c>
      <c r="AS76" s="35">
        <v>16536</v>
      </c>
      <c r="AU76" s="102">
        <v>1</v>
      </c>
      <c r="AV76" s="102">
        <v>0.39229999999999998</v>
      </c>
      <c r="AX76" s="35">
        <v>37103.760000000002</v>
      </c>
      <c r="AY76" s="35">
        <v>8.3104166666666668</v>
      </c>
      <c r="AZ76" s="35">
        <v>0</v>
      </c>
      <c r="BA76" s="35">
        <v>1113</v>
      </c>
      <c r="BB76" s="35">
        <v>38225.070416666669</v>
      </c>
      <c r="BD76" s="35">
        <v>22547.954952000004</v>
      </c>
      <c r="BE76" s="35">
        <v>5.0502402083333333</v>
      </c>
      <c r="BF76" s="35">
        <v>0</v>
      </c>
      <c r="BG76" s="546">
        <v>1113</v>
      </c>
      <c r="BH76" s="35">
        <v>23666.005192208337</v>
      </c>
      <c r="BJ76" s="35">
        <v>2370</v>
      </c>
      <c r="BK76" s="35">
        <v>554</v>
      </c>
      <c r="BL76" s="35">
        <v>122</v>
      </c>
      <c r="BM76" s="35">
        <v>42</v>
      </c>
      <c r="BN76" s="35">
        <v>3088</v>
      </c>
      <c r="BP76" s="35">
        <v>1440.249</v>
      </c>
      <c r="BQ76" s="35">
        <v>336.66579999999999</v>
      </c>
      <c r="BR76" s="35">
        <v>74.139400000000009</v>
      </c>
      <c r="BS76" s="35">
        <v>25.523400000000002</v>
      </c>
      <c r="BT76" s="35">
        <v>1876.5776000000001</v>
      </c>
      <c r="BV76" s="35">
        <v>1247</v>
      </c>
      <c r="BW76" s="35">
        <v>2007</v>
      </c>
      <c r="BX76" s="35">
        <v>600</v>
      </c>
      <c r="BY76" s="35">
        <v>0</v>
      </c>
      <c r="CA76" s="35">
        <v>757.80190000000005</v>
      </c>
      <c r="CB76" s="35">
        <v>1219.6539</v>
      </c>
      <c r="CC76" s="35">
        <v>364.62</v>
      </c>
      <c r="CD76" s="35">
        <v>0</v>
      </c>
      <c r="CF76" s="35">
        <v>19132.824000000008</v>
      </c>
      <c r="CG76" s="35">
        <v>-2741.1959999999981</v>
      </c>
      <c r="CH76" s="35">
        <v>16392</v>
      </c>
      <c r="CI76" s="35">
        <v>97</v>
      </c>
      <c r="CJ76" s="35">
        <v>2</v>
      </c>
      <c r="CK76" s="35">
        <v>0</v>
      </c>
      <c r="CL76" s="35">
        <v>45</v>
      </c>
      <c r="CM76" s="35">
        <v>16536</v>
      </c>
      <c r="CO76" s="35">
        <v>11627.017144800006</v>
      </c>
      <c r="CP76" s="35">
        <v>-1665.824809199999</v>
      </c>
      <c r="CQ76" s="35">
        <v>9961.4184000000005</v>
      </c>
      <c r="CR76" s="35">
        <v>58.946899999999999</v>
      </c>
      <c r="CS76" s="35">
        <v>1.2154</v>
      </c>
      <c r="CT76" s="35">
        <v>0</v>
      </c>
      <c r="CU76" s="35">
        <v>27.346500000000002</v>
      </c>
      <c r="CV76" s="35">
        <v>10048.9272</v>
      </c>
    </row>
    <row r="77" spans="1:100">
      <c r="A77" s="22">
        <v>72</v>
      </c>
      <c r="B77" s="314">
        <v>1</v>
      </c>
      <c r="C77" s="700"/>
      <c r="D77" s="14" t="s">
        <v>216</v>
      </c>
      <c r="E77" s="14" t="s">
        <v>285</v>
      </c>
      <c r="F77" s="14" t="s">
        <v>286</v>
      </c>
      <c r="G77" s="724"/>
      <c r="H77" s="724"/>
      <c r="I77" s="724"/>
      <c r="J77" s="718"/>
      <c r="K77" s="88">
        <v>19.78</v>
      </c>
      <c r="L77" s="23">
        <v>20.14</v>
      </c>
      <c r="M77" s="28">
        <v>42052.32</v>
      </c>
      <c r="N77" s="28">
        <v>8.3104166666666668</v>
      </c>
      <c r="O77" s="23">
        <v>0</v>
      </c>
      <c r="P77" s="23">
        <v>1.5814610844194901</v>
      </c>
      <c r="Q77" s="28">
        <v>0</v>
      </c>
      <c r="R77" s="28">
        <v>1262</v>
      </c>
      <c r="S77" s="28">
        <v>43323</v>
      </c>
      <c r="U77" s="28">
        <v>2686</v>
      </c>
      <c r="V77" s="28">
        <v>628</v>
      </c>
      <c r="W77" s="28">
        <v>122</v>
      </c>
      <c r="X77" s="28">
        <v>42</v>
      </c>
      <c r="Y77" s="28">
        <v>3478</v>
      </c>
      <c r="AA77" s="35">
        <v>43323</v>
      </c>
      <c r="AB77" s="35">
        <v>43323</v>
      </c>
      <c r="AD77" s="46">
        <v>3.2631578947368442E-2</v>
      </c>
      <c r="AE77" s="46" t="s">
        <v>129</v>
      </c>
      <c r="AF77" s="35">
        <v>1414</v>
      </c>
      <c r="AG77" s="35">
        <v>2274</v>
      </c>
      <c r="AH77" s="35">
        <v>600</v>
      </c>
      <c r="AI77" s="35">
        <v>0</v>
      </c>
      <c r="AK77" s="35">
        <v>19132.824000000008</v>
      </c>
      <c r="AL77" s="35">
        <v>-2741.1959999999981</v>
      </c>
      <c r="AM77" s="35">
        <v>16392</v>
      </c>
      <c r="AN77" s="35">
        <v>53000</v>
      </c>
      <c r="AO77" s="35">
        <v>109</v>
      </c>
      <c r="AP77" s="35">
        <v>2</v>
      </c>
      <c r="AQ77" s="35">
        <v>0</v>
      </c>
      <c r="AR77" s="35">
        <v>45</v>
      </c>
      <c r="AS77" s="35">
        <v>16548</v>
      </c>
      <c r="AU77" s="102">
        <v>1</v>
      </c>
      <c r="AV77" s="102">
        <v>0.39229999999999998</v>
      </c>
      <c r="AX77" s="35">
        <v>42052.32</v>
      </c>
      <c r="AY77" s="35">
        <v>8.3104166666666668</v>
      </c>
      <c r="AZ77" s="35">
        <v>0</v>
      </c>
      <c r="BA77" s="35">
        <v>1262</v>
      </c>
      <c r="BB77" s="35">
        <v>43322.630416666667</v>
      </c>
      <c r="BD77" s="35">
        <v>25555.194864000001</v>
      </c>
      <c r="BE77" s="35">
        <v>5.0502402083333333</v>
      </c>
      <c r="BF77" s="35">
        <v>0</v>
      </c>
      <c r="BG77" s="546">
        <v>1262</v>
      </c>
      <c r="BH77" s="35">
        <v>26822.245104208334</v>
      </c>
      <c r="BJ77" s="35">
        <v>2686</v>
      </c>
      <c r="BK77" s="35">
        <v>628</v>
      </c>
      <c r="BL77" s="35">
        <v>122</v>
      </c>
      <c r="BM77" s="35">
        <v>42</v>
      </c>
      <c r="BN77" s="35">
        <v>3478</v>
      </c>
      <c r="BP77" s="35">
        <v>1632.2822000000001</v>
      </c>
      <c r="BQ77" s="35">
        <v>381.63560000000001</v>
      </c>
      <c r="BR77" s="35">
        <v>74.139400000000009</v>
      </c>
      <c r="BS77" s="35">
        <v>25.523400000000002</v>
      </c>
      <c r="BT77" s="35">
        <v>2113.5806000000002</v>
      </c>
      <c r="BV77" s="35">
        <v>1414</v>
      </c>
      <c r="BW77" s="35">
        <v>2274</v>
      </c>
      <c r="BX77" s="35">
        <v>600</v>
      </c>
      <c r="BY77" s="35">
        <v>0</v>
      </c>
      <c r="CA77" s="35">
        <v>859.28780000000006</v>
      </c>
      <c r="CB77" s="35">
        <v>1381.9098000000001</v>
      </c>
      <c r="CC77" s="35">
        <v>364.62</v>
      </c>
      <c r="CD77" s="35">
        <v>0</v>
      </c>
      <c r="CF77" s="35">
        <v>19132.824000000008</v>
      </c>
      <c r="CG77" s="35">
        <v>-2741.1959999999981</v>
      </c>
      <c r="CH77" s="35">
        <v>16392</v>
      </c>
      <c r="CI77" s="35">
        <v>109</v>
      </c>
      <c r="CJ77" s="35">
        <v>2</v>
      </c>
      <c r="CK77" s="35">
        <v>0</v>
      </c>
      <c r="CL77" s="35">
        <v>45</v>
      </c>
      <c r="CM77" s="35">
        <v>16548</v>
      </c>
      <c r="CO77" s="35">
        <v>11627.017144800006</v>
      </c>
      <c r="CP77" s="35">
        <v>-1665.824809199999</v>
      </c>
      <c r="CQ77" s="35">
        <v>9961.4184000000005</v>
      </c>
      <c r="CR77" s="35">
        <v>66.2393</v>
      </c>
      <c r="CS77" s="35">
        <v>1.2154</v>
      </c>
      <c r="CT77" s="35">
        <v>0</v>
      </c>
      <c r="CU77" s="35">
        <v>27.346500000000002</v>
      </c>
      <c r="CV77" s="35">
        <v>10056.219599999999</v>
      </c>
    </row>
    <row r="78" spans="1:100">
      <c r="A78" s="22">
        <v>73</v>
      </c>
      <c r="B78" s="314">
        <v>1</v>
      </c>
      <c r="C78" s="700"/>
      <c r="D78" s="14" t="s">
        <v>216</v>
      </c>
      <c r="E78" s="14" t="s">
        <v>285</v>
      </c>
      <c r="F78" s="14" t="s">
        <v>286</v>
      </c>
      <c r="G78" s="724"/>
      <c r="H78" s="724"/>
      <c r="I78" s="724"/>
      <c r="J78" s="718"/>
      <c r="K78" s="88">
        <v>19.78</v>
      </c>
      <c r="L78" s="23">
        <v>20.14</v>
      </c>
      <c r="M78" s="28">
        <v>42052.32</v>
      </c>
      <c r="N78" s="28">
        <v>8.3104166666666668</v>
      </c>
      <c r="O78" s="23">
        <v>0</v>
      </c>
      <c r="P78" s="23">
        <v>1.5814610844194901</v>
      </c>
      <c r="Q78" s="28">
        <v>0</v>
      </c>
      <c r="R78" s="28">
        <v>1262</v>
      </c>
      <c r="S78" s="28">
        <v>43323</v>
      </c>
      <c r="U78" s="28">
        <v>2686</v>
      </c>
      <c r="V78" s="28">
        <v>628</v>
      </c>
      <c r="W78" s="28">
        <v>122</v>
      </c>
      <c r="X78" s="28">
        <v>42</v>
      </c>
      <c r="Y78" s="28">
        <v>3478</v>
      </c>
      <c r="AA78" s="35">
        <v>43323</v>
      </c>
      <c r="AB78" s="35">
        <v>43323</v>
      </c>
      <c r="AD78" s="46">
        <v>3.2631578947368442E-2</v>
      </c>
      <c r="AE78" s="46" t="s">
        <v>129</v>
      </c>
      <c r="AF78" s="35">
        <v>1414</v>
      </c>
      <c r="AG78" s="35">
        <v>2274</v>
      </c>
      <c r="AH78" s="35">
        <v>600</v>
      </c>
      <c r="AI78" s="35">
        <v>0</v>
      </c>
      <c r="AK78" s="35">
        <v>19132.824000000008</v>
      </c>
      <c r="AL78" s="35">
        <v>-2741.1959999999981</v>
      </c>
      <c r="AM78" s="35">
        <v>16392</v>
      </c>
      <c r="AN78" s="35">
        <v>53000</v>
      </c>
      <c r="AO78" s="35">
        <v>109</v>
      </c>
      <c r="AP78" s="35">
        <v>2</v>
      </c>
      <c r="AQ78" s="35">
        <v>0</v>
      </c>
      <c r="AR78" s="35">
        <v>45</v>
      </c>
      <c r="AS78" s="35">
        <v>16548</v>
      </c>
      <c r="AU78" s="102">
        <v>1</v>
      </c>
      <c r="AV78" s="102">
        <v>0.39229999999999998</v>
      </c>
      <c r="AX78" s="35">
        <v>42052.32</v>
      </c>
      <c r="AY78" s="35">
        <v>8.3104166666666668</v>
      </c>
      <c r="AZ78" s="35">
        <v>0</v>
      </c>
      <c r="BA78" s="35">
        <v>1262</v>
      </c>
      <c r="BB78" s="35">
        <v>43322.630416666667</v>
      </c>
      <c r="BD78" s="35">
        <v>25555.194864000001</v>
      </c>
      <c r="BE78" s="35">
        <v>5.0502402083333333</v>
      </c>
      <c r="BF78" s="35">
        <v>0</v>
      </c>
      <c r="BG78" s="546">
        <v>1262</v>
      </c>
      <c r="BH78" s="35">
        <v>26822.245104208334</v>
      </c>
      <c r="BJ78" s="35">
        <v>2686</v>
      </c>
      <c r="BK78" s="35">
        <v>628</v>
      </c>
      <c r="BL78" s="35">
        <v>122</v>
      </c>
      <c r="BM78" s="35">
        <v>42</v>
      </c>
      <c r="BN78" s="35">
        <v>3478</v>
      </c>
      <c r="BP78" s="35">
        <v>1632.2822000000001</v>
      </c>
      <c r="BQ78" s="35">
        <v>381.63560000000001</v>
      </c>
      <c r="BR78" s="35">
        <v>74.139400000000009</v>
      </c>
      <c r="BS78" s="35">
        <v>25.523400000000002</v>
      </c>
      <c r="BT78" s="35">
        <v>2113.5806000000002</v>
      </c>
      <c r="BV78" s="35">
        <v>1414</v>
      </c>
      <c r="BW78" s="35">
        <v>2274</v>
      </c>
      <c r="BX78" s="35">
        <v>600</v>
      </c>
      <c r="BY78" s="35">
        <v>0</v>
      </c>
      <c r="CA78" s="35">
        <v>859.28780000000006</v>
      </c>
      <c r="CB78" s="35">
        <v>1381.9098000000001</v>
      </c>
      <c r="CC78" s="35">
        <v>364.62</v>
      </c>
      <c r="CD78" s="35">
        <v>0</v>
      </c>
      <c r="CF78" s="35">
        <v>19132.824000000008</v>
      </c>
      <c r="CG78" s="35">
        <v>-2741.1959999999981</v>
      </c>
      <c r="CH78" s="35">
        <v>16392</v>
      </c>
      <c r="CI78" s="35">
        <v>109</v>
      </c>
      <c r="CJ78" s="35">
        <v>2</v>
      </c>
      <c r="CK78" s="35">
        <v>0</v>
      </c>
      <c r="CL78" s="35">
        <v>45</v>
      </c>
      <c r="CM78" s="35">
        <v>16548</v>
      </c>
      <c r="CO78" s="35">
        <v>11627.017144800006</v>
      </c>
      <c r="CP78" s="35">
        <v>-1665.824809199999</v>
      </c>
      <c r="CQ78" s="35">
        <v>9961.4184000000005</v>
      </c>
      <c r="CR78" s="35">
        <v>66.2393</v>
      </c>
      <c r="CS78" s="35">
        <v>1.2154</v>
      </c>
      <c r="CT78" s="35">
        <v>0</v>
      </c>
      <c r="CU78" s="35">
        <v>27.346500000000002</v>
      </c>
      <c r="CV78" s="35">
        <v>10056.219599999999</v>
      </c>
    </row>
    <row r="79" spans="1:100">
      <c r="A79" s="22">
        <v>74</v>
      </c>
      <c r="B79" s="314">
        <v>1</v>
      </c>
      <c r="C79" s="700"/>
      <c r="D79" s="14" t="s">
        <v>216</v>
      </c>
      <c r="E79" s="14" t="s">
        <v>285</v>
      </c>
      <c r="F79" s="14" t="s">
        <v>286</v>
      </c>
      <c r="G79" s="724"/>
      <c r="H79" s="724"/>
      <c r="I79" s="724"/>
      <c r="J79" s="718"/>
      <c r="K79" s="88">
        <v>19.78</v>
      </c>
      <c r="L79" s="23">
        <v>20.14</v>
      </c>
      <c r="M79" s="28">
        <v>42052.32</v>
      </c>
      <c r="N79" s="28">
        <v>8.3104166666666668</v>
      </c>
      <c r="O79" s="23">
        <v>0</v>
      </c>
      <c r="P79" s="23">
        <v>1.5814610844194901</v>
      </c>
      <c r="Q79" s="28">
        <v>0</v>
      </c>
      <c r="R79" s="28">
        <v>1262</v>
      </c>
      <c r="S79" s="28">
        <v>43323</v>
      </c>
      <c r="U79" s="28">
        <v>2686</v>
      </c>
      <c r="V79" s="28">
        <v>628</v>
      </c>
      <c r="W79" s="28">
        <v>122</v>
      </c>
      <c r="X79" s="28">
        <v>42</v>
      </c>
      <c r="Y79" s="28">
        <v>3478</v>
      </c>
      <c r="AA79" s="35">
        <v>43323</v>
      </c>
      <c r="AB79" s="35">
        <v>43323</v>
      </c>
      <c r="AD79" s="46">
        <v>3.2631578947368442E-2</v>
      </c>
      <c r="AE79" s="46" t="s">
        <v>129</v>
      </c>
      <c r="AF79" s="35">
        <v>1414</v>
      </c>
      <c r="AG79" s="35">
        <v>2274</v>
      </c>
      <c r="AH79" s="35">
        <v>600</v>
      </c>
      <c r="AI79" s="35">
        <v>0</v>
      </c>
      <c r="AK79" s="35">
        <v>19132.824000000008</v>
      </c>
      <c r="AL79" s="35">
        <v>-2741.1959999999981</v>
      </c>
      <c r="AM79" s="35">
        <v>16392</v>
      </c>
      <c r="AN79" s="35">
        <v>53000</v>
      </c>
      <c r="AO79" s="35">
        <v>109</v>
      </c>
      <c r="AP79" s="35">
        <v>2</v>
      </c>
      <c r="AQ79" s="35">
        <v>0</v>
      </c>
      <c r="AR79" s="35">
        <v>45</v>
      </c>
      <c r="AS79" s="35">
        <v>16548</v>
      </c>
      <c r="AU79" s="102">
        <v>1</v>
      </c>
      <c r="AV79" s="102">
        <v>0.39229999999999998</v>
      </c>
      <c r="AX79" s="35">
        <v>42052.32</v>
      </c>
      <c r="AY79" s="35">
        <v>8.3104166666666668</v>
      </c>
      <c r="AZ79" s="35">
        <v>0</v>
      </c>
      <c r="BA79" s="35">
        <v>1262</v>
      </c>
      <c r="BB79" s="35">
        <v>43322.630416666667</v>
      </c>
      <c r="BD79" s="35">
        <v>25555.194864000001</v>
      </c>
      <c r="BE79" s="35">
        <v>5.0502402083333333</v>
      </c>
      <c r="BF79" s="35">
        <v>0</v>
      </c>
      <c r="BG79" s="546">
        <v>1262</v>
      </c>
      <c r="BH79" s="35">
        <v>26822.245104208334</v>
      </c>
      <c r="BJ79" s="35">
        <v>2686</v>
      </c>
      <c r="BK79" s="35">
        <v>628</v>
      </c>
      <c r="BL79" s="35">
        <v>122</v>
      </c>
      <c r="BM79" s="35">
        <v>42</v>
      </c>
      <c r="BN79" s="35">
        <v>3478</v>
      </c>
      <c r="BP79" s="35">
        <v>1632.2822000000001</v>
      </c>
      <c r="BQ79" s="35">
        <v>381.63560000000001</v>
      </c>
      <c r="BR79" s="35">
        <v>74.139400000000009</v>
      </c>
      <c r="BS79" s="35">
        <v>25.523400000000002</v>
      </c>
      <c r="BT79" s="35">
        <v>2113.5806000000002</v>
      </c>
      <c r="BV79" s="35">
        <v>1414</v>
      </c>
      <c r="BW79" s="35">
        <v>2274</v>
      </c>
      <c r="BX79" s="35">
        <v>600</v>
      </c>
      <c r="BY79" s="35">
        <v>0</v>
      </c>
      <c r="CA79" s="35">
        <v>859.28780000000006</v>
      </c>
      <c r="CB79" s="35">
        <v>1381.9098000000001</v>
      </c>
      <c r="CC79" s="35">
        <v>364.62</v>
      </c>
      <c r="CD79" s="35">
        <v>0</v>
      </c>
      <c r="CF79" s="35">
        <v>19132.824000000008</v>
      </c>
      <c r="CG79" s="35">
        <v>-2741.1959999999981</v>
      </c>
      <c r="CH79" s="35">
        <v>16392</v>
      </c>
      <c r="CI79" s="35">
        <v>109</v>
      </c>
      <c r="CJ79" s="35">
        <v>2</v>
      </c>
      <c r="CK79" s="35">
        <v>0</v>
      </c>
      <c r="CL79" s="35">
        <v>45</v>
      </c>
      <c r="CM79" s="35">
        <v>16548</v>
      </c>
      <c r="CO79" s="35">
        <v>11627.017144800006</v>
      </c>
      <c r="CP79" s="35">
        <v>-1665.824809199999</v>
      </c>
      <c r="CQ79" s="35">
        <v>9961.4184000000005</v>
      </c>
      <c r="CR79" s="35">
        <v>66.2393</v>
      </c>
      <c r="CS79" s="35">
        <v>1.2154</v>
      </c>
      <c r="CT79" s="35">
        <v>0</v>
      </c>
      <c r="CU79" s="35">
        <v>27.346500000000002</v>
      </c>
      <c r="CV79" s="35">
        <v>10056.219599999999</v>
      </c>
    </row>
    <row r="80" spans="1:100">
      <c r="A80" s="22">
        <v>75</v>
      </c>
      <c r="B80" s="314">
        <v>1</v>
      </c>
      <c r="C80" s="700"/>
      <c r="D80" s="14" t="s">
        <v>216</v>
      </c>
      <c r="E80" s="14" t="s">
        <v>285</v>
      </c>
      <c r="F80" s="14" t="s">
        <v>286</v>
      </c>
      <c r="G80" s="724"/>
      <c r="H80" s="724"/>
      <c r="I80" s="724"/>
      <c r="J80" s="718"/>
      <c r="K80" s="88">
        <v>19.78</v>
      </c>
      <c r="L80" s="23">
        <v>20.14</v>
      </c>
      <c r="M80" s="28">
        <v>42052.32</v>
      </c>
      <c r="N80" s="28">
        <v>8.3104166666666668</v>
      </c>
      <c r="O80" s="23">
        <v>90</v>
      </c>
      <c r="P80" s="23">
        <v>1.5814610844194901</v>
      </c>
      <c r="Q80" s="28">
        <v>2867</v>
      </c>
      <c r="R80" s="28">
        <v>1262</v>
      </c>
      <c r="S80" s="28">
        <v>46190</v>
      </c>
      <c r="U80" s="28">
        <v>2864</v>
      </c>
      <c r="V80" s="28">
        <v>670</v>
      </c>
      <c r="W80" s="28">
        <v>122</v>
      </c>
      <c r="X80" s="28">
        <v>42</v>
      </c>
      <c r="Y80" s="28">
        <v>3698</v>
      </c>
      <c r="AA80" s="35">
        <v>43323</v>
      </c>
      <c r="AB80" s="35">
        <v>46190</v>
      </c>
      <c r="AD80" s="46">
        <v>3.2631578947368442E-2</v>
      </c>
      <c r="AE80" s="46" t="s">
        <v>129</v>
      </c>
      <c r="AF80" s="35">
        <v>1507</v>
      </c>
      <c r="AG80" s="35">
        <v>2274</v>
      </c>
      <c r="AH80" s="35">
        <v>600</v>
      </c>
      <c r="AI80" s="35">
        <v>0</v>
      </c>
      <c r="AK80" s="35">
        <v>19132.824000000008</v>
      </c>
      <c r="AL80" s="35">
        <v>-2741.1959999999981</v>
      </c>
      <c r="AM80" s="35">
        <v>16392</v>
      </c>
      <c r="AN80" s="35">
        <v>53000</v>
      </c>
      <c r="AO80" s="35">
        <v>109</v>
      </c>
      <c r="AP80" s="35">
        <v>2</v>
      </c>
      <c r="AQ80" s="35">
        <v>0</v>
      </c>
      <c r="AR80" s="35">
        <v>45</v>
      </c>
      <c r="AS80" s="35">
        <v>16548</v>
      </c>
      <c r="AU80" s="102">
        <v>1</v>
      </c>
      <c r="AV80" s="102">
        <v>0.39229999999999998</v>
      </c>
      <c r="AX80" s="35">
        <v>42052.32</v>
      </c>
      <c r="AY80" s="35">
        <v>8.3104166666666668</v>
      </c>
      <c r="AZ80" s="35">
        <v>2867</v>
      </c>
      <c r="BA80" s="35">
        <v>1262</v>
      </c>
      <c r="BB80" s="35">
        <v>46189.630416666667</v>
      </c>
      <c r="BD80" s="35">
        <v>25555.194864000001</v>
      </c>
      <c r="BE80" s="35">
        <v>5.0502402083333333</v>
      </c>
      <c r="BF80" s="35">
        <v>1742.2759000000001</v>
      </c>
      <c r="BG80" s="546">
        <v>1262</v>
      </c>
      <c r="BH80" s="35">
        <v>28564.521004208334</v>
      </c>
      <c r="BJ80" s="35">
        <v>2864</v>
      </c>
      <c r="BK80" s="35">
        <v>670</v>
      </c>
      <c r="BL80" s="35">
        <v>122</v>
      </c>
      <c r="BM80" s="35">
        <v>42</v>
      </c>
      <c r="BN80" s="35">
        <v>3698</v>
      </c>
      <c r="BP80" s="35">
        <v>1740.4528</v>
      </c>
      <c r="BQ80" s="35">
        <v>407.15899999999999</v>
      </c>
      <c r="BR80" s="35">
        <v>74.139400000000009</v>
      </c>
      <c r="BS80" s="35">
        <v>25.523400000000002</v>
      </c>
      <c r="BT80" s="35">
        <v>2247.2746000000002</v>
      </c>
      <c r="BV80" s="35">
        <v>1507</v>
      </c>
      <c r="BW80" s="35">
        <v>2274</v>
      </c>
      <c r="BX80" s="35">
        <v>600</v>
      </c>
      <c r="BY80" s="35">
        <v>0</v>
      </c>
      <c r="CA80" s="35">
        <v>915.8039</v>
      </c>
      <c r="CB80" s="35">
        <v>1381.9098000000001</v>
      </c>
      <c r="CC80" s="35">
        <v>364.62</v>
      </c>
      <c r="CD80" s="35">
        <v>0</v>
      </c>
      <c r="CF80" s="35">
        <v>19132.824000000008</v>
      </c>
      <c r="CG80" s="35">
        <v>-2741.1959999999981</v>
      </c>
      <c r="CH80" s="35">
        <v>16392</v>
      </c>
      <c r="CI80" s="35">
        <v>109</v>
      </c>
      <c r="CJ80" s="35">
        <v>2</v>
      </c>
      <c r="CK80" s="35">
        <v>0</v>
      </c>
      <c r="CL80" s="35">
        <v>45</v>
      </c>
      <c r="CM80" s="35">
        <v>16548</v>
      </c>
      <c r="CO80" s="35">
        <v>11627.017144800006</v>
      </c>
      <c r="CP80" s="35">
        <v>-1665.824809199999</v>
      </c>
      <c r="CQ80" s="35">
        <v>9961.4184000000005</v>
      </c>
      <c r="CR80" s="35">
        <v>66.2393</v>
      </c>
      <c r="CS80" s="35">
        <v>1.2154</v>
      </c>
      <c r="CT80" s="35">
        <v>0</v>
      </c>
      <c r="CU80" s="35">
        <v>27.346500000000002</v>
      </c>
      <c r="CV80" s="35">
        <v>10056.219599999999</v>
      </c>
    </row>
    <row r="81" spans="1:100">
      <c r="A81" s="22">
        <v>76</v>
      </c>
      <c r="B81" s="314">
        <v>1</v>
      </c>
      <c r="C81" s="701"/>
      <c r="D81" s="14" t="s">
        <v>216</v>
      </c>
      <c r="E81" s="14" t="s">
        <v>272</v>
      </c>
      <c r="F81" s="14" t="s">
        <v>273</v>
      </c>
      <c r="G81" s="724"/>
      <c r="H81" s="724"/>
      <c r="I81" s="724"/>
      <c r="J81" s="718"/>
      <c r="K81" s="88">
        <v>34.51</v>
      </c>
      <c r="L81" s="23">
        <v>30.97</v>
      </c>
      <c r="M81" s="28">
        <v>64665.36</v>
      </c>
      <c r="N81" s="28">
        <v>31.037500000000001</v>
      </c>
      <c r="O81" s="23">
        <v>60</v>
      </c>
      <c r="P81" s="23">
        <v>1.5814610844194901</v>
      </c>
      <c r="Q81" s="28">
        <v>2939</v>
      </c>
      <c r="R81" s="28">
        <v>1940</v>
      </c>
      <c r="S81" s="28">
        <v>69575</v>
      </c>
      <c r="U81" s="28">
        <v>4314</v>
      </c>
      <c r="V81" s="28">
        <v>1009</v>
      </c>
      <c r="W81" s="28">
        <v>122</v>
      </c>
      <c r="X81" s="28">
        <v>42</v>
      </c>
      <c r="Y81" s="28">
        <v>5487</v>
      </c>
      <c r="AA81" s="35">
        <v>66636</v>
      </c>
      <c r="AB81" s="35">
        <v>69575</v>
      </c>
      <c r="AD81" s="46">
        <v>3.2631578947368442E-2</v>
      </c>
      <c r="AE81" s="46" t="s">
        <v>129</v>
      </c>
      <c r="AF81" s="35">
        <v>2270</v>
      </c>
      <c r="AG81" s="35">
        <v>3498</v>
      </c>
      <c r="AH81" s="35">
        <v>600</v>
      </c>
      <c r="AI81" s="35">
        <v>0</v>
      </c>
      <c r="AK81" s="35">
        <v>19132.824000000008</v>
      </c>
      <c r="AL81" s="35">
        <v>-2741.1959999999981</v>
      </c>
      <c r="AM81" s="35">
        <v>16392</v>
      </c>
      <c r="AN81" s="35">
        <v>81000</v>
      </c>
      <c r="AO81" s="35">
        <v>167</v>
      </c>
      <c r="AP81" s="35">
        <v>2</v>
      </c>
      <c r="AQ81" s="35">
        <v>0</v>
      </c>
      <c r="AR81" s="35">
        <v>45</v>
      </c>
      <c r="AS81" s="35">
        <v>16606</v>
      </c>
      <c r="AU81" s="102">
        <v>1</v>
      </c>
      <c r="AV81" s="102">
        <v>9.7000000000000003E-3</v>
      </c>
      <c r="AX81" s="35">
        <v>64665.36</v>
      </c>
      <c r="AY81" s="35">
        <v>31.037500000000001</v>
      </c>
      <c r="AZ81" s="35">
        <v>2939</v>
      </c>
      <c r="BA81" s="35">
        <v>1940</v>
      </c>
      <c r="BB81" s="35">
        <v>69575.397499999992</v>
      </c>
      <c r="BD81" s="35">
        <v>64038.106007999995</v>
      </c>
      <c r="BE81" s="35">
        <v>30.736436250000001</v>
      </c>
      <c r="BF81" s="35">
        <v>2910.4917</v>
      </c>
      <c r="BG81" s="546">
        <v>1940</v>
      </c>
      <c r="BH81" s="35">
        <v>68919.334144249995</v>
      </c>
      <c r="BJ81" s="35">
        <v>4314</v>
      </c>
      <c r="BK81" s="35">
        <v>1009</v>
      </c>
      <c r="BL81" s="35">
        <v>122</v>
      </c>
      <c r="BM81" s="35">
        <v>42</v>
      </c>
      <c r="BN81" s="35">
        <v>5487</v>
      </c>
      <c r="BP81" s="35">
        <v>4272.1541999999999</v>
      </c>
      <c r="BQ81" s="35">
        <v>999.21269999999993</v>
      </c>
      <c r="BR81" s="35">
        <v>120.81659999999999</v>
      </c>
      <c r="BS81" s="35">
        <v>41.592599999999997</v>
      </c>
      <c r="BT81" s="35">
        <v>5433.7761</v>
      </c>
      <c r="BV81" s="35">
        <v>2270</v>
      </c>
      <c r="BW81" s="35">
        <v>3498</v>
      </c>
      <c r="BX81" s="35">
        <v>600</v>
      </c>
      <c r="BY81" s="35">
        <v>0</v>
      </c>
      <c r="CA81" s="35">
        <v>2247.9809999999998</v>
      </c>
      <c r="CB81" s="35">
        <v>3464.0693999999999</v>
      </c>
      <c r="CC81" s="35">
        <v>594.17999999999995</v>
      </c>
      <c r="CD81" s="35">
        <v>0</v>
      </c>
      <c r="CF81" s="35">
        <v>19132.824000000008</v>
      </c>
      <c r="CG81" s="35">
        <v>-2741.1959999999981</v>
      </c>
      <c r="CH81" s="35">
        <v>16392</v>
      </c>
      <c r="CI81" s="35">
        <v>167</v>
      </c>
      <c r="CJ81" s="35">
        <v>2</v>
      </c>
      <c r="CK81" s="35">
        <v>0</v>
      </c>
      <c r="CL81" s="35">
        <v>45</v>
      </c>
      <c r="CM81" s="35">
        <v>16606</v>
      </c>
      <c r="CO81" s="35">
        <v>18947.235607200008</v>
      </c>
      <c r="CP81" s="35">
        <v>-2714.6063987999978</v>
      </c>
      <c r="CQ81" s="35">
        <v>16232.997599999999</v>
      </c>
      <c r="CR81" s="35">
        <v>165.3801</v>
      </c>
      <c r="CS81" s="35">
        <v>1.9805999999999999</v>
      </c>
      <c r="CT81" s="35">
        <v>0</v>
      </c>
      <c r="CU81" s="35">
        <v>44.563499999999998</v>
      </c>
      <c r="CV81" s="35">
        <v>16444.921799999996</v>
      </c>
    </row>
    <row r="82" spans="1:100">
      <c r="C82" s="498"/>
      <c r="D82" s="14"/>
      <c r="E82" s="14"/>
      <c r="F82" s="14"/>
      <c r="G82" s="14"/>
      <c r="H82" s="14"/>
      <c r="I82" s="14"/>
      <c r="J82" s="503"/>
      <c r="K82" s="88"/>
      <c r="L82" s="23"/>
      <c r="M82" s="28"/>
      <c r="N82" s="28"/>
      <c r="O82" s="23"/>
      <c r="P82" s="23"/>
      <c r="Q82" s="28"/>
      <c r="R82" s="28"/>
      <c r="S82" s="28"/>
      <c r="U82" s="28"/>
      <c r="V82" s="28"/>
      <c r="W82" s="28"/>
      <c r="X82" s="28"/>
      <c r="Y82" s="28"/>
      <c r="AA82" s="35"/>
      <c r="AB82" s="35"/>
      <c r="AD82" s="46"/>
      <c r="AE82" s="46"/>
      <c r="AF82" s="35"/>
      <c r="AG82" s="35"/>
      <c r="AH82" s="35"/>
      <c r="AI82" s="35"/>
      <c r="AK82" s="35"/>
      <c r="AL82" s="35"/>
      <c r="AM82" s="35"/>
      <c r="AN82" s="35"/>
      <c r="AO82" s="35"/>
      <c r="AP82" s="35"/>
      <c r="AQ82" s="35"/>
      <c r="AR82" s="35"/>
      <c r="AS82" s="35"/>
      <c r="AU82" s="102"/>
      <c r="AV82" s="102"/>
      <c r="AX82" s="35"/>
      <c r="AY82" s="35"/>
      <c r="AZ82" s="35"/>
      <c r="BA82" s="35"/>
      <c r="BB82" s="35"/>
      <c r="BD82" s="35"/>
      <c r="BE82" s="35"/>
      <c r="BF82" s="35"/>
      <c r="BG82" s="35"/>
      <c r="BH82" s="35"/>
      <c r="BJ82" s="35"/>
      <c r="BK82" s="35"/>
      <c r="BL82" s="35"/>
      <c r="BM82" s="35"/>
      <c r="BN82" s="35"/>
      <c r="BP82" s="35"/>
      <c r="BQ82" s="35"/>
      <c r="BR82" s="35"/>
      <c r="BS82" s="35"/>
      <c r="BT82" s="35"/>
      <c r="BV82" s="35"/>
      <c r="BW82" s="35"/>
      <c r="BX82" s="35"/>
      <c r="BY82" s="35"/>
      <c r="CA82" s="35"/>
      <c r="CB82" s="35"/>
      <c r="CC82" s="35"/>
      <c r="CD82" s="35"/>
      <c r="CF82" s="35"/>
      <c r="CG82" s="35"/>
      <c r="CH82" s="35"/>
      <c r="CI82" s="35"/>
      <c r="CJ82" s="35"/>
      <c r="CK82" s="35"/>
      <c r="CL82" s="35"/>
      <c r="CM82" s="35"/>
      <c r="CO82" s="35"/>
      <c r="CP82" s="35"/>
      <c r="CQ82" s="35"/>
      <c r="CR82" s="35"/>
      <c r="CS82" s="35"/>
      <c r="CT82" s="35"/>
      <c r="CU82" s="35"/>
      <c r="CV82" s="35"/>
    </row>
    <row r="83" spans="1:100">
      <c r="D83" s="14"/>
      <c r="G83" s="14"/>
      <c r="H83" s="14"/>
      <c r="I83" s="14"/>
      <c r="J83" s="503"/>
      <c r="K83" s="88"/>
      <c r="L83" s="23"/>
      <c r="M83" s="28"/>
      <c r="N83" s="28"/>
      <c r="O83" s="23"/>
      <c r="P83" s="23"/>
      <c r="Q83" s="28"/>
      <c r="R83" s="28"/>
      <c r="S83" s="28"/>
      <c r="U83" s="28"/>
      <c r="V83" s="28"/>
      <c r="W83" s="28"/>
      <c r="X83" s="28"/>
      <c r="Y83" s="28"/>
      <c r="AA83" s="35"/>
      <c r="AB83" s="35"/>
      <c r="AD83" s="46"/>
      <c r="AE83" s="46"/>
      <c r="AF83" s="35"/>
      <c r="AG83" s="35"/>
      <c r="AH83" s="35"/>
      <c r="AI83" s="35"/>
      <c r="AK83" s="35"/>
      <c r="AL83" s="35"/>
      <c r="AM83" s="35"/>
      <c r="AN83" s="35"/>
      <c r="AO83" s="35"/>
      <c r="AP83" s="35"/>
      <c r="AQ83" s="35"/>
      <c r="AR83" s="35"/>
      <c r="AS83" s="35"/>
      <c r="AU83" s="102"/>
      <c r="AV83" s="102"/>
      <c r="AX83" s="35"/>
      <c r="AY83" s="35"/>
      <c r="AZ83" s="35"/>
      <c r="BA83" s="35"/>
      <c r="BB83" s="35"/>
      <c r="BD83" s="35"/>
      <c r="BE83" s="35"/>
      <c r="BF83" s="35"/>
      <c r="BG83" s="35"/>
      <c r="BH83" s="35"/>
      <c r="BJ83" s="35"/>
      <c r="BK83" s="35"/>
      <c r="BL83" s="35"/>
      <c r="BM83" s="35"/>
      <c r="BN83" s="35"/>
      <c r="BP83" s="35"/>
      <c r="BQ83" s="35"/>
      <c r="BR83" s="35"/>
      <c r="BS83" s="35"/>
      <c r="BT83" s="35"/>
      <c r="BV83" s="35"/>
      <c r="BW83" s="35"/>
      <c r="BX83" s="35"/>
      <c r="BY83" s="35"/>
      <c r="CA83" s="35"/>
      <c r="CB83" s="35"/>
      <c r="CC83" s="35"/>
      <c r="CD83" s="35"/>
      <c r="CF83" s="35"/>
      <c r="CG83" s="35"/>
      <c r="CH83" s="35"/>
      <c r="CI83" s="35"/>
      <c r="CJ83" s="35"/>
      <c r="CK83" s="35"/>
      <c r="CL83" s="35"/>
      <c r="CM83" s="35"/>
      <c r="CO83" s="35"/>
      <c r="CP83" s="35"/>
      <c r="CQ83" s="35"/>
      <c r="CR83" s="35"/>
      <c r="CS83" s="35"/>
      <c r="CT83" s="35"/>
      <c r="CU83" s="35"/>
      <c r="CV83" s="35"/>
    </row>
    <row r="84" spans="1:100">
      <c r="B84" s="315">
        <v>76</v>
      </c>
      <c r="J84" s="503"/>
      <c r="M84" s="31">
        <v>4196107</v>
      </c>
      <c r="N84" s="31">
        <v>684</v>
      </c>
      <c r="O84" s="32">
        <v>11043.027888000001</v>
      </c>
      <c r="P84" s="110"/>
      <c r="Q84" s="31">
        <v>494220</v>
      </c>
      <c r="R84" s="31">
        <v>125883</v>
      </c>
      <c r="S84" s="31">
        <v>4816904</v>
      </c>
      <c r="U84" s="31">
        <v>298647</v>
      </c>
      <c r="V84" s="31">
        <v>69846</v>
      </c>
      <c r="W84" s="31">
        <v>9272</v>
      </c>
      <c r="X84" s="31">
        <v>3192</v>
      </c>
      <c r="Y84" s="31">
        <v>380957</v>
      </c>
      <c r="AA84" s="31">
        <v>4322684</v>
      </c>
      <c r="AB84" s="31">
        <v>4816904</v>
      </c>
      <c r="AF84" s="31">
        <v>131733</v>
      </c>
      <c r="AG84" s="31">
        <v>170419</v>
      </c>
      <c r="AH84" s="31">
        <v>33600</v>
      </c>
      <c r="AI84" s="31">
        <v>7322</v>
      </c>
      <c r="AK84" s="31">
        <v>1492360.2719999994</v>
      </c>
      <c r="AL84" s="31">
        <v>-213813.28799999997</v>
      </c>
      <c r="AM84" s="31">
        <v>1278537</v>
      </c>
      <c r="AN84" s="31">
        <v>5272000</v>
      </c>
      <c r="AO84" s="31">
        <v>10881</v>
      </c>
      <c r="AP84" s="31">
        <v>152</v>
      </c>
      <c r="AQ84" s="31">
        <v>0</v>
      </c>
      <c r="AR84" s="31">
        <v>3420</v>
      </c>
      <c r="AS84" s="31">
        <v>1292990</v>
      </c>
      <c r="AX84" s="31">
        <v>4195416.3005326586</v>
      </c>
      <c r="AY84" s="31">
        <v>684.22428882903557</v>
      </c>
      <c r="AZ84" s="31">
        <v>494105.08272615343</v>
      </c>
      <c r="BA84" s="31">
        <v>125862.26564396787</v>
      </c>
      <c r="BB84" s="31">
        <v>4816067.8731916109</v>
      </c>
      <c r="BD84" s="31">
        <v>3261728.5220753374</v>
      </c>
      <c r="BE84" s="31">
        <v>540.51123229525967</v>
      </c>
      <c r="BF84" s="31">
        <v>396354.48308094073</v>
      </c>
      <c r="BG84" s="31">
        <v>125862.26564396787</v>
      </c>
      <c r="BH84" s="31">
        <v>3784485.7820325382</v>
      </c>
      <c r="BJ84" s="31">
        <v>298595.73717216612</v>
      </c>
      <c r="BK84" s="31">
        <v>69834.010695461126</v>
      </c>
      <c r="BL84" s="31">
        <v>9270.613155002422</v>
      </c>
      <c r="BM84" s="31">
        <v>3191.5225615582117</v>
      </c>
      <c r="BN84" s="31">
        <v>380891.88358418777</v>
      </c>
      <c r="BP84" s="31">
        <v>232900.73810349812</v>
      </c>
      <c r="BQ84" s="31">
        <v>54470.036230118669</v>
      </c>
      <c r="BR84" s="31">
        <v>7061.0725634141399</v>
      </c>
      <c r="BS84" s="31">
        <v>2430.861046421262</v>
      </c>
      <c r="BT84" s="31">
        <v>296862.70794345217</v>
      </c>
      <c r="BV84" s="31">
        <v>131705.42487217684</v>
      </c>
      <c r="BW84" s="31">
        <v>170384.22021731015</v>
      </c>
      <c r="BX84" s="31">
        <v>33593.699976088894</v>
      </c>
      <c r="BY84" s="31">
        <v>7321.5198641566722</v>
      </c>
      <c r="CA84" s="31">
        <v>102958.2187639825</v>
      </c>
      <c r="CB84" s="31">
        <v>125250.71786195044</v>
      </c>
      <c r="CC84" s="31">
        <v>23955.537308476982</v>
      </c>
      <c r="CD84" s="31">
        <v>7321.5198641566722</v>
      </c>
      <c r="CF84" s="31">
        <v>1492154.2767791373</v>
      </c>
      <c r="CG84" s="31">
        <v>-213783.16335417994</v>
      </c>
      <c r="CH84" s="31">
        <v>1278361.1320932964</v>
      </c>
      <c r="CI84" s="31">
        <v>10879.206128895872</v>
      </c>
      <c r="CJ84" s="31">
        <v>151.97726483610526</v>
      </c>
      <c r="CK84" s="31">
        <v>0</v>
      </c>
      <c r="CL84" s="31">
        <v>3419.4884588123691</v>
      </c>
      <c r="CM84" s="31">
        <v>1292811.8039458415</v>
      </c>
      <c r="CO84" s="31">
        <v>1141608.1806564054</v>
      </c>
      <c r="CP84" s="31">
        <v>-163596.28325985165</v>
      </c>
      <c r="CQ84" s="31">
        <v>978003.82664731622</v>
      </c>
      <c r="CR84" s="31">
        <v>8454.7276077080551</v>
      </c>
      <c r="CS84" s="31">
        <v>115.75528792482201</v>
      </c>
      <c r="CT84" s="31">
        <v>0</v>
      </c>
      <c r="CU84" s="31">
        <v>2604.4939783084965</v>
      </c>
      <c r="CV84" s="31">
        <v>989178.80352125841</v>
      </c>
    </row>
    <row r="85" spans="1:100">
      <c r="J85" s="503"/>
      <c r="L85" s="26"/>
    </row>
    <row r="86" spans="1:100">
      <c r="J86" s="503"/>
      <c r="O86" s="26"/>
      <c r="Q86" s="44"/>
      <c r="U86" s="44"/>
      <c r="V86" s="44"/>
      <c r="W86" s="44"/>
      <c r="X86" s="44"/>
      <c r="Y86" s="44"/>
      <c r="AF86" s="44"/>
      <c r="AG86" s="44"/>
      <c r="AH86" s="44"/>
      <c r="AI86" s="44"/>
      <c r="AL86" s="44"/>
      <c r="AM86" s="44"/>
      <c r="AN86" s="44"/>
      <c r="AO86" s="44"/>
      <c r="AP86" s="44"/>
      <c r="AQ86" s="44"/>
      <c r="AR86" s="44"/>
      <c r="AS86" s="44"/>
      <c r="BG86" s="35"/>
      <c r="CU86" s="44"/>
    </row>
    <row r="87" spans="1:100">
      <c r="B87" s="417">
        <v>152</v>
      </c>
      <c r="O87" s="26"/>
      <c r="AR87" s="44"/>
      <c r="AX87" s="44"/>
      <c r="BA87" s="44"/>
      <c r="BG87" s="26"/>
      <c r="BY87" s="44"/>
    </row>
    <row r="88" spans="1:100">
      <c r="O88" s="23"/>
      <c r="AK88" s="44"/>
      <c r="AL88" s="44"/>
      <c r="AM88" s="35"/>
      <c r="AX88" s="44"/>
      <c r="BA88" s="44"/>
      <c r="CF88" s="44"/>
      <c r="CG88" s="44"/>
      <c r="CH88" s="44"/>
    </row>
    <row r="89" spans="1:100">
      <c r="O89" s="26"/>
      <c r="AK89" s="610"/>
      <c r="AL89" s="44"/>
      <c r="AM89" s="35"/>
      <c r="CF89" s="35"/>
    </row>
    <row r="90" spans="1:100">
      <c r="AI90" s="44"/>
      <c r="AK90" s="332"/>
      <c r="AL90" s="44"/>
      <c r="AM90" s="44"/>
      <c r="BY90" s="44"/>
      <c r="CF90" s="44"/>
      <c r="CG90" s="44"/>
      <c r="CH90" s="44"/>
    </row>
    <row r="94" spans="1:100">
      <c r="N94" s="334"/>
    </row>
  </sheetData>
  <mergeCells count="12">
    <mergeCell ref="U4:Y4"/>
    <mergeCell ref="AD4:AI4"/>
    <mergeCell ref="AK4:AS4"/>
    <mergeCell ref="K4:S4"/>
    <mergeCell ref="AX4:BB4"/>
    <mergeCell ref="CF4:CM4"/>
    <mergeCell ref="CO4:CV4"/>
    <mergeCell ref="BD4:BH4"/>
    <mergeCell ref="BJ4:BN4"/>
    <mergeCell ref="BP4:BT4"/>
    <mergeCell ref="BV4:BY4"/>
    <mergeCell ref="CA4:CD4"/>
  </mergeCells>
  <pageMargins left="0.25" right="0.25" top="1" bottom="0.25" header="0.25" footer="0.3"/>
  <pageSetup scale="62" fitToWidth="2" fitToHeight="3" orientation="landscape" r:id="rId1"/>
  <colBreaks count="8" manualBreakCount="8">
    <brk id="20" min="5" max="84" man="1"/>
    <brk id="29" min="5" max="84" man="1"/>
    <brk id="36" min="5" max="84" man="1"/>
    <brk id="46" min="5" max="84" man="1"/>
    <brk id="60" min="5" max="84" man="1"/>
    <brk id="73" min="5" max="84" man="1"/>
    <brk id="83" min="5" max="84" man="1"/>
    <brk id="91" max="1048575" man="1"/>
  </colBreaks>
  <customProperties>
    <customPr name="_pios_id" r:id="rId2"/>
  </customProperties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60"/>
  <sheetViews>
    <sheetView zoomScale="80" zoomScaleNormal="80" workbookViewId="0">
      <pane xSplit="2" ySplit="5" topLeftCell="T24" activePane="bottomRight" state="frozen"/>
      <selection pane="topRight" activeCell="C1" sqref="C1"/>
      <selection pane="bottomLeft" activeCell="A6" sqref="A6"/>
      <selection pane="bottomRight" activeCell="G3" sqref="G3"/>
    </sheetView>
  </sheetViews>
  <sheetFormatPr defaultColWidth="8.88671875" defaultRowHeight="14.4" outlineLevelCol="2"/>
  <cols>
    <col min="1" max="1" width="7.33203125" style="12" customWidth="1"/>
    <col min="2" max="2" width="5.6640625" style="35" customWidth="1"/>
    <col min="3" max="3" width="10.88671875" style="12" customWidth="1" outlineLevel="2"/>
    <col min="4" max="4" width="8.33203125" style="12" customWidth="1"/>
    <col min="5" max="5" width="22.6640625" style="12" customWidth="1"/>
    <col min="6" max="6" width="29" style="12" bestFit="1" customWidth="1"/>
    <col min="7" max="7" width="35.5546875" style="12" customWidth="1" outlineLevel="1"/>
    <col min="8" max="8" width="11.88671875" style="12" customWidth="1" outlineLevel="1"/>
    <col min="9" max="9" width="12.44140625" style="12" customWidth="1" outlineLevel="1"/>
    <col min="10" max="10" width="13.109375" style="24" customWidth="1" outlineLevel="2"/>
    <col min="11" max="15" width="13.109375" style="12" customWidth="1"/>
    <col min="16" max="16" width="11.109375" style="12" customWidth="1"/>
    <col min="17" max="20" width="10.44140625" style="12" customWidth="1"/>
    <col min="21" max="21" width="14.44140625" style="12" customWidth="1"/>
    <col min="22" max="22" width="1.6640625" style="12" customWidth="1"/>
    <col min="23" max="23" width="14" style="12" customWidth="1"/>
    <col min="24" max="24" width="9.44140625" style="12" customWidth="1"/>
    <col min="25" max="25" width="8.6640625" style="12" customWidth="1"/>
    <col min="26" max="26" width="8.88671875" style="12" customWidth="1"/>
    <col min="27" max="27" width="10.33203125" style="12" customWidth="1"/>
    <col min="28" max="28" width="1.6640625" style="12" customWidth="1"/>
    <col min="29" max="30" width="14.88671875" style="12" bestFit="1" customWidth="1" outlineLevel="1"/>
    <col min="31" max="31" width="1.6640625" style="12" customWidth="1" outlineLevel="1"/>
    <col min="32" max="32" width="8.88671875" style="12" customWidth="1"/>
    <col min="33" max="33" width="28.33203125" style="12" customWidth="1" outlineLevel="1"/>
    <col min="34" max="34" width="11.6640625" style="12" customWidth="1"/>
    <col min="35" max="35" width="12.6640625" style="12" customWidth="1"/>
    <col min="36" max="36" width="10.109375" style="12" customWidth="1"/>
    <col min="37" max="37" width="8.88671875" style="12" customWidth="1"/>
    <col min="38" max="38" width="1.6640625" style="12" customWidth="1"/>
    <col min="39" max="39" width="19.6640625" style="12" customWidth="1"/>
    <col min="40" max="40" width="17.44140625" style="12" customWidth="1"/>
    <col min="41" max="41" width="17.6640625" style="12" customWidth="1"/>
    <col min="42" max="42" width="14.88671875" style="12" customWidth="1"/>
    <col min="43" max="43" width="14.44140625" style="12" customWidth="1"/>
    <col min="44" max="44" width="11.6640625" style="12" customWidth="1"/>
    <col min="45" max="45" width="15.44140625" style="12" customWidth="1"/>
    <col min="46" max="46" width="16" style="12" customWidth="1"/>
    <col min="47" max="47" width="16.109375" style="12" customWidth="1"/>
    <col min="48" max="48" width="1.88671875" style="12" customWidth="1"/>
    <col min="49" max="50" width="8.88671875" style="12"/>
    <col min="51" max="51" width="1.6640625" style="12" customWidth="1"/>
    <col min="52" max="52" width="17.6640625" style="12" customWidth="1"/>
    <col min="53" max="53" width="14.6640625" style="12" customWidth="1"/>
    <col min="54" max="54" width="13.88671875" style="12" customWidth="1"/>
    <col min="55" max="55" width="17.33203125" style="12" customWidth="1"/>
    <col min="56" max="56" width="1.6640625" style="12" customWidth="1"/>
    <col min="57" max="57" width="17.6640625" style="12" customWidth="1"/>
    <col min="58" max="58" width="14.6640625" style="12" customWidth="1"/>
    <col min="59" max="59" width="12.5546875" style="12" customWidth="1"/>
    <col min="60" max="60" width="17.33203125" style="12" customWidth="1"/>
    <col min="61" max="61" width="1.6640625" style="12" customWidth="1"/>
    <col min="62" max="62" width="14.33203125" style="12" bestFit="1" customWidth="1"/>
    <col min="63" max="65" width="8.88671875" style="12" customWidth="1"/>
    <col min="66" max="66" width="10.5546875" style="12" customWidth="1"/>
    <col min="67" max="67" width="1.6640625" style="12" customWidth="1"/>
    <col min="68" max="68" width="10.6640625" style="12" customWidth="1"/>
    <col min="69" max="71" width="8.88671875" style="12" customWidth="1"/>
    <col min="72" max="72" width="10.5546875" style="12" customWidth="1"/>
    <col min="73" max="73" width="1.6640625" style="12" customWidth="1"/>
    <col min="74" max="74" width="8.88671875" style="12" customWidth="1"/>
    <col min="75" max="75" width="13.6640625" style="12" customWidth="1"/>
    <col min="76" max="77" width="8.88671875" style="12" customWidth="1"/>
    <col min="78" max="78" width="1.6640625" style="12" customWidth="1"/>
    <col min="79" max="79" width="8.88671875" style="12" customWidth="1"/>
    <col min="80" max="80" width="13.6640625" style="12" customWidth="1"/>
    <col min="81" max="82" width="8.88671875" style="12" customWidth="1"/>
    <col min="83" max="83" width="1.6640625" style="12" customWidth="1"/>
    <col min="84" max="84" width="14.109375" style="12" bestFit="1" customWidth="1"/>
    <col min="85" max="85" width="17.44140625" style="12" bestFit="1" customWidth="1"/>
    <col min="86" max="86" width="14" style="12" bestFit="1" customWidth="1"/>
    <col min="87" max="87" width="14.44140625" style="12" bestFit="1" customWidth="1"/>
    <col min="88" max="88" width="11.6640625" style="12" bestFit="1" customWidth="1"/>
    <col min="89" max="89" width="15.44140625" style="12" bestFit="1" customWidth="1"/>
    <col min="90" max="90" width="16" style="12" bestFit="1" customWidth="1"/>
    <col min="91" max="91" width="16.109375" style="12" bestFit="1" customWidth="1"/>
    <col min="92" max="92" width="1.6640625" style="12" customWidth="1"/>
    <col min="93" max="93" width="14.109375" style="12" bestFit="1" customWidth="1"/>
    <col min="94" max="94" width="16.33203125" style="12" bestFit="1" customWidth="1"/>
    <col min="95" max="95" width="14" style="12" bestFit="1" customWidth="1"/>
    <col min="96" max="96" width="14.44140625" style="12" bestFit="1" customWidth="1"/>
    <col min="97" max="97" width="11.6640625" style="12" bestFit="1" customWidth="1"/>
    <col min="98" max="98" width="15.44140625" style="12" bestFit="1" customWidth="1"/>
    <col min="99" max="99" width="16" style="12" bestFit="1" customWidth="1"/>
    <col min="100" max="100" width="16.109375" style="12" bestFit="1" customWidth="1"/>
    <col min="101" max="101" width="8.88671875" style="12"/>
    <col min="102" max="102" width="10.109375" style="12" bestFit="1" customWidth="1"/>
    <col min="103" max="16384" width="8.88671875" style="12"/>
  </cols>
  <sheetData>
    <row r="1" spans="1:100">
      <c r="A1" s="93" t="s">
        <v>431</v>
      </c>
      <c r="G1" s="82"/>
      <c r="H1" s="82"/>
      <c r="I1" s="82"/>
      <c r="AQ1" s="9"/>
      <c r="BX1" s="82"/>
    </row>
    <row r="2" spans="1:100">
      <c r="A2" s="2" t="s">
        <v>164</v>
      </c>
      <c r="G2" s="82"/>
      <c r="H2" s="82"/>
      <c r="I2" s="82"/>
      <c r="N2" s="26"/>
      <c r="AF2" s="45"/>
      <c r="AG2" s="45"/>
      <c r="AS2" s="332"/>
    </row>
    <row r="3" spans="1:100">
      <c r="A3" s="2"/>
      <c r="C3" s="702" t="s">
        <v>1134</v>
      </c>
      <c r="F3" s="722" t="s">
        <v>1134</v>
      </c>
      <c r="G3" s="723" t="s">
        <v>1134</v>
      </c>
      <c r="H3" s="82"/>
      <c r="I3" s="82"/>
      <c r="J3" s="702" t="s">
        <v>1134</v>
      </c>
      <c r="N3" s="26"/>
    </row>
    <row r="4" spans="1:100" ht="43.2" customHeight="1">
      <c r="A4" s="2" t="s">
        <v>112</v>
      </c>
      <c r="K4" s="740" t="s">
        <v>165</v>
      </c>
      <c r="L4" s="740"/>
      <c r="M4" s="740"/>
      <c r="N4" s="740"/>
      <c r="O4" s="740"/>
      <c r="P4" s="740"/>
      <c r="Q4" s="740"/>
      <c r="R4" s="740"/>
      <c r="S4" s="740"/>
      <c r="T4" s="741"/>
      <c r="U4" s="740"/>
      <c r="W4" s="742" t="s">
        <v>118</v>
      </c>
      <c r="X4" s="742"/>
      <c r="Y4" s="742"/>
      <c r="Z4" s="742"/>
      <c r="AA4" s="742"/>
      <c r="AC4" s="21" t="s">
        <v>79</v>
      </c>
      <c r="AD4" s="42" t="s">
        <v>79</v>
      </c>
      <c r="AE4" s="1"/>
      <c r="AF4" s="743" t="s">
        <v>80</v>
      </c>
      <c r="AG4" s="743"/>
      <c r="AH4" s="743"/>
      <c r="AI4" s="743"/>
      <c r="AJ4" s="743"/>
      <c r="AK4" s="743"/>
      <c r="AM4" s="743" t="s">
        <v>81</v>
      </c>
      <c r="AN4" s="743"/>
      <c r="AO4" s="743"/>
      <c r="AP4" s="743"/>
      <c r="AQ4" s="743"/>
      <c r="AR4" s="743"/>
      <c r="AS4" s="743"/>
      <c r="AT4" s="743"/>
      <c r="AU4" s="743"/>
      <c r="AZ4" s="744" t="s">
        <v>552</v>
      </c>
      <c r="BA4" s="744"/>
      <c r="BB4" s="744"/>
      <c r="BC4" s="744"/>
      <c r="BE4" s="745" t="s">
        <v>553</v>
      </c>
      <c r="BF4" s="745"/>
      <c r="BG4" s="745"/>
      <c r="BH4" s="745"/>
      <c r="BJ4" s="742" t="s">
        <v>554</v>
      </c>
      <c r="BK4" s="742"/>
      <c r="BL4" s="742"/>
      <c r="BM4" s="742"/>
      <c r="BN4" s="742"/>
      <c r="BP4" s="746" t="s">
        <v>555</v>
      </c>
      <c r="BQ4" s="746"/>
      <c r="BR4" s="746"/>
      <c r="BS4" s="746"/>
      <c r="BT4" s="746"/>
      <c r="BV4" s="743" t="s">
        <v>556</v>
      </c>
      <c r="BW4" s="743"/>
      <c r="BX4" s="743"/>
      <c r="BY4" s="743"/>
      <c r="CA4" s="739" t="s">
        <v>557</v>
      </c>
      <c r="CB4" s="739"/>
      <c r="CC4" s="739"/>
      <c r="CD4" s="739"/>
      <c r="CF4" s="743" t="s">
        <v>558</v>
      </c>
      <c r="CG4" s="743"/>
      <c r="CH4" s="743"/>
      <c r="CI4" s="743"/>
      <c r="CJ4" s="743"/>
      <c r="CK4" s="743"/>
      <c r="CL4" s="743"/>
      <c r="CM4" s="743"/>
      <c r="CO4" s="739" t="s">
        <v>559</v>
      </c>
      <c r="CP4" s="739"/>
      <c r="CQ4" s="739"/>
      <c r="CR4" s="739"/>
      <c r="CS4" s="739"/>
      <c r="CT4" s="739"/>
      <c r="CU4" s="739"/>
      <c r="CV4" s="739"/>
    </row>
    <row r="5" spans="1:100" ht="57.6">
      <c r="A5" s="3" t="s">
        <v>82</v>
      </c>
      <c r="B5" s="36" t="s">
        <v>83</v>
      </c>
      <c r="C5" s="3" t="s">
        <v>101</v>
      </c>
      <c r="D5" s="3" t="s">
        <v>2</v>
      </c>
      <c r="E5" s="13" t="s">
        <v>100</v>
      </c>
      <c r="F5" s="13" t="s">
        <v>1</v>
      </c>
      <c r="G5" s="87" t="s">
        <v>477</v>
      </c>
      <c r="H5" s="86" t="s">
        <v>895</v>
      </c>
      <c r="I5" s="86" t="s">
        <v>896</v>
      </c>
      <c r="J5" s="25" t="s">
        <v>189</v>
      </c>
      <c r="K5" s="3" t="s">
        <v>894</v>
      </c>
      <c r="L5" s="6" t="s">
        <v>897</v>
      </c>
      <c r="M5" s="6" t="s">
        <v>898</v>
      </c>
      <c r="N5" s="6" t="s">
        <v>108</v>
      </c>
      <c r="O5" s="3" t="s">
        <v>99</v>
      </c>
      <c r="P5" s="6" t="s">
        <v>497</v>
      </c>
      <c r="Q5" s="6" t="s">
        <v>534</v>
      </c>
      <c r="R5" s="6" t="s">
        <v>102</v>
      </c>
      <c r="S5" s="337" t="s">
        <v>677</v>
      </c>
      <c r="T5" s="6" t="s">
        <v>678</v>
      </c>
      <c r="U5" s="6" t="s">
        <v>103</v>
      </c>
      <c r="W5" s="3" t="s">
        <v>88</v>
      </c>
      <c r="X5" s="3" t="s">
        <v>89</v>
      </c>
      <c r="Y5" s="3" t="s">
        <v>90</v>
      </c>
      <c r="Z5" s="3" t="s">
        <v>91</v>
      </c>
      <c r="AA5" s="8" t="s">
        <v>92</v>
      </c>
      <c r="AC5" s="7" t="s">
        <v>683</v>
      </c>
      <c r="AD5" s="7"/>
      <c r="AE5" s="4" t="s">
        <v>84</v>
      </c>
      <c r="AF5" s="5" t="s">
        <v>85</v>
      </c>
      <c r="AG5" s="5" t="s">
        <v>138</v>
      </c>
      <c r="AH5" s="8" t="s">
        <v>77</v>
      </c>
      <c r="AI5" s="8" t="s">
        <v>86</v>
      </c>
      <c r="AJ5" s="8" t="s">
        <v>87</v>
      </c>
      <c r="AK5" s="8" t="s">
        <v>58</v>
      </c>
      <c r="AM5" s="3" t="s">
        <v>93</v>
      </c>
      <c r="AN5" s="3" t="s">
        <v>94</v>
      </c>
      <c r="AO5" s="8" t="s">
        <v>95</v>
      </c>
      <c r="AP5" s="3" t="s">
        <v>163</v>
      </c>
      <c r="AQ5" s="3" t="s">
        <v>96</v>
      </c>
      <c r="AR5" s="3" t="s">
        <v>97</v>
      </c>
      <c r="AS5" s="3" t="s">
        <v>72</v>
      </c>
      <c r="AT5" s="3" t="s">
        <v>73</v>
      </c>
      <c r="AU5" s="3" t="s">
        <v>98</v>
      </c>
      <c r="AW5" s="6" t="s">
        <v>478</v>
      </c>
      <c r="AX5" s="6" t="s">
        <v>485</v>
      </c>
      <c r="AZ5" s="3" t="s">
        <v>99</v>
      </c>
      <c r="BA5" s="6" t="s">
        <v>102</v>
      </c>
      <c r="BB5" s="337" t="s">
        <v>677</v>
      </c>
      <c r="BC5" s="3" t="s">
        <v>103</v>
      </c>
      <c r="BE5" s="3" t="s">
        <v>99</v>
      </c>
      <c r="BF5" s="6" t="s">
        <v>102</v>
      </c>
      <c r="BG5" s="337" t="s">
        <v>677</v>
      </c>
      <c r="BH5" s="3" t="s">
        <v>103</v>
      </c>
      <c r="BJ5" s="3" t="s">
        <v>88</v>
      </c>
      <c r="BK5" s="3" t="s">
        <v>89</v>
      </c>
      <c r="BL5" s="3" t="s">
        <v>90</v>
      </c>
      <c r="BM5" s="3" t="s">
        <v>91</v>
      </c>
      <c r="BN5" s="8" t="s">
        <v>92</v>
      </c>
      <c r="BP5" s="3" t="s">
        <v>88</v>
      </c>
      <c r="BQ5" s="3" t="s">
        <v>89</v>
      </c>
      <c r="BR5" s="3" t="s">
        <v>90</v>
      </c>
      <c r="BS5" s="3" t="s">
        <v>91</v>
      </c>
      <c r="BT5" s="8" t="s">
        <v>92</v>
      </c>
      <c r="BV5" s="8" t="s">
        <v>77</v>
      </c>
      <c r="BW5" s="7" t="s">
        <v>86</v>
      </c>
      <c r="BX5" s="8" t="s">
        <v>87</v>
      </c>
      <c r="BY5" s="7" t="s">
        <v>58</v>
      </c>
      <c r="CA5" s="8" t="s">
        <v>77</v>
      </c>
      <c r="CB5" s="7" t="s">
        <v>86</v>
      </c>
      <c r="CC5" s="8" t="s">
        <v>87</v>
      </c>
      <c r="CD5" s="7" t="s">
        <v>58</v>
      </c>
      <c r="CF5" s="3" t="s">
        <v>93</v>
      </c>
      <c r="CG5" s="3" t="s">
        <v>94</v>
      </c>
      <c r="CH5" s="8" t="s">
        <v>95</v>
      </c>
      <c r="CI5" s="3" t="s">
        <v>96</v>
      </c>
      <c r="CJ5" s="3" t="s">
        <v>97</v>
      </c>
      <c r="CK5" s="3" t="s">
        <v>72</v>
      </c>
      <c r="CL5" s="3" t="s">
        <v>73</v>
      </c>
      <c r="CM5" s="3" t="s">
        <v>98</v>
      </c>
      <c r="CO5" s="3" t="s">
        <v>93</v>
      </c>
      <c r="CP5" s="3" t="s">
        <v>94</v>
      </c>
      <c r="CQ5" s="8" t="s">
        <v>95</v>
      </c>
      <c r="CR5" s="3" t="s">
        <v>96</v>
      </c>
      <c r="CS5" s="3" t="s">
        <v>97</v>
      </c>
      <c r="CT5" s="3" t="s">
        <v>72</v>
      </c>
      <c r="CU5" s="3" t="s">
        <v>73</v>
      </c>
      <c r="CV5" s="3" t="s">
        <v>98</v>
      </c>
    </row>
    <row r="6" spans="1:100">
      <c r="A6" s="22">
        <v>1</v>
      </c>
      <c r="B6" s="37">
        <v>1</v>
      </c>
      <c r="C6" s="700"/>
      <c r="D6" s="12" t="s">
        <v>314</v>
      </c>
      <c r="E6" s="12" t="s">
        <v>315</v>
      </c>
      <c r="F6" s="701"/>
      <c r="G6" s="701"/>
      <c r="H6" s="34">
        <v>0.05</v>
      </c>
      <c r="I6" s="34">
        <v>0</v>
      </c>
      <c r="J6" s="720"/>
      <c r="K6" s="457">
        <v>26.32</v>
      </c>
      <c r="L6" s="457">
        <v>27.07</v>
      </c>
      <c r="M6" s="457">
        <v>27.86</v>
      </c>
      <c r="N6" s="457">
        <v>27.26</v>
      </c>
      <c r="O6" s="30">
        <v>56918.879999999997</v>
      </c>
      <c r="P6" s="23">
        <v>351</v>
      </c>
      <c r="Q6" s="23">
        <v>1.5814610844194901</v>
      </c>
      <c r="R6" s="30">
        <v>15131.83083560763</v>
      </c>
      <c r="S6" s="30">
        <v>2845.944</v>
      </c>
      <c r="T6" s="457">
        <v>0</v>
      </c>
      <c r="U6" s="30">
        <v>74896.654835607638</v>
      </c>
      <c r="W6" s="30">
        <v>4643.5925998076737</v>
      </c>
      <c r="X6" s="30">
        <v>1086.0014951163107</v>
      </c>
      <c r="Y6" s="30">
        <v>122.4</v>
      </c>
      <c r="Z6" s="30">
        <v>41.999999999999986</v>
      </c>
      <c r="AA6" s="44">
        <v>5893.9940949239844</v>
      </c>
      <c r="AC6" s="44">
        <v>56918.880000000005</v>
      </c>
      <c r="AD6" s="44">
        <v>74896.654835607638</v>
      </c>
      <c r="AF6" s="46">
        <v>2.5000000000000001E-2</v>
      </c>
      <c r="AG6" s="46" t="s">
        <v>57</v>
      </c>
      <c r="AH6" s="44">
        <v>1422.9720000000002</v>
      </c>
      <c r="AI6" s="44">
        <v>0</v>
      </c>
      <c r="AJ6" s="44">
        <v>0</v>
      </c>
      <c r="AK6" s="44">
        <v>0</v>
      </c>
      <c r="AM6" s="44">
        <v>23205.239999999998</v>
      </c>
      <c r="AN6" s="44">
        <v>-3493.44</v>
      </c>
      <c r="AO6" s="44">
        <v>19711.8</v>
      </c>
      <c r="AP6" s="44">
        <v>86000</v>
      </c>
      <c r="AQ6" s="44">
        <v>177.50399999999996</v>
      </c>
      <c r="AR6" s="44">
        <v>20.64</v>
      </c>
      <c r="AS6" s="44">
        <v>142.2972</v>
      </c>
      <c r="AT6" s="44">
        <v>45.24</v>
      </c>
      <c r="AU6" s="44">
        <v>20097.481200000002</v>
      </c>
      <c r="AW6" s="102">
        <v>0.98726133271584049</v>
      </c>
      <c r="AX6" s="102">
        <v>0.23330000000000001</v>
      </c>
      <c r="AZ6" s="44">
        <v>56193.809325492999</v>
      </c>
      <c r="BA6" s="44">
        <v>14939.07147719264</v>
      </c>
      <c r="BB6" s="44">
        <v>2809.6904662746497</v>
      </c>
      <c r="BC6" s="44">
        <v>73942.571268960295</v>
      </c>
      <c r="BE6" s="44">
        <v>43083.793609855478</v>
      </c>
      <c r="BF6" s="44">
        <v>11453.786101563595</v>
      </c>
      <c r="BG6" s="44">
        <v>2809.6904662746497</v>
      </c>
      <c r="BH6" s="44">
        <v>57347.270177693725</v>
      </c>
      <c r="BJ6" s="44">
        <v>4584.439418675538</v>
      </c>
      <c r="BK6" s="44">
        <v>1072.1672833999241</v>
      </c>
      <c r="BL6" s="44">
        <v>120.84078712441888</v>
      </c>
      <c r="BM6" s="44">
        <v>41.46497597406529</v>
      </c>
      <c r="BN6" s="44">
        <v>5818.9124651739457</v>
      </c>
      <c r="BP6" s="44">
        <v>3514.8897022985348</v>
      </c>
      <c r="BQ6" s="44">
        <v>822.03065618272183</v>
      </c>
      <c r="BR6" s="44">
        <v>92.648631488291954</v>
      </c>
      <c r="BS6" s="44">
        <v>31.791197079315854</v>
      </c>
      <c r="BT6" s="44">
        <v>4461.3601870488646</v>
      </c>
      <c r="BV6" s="44">
        <v>1404.8452331373251</v>
      </c>
      <c r="BW6" s="44">
        <v>0</v>
      </c>
      <c r="BX6" s="44">
        <v>0</v>
      </c>
      <c r="BY6" s="44">
        <v>0</v>
      </c>
      <c r="CA6" s="44">
        <v>1077.0948402463871</v>
      </c>
      <c r="CB6" s="44">
        <v>0</v>
      </c>
      <c r="CC6" s="44">
        <v>0</v>
      </c>
      <c r="CD6" s="44">
        <v>0</v>
      </c>
      <c r="CF6" s="44">
        <v>22909.636168390927</v>
      </c>
      <c r="CG6" s="44">
        <v>-3448.9382301628257</v>
      </c>
      <c r="CH6" s="44">
        <v>19460.697938228102</v>
      </c>
      <c r="CI6" s="44">
        <v>175.24283560239252</v>
      </c>
      <c r="CJ6" s="44">
        <v>20.37707390725495</v>
      </c>
      <c r="CK6" s="44">
        <v>140.4845233137325</v>
      </c>
      <c r="CL6" s="44">
        <v>44.663702692064625</v>
      </c>
      <c r="CM6" s="44">
        <v>19841.466073743544</v>
      </c>
      <c r="CO6" s="44">
        <v>17564.818050305323</v>
      </c>
      <c r="CP6" s="44">
        <v>-2644.3009410658383</v>
      </c>
      <c r="CQ6" s="44">
        <v>14920.517109239485</v>
      </c>
      <c r="CR6" s="44">
        <v>134.35868205635433</v>
      </c>
      <c r="CS6" s="44">
        <v>15.623102564692369</v>
      </c>
      <c r="CT6" s="44">
        <v>107.7094840246387</v>
      </c>
      <c r="CU6" s="44">
        <v>34.243660854005945</v>
      </c>
      <c r="CV6" s="44">
        <v>15212.452038739177</v>
      </c>
    </row>
    <row r="7" spans="1:100">
      <c r="A7" s="22">
        <v>2</v>
      </c>
      <c r="B7" s="37">
        <v>1</v>
      </c>
      <c r="C7" s="700"/>
      <c r="D7" s="12" t="s">
        <v>794</v>
      </c>
      <c r="E7" s="12" t="s">
        <v>795</v>
      </c>
      <c r="F7" s="701"/>
      <c r="G7" s="701"/>
      <c r="H7" s="34">
        <v>0.05</v>
      </c>
      <c r="I7" s="34">
        <v>0</v>
      </c>
      <c r="J7" s="720"/>
      <c r="K7" s="23">
        <v>29.75</v>
      </c>
      <c r="L7" s="20">
        <v>30.6</v>
      </c>
      <c r="M7" s="20">
        <v>31.49</v>
      </c>
      <c r="N7" s="43">
        <v>30.82</v>
      </c>
      <c r="O7" s="497">
        <v>64352.160000000003</v>
      </c>
      <c r="P7" s="23">
        <v>180</v>
      </c>
      <c r="Q7" s="23">
        <v>1.5814610844194901</v>
      </c>
      <c r="R7" s="30">
        <v>8773.3135119255639</v>
      </c>
      <c r="S7" s="28">
        <v>3217.6080000000002</v>
      </c>
      <c r="T7" s="28">
        <v>0</v>
      </c>
      <c r="U7" s="28">
        <v>76343.081511925557</v>
      </c>
      <c r="W7" s="28">
        <v>4733.2710537393841</v>
      </c>
      <c r="X7" s="28">
        <v>1106.9746819229206</v>
      </c>
      <c r="Y7" s="28">
        <v>122.4</v>
      </c>
      <c r="Z7" s="28">
        <v>41.999999999999986</v>
      </c>
      <c r="AA7" s="35">
        <v>6004.6457356623041</v>
      </c>
      <c r="AC7" s="35">
        <v>64352.159999999996</v>
      </c>
      <c r="AD7" s="35">
        <v>76343.081511925557</v>
      </c>
      <c r="AF7" s="46">
        <v>2.5000000000000001E-2</v>
      </c>
      <c r="AG7" s="46" t="s">
        <v>57</v>
      </c>
      <c r="AH7" s="35">
        <v>1608.8040000000001</v>
      </c>
      <c r="AI7" s="35">
        <v>0</v>
      </c>
      <c r="AJ7" s="35">
        <v>0</v>
      </c>
      <c r="AK7" s="35">
        <v>0</v>
      </c>
      <c r="AM7" s="35">
        <v>23205.239999999998</v>
      </c>
      <c r="AN7" s="35">
        <v>-3493.44</v>
      </c>
      <c r="AO7" s="35">
        <v>19711.8</v>
      </c>
      <c r="AP7" s="35">
        <v>97000</v>
      </c>
      <c r="AQ7" s="35">
        <v>200.20800000000003</v>
      </c>
      <c r="AR7" s="35">
        <v>23.28</v>
      </c>
      <c r="AS7" s="35">
        <v>160.88040000000001</v>
      </c>
      <c r="AT7" s="35">
        <v>45.24</v>
      </c>
      <c r="AU7" s="35">
        <v>20141.408399999997</v>
      </c>
      <c r="AW7" s="102">
        <v>2.3435209353728113E-3</v>
      </c>
      <c r="AX7" s="102">
        <v>0.35210000000000002</v>
      </c>
      <c r="AZ7" s="35">
        <v>150.81063419646082</v>
      </c>
      <c r="BA7" s="35">
        <v>20.560443887786722</v>
      </c>
      <c r="BB7" s="35">
        <v>7.5405317098230409</v>
      </c>
      <c r="BC7" s="35">
        <v>178.91160979407059</v>
      </c>
      <c r="BE7" s="35">
        <v>97.710209895886962</v>
      </c>
      <c r="BF7" s="35">
        <v>13.321111594897015</v>
      </c>
      <c r="BG7" s="546">
        <v>7.5405317098230409</v>
      </c>
      <c r="BH7" s="35">
        <v>118.57185320060702</v>
      </c>
      <c r="BJ7" s="35">
        <v>11.092519807232375</v>
      </c>
      <c r="BK7" s="35">
        <v>2.594218342014023</v>
      </c>
      <c r="BL7" s="35">
        <v>0.2868469624896321</v>
      </c>
      <c r="BM7" s="35">
        <v>9.8427879285658035E-2</v>
      </c>
      <c r="BN7" s="35">
        <v>14.072012991021689</v>
      </c>
      <c r="BP7" s="35">
        <v>7.1868435831058548</v>
      </c>
      <c r="BQ7" s="35">
        <v>1.6807940637908854</v>
      </c>
      <c r="BR7" s="35">
        <v>0.18584814699703261</v>
      </c>
      <c r="BS7" s="35">
        <v>6.3771422989177831E-2</v>
      </c>
      <c r="BT7" s="35">
        <v>9.1172572168829511</v>
      </c>
      <c r="BV7" s="35">
        <v>3.7702658549115204</v>
      </c>
      <c r="BW7" s="35">
        <v>0</v>
      </c>
      <c r="BX7" s="35">
        <v>0</v>
      </c>
      <c r="BY7" s="35">
        <v>0</v>
      </c>
      <c r="CA7" s="35">
        <v>2.4427552473971739</v>
      </c>
      <c r="CB7" s="35">
        <v>0</v>
      </c>
      <c r="CC7" s="35">
        <v>0</v>
      </c>
      <c r="CD7" s="35">
        <v>0</v>
      </c>
      <c r="CF7" s="35">
        <v>54.381965750350574</v>
      </c>
      <c r="CG7" s="35">
        <v>-8.1869497764687935</v>
      </c>
      <c r="CH7" s="35">
        <v>46.19501597388178</v>
      </c>
      <c r="CI7" s="35">
        <v>0.46919163942911984</v>
      </c>
      <c r="CJ7" s="35">
        <v>5.4557167375479047E-2</v>
      </c>
      <c r="CK7" s="35">
        <v>0.37702658549115203</v>
      </c>
      <c r="CL7" s="35">
        <v>0.10602088711626599</v>
      </c>
      <c r="CM7" s="35">
        <v>47.201812253293795</v>
      </c>
      <c r="CO7" s="35">
        <v>35.23407560965213</v>
      </c>
      <c r="CP7" s="35">
        <v>-5.304324760174131</v>
      </c>
      <c r="CQ7" s="35">
        <v>29.929750849478001</v>
      </c>
      <c r="CR7" s="35">
        <v>0.30398926318612673</v>
      </c>
      <c r="CS7" s="35">
        <v>3.534758874257287E-2</v>
      </c>
      <c r="CT7" s="35">
        <v>0.24427552473971736</v>
      </c>
      <c r="CU7" s="35">
        <v>6.869093276262872E-2</v>
      </c>
      <c r="CV7" s="35">
        <v>30.582054158909049</v>
      </c>
    </row>
    <row r="8" spans="1:100">
      <c r="A8" s="22">
        <v>3</v>
      </c>
      <c r="B8" s="37">
        <v>1</v>
      </c>
      <c r="C8" s="700"/>
      <c r="D8" s="12" t="s">
        <v>263</v>
      </c>
      <c r="E8" s="12" t="s">
        <v>264</v>
      </c>
      <c r="F8" s="701"/>
      <c r="G8" s="701"/>
      <c r="H8" s="34">
        <v>0.05</v>
      </c>
      <c r="I8" s="34">
        <v>0</v>
      </c>
      <c r="J8" s="720"/>
      <c r="K8" s="23">
        <v>29.93</v>
      </c>
      <c r="L8" s="20">
        <v>30.78</v>
      </c>
      <c r="M8" s="20">
        <v>31.67</v>
      </c>
      <c r="N8" s="43">
        <v>31</v>
      </c>
      <c r="O8" s="497">
        <v>64728</v>
      </c>
      <c r="P8" s="23">
        <v>300</v>
      </c>
      <c r="Q8" s="23">
        <v>1.5814610844194901</v>
      </c>
      <c r="R8" s="30">
        <v>14707.588085101259</v>
      </c>
      <c r="S8" s="28">
        <v>3236.4</v>
      </c>
      <c r="T8" s="28">
        <v>0</v>
      </c>
      <c r="U8" s="28">
        <v>82671.988085101257</v>
      </c>
      <c r="W8" s="28">
        <v>5125.6632612762778</v>
      </c>
      <c r="X8" s="28">
        <v>1198.7438272339682</v>
      </c>
      <c r="Y8" s="28">
        <v>122.4</v>
      </c>
      <c r="Z8" s="28">
        <v>41.999999999999986</v>
      </c>
      <c r="AA8" s="35">
        <v>6488.8070885102461</v>
      </c>
      <c r="AC8" s="35">
        <v>64727.999999999993</v>
      </c>
      <c r="AD8" s="35">
        <v>82671.988085101257</v>
      </c>
      <c r="AF8" s="46">
        <v>0.04</v>
      </c>
      <c r="AG8" s="46" t="s">
        <v>55</v>
      </c>
      <c r="AH8" s="35">
        <v>3306.8795234040504</v>
      </c>
      <c r="AI8" s="35">
        <v>3398.2199999999993</v>
      </c>
      <c r="AJ8" s="35">
        <v>0</v>
      </c>
      <c r="AK8" s="35">
        <v>485.46</v>
      </c>
      <c r="AM8" s="35">
        <v>23205.239999999998</v>
      </c>
      <c r="AN8" s="35">
        <v>-3493.44</v>
      </c>
      <c r="AO8" s="35">
        <v>19711.8</v>
      </c>
      <c r="AP8" s="35">
        <v>98000</v>
      </c>
      <c r="AQ8" s="35">
        <v>202.27200000000002</v>
      </c>
      <c r="AR8" s="35">
        <v>23.52</v>
      </c>
      <c r="AS8" s="35">
        <v>161.82</v>
      </c>
      <c r="AT8" s="35">
        <v>45.24</v>
      </c>
      <c r="AU8" s="35">
        <v>20144.652000000002</v>
      </c>
      <c r="AW8" s="102">
        <v>0.16936704416250839</v>
      </c>
      <c r="AX8" s="102">
        <v>0.20930000000000001</v>
      </c>
      <c r="AZ8" s="35">
        <v>10962.790034550842</v>
      </c>
      <c r="BA8" s="35">
        <v>2490.980720733327</v>
      </c>
      <c r="BB8" s="35">
        <v>548.13950172754221</v>
      </c>
      <c r="BC8" s="35">
        <v>14001.910257011712</v>
      </c>
      <c r="BE8" s="35">
        <v>8668.2780803193509</v>
      </c>
      <c r="BF8" s="35">
        <v>1969.6184558838415</v>
      </c>
      <c r="BG8" s="546">
        <v>548.13950172754221</v>
      </c>
      <c r="BH8" s="35">
        <v>11186.036037930735</v>
      </c>
      <c r="BJ8" s="35">
        <v>868.11843593472611</v>
      </c>
      <c r="BK8" s="35">
        <v>203.02769872666983</v>
      </c>
      <c r="BL8" s="35">
        <v>20.730526205491028</v>
      </c>
      <c r="BM8" s="35">
        <v>7.1134158548253499</v>
      </c>
      <c r="BN8" s="35">
        <v>1098.9900767217125</v>
      </c>
      <c r="BP8" s="35">
        <v>686.42124729358795</v>
      </c>
      <c r="BQ8" s="35">
        <v>160.53400138317781</v>
      </c>
      <c r="BR8" s="35">
        <v>16.391627070681754</v>
      </c>
      <c r="BS8" s="35">
        <v>5.6245779164104039</v>
      </c>
      <c r="BT8" s="35">
        <v>868.97145366385803</v>
      </c>
      <c r="BV8" s="35">
        <v>560.07641028046851</v>
      </c>
      <c r="BW8" s="35">
        <v>575.54647681391918</v>
      </c>
      <c r="BX8" s="35">
        <v>0</v>
      </c>
      <c r="BY8" s="35">
        <v>82.22092525913132</v>
      </c>
      <c r="CA8" s="35">
        <v>442.85241760876642</v>
      </c>
      <c r="CB8" s="35">
        <v>455.08459921676587</v>
      </c>
      <c r="CC8" s="35">
        <v>0</v>
      </c>
      <c r="CD8" s="35">
        <v>82.22092525913132</v>
      </c>
      <c r="CF8" s="35">
        <v>3930.2029078816058</v>
      </c>
      <c r="CG8" s="35">
        <v>-591.67360675907332</v>
      </c>
      <c r="CH8" s="35">
        <v>3338.5293011225326</v>
      </c>
      <c r="CI8" s="35">
        <v>34.258210756838899</v>
      </c>
      <c r="CJ8" s="35">
        <v>3.9835128787021974</v>
      </c>
      <c r="CK8" s="35">
        <v>27.406975086377106</v>
      </c>
      <c r="CL8" s="35">
        <v>7.6621650779118795</v>
      </c>
      <c r="CM8" s="35">
        <v>3411.8401649223629</v>
      </c>
      <c r="CO8" s="35">
        <v>3107.6114392619857</v>
      </c>
      <c r="CP8" s="35">
        <v>-467.83632086439923</v>
      </c>
      <c r="CQ8" s="35">
        <v>2639.7751183975865</v>
      </c>
      <c r="CR8" s="35">
        <v>27.087967245432516</v>
      </c>
      <c r="CS8" s="35">
        <v>3.1497636331898273</v>
      </c>
      <c r="CT8" s="35">
        <v>21.670695200798377</v>
      </c>
      <c r="CU8" s="35">
        <v>6.0584739271049228</v>
      </c>
      <c r="CV8" s="35">
        <v>2697.7420184041121</v>
      </c>
    </row>
    <row r="9" spans="1:100">
      <c r="A9" s="22">
        <v>4</v>
      </c>
      <c r="B9" s="37">
        <v>1</v>
      </c>
      <c r="C9" s="700"/>
      <c r="D9" s="12" t="s">
        <v>383</v>
      </c>
      <c r="E9" s="12" t="s">
        <v>384</v>
      </c>
      <c r="F9" s="701"/>
      <c r="G9" s="701"/>
      <c r="H9" s="34">
        <v>0.05</v>
      </c>
      <c r="I9" s="34">
        <v>0</v>
      </c>
      <c r="J9" s="720"/>
      <c r="K9" s="23">
        <v>29.61</v>
      </c>
      <c r="L9" s="20">
        <v>30.45</v>
      </c>
      <c r="M9" s="20">
        <v>31.33</v>
      </c>
      <c r="N9" s="43">
        <v>30.67</v>
      </c>
      <c r="O9" s="497">
        <v>64038.96</v>
      </c>
      <c r="P9" s="23">
        <v>348</v>
      </c>
      <c r="Q9" s="23">
        <v>1.5814610844194901</v>
      </c>
      <c r="R9" s="30">
        <v>16879.187187782725</v>
      </c>
      <c r="S9" s="28">
        <v>3201.9480000000003</v>
      </c>
      <c r="T9" s="28">
        <v>0</v>
      </c>
      <c r="U9" s="28">
        <v>84120.095187782732</v>
      </c>
      <c r="W9" s="28">
        <v>5215.445901642529</v>
      </c>
      <c r="X9" s="28">
        <v>1219.7413802228498</v>
      </c>
      <c r="Y9" s="28">
        <v>122.4</v>
      </c>
      <c r="Z9" s="28">
        <v>41.999999999999986</v>
      </c>
      <c r="AA9" s="35">
        <v>6599.5872818653788</v>
      </c>
      <c r="AC9" s="35">
        <v>64038.960000000006</v>
      </c>
      <c r="AD9" s="35">
        <v>84120.095187782732</v>
      </c>
      <c r="AF9" s="46">
        <v>0.04</v>
      </c>
      <c r="AG9" s="46" t="s">
        <v>55</v>
      </c>
      <c r="AH9" s="35">
        <v>3364.8038075113095</v>
      </c>
      <c r="AI9" s="35">
        <v>3362.0454000000004</v>
      </c>
      <c r="AJ9" s="35">
        <v>0</v>
      </c>
      <c r="AK9" s="35">
        <v>0</v>
      </c>
      <c r="AM9" s="35">
        <v>23205.239999999998</v>
      </c>
      <c r="AN9" s="35">
        <v>-3493.44</v>
      </c>
      <c r="AO9" s="35">
        <v>19711.8</v>
      </c>
      <c r="AP9" s="35">
        <v>97000</v>
      </c>
      <c r="AQ9" s="35">
        <v>200.20800000000003</v>
      </c>
      <c r="AR9" s="35">
        <v>23.28</v>
      </c>
      <c r="AS9" s="35">
        <v>160.09739999999999</v>
      </c>
      <c r="AT9" s="35">
        <v>45.24</v>
      </c>
      <c r="AU9" s="35">
        <v>20140.625399999997</v>
      </c>
      <c r="AW9" s="102">
        <v>0.72367182904475313</v>
      </c>
      <c r="AX9" s="102">
        <v>1.7399999999999999E-2</v>
      </c>
      <c r="AZ9" s="35">
        <v>46343.191313323783</v>
      </c>
      <c r="BA9" s="35">
        <v>12214.992264971488</v>
      </c>
      <c r="BB9" s="35">
        <v>2317.1595656661893</v>
      </c>
      <c r="BC9" s="35">
        <v>60875.343143961458</v>
      </c>
      <c r="BE9" s="35">
        <v>45536.819784471947</v>
      </c>
      <c r="BF9" s="35">
        <v>12002.451399560985</v>
      </c>
      <c r="BG9" s="546">
        <v>2317.1595656661893</v>
      </c>
      <c r="BH9" s="35">
        <v>59856.430749699117</v>
      </c>
      <c r="BJ9" s="35">
        <v>3774.2712749256107</v>
      </c>
      <c r="BK9" s="35">
        <v>882.69247558744144</v>
      </c>
      <c r="BL9" s="35">
        <v>88.577431875077792</v>
      </c>
      <c r="BM9" s="35">
        <v>30.39421681987962</v>
      </c>
      <c r="BN9" s="35">
        <v>4775.9353992080105</v>
      </c>
      <c r="BP9" s="35">
        <v>3708.5989547419053</v>
      </c>
      <c r="BQ9" s="35">
        <v>867.33362651222001</v>
      </c>
      <c r="BR9" s="35">
        <v>87.036184560451446</v>
      </c>
      <c r="BS9" s="35">
        <v>29.865357447213714</v>
      </c>
      <c r="BT9" s="35">
        <v>4692.8341232617904</v>
      </c>
      <c r="BV9" s="35">
        <v>2435.0137257584588</v>
      </c>
      <c r="BW9" s="35">
        <v>2433.0175439494988</v>
      </c>
      <c r="BX9" s="35">
        <v>0</v>
      </c>
      <c r="BY9" s="35">
        <v>0</v>
      </c>
      <c r="CA9" s="35">
        <v>2392.6444869302618</v>
      </c>
      <c r="CB9" s="35">
        <v>2390.6830386847773</v>
      </c>
      <c r="CC9" s="35">
        <v>0</v>
      </c>
      <c r="CD9" s="35">
        <v>0</v>
      </c>
      <c r="CF9" s="35">
        <v>16792.978474222466</v>
      </c>
      <c r="CG9" s="35">
        <v>-2528.1041144581022</v>
      </c>
      <c r="CH9" s="35">
        <v>14264.874359764364</v>
      </c>
      <c r="CI9" s="35">
        <v>144.88488954939194</v>
      </c>
      <c r="CJ9" s="35">
        <v>16.847080180161853</v>
      </c>
      <c r="CK9" s="35">
        <v>115.85797828330945</v>
      </c>
      <c r="CL9" s="35">
        <v>32.73891354598463</v>
      </c>
      <c r="CM9" s="35">
        <v>14575.203221323212</v>
      </c>
      <c r="CO9" s="35">
        <v>16500.780648770997</v>
      </c>
      <c r="CP9" s="35">
        <v>-2484.1151028665313</v>
      </c>
      <c r="CQ9" s="35">
        <v>14016.665545904465</v>
      </c>
      <c r="CR9" s="35">
        <v>142.36389247123253</v>
      </c>
      <c r="CS9" s="35">
        <v>16.553940985027037</v>
      </c>
      <c r="CT9" s="35">
        <v>113.84204946117987</v>
      </c>
      <c r="CU9" s="35">
        <v>32.1692564502845</v>
      </c>
      <c r="CV9" s="35">
        <v>14321.594685272188</v>
      </c>
    </row>
    <row r="10" spans="1:100">
      <c r="A10" s="22">
        <v>5</v>
      </c>
      <c r="B10" s="37">
        <v>1</v>
      </c>
      <c r="C10" s="700"/>
      <c r="D10" s="12" t="s">
        <v>356</v>
      </c>
      <c r="E10" s="12" t="s">
        <v>357</v>
      </c>
      <c r="F10" s="701"/>
      <c r="G10" s="701"/>
      <c r="H10" s="34">
        <v>0.05</v>
      </c>
      <c r="I10" s="34">
        <v>0</v>
      </c>
      <c r="J10" s="720"/>
      <c r="K10" s="23">
        <v>29.82</v>
      </c>
      <c r="L10" s="20">
        <v>30.67</v>
      </c>
      <c r="M10" s="20">
        <v>31.56</v>
      </c>
      <c r="N10" s="43">
        <v>30.89</v>
      </c>
      <c r="O10" s="497">
        <v>64498.32</v>
      </c>
      <c r="P10" s="23">
        <v>96</v>
      </c>
      <c r="Q10" s="23">
        <v>1.5814610844194901</v>
      </c>
      <c r="R10" s="30">
        <v>4689.7279581809325</v>
      </c>
      <c r="S10" s="28">
        <v>3224.9160000000002</v>
      </c>
      <c r="T10" s="28">
        <v>0</v>
      </c>
      <c r="U10" s="28">
        <v>72412.963958180932</v>
      </c>
      <c r="W10" s="28">
        <v>4489.6037654072179</v>
      </c>
      <c r="X10" s="28">
        <v>1049.9879773936236</v>
      </c>
      <c r="Y10" s="28">
        <v>122.4</v>
      </c>
      <c r="Z10" s="28">
        <v>41.999999999999986</v>
      </c>
      <c r="AA10" s="35">
        <v>5703.9917428008412</v>
      </c>
      <c r="AC10" s="35">
        <v>64498.320000000007</v>
      </c>
      <c r="AD10" s="35">
        <v>72412.963958180932</v>
      </c>
      <c r="AF10" s="46">
        <v>0.02</v>
      </c>
      <c r="AG10" s="46" t="s">
        <v>55</v>
      </c>
      <c r="AH10" s="35">
        <v>1448.2592791636187</v>
      </c>
      <c r="AI10" s="35">
        <v>3386.1618000000003</v>
      </c>
      <c r="AJ10" s="35">
        <v>0</v>
      </c>
      <c r="AK10" s="35">
        <v>0</v>
      </c>
      <c r="AM10" s="35">
        <v>18232.559999999998</v>
      </c>
      <c r="AN10" s="35">
        <v>-2744.76</v>
      </c>
      <c r="AO10" s="35">
        <v>15487.799999999997</v>
      </c>
      <c r="AP10" s="35">
        <v>97000</v>
      </c>
      <c r="AQ10" s="35">
        <v>200.20800000000003</v>
      </c>
      <c r="AR10" s="35">
        <v>23.28</v>
      </c>
      <c r="AS10" s="35">
        <v>161.2458</v>
      </c>
      <c r="AT10" s="35">
        <v>45.24</v>
      </c>
      <c r="AU10" s="35">
        <v>15917.773799999999</v>
      </c>
      <c r="AW10" s="102">
        <v>0.99655536179465642</v>
      </c>
      <c r="AX10" s="102">
        <v>1E-3</v>
      </c>
      <c r="AZ10" s="35">
        <v>64276.146622747525</v>
      </c>
      <c r="BA10" s="35">
        <v>4673.5735420835144</v>
      </c>
      <c r="BB10" s="35">
        <v>3213.8073311373764</v>
      </c>
      <c r="BC10" s="35">
        <v>72163.527495968417</v>
      </c>
      <c r="BE10" s="35">
        <v>64211.870476124779</v>
      </c>
      <c r="BF10" s="35">
        <v>4668.899968541431</v>
      </c>
      <c r="BG10" s="546">
        <v>3213.8073311373764</v>
      </c>
      <c r="BH10" s="35">
        <v>72094.577775803584</v>
      </c>
      <c r="BJ10" s="35">
        <v>4474.1387047500421</v>
      </c>
      <c r="BK10" s="35">
        <v>1046.3711486915422</v>
      </c>
      <c r="BL10" s="35">
        <v>121.97837628366595</v>
      </c>
      <c r="BM10" s="35">
        <v>41.855325195375556</v>
      </c>
      <c r="BN10" s="35">
        <v>5684.343554920626</v>
      </c>
      <c r="BP10" s="35">
        <v>4469.6645660452923</v>
      </c>
      <c r="BQ10" s="35">
        <v>1045.3247775428506</v>
      </c>
      <c r="BR10" s="35">
        <v>121.85639790738229</v>
      </c>
      <c r="BS10" s="35">
        <v>41.813469870180178</v>
      </c>
      <c r="BT10" s="35">
        <v>5678.6592113657061</v>
      </c>
      <c r="BV10" s="35">
        <v>1443.2705499193682</v>
      </c>
      <c r="BW10" s="35">
        <v>3374.4976976942453</v>
      </c>
      <c r="BX10" s="35">
        <v>0</v>
      </c>
      <c r="BY10" s="35">
        <v>0</v>
      </c>
      <c r="CA10" s="35">
        <v>1441.8272793694489</v>
      </c>
      <c r="CB10" s="35">
        <v>3371.1231999965512</v>
      </c>
      <c r="CC10" s="35">
        <v>0</v>
      </c>
      <c r="CD10" s="35">
        <v>0</v>
      </c>
      <c r="CF10" s="35">
        <v>18169.755427242777</v>
      </c>
      <c r="CG10" s="35">
        <v>-2735.3052948395016</v>
      </c>
      <c r="CH10" s="35">
        <v>15434.450132403277</v>
      </c>
      <c r="CI10" s="35">
        <v>199.51835587418461</v>
      </c>
      <c r="CJ10" s="35">
        <v>23.199808822579602</v>
      </c>
      <c r="CK10" s="35">
        <v>160.69036655686881</v>
      </c>
      <c r="CL10" s="35">
        <v>45.084164567590257</v>
      </c>
      <c r="CM10" s="35">
        <v>15862.942828224499</v>
      </c>
      <c r="CO10" s="35">
        <v>18151.585671815534</v>
      </c>
      <c r="CP10" s="35">
        <v>-2732.5699895446619</v>
      </c>
      <c r="CQ10" s="35">
        <v>15419.015682270874</v>
      </c>
      <c r="CR10" s="35">
        <v>199.31883751831043</v>
      </c>
      <c r="CS10" s="35">
        <v>23.176609013757023</v>
      </c>
      <c r="CT10" s="35">
        <v>160.52967619031193</v>
      </c>
      <c r="CU10" s="35">
        <v>45.039080403022666</v>
      </c>
      <c r="CV10" s="35">
        <v>15847.079885396277</v>
      </c>
    </row>
    <row r="11" spans="1:100">
      <c r="A11" s="22">
        <v>6</v>
      </c>
      <c r="B11" s="37">
        <v>1</v>
      </c>
      <c r="C11" s="700"/>
      <c r="D11" s="12" t="s">
        <v>314</v>
      </c>
      <c r="E11" s="12" t="s">
        <v>315</v>
      </c>
      <c r="F11" s="701"/>
      <c r="G11" s="701"/>
      <c r="H11" s="34">
        <v>0.05</v>
      </c>
      <c r="I11" s="34">
        <v>0</v>
      </c>
      <c r="J11" s="720"/>
      <c r="K11" s="23">
        <v>26.83</v>
      </c>
      <c r="L11" s="20">
        <v>27.59</v>
      </c>
      <c r="M11" s="20">
        <v>28.39</v>
      </c>
      <c r="N11" s="43">
        <v>27.79</v>
      </c>
      <c r="O11" s="497">
        <v>58025.52</v>
      </c>
      <c r="P11" s="23">
        <v>351</v>
      </c>
      <c r="Q11" s="23">
        <v>1.5814610844194901</v>
      </c>
      <c r="R11" s="30">
        <v>15426.030041142187</v>
      </c>
      <c r="S11" s="28">
        <v>2901.2759999999998</v>
      </c>
      <c r="T11" s="28">
        <v>0</v>
      </c>
      <c r="U11" s="28">
        <v>76352.82604114218</v>
      </c>
      <c r="W11" s="28">
        <v>4733.8752145508151</v>
      </c>
      <c r="X11" s="28">
        <v>1107.1159775965616</v>
      </c>
      <c r="Y11" s="28">
        <v>122.4</v>
      </c>
      <c r="Z11" s="28">
        <v>41.999999999999986</v>
      </c>
      <c r="AA11" s="35">
        <v>6005.3911921473764</v>
      </c>
      <c r="AC11" s="35">
        <v>58025.52</v>
      </c>
      <c r="AD11" s="35">
        <v>76352.82604114218</v>
      </c>
      <c r="AF11" s="46">
        <v>0</v>
      </c>
      <c r="AG11" s="46">
        <v>0</v>
      </c>
      <c r="AH11" s="35">
        <v>0</v>
      </c>
      <c r="AI11" s="35">
        <v>3046.3397999999997</v>
      </c>
      <c r="AJ11" s="35">
        <v>0</v>
      </c>
      <c r="AK11" s="35">
        <v>0</v>
      </c>
      <c r="AM11" s="35">
        <v>23205.239999999998</v>
      </c>
      <c r="AN11" s="35">
        <v>-3493.44</v>
      </c>
      <c r="AO11" s="35">
        <v>19711.8</v>
      </c>
      <c r="AP11" s="35">
        <v>88000</v>
      </c>
      <c r="AQ11" s="35">
        <v>181.63199999999998</v>
      </c>
      <c r="AR11" s="35">
        <v>21.12</v>
      </c>
      <c r="AS11" s="35">
        <v>145.06379999999999</v>
      </c>
      <c r="AT11" s="35">
        <v>45.24</v>
      </c>
      <c r="AU11" s="35">
        <v>20104.855800000001</v>
      </c>
      <c r="AW11" s="102">
        <v>0.98726133271584049</v>
      </c>
      <c r="AX11" s="102">
        <v>0.23330000000000001</v>
      </c>
      <c r="AZ11" s="35">
        <v>57286.352206729651</v>
      </c>
      <c r="BA11" s="35">
        <v>15229.522976932627</v>
      </c>
      <c r="BB11" s="35">
        <v>2864.3176103364826</v>
      </c>
      <c r="BC11" s="35">
        <v>75380.192793998765</v>
      </c>
      <c r="BE11" s="35">
        <v>43921.446236899617</v>
      </c>
      <c r="BF11" s="35">
        <v>11676.475266414243</v>
      </c>
      <c r="BG11" s="546">
        <v>2864.3176103364826</v>
      </c>
      <c r="BH11" s="35">
        <v>58462.239113650343</v>
      </c>
      <c r="BJ11" s="35">
        <v>4673.5719532279227</v>
      </c>
      <c r="BK11" s="35">
        <v>1093.0127955129819</v>
      </c>
      <c r="BL11" s="35">
        <v>120.84078712441888</v>
      </c>
      <c r="BM11" s="35">
        <v>41.46497597406529</v>
      </c>
      <c r="BN11" s="35">
        <v>5928.8905118393886</v>
      </c>
      <c r="BP11" s="35">
        <v>3583.227616539848</v>
      </c>
      <c r="BQ11" s="35">
        <v>838.01291031980315</v>
      </c>
      <c r="BR11" s="35">
        <v>92.648631488291954</v>
      </c>
      <c r="BS11" s="35">
        <v>31.791197079315854</v>
      </c>
      <c r="BT11" s="35">
        <v>4545.6803554272592</v>
      </c>
      <c r="BV11" s="35">
        <v>0</v>
      </c>
      <c r="BW11" s="35">
        <v>3007.5334908533068</v>
      </c>
      <c r="BX11" s="35">
        <v>0</v>
      </c>
      <c r="BY11" s="35">
        <v>0</v>
      </c>
      <c r="CA11" s="35">
        <v>0</v>
      </c>
      <c r="CB11" s="35">
        <v>2305.8759274372301</v>
      </c>
      <c r="CC11" s="35">
        <v>0</v>
      </c>
      <c r="CD11" s="35">
        <v>0</v>
      </c>
      <c r="CF11" s="35">
        <v>22909.636168390927</v>
      </c>
      <c r="CG11" s="35">
        <v>-3448.9382301628257</v>
      </c>
      <c r="CH11" s="35">
        <v>19460.697938228102</v>
      </c>
      <c r="CI11" s="35">
        <v>179.31825038384352</v>
      </c>
      <c r="CJ11" s="35">
        <v>20.85095934695855</v>
      </c>
      <c r="CK11" s="35">
        <v>143.21588051682411</v>
      </c>
      <c r="CL11" s="35">
        <v>44.663702692064625</v>
      </c>
      <c r="CM11" s="35">
        <v>19848.746731167794</v>
      </c>
      <c r="CO11" s="35">
        <v>17564.818050305323</v>
      </c>
      <c r="CP11" s="35">
        <v>-2644.3009410658383</v>
      </c>
      <c r="CQ11" s="35">
        <v>14920.517109239485</v>
      </c>
      <c r="CR11" s="35">
        <v>137.48330256929282</v>
      </c>
      <c r="CS11" s="35">
        <v>15.98643053131312</v>
      </c>
      <c r="CT11" s="35">
        <v>109.80361559224905</v>
      </c>
      <c r="CU11" s="35">
        <v>34.243660854005945</v>
      </c>
      <c r="CV11" s="35">
        <v>15218.034118786347</v>
      </c>
    </row>
    <row r="12" spans="1:100">
      <c r="A12" s="22">
        <v>7</v>
      </c>
      <c r="B12" s="37">
        <v>1</v>
      </c>
      <c r="C12" s="700"/>
      <c r="D12" s="12" t="s">
        <v>356</v>
      </c>
      <c r="E12" s="12" t="s">
        <v>357</v>
      </c>
      <c r="F12" s="701"/>
      <c r="G12" s="701"/>
      <c r="H12" s="34">
        <v>0.05</v>
      </c>
      <c r="I12" s="34">
        <v>0</v>
      </c>
      <c r="J12" s="720"/>
      <c r="K12" s="23">
        <v>26.8</v>
      </c>
      <c r="L12" s="20">
        <v>27.56</v>
      </c>
      <c r="M12" s="20">
        <v>28.36</v>
      </c>
      <c r="N12" s="43">
        <v>27.76</v>
      </c>
      <c r="O12" s="497">
        <v>57962.879999999997</v>
      </c>
      <c r="P12" s="23">
        <v>192</v>
      </c>
      <c r="Q12" s="23">
        <v>1.5814610844194901</v>
      </c>
      <c r="R12" s="30">
        <v>8429.0610630691299</v>
      </c>
      <c r="S12" s="28">
        <v>2898.1440000000002</v>
      </c>
      <c r="T12" s="28">
        <v>0</v>
      </c>
      <c r="U12" s="28">
        <v>69290.085063069128</v>
      </c>
      <c r="W12" s="28">
        <v>4295.9852739102862</v>
      </c>
      <c r="X12" s="28">
        <v>1004.7062334145024</v>
      </c>
      <c r="Y12" s="28">
        <v>122.4</v>
      </c>
      <c r="Z12" s="28">
        <v>41.999999999999986</v>
      </c>
      <c r="AA12" s="35">
        <v>5465.0915073247879</v>
      </c>
      <c r="AC12" s="35">
        <v>57962.879999999997</v>
      </c>
      <c r="AD12" s="35">
        <v>69290.085063069128</v>
      </c>
      <c r="AF12" s="46">
        <v>0.04</v>
      </c>
      <c r="AG12" s="46" t="s">
        <v>55</v>
      </c>
      <c r="AH12" s="35">
        <v>2771.603402522765</v>
      </c>
      <c r="AI12" s="35">
        <v>3043.0511999999999</v>
      </c>
      <c r="AJ12" s="35">
        <v>0</v>
      </c>
      <c r="AK12" s="35">
        <v>0</v>
      </c>
      <c r="AM12" s="35">
        <v>23205.239999999998</v>
      </c>
      <c r="AN12" s="35">
        <v>-3493.44</v>
      </c>
      <c r="AO12" s="35">
        <v>19711.8</v>
      </c>
      <c r="AP12" s="35">
        <v>87000</v>
      </c>
      <c r="AQ12" s="35">
        <v>179.56799999999998</v>
      </c>
      <c r="AR12" s="35">
        <v>20.88</v>
      </c>
      <c r="AS12" s="35">
        <v>144.90719999999999</v>
      </c>
      <c r="AT12" s="35">
        <v>45.24</v>
      </c>
      <c r="AU12" s="35">
        <v>20102.395200000003</v>
      </c>
      <c r="AW12" s="102">
        <v>0.95180151837923754</v>
      </c>
      <c r="AX12" s="102">
        <v>0.1142</v>
      </c>
      <c r="AZ12" s="35">
        <v>55169.157193633539</v>
      </c>
      <c r="BA12" s="35">
        <v>8022.793118340508</v>
      </c>
      <c r="BB12" s="35">
        <v>2758.4578596816773</v>
      </c>
      <c r="BC12" s="35">
        <v>65950.408171655727</v>
      </c>
      <c r="BE12" s="35">
        <v>48868.839442120589</v>
      </c>
      <c r="BF12" s="35">
        <v>7106.5901442260219</v>
      </c>
      <c r="BG12" s="546">
        <v>2758.4578596816773</v>
      </c>
      <c r="BH12" s="35">
        <v>58733.88744602829</v>
      </c>
      <c r="BJ12" s="35">
        <v>4088.925306642655</v>
      </c>
      <c r="BK12" s="35">
        <v>956.28091848900806</v>
      </c>
      <c r="BL12" s="35">
        <v>116.50050584961868</v>
      </c>
      <c r="BM12" s="35">
        <v>39.975663771927962</v>
      </c>
      <c r="BN12" s="35">
        <v>5201.6823947532102</v>
      </c>
      <c r="BP12" s="35">
        <v>3621.9700366240641</v>
      </c>
      <c r="BQ12" s="35">
        <v>847.07363759756333</v>
      </c>
      <c r="BR12" s="35">
        <v>103.19614808159223</v>
      </c>
      <c r="BS12" s="35">
        <v>35.410442969173793</v>
      </c>
      <c r="BT12" s="35">
        <v>4607.650265272393</v>
      </c>
      <c r="BV12" s="35">
        <v>2638.0163268662286</v>
      </c>
      <c r="BW12" s="35">
        <v>2896.3807526657606</v>
      </c>
      <c r="BX12" s="35">
        <v>0</v>
      </c>
      <c r="BY12" s="35">
        <v>0</v>
      </c>
      <c r="CA12" s="35">
        <v>2336.7548623381053</v>
      </c>
      <c r="CB12" s="35">
        <v>2565.6140707113309</v>
      </c>
      <c r="CC12" s="35">
        <v>0</v>
      </c>
      <c r="CD12" s="35">
        <v>0</v>
      </c>
      <c r="CF12" s="35">
        <v>22086.782666354615</v>
      </c>
      <c r="CG12" s="35">
        <v>-3325.0614963667635</v>
      </c>
      <c r="CH12" s="35">
        <v>18761.721169987854</v>
      </c>
      <c r="CI12" s="35">
        <v>170.91309505232292</v>
      </c>
      <c r="CJ12" s="35">
        <v>19.873615703758478</v>
      </c>
      <c r="CK12" s="35">
        <v>137.92289298408383</v>
      </c>
      <c r="CL12" s="35">
        <v>43.059500691476707</v>
      </c>
      <c r="CM12" s="35">
        <v>19133.490274419495</v>
      </c>
      <c r="CO12" s="35">
        <v>19564.47208585692</v>
      </c>
      <c r="CP12" s="35">
        <v>-2945.3394734816793</v>
      </c>
      <c r="CQ12" s="35">
        <v>16619.132612375241</v>
      </c>
      <c r="CR12" s="35">
        <v>151.39481959734763</v>
      </c>
      <c r="CS12" s="35">
        <v>17.60404879038926</v>
      </c>
      <c r="CT12" s="35">
        <v>122.17209860530146</v>
      </c>
      <c r="CU12" s="35">
        <v>38.142105712510066</v>
      </c>
      <c r="CV12" s="35">
        <v>16948.445685080787</v>
      </c>
    </row>
    <row r="13" spans="1:100">
      <c r="A13" s="22">
        <v>8</v>
      </c>
      <c r="B13" s="37">
        <v>1</v>
      </c>
      <c r="C13" s="700"/>
      <c r="D13" s="12" t="s">
        <v>356</v>
      </c>
      <c r="E13" s="12" t="s">
        <v>357</v>
      </c>
      <c r="F13" s="701"/>
      <c r="G13" s="701"/>
      <c r="H13" s="34">
        <v>0.05</v>
      </c>
      <c r="I13" s="34">
        <v>0</v>
      </c>
      <c r="J13" s="720"/>
      <c r="K13" s="23">
        <v>29.9</v>
      </c>
      <c r="L13" s="20">
        <v>30.75</v>
      </c>
      <c r="M13" s="20">
        <v>31.64</v>
      </c>
      <c r="N13" s="43">
        <v>30.97</v>
      </c>
      <c r="O13" s="497">
        <v>64665.36</v>
      </c>
      <c r="P13" s="23">
        <v>348</v>
      </c>
      <c r="Q13" s="23">
        <v>1.5814610844194901</v>
      </c>
      <c r="R13" s="30">
        <v>17044.291724996121</v>
      </c>
      <c r="S13" s="28">
        <v>3233.268</v>
      </c>
      <c r="T13" s="28">
        <v>0</v>
      </c>
      <c r="U13" s="28">
        <v>84942.919724996114</v>
      </c>
      <c r="W13" s="28">
        <v>5266.4610229497594</v>
      </c>
      <c r="X13" s="28">
        <v>1231.6723360124438</v>
      </c>
      <c r="Y13" s="28">
        <v>122.4</v>
      </c>
      <c r="Z13" s="28">
        <v>41.999999999999986</v>
      </c>
      <c r="AA13" s="35">
        <v>6662.5333589622023</v>
      </c>
      <c r="AC13" s="35">
        <v>64665.36</v>
      </c>
      <c r="AD13" s="35">
        <v>84942.919724996114</v>
      </c>
      <c r="AF13" s="46">
        <v>0.04</v>
      </c>
      <c r="AG13" s="46" t="s">
        <v>55</v>
      </c>
      <c r="AH13" s="35">
        <v>3397.7167889998445</v>
      </c>
      <c r="AI13" s="35">
        <v>3394.9313999999999</v>
      </c>
      <c r="AJ13" s="35">
        <v>0</v>
      </c>
      <c r="AK13" s="35">
        <v>0</v>
      </c>
      <c r="AM13" s="35">
        <v>23205.239999999998</v>
      </c>
      <c r="AN13" s="35">
        <v>-3493.44</v>
      </c>
      <c r="AO13" s="35">
        <v>19711.8</v>
      </c>
      <c r="AP13" s="35">
        <v>97000</v>
      </c>
      <c r="AQ13" s="35">
        <v>200.20800000000003</v>
      </c>
      <c r="AR13" s="35">
        <v>23.28</v>
      </c>
      <c r="AS13" s="35">
        <v>161.6634</v>
      </c>
      <c r="AT13" s="35">
        <v>45.24</v>
      </c>
      <c r="AU13" s="35">
        <v>20142.1914</v>
      </c>
      <c r="AW13" s="102">
        <v>0.95186338099242551</v>
      </c>
      <c r="AX13" s="102">
        <v>1.4200000000000001E-2</v>
      </c>
      <c r="AZ13" s="35">
        <v>61552.58820269235</v>
      </c>
      <c r="BA13" s="35">
        <v>16223.837147976028</v>
      </c>
      <c r="BB13" s="35">
        <v>3077.6294101346175</v>
      </c>
      <c r="BC13" s="35">
        <v>80854.054760802988</v>
      </c>
      <c r="BE13" s="35">
        <v>60678.541450214121</v>
      </c>
      <c r="BF13" s="35">
        <v>15993.458660474769</v>
      </c>
      <c r="BG13" s="546">
        <v>3077.6294101346175</v>
      </c>
      <c r="BH13" s="35">
        <v>79749.62952082351</v>
      </c>
      <c r="BJ13" s="35">
        <v>5012.9513951697854</v>
      </c>
      <c r="BK13" s="35">
        <v>1172.3837940316434</v>
      </c>
      <c r="BL13" s="35">
        <v>116.50807783347288</v>
      </c>
      <c r="BM13" s="35">
        <v>39.978262001681856</v>
      </c>
      <c r="BN13" s="35">
        <v>6341.8215290365843</v>
      </c>
      <c r="BP13" s="35">
        <v>4941.7674853583749</v>
      </c>
      <c r="BQ13" s="35">
        <v>1155.7359441563942</v>
      </c>
      <c r="BR13" s="35">
        <v>114.85366312823757</v>
      </c>
      <c r="BS13" s="35">
        <v>39.410570681257973</v>
      </c>
      <c r="BT13" s="35">
        <v>6251.7676633242645</v>
      </c>
      <c r="BV13" s="35">
        <v>3234.1621904321196</v>
      </c>
      <c r="BW13" s="35">
        <v>3231.5108806413486</v>
      </c>
      <c r="BX13" s="35">
        <v>0</v>
      </c>
      <c r="BY13" s="35">
        <v>0</v>
      </c>
      <c r="CA13" s="35">
        <v>3188.2370873279833</v>
      </c>
      <c r="CB13" s="35">
        <v>3185.6234261362415</v>
      </c>
      <c r="CC13" s="35">
        <v>0</v>
      </c>
      <c r="CD13" s="35">
        <v>0</v>
      </c>
      <c r="CF13" s="35">
        <v>22088.21820314067</v>
      </c>
      <c r="CG13" s="35">
        <v>-3325.2776096941789</v>
      </c>
      <c r="CH13" s="35">
        <v>18762.940593446492</v>
      </c>
      <c r="CI13" s="35">
        <v>190.57066378173155</v>
      </c>
      <c r="CJ13" s="35">
        <v>22.159379509503665</v>
      </c>
      <c r="CK13" s="35">
        <v>153.88147050673089</v>
      </c>
      <c r="CL13" s="35">
        <v>43.062299356097334</v>
      </c>
      <c r="CM13" s="35">
        <v>19172.614406600555</v>
      </c>
      <c r="CO13" s="35">
        <v>21774.565504656071</v>
      </c>
      <c r="CP13" s="35">
        <v>-3278.0586676365215</v>
      </c>
      <c r="CQ13" s="35">
        <v>18496.506837019551</v>
      </c>
      <c r="CR13" s="35">
        <v>187.86456035603098</v>
      </c>
      <c r="CS13" s="35">
        <v>21.844716320468713</v>
      </c>
      <c r="CT13" s="35">
        <v>151.69635362553532</v>
      </c>
      <c r="CU13" s="35">
        <v>42.450814705240752</v>
      </c>
      <c r="CV13" s="35">
        <v>18900.363282026829</v>
      </c>
    </row>
    <row r="14" spans="1:100">
      <c r="A14" s="22">
        <v>9</v>
      </c>
      <c r="B14" s="37">
        <v>1</v>
      </c>
      <c r="C14" s="700"/>
      <c r="D14" s="12" t="s">
        <v>356</v>
      </c>
      <c r="E14" s="12" t="s">
        <v>357</v>
      </c>
      <c r="F14" s="701"/>
      <c r="G14" s="701"/>
      <c r="H14" s="34">
        <v>0.05</v>
      </c>
      <c r="I14" s="34">
        <v>0</v>
      </c>
      <c r="J14" s="720"/>
      <c r="K14" s="23">
        <v>28.19</v>
      </c>
      <c r="L14" s="20">
        <v>28.99</v>
      </c>
      <c r="M14" s="20">
        <v>29.83</v>
      </c>
      <c r="N14" s="43">
        <v>29.2</v>
      </c>
      <c r="O14" s="497">
        <v>60969.599999999999</v>
      </c>
      <c r="P14" s="23">
        <v>96</v>
      </c>
      <c r="Q14" s="23">
        <v>1.5814610844194901</v>
      </c>
      <c r="R14" s="30">
        <v>4433.1517118447146</v>
      </c>
      <c r="S14" s="28">
        <v>3048.48</v>
      </c>
      <c r="T14" s="28">
        <v>0</v>
      </c>
      <c r="U14" s="28">
        <v>68451.23171184471</v>
      </c>
      <c r="W14" s="28">
        <v>4243.9763661343723</v>
      </c>
      <c r="X14" s="28">
        <v>992.54285982174838</v>
      </c>
      <c r="Y14" s="28">
        <v>122.4</v>
      </c>
      <c r="Z14" s="28">
        <v>41.999999999999986</v>
      </c>
      <c r="AA14" s="35">
        <v>5400.9192259561205</v>
      </c>
      <c r="AC14" s="35">
        <v>60969.599999999991</v>
      </c>
      <c r="AD14" s="35">
        <v>68451.23171184471</v>
      </c>
      <c r="AF14" s="46">
        <v>0.04</v>
      </c>
      <c r="AG14" s="46" t="s">
        <v>55</v>
      </c>
      <c r="AH14" s="35">
        <v>2738.0492684737883</v>
      </c>
      <c r="AI14" s="35">
        <v>3200.9039999999995</v>
      </c>
      <c r="AJ14" s="35">
        <v>0</v>
      </c>
      <c r="AK14" s="35">
        <v>914.54399999999998</v>
      </c>
      <c r="AM14" s="35">
        <v>23205.239999999998</v>
      </c>
      <c r="AN14" s="35">
        <v>-3493.44</v>
      </c>
      <c r="AO14" s="35">
        <v>19711.8</v>
      </c>
      <c r="AP14" s="35">
        <v>92000</v>
      </c>
      <c r="AQ14" s="35">
        <v>189.88799999999998</v>
      </c>
      <c r="AR14" s="35">
        <v>22.080000000000002</v>
      </c>
      <c r="AS14" s="35">
        <v>152.42400000000001</v>
      </c>
      <c r="AT14" s="35">
        <v>45.24</v>
      </c>
      <c r="AU14" s="35">
        <v>20121.432000000001</v>
      </c>
      <c r="AW14" s="102">
        <v>0.99655536179465642</v>
      </c>
      <c r="AX14" s="102">
        <v>1E-3</v>
      </c>
      <c r="AZ14" s="35">
        <v>60759.581786475486</v>
      </c>
      <c r="BA14" s="35">
        <v>4417.8811080880096</v>
      </c>
      <c r="BB14" s="35">
        <v>3037.9790893237741</v>
      </c>
      <c r="BC14" s="35">
        <v>68215.441983887271</v>
      </c>
      <c r="BE14" s="35">
        <v>60698.822204689008</v>
      </c>
      <c r="BF14" s="35">
        <v>4413.4632269799213</v>
      </c>
      <c r="BG14" s="546">
        <v>3037.9790893237741</v>
      </c>
      <c r="BH14" s="35">
        <v>68150.2645209927</v>
      </c>
      <c r="BJ14" s="35">
        <v>4229.3574030010104</v>
      </c>
      <c r="BK14" s="35">
        <v>989.12390876636539</v>
      </c>
      <c r="BL14" s="35">
        <v>121.97837628366595</v>
      </c>
      <c r="BM14" s="35">
        <v>41.855325195375556</v>
      </c>
      <c r="BN14" s="35">
        <v>5382.315013246417</v>
      </c>
      <c r="BP14" s="35">
        <v>4225.1280455980095</v>
      </c>
      <c r="BQ14" s="35">
        <v>988.13478485759902</v>
      </c>
      <c r="BR14" s="35">
        <v>121.85639790738229</v>
      </c>
      <c r="BS14" s="35">
        <v>41.813469870180178</v>
      </c>
      <c r="BT14" s="35">
        <v>5376.9326982331713</v>
      </c>
      <c r="BV14" s="35">
        <v>2728.6176793554905</v>
      </c>
      <c r="BW14" s="35">
        <v>3189.8780437899622</v>
      </c>
      <c r="BX14" s="35">
        <v>0</v>
      </c>
      <c r="BY14" s="35">
        <v>911.39372679713222</v>
      </c>
      <c r="CA14" s="35">
        <v>2725.889061676135</v>
      </c>
      <c r="CB14" s="35">
        <v>3186.6881657461722</v>
      </c>
      <c r="CC14" s="35">
        <v>0</v>
      </c>
      <c r="CD14" s="35">
        <v>911.39372679713222</v>
      </c>
      <c r="CF14" s="35">
        <v>23125.306343731831</v>
      </c>
      <c r="CG14" s="35">
        <v>-3481.4063631079248</v>
      </c>
      <c r="CH14" s="35">
        <v>19643.899980623908</v>
      </c>
      <c r="CI14" s="35">
        <v>189.2339045404637</v>
      </c>
      <c r="CJ14" s="35">
        <v>22.003942388426015</v>
      </c>
      <c r="CK14" s="35">
        <v>151.89895446618871</v>
      </c>
      <c r="CL14" s="35">
        <v>45.084164567590257</v>
      </c>
      <c r="CM14" s="35">
        <v>20052.120946586576</v>
      </c>
      <c r="CO14" s="35">
        <v>23102.181037388098</v>
      </c>
      <c r="CP14" s="35">
        <v>-3477.9249567448169</v>
      </c>
      <c r="CQ14" s="35">
        <v>19624.256080643285</v>
      </c>
      <c r="CR14" s="35">
        <v>189.04467063592324</v>
      </c>
      <c r="CS14" s="35">
        <v>21.981938446037589</v>
      </c>
      <c r="CT14" s="35">
        <v>151.74705551172252</v>
      </c>
      <c r="CU14" s="35">
        <v>45.039080403022666</v>
      </c>
      <c r="CV14" s="35">
        <v>20032.068825639988</v>
      </c>
    </row>
    <row r="15" spans="1:100">
      <c r="A15" s="22">
        <v>10</v>
      </c>
      <c r="B15" s="37">
        <v>1</v>
      </c>
      <c r="C15" s="700"/>
      <c r="D15" s="12" t="s">
        <v>314</v>
      </c>
      <c r="E15" s="12" t="s">
        <v>315</v>
      </c>
      <c r="F15" s="701"/>
      <c r="G15" s="701"/>
      <c r="H15" s="34">
        <v>0.05</v>
      </c>
      <c r="I15" s="34">
        <v>0</v>
      </c>
      <c r="J15" s="720"/>
      <c r="K15" s="23">
        <v>24.13</v>
      </c>
      <c r="L15" s="20">
        <v>24.82</v>
      </c>
      <c r="M15" s="20">
        <v>25.54</v>
      </c>
      <c r="N15" s="43">
        <v>25</v>
      </c>
      <c r="O15" s="497">
        <v>52200</v>
      </c>
      <c r="P15" s="23">
        <v>351</v>
      </c>
      <c r="Q15" s="23">
        <v>1.5814610844194901</v>
      </c>
      <c r="R15" s="30">
        <v>13877.321015781024</v>
      </c>
      <c r="S15" s="28">
        <v>2610</v>
      </c>
      <c r="T15" s="28">
        <v>0</v>
      </c>
      <c r="U15" s="28">
        <v>68687.321015781024</v>
      </c>
      <c r="W15" s="28">
        <v>4258.6139029784235</v>
      </c>
      <c r="X15" s="28">
        <v>995.9661547288249</v>
      </c>
      <c r="Y15" s="28">
        <v>122.4</v>
      </c>
      <c r="Z15" s="28">
        <v>41.999999999999986</v>
      </c>
      <c r="AA15" s="35">
        <v>5418.9800577072483</v>
      </c>
      <c r="AC15" s="35">
        <v>52200</v>
      </c>
      <c r="AD15" s="35">
        <v>68687.321015781024</v>
      </c>
      <c r="AF15" s="46">
        <v>0.04</v>
      </c>
      <c r="AG15" s="46" t="s">
        <v>55</v>
      </c>
      <c r="AH15" s="35">
        <v>2747.4928406312411</v>
      </c>
      <c r="AI15" s="35">
        <v>2740.5</v>
      </c>
      <c r="AJ15" s="35">
        <v>0</v>
      </c>
      <c r="AK15" s="35">
        <v>0</v>
      </c>
      <c r="AM15" s="35">
        <v>23205.239999999998</v>
      </c>
      <c r="AN15" s="35">
        <v>-3493.44</v>
      </c>
      <c r="AO15" s="35">
        <v>19711.8</v>
      </c>
      <c r="AP15" s="35">
        <v>79000</v>
      </c>
      <c r="AQ15" s="35">
        <v>163.05599999999998</v>
      </c>
      <c r="AR15" s="35">
        <v>18.96</v>
      </c>
      <c r="AS15" s="35">
        <v>130.5</v>
      </c>
      <c r="AT15" s="35">
        <v>45.24</v>
      </c>
      <c r="AU15" s="35">
        <v>20069.556</v>
      </c>
      <c r="AW15" s="102">
        <v>0.98726133271584049</v>
      </c>
      <c r="AX15" s="102">
        <v>0.23330000000000001</v>
      </c>
      <c r="AZ15" s="35">
        <v>51535.041567766872</v>
      </c>
      <c r="BA15" s="35">
        <v>13700.542440565516</v>
      </c>
      <c r="BB15" s="35">
        <v>2576.7520783883438</v>
      </c>
      <c r="BC15" s="35">
        <v>67812.336086720723</v>
      </c>
      <c r="BE15" s="35">
        <v>39511.91637000686</v>
      </c>
      <c r="BF15" s="35">
        <v>10504.20588918158</v>
      </c>
      <c r="BG15" s="546">
        <v>2576.7520783883438</v>
      </c>
      <c r="BH15" s="35">
        <v>52592.874337576788</v>
      </c>
      <c r="BJ15" s="35">
        <v>4204.3648373766855</v>
      </c>
      <c r="BK15" s="35">
        <v>983.27887325745064</v>
      </c>
      <c r="BL15" s="35">
        <v>120.84078712441888</v>
      </c>
      <c r="BM15" s="35">
        <v>41.46497597406529</v>
      </c>
      <c r="BN15" s="35">
        <v>5349.9494737326204</v>
      </c>
      <c r="BP15" s="35">
        <v>3223.4865208167043</v>
      </c>
      <c r="BQ15" s="35">
        <v>753.8799121264874</v>
      </c>
      <c r="BR15" s="35">
        <v>92.648631488291954</v>
      </c>
      <c r="BS15" s="35">
        <v>31.791197079315854</v>
      </c>
      <c r="BT15" s="35">
        <v>4101.8062615107992</v>
      </c>
      <c r="BV15" s="35">
        <v>2712.4934434688294</v>
      </c>
      <c r="BW15" s="35">
        <v>2705.589682307761</v>
      </c>
      <c r="BX15" s="35">
        <v>0</v>
      </c>
      <c r="BY15" s="35">
        <v>0</v>
      </c>
      <c r="CA15" s="35">
        <v>2079.6687231075512</v>
      </c>
      <c r="CB15" s="35">
        <v>2074.3756094253604</v>
      </c>
      <c r="CC15" s="35">
        <v>0</v>
      </c>
      <c r="CD15" s="35">
        <v>0</v>
      </c>
      <c r="CF15" s="35">
        <v>22909.636168390927</v>
      </c>
      <c r="CG15" s="35">
        <v>-3448.9382301628257</v>
      </c>
      <c r="CH15" s="35">
        <v>19460.697938228102</v>
      </c>
      <c r="CI15" s="35">
        <v>160.97888386731407</v>
      </c>
      <c r="CJ15" s="35">
        <v>18.718474868292336</v>
      </c>
      <c r="CK15" s="35">
        <v>128.83760391941718</v>
      </c>
      <c r="CL15" s="35">
        <v>44.663702692064625</v>
      </c>
      <c r="CM15" s="35">
        <v>19813.896603575191</v>
      </c>
      <c r="CO15" s="35">
        <v>17564.818050305323</v>
      </c>
      <c r="CP15" s="35">
        <v>-2644.3009410658383</v>
      </c>
      <c r="CQ15" s="35">
        <v>14920.517109239485</v>
      </c>
      <c r="CR15" s="35">
        <v>123.42251026106969</v>
      </c>
      <c r="CS15" s="35">
        <v>14.351454681519733</v>
      </c>
      <c r="CT15" s="35">
        <v>98.779790925017139</v>
      </c>
      <c r="CU15" s="35">
        <v>34.243660854005945</v>
      </c>
      <c r="CV15" s="35">
        <v>15191.314525961097</v>
      </c>
    </row>
    <row r="16" spans="1:100">
      <c r="A16" s="22">
        <v>11</v>
      </c>
      <c r="B16" s="37">
        <v>1</v>
      </c>
      <c r="C16" s="700"/>
      <c r="D16" s="12" t="s">
        <v>356</v>
      </c>
      <c r="E16" s="12" t="s">
        <v>357</v>
      </c>
      <c r="F16" s="701"/>
      <c r="G16" s="701"/>
      <c r="H16" s="34">
        <v>0.05</v>
      </c>
      <c r="I16" s="34">
        <v>0</v>
      </c>
      <c r="J16" s="720"/>
      <c r="K16" s="23">
        <v>27.5</v>
      </c>
      <c r="L16" s="20">
        <v>28.28</v>
      </c>
      <c r="M16" s="20">
        <v>29.1</v>
      </c>
      <c r="N16" s="43">
        <v>28.48</v>
      </c>
      <c r="O16" s="497">
        <v>59466.239999999998</v>
      </c>
      <c r="P16" s="23">
        <v>96</v>
      </c>
      <c r="Q16" s="23">
        <v>1.5814610844194901</v>
      </c>
      <c r="R16" s="30">
        <v>4323.8411216896393</v>
      </c>
      <c r="S16" s="28">
        <v>2973.3119999999999</v>
      </c>
      <c r="T16" s="28">
        <v>0</v>
      </c>
      <c r="U16" s="28">
        <v>66763.393121689645</v>
      </c>
      <c r="W16" s="28">
        <v>4139.330373544758</v>
      </c>
      <c r="X16" s="28">
        <v>968.06920026449995</v>
      </c>
      <c r="Y16" s="28">
        <v>122.4</v>
      </c>
      <c r="Z16" s="28">
        <v>41.999999999999986</v>
      </c>
      <c r="AA16" s="35">
        <v>5271.7995738092577</v>
      </c>
      <c r="AC16" s="35">
        <v>59466.240000000005</v>
      </c>
      <c r="AD16" s="35">
        <v>66763.393121689645</v>
      </c>
      <c r="AF16" s="46">
        <v>3.5000000000000003E-2</v>
      </c>
      <c r="AG16" s="46" t="s">
        <v>55</v>
      </c>
      <c r="AH16" s="35">
        <v>2336.7187592591376</v>
      </c>
      <c r="AI16" s="35">
        <v>3121.9776000000002</v>
      </c>
      <c r="AJ16" s="35">
        <v>0</v>
      </c>
      <c r="AK16" s="35">
        <v>0</v>
      </c>
      <c r="AM16" s="35">
        <v>8287.56</v>
      </c>
      <c r="AN16" s="35">
        <v>-1247.6399999999999</v>
      </c>
      <c r="AO16" s="35">
        <v>7039.92</v>
      </c>
      <c r="AP16" s="35">
        <v>90000</v>
      </c>
      <c r="AQ16" s="35">
        <v>185.76</v>
      </c>
      <c r="AR16" s="35">
        <v>21.6</v>
      </c>
      <c r="AS16" s="35">
        <v>148.66559999999998</v>
      </c>
      <c r="AT16" s="35">
        <v>45.24</v>
      </c>
      <c r="AU16" s="35">
        <v>7441.1856000000007</v>
      </c>
      <c r="AW16" s="102">
        <v>0.99655536179465642</v>
      </c>
      <c r="AX16" s="102">
        <v>1E-3</v>
      </c>
      <c r="AZ16" s="35">
        <v>59261.400317767868</v>
      </c>
      <c r="BA16" s="35">
        <v>4308.9470533680314</v>
      </c>
      <c r="BB16" s="35">
        <v>2963.0700158883933</v>
      </c>
      <c r="BC16" s="35">
        <v>66533.417387024296</v>
      </c>
      <c r="BE16" s="35">
        <v>59202.138917450102</v>
      </c>
      <c r="BF16" s="35">
        <v>4304.6381063146637</v>
      </c>
      <c r="BG16" s="546">
        <v>2963.0700158883933</v>
      </c>
      <c r="BH16" s="35">
        <v>66469.847039653163</v>
      </c>
      <c r="BJ16" s="35">
        <v>4125.0718779955068</v>
      </c>
      <c r="BK16" s="35">
        <v>964.73455211185251</v>
      </c>
      <c r="BL16" s="35">
        <v>121.97837628366595</v>
      </c>
      <c r="BM16" s="35">
        <v>41.855325195375556</v>
      </c>
      <c r="BN16" s="35">
        <v>5253.6401315864005</v>
      </c>
      <c r="BP16" s="35">
        <v>4120.9468061175112</v>
      </c>
      <c r="BQ16" s="35">
        <v>963.76981755974066</v>
      </c>
      <c r="BR16" s="35">
        <v>121.85639790738229</v>
      </c>
      <c r="BS16" s="35">
        <v>41.813469870180178</v>
      </c>
      <c r="BT16" s="35">
        <v>5248.3864914548149</v>
      </c>
      <c r="BV16" s="35">
        <v>2328.6696085458507</v>
      </c>
      <c r="BW16" s="35">
        <v>3111.2235166828132</v>
      </c>
      <c r="BX16" s="35">
        <v>0</v>
      </c>
      <c r="BY16" s="35">
        <v>0</v>
      </c>
      <c r="CA16" s="35">
        <v>2326.3409389373046</v>
      </c>
      <c r="CB16" s="35">
        <v>3108.1122931661303</v>
      </c>
      <c r="CC16" s="35">
        <v>0</v>
      </c>
      <c r="CD16" s="35">
        <v>0</v>
      </c>
      <c r="CF16" s="35">
        <v>8259.0123541949215</v>
      </c>
      <c r="CG16" s="35">
        <v>-1243.342331589485</v>
      </c>
      <c r="CH16" s="35">
        <v>7015.6700226054381</v>
      </c>
      <c r="CI16" s="35">
        <v>185.12012400697537</v>
      </c>
      <c r="CJ16" s="35">
        <v>21.525595814764579</v>
      </c>
      <c r="CK16" s="35">
        <v>148.15350079441967</v>
      </c>
      <c r="CL16" s="35">
        <v>45.084164567590257</v>
      </c>
      <c r="CM16" s="35">
        <v>7415.5534077891871</v>
      </c>
      <c r="CO16" s="35">
        <v>8250.7533418407274</v>
      </c>
      <c r="CP16" s="35">
        <v>-1242.0989892578955</v>
      </c>
      <c r="CQ16" s="35">
        <v>7008.6543525828329</v>
      </c>
      <c r="CR16" s="35">
        <v>184.9350038829684</v>
      </c>
      <c r="CS16" s="35">
        <v>21.504070218949813</v>
      </c>
      <c r="CT16" s="35">
        <v>148.00534729362525</v>
      </c>
      <c r="CU16" s="35">
        <v>45.039080403022666</v>
      </c>
      <c r="CV16" s="35">
        <v>7408.1378543813989</v>
      </c>
    </row>
    <row r="17" spans="1:100">
      <c r="A17" s="22">
        <v>12</v>
      </c>
      <c r="B17" s="37">
        <v>1</v>
      </c>
      <c r="C17" s="700"/>
      <c r="D17" s="12" t="s">
        <v>356</v>
      </c>
      <c r="E17" s="12" t="s">
        <v>357</v>
      </c>
      <c r="F17" s="701"/>
      <c r="G17" s="701"/>
      <c r="H17" s="34">
        <v>0.05</v>
      </c>
      <c r="I17" s="34">
        <v>0</v>
      </c>
      <c r="J17" s="720"/>
      <c r="K17" s="23">
        <v>29</v>
      </c>
      <c r="L17" s="20">
        <v>29.83</v>
      </c>
      <c r="M17" s="20">
        <v>30.7</v>
      </c>
      <c r="N17" s="43">
        <v>30.04</v>
      </c>
      <c r="O17" s="497">
        <v>62723.519999999997</v>
      </c>
      <c r="P17" s="23">
        <v>96</v>
      </c>
      <c r="Q17" s="23">
        <v>1.5814610844194901</v>
      </c>
      <c r="R17" s="30">
        <v>4560.6807336923021</v>
      </c>
      <c r="S17" s="28">
        <v>3136.1759999999999</v>
      </c>
      <c r="T17" s="28">
        <v>0</v>
      </c>
      <c r="U17" s="28">
        <v>70420.376733692305</v>
      </c>
      <c r="W17" s="28">
        <v>4366.0633574889225</v>
      </c>
      <c r="X17" s="28">
        <v>1021.0954626385385</v>
      </c>
      <c r="Y17" s="28">
        <v>122.4</v>
      </c>
      <c r="Z17" s="28">
        <v>41.999999999999986</v>
      </c>
      <c r="AA17" s="35">
        <v>5551.5588201274604</v>
      </c>
      <c r="AC17" s="35">
        <v>62723.519999999997</v>
      </c>
      <c r="AD17" s="35">
        <v>70420.376733692305</v>
      </c>
      <c r="AF17" s="46">
        <v>0.03</v>
      </c>
      <c r="AG17" s="46" t="s">
        <v>55</v>
      </c>
      <c r="AH17" s="35">
        <v>2112.6113020107691</v>
      </c>
      <c r="AI17" s="35">
        <v>3292.9847999999997</v>
      </c>
      <c r="AJ17" s="35">
        <v>0</v>
      </c>
      <c r="AK17" s="35">
        <v>0</v>
      </c>
      <c r="AM17" s="35">
        <v>23205.239999999998</v>
      </c>
      <c r="AN17" s="35">
        <v>-3493.44</v>
      </c>
      <c r="AO17" s="35">
        <v>19711.8</v>
      </c>
      <c r="AP17" s="35">
        <v>95000</v>
      </c>
      <c r="AQ17" s="35">
        <v>196.07999999999998</v>
      </c>
      <c r="AR17" s="35">
        <v>22.799999999999997</v>
      </c>
      <c r="AS17" s="35">
        <v>156.80879999999999</v>
      </c>
      <c r="AT17" s="35">
        <v>45.24</v>
      </c>
      <c r="AU17" s="35">
        <v>20132.728800000001</v>
      </c>
      <c r="AW17" s="102">
        <v>0.99655536179465642</v>
      </c>
      <c r="AX17" s="102">
        <v>1E-3</v>
      </c>
      <c r="AZ17" s="35">
        <v>62507.460166634366</v>
      </c>
      <c r="BA17" s="35">
        <v>4544.9708385946515</v>
      </c>
      <c r="BB17" s="35">
        <v>3125.3730083317182</v>
      </c>
      <c r="BC17" s="35">
        <v>70177.804013560744</v>
      </c>
      <c r="BE17" s="35">
        <v>62444.952706467731</v>
      </c>
      <c r="BF17" s="35">
        <v>4540.4258677560565</v>
      </c>
      <c r="BG17" s="546">
        <v>3125.3730083317182</v>
      </c>
      <c r="BH17" s="35">
        <v>70110.751582555502</v>
      </c>
      <c r="BJ17" s="35">
        <v>4351.0238488407658</v>
      </c>
      <c r="BK17" s="35">
        <v>1017.5781581966309</v>
      </c>
      <c r="BL17" s="35">
        <v>121.97837628366595</v>
      </c>
      <c r="BM17" s="35">
        <v>41.855325195375556</v>
      </c>
      <c r="BN17" s="35">
        <v>5532.4357085164384</v>
      </c>
      <c r="BP17" s="35">
        <v>4346.6728249919252</v>
      </c>
      <c r="BQ17" s="35">
        <v>1016.5605800384342</v>
      </c>
      <c r="BR17" s="35">
        <v>121.85639790738229</v>
      </c>
      <c r="BS17" s="35">
        <v>41.813469870180178</v>
      </c>
      <c r="BT17" s="35">
        <v>5526.9032728079228</v>
      </c>
      <c r="BV17" s="35">
        <v>2105.334120406822</v>
      </c>
      <c r="BW17" s="35">
        <v>3281.6416587483041</v>
      </c>
      <c r="BX17" s="35">
        <v>0</v>
      </c>
      <c r="BY17" s="35">
        <v>0</v>
      </c>
      <c r="CA17" s="35">
        <v>2103.228786286415</v>
      </c>
      <c r="CB17" s="35">
        <v>3278.3600170895556</v>
      </c>
      <c r="CC17" s="35">
        <v>0</v>
      </c>
      <c r="CD17" s="35">
        <v>0</v>
      </c>
      <c r="CF17" s="35">
        <v>23125.306343731831</v>
      </c>
      <c r="CG17" s="35">
        <v>-3481.4063631079248</v>
      </c>
      <c r="CH17" s="35">
        <v>19643.899980623908</v>
      </c>
      <c r="CI17" s="35">
        <v>195.40457534069623</v>
      </c>
      <c r="CJ17" s="35">
        <v>22.721462248918165</v>
      </c>
      <c r="CK17" s="35">
        <v>156.2686504165859</v>
      </c>
      <c r="CL17" s="35">
        <v>45.084164567590257</v>
      </c>
      <c r="CM17" s="35">
        <v>20063.378833197701</v>
      </c>
      <c r="CO17" s="35">
        <v>23102.181037388098</v>
      </c>
      <c r="CP17" s="35">
        <v>-3477.9249567448169</v>
      </c>
      <c r="CQ17" s="35">
        <v>19624.256080643285</v>
      </c>
      <c r="CR17" s="35">
        <v>195.20917076535554</v>
      </c>
      <c r="CS17" s="35">
        <v>22.698740786669248</v>
      </c>
      <c r="CT17" s="35">
        <v>156.11238176616931</v>
      </c>
      <c r="CU17" s="35">
        <v>45.039080403022666</v>
      </c>
      <c r="CV17" s="35">
        <v>20043.3154543645</v>
      </c>
    </row>
    <row r="18" spans="1:100">
      <c r="A18" s="22">
        <v>13</v>
      </c>
      <c r="B18" s="37">
        <v>1</v>
      </c>
      <c r="C18" s="700"/>
      <c r="D18" s="12" t="s">
        <v>410</v>
      </c>
      <c r="E18" s="12" t="s">
        <v>411</v>
      </c>
      <c r="F18" s="701"/>
      <c r="G18" s="701"/>
      <c r="H18" s="34">
        <v>0.05</v>
      </c>
      <c r="I18" s="34">
        <v>0</v>
      </c>
      <c r="J18" s="720"/>
      <c r="K18" s="23">
        <v>18</v>
      </c>
      <c r="L18" s="20">
        <v>18.510000000000002</v>
      </c>
      <c r="M18" s="20">
        <v>19.05</v>
      </c>
      <c r="N18" s="43">
        <v>18.64</v>
      </c>
      <c r="O18" s="43">
        <v>38920.32</v>
      </c>
      <c r="P18" s="23">
        <v>0</v>
      </c>
      <c r="Q18" s="23">
        <v>1.5814610844194901</v>
      </c>
      <c r="R18" s="30">
        <v>0</v>
      </c>
      <c r="S18" s="28">
        <v>1946.0160000000001</v>
      </c>
      <c r="T18" s="28">
        <v>0</v>
      </c>
      <c r="U18" s="28">
        <v>40866.336000000003</v>
      </c>
      <c r="W18" s="28">
        <v>2533.7128320000002</v>
      </c>
      <c r="X18" s="28">
        <v>592.56187200000011</v>
      </c>
      <c r="Y18" s="28">
        <v>122.4</v>
      </c>
      <c r="Z18" s="28">
        <v>41.999999999999986</v>
      </c>
      <c r="AA18" s="35">
        <v>3290.6747040000005</v>
      </c>
      <c r="AC18" s="35">
        <v>38920.32</v>
      </c>
      <c r="AD18" s="35">
        <v>40866.336000000003</v>
      </c>
      <c r="AF18" s="46">
        <v>0.03</v>
      </c>
      <c r="AG18" s="46" t="s">
        <v>55</v>
      </c>
      <c r="AH18" s="35">
        <v>1225.99008</v>
      </c>
      <c r="AI18" s="35">
        <v>0</v>
      </c>
      <c r="AJ18" s="35">
        <v>0</v>
      </c>
      <c r="AK18" s="35">
        <v>0</v>
      </c>
      <c r="AM18" s="35">
        <v>0</v>
      </c>
      <c r="AN18" s="35">
        <v>0</v>
      </c>
      <c r="AO18" s="35">
        <v>0</v>
      </c>
      <c r="AP18" s="35">
        <v>59000</v>
      </c>
      <c r="AQ18" s="35">
        <v>121.776</v>
      </c>
      <c r="AR18" s="35">
        <v>14.16</v>
      </c>
      <c r="AS18" s="35">
        <v>97.300799999999995</v>
      </c>
      <c r="AT18" s="35">
        <v>45.24</v>
      </c>
      <c r="AU18" s="35">
        <v>278.47680000000003</v>
      </c>
      <c r="AW18" s="102">
        <v>1</v>
      </c>
      <c r="AX18" s="102">
        <v>1</v>
      </c>
      <c r="AZ18" s="35">
        <v>38920.32</v>
      </c>
      <c r="BA18" s="35">
        <v>0</v>
      </c>
      <c r="BB18" s="35">
        <v>1946.0160000000001</v>
      </c>
      <c r="BC18" s="35">
        <v>40866.336000000003</v>
      </c>
      <c r="BE18" s="35">
        <v>0</v>
      </c>
      <c r="BF18" s="35">
        <v>0</v>
      </c>
      <c r="BG18" s="546">
        <v>1946.0160000000001</v>
      </c>
      <c r="BH18" s="35">
        <v>1946.0160000000001</v>
      </c>
      <c r="BJ18" s="35">
        <v>2533.7128320000002</v>
      </c>
      <c r="BK18" s="35">
        <v>592.56187200000011</v>
      </c>
      <c r="BL18" s="35">
        <v>122.4</v>
      </c>
      <c r="BM18" s="35">
        <v>41.999999999999986</v>
      </c>
      <c r="BN18" s="35">
        <v>3290.6747040000005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  <c r="BV18" s="35">
        <v>1225.99008</v>
      </c>
      <c r="BW18" s="35">
        <v>0</v>
      </c>
      <c r="BX18" s="35">
        <v>0</v>
      </c>
      <c r="BY18" s="35">
        <v>0</v>
      </c>
      <c r="CA18" s="35">
        <v>0</v>
      </c>
      <c r="CB18" s="35">
        <v>0</v>
      </c>
      <c r="CC18" s="35">
        <v>0</v>
      </c>
      <c r="CD18" s="35">
        <v>0</v>
      </c>
      <c r="CF18" s="35">
        <v>0</v>
      </c>
      <c r="CG18" s="35">
        <v>0</v>
      </c>
      <c r="CH18" s="35">
        <v>0</v>
      </c>
      <c r="CI18" s="35">
        <v>121.776</v>
      </c>
      <c r="CJ18" s="35">
        <v>14.16</v>
      </c>
      <c r="CK18" s="35">
        <v>97.300799999999995</v>
      </c>
      <c r="CL18" s="35">
        <v>45.24</v>
      </c>
      <c r="CM18" s="35">
        <v>278.47680000000003</v>
      </c>
      <c r="CO18" s="35">
        <v>0</v>
      </c>
      <c r="CP18" s="35">
        <v>0</v>
      </c>
      <c r="CQ18" s="35">
        <v>0</v>
      </c>
      <c r="CR18" s="35">
        <v>0</v>
      </c>
      <c r="CS18" s="35">
        <v>0</v>
      </c>
      <c r="CT18" s="35">
        <v>0</v>
      </c>
      <c r="CU18" s="35">
        <v>0</v>
      </c>
      <c r="CV18" s="35">
        <v>0</v>
      </c>
    </row>
    <row r="19" spans="1:100">
      <c r="A19" s="22">
        <v>14</v>
      </c>
      <c r="B19" s="37">
        <v>1</v>
      </c>
      <c r="C19" s="700"/>
      <c r="D19" s="12" t="s">
        <v>226</v>
      </c>
      <c r="E19" s="12" t="s">
        <v>9</v>
      </c>
      <c r="F19" s="701"/>
      <c r="G19" s="701"/>
      <c r="H19" s="34">
        <v>0.05</v>
      </c>
      <c r="I19" s="34">
        <v>0</v>
      </c>
      <c r="J19" s="720"/>
      <c r="K19" s="23">
        <v>28.82</v>
      </c>
      <c r="L19" s="20">
        <v>29.64</v>
      </c>
      <c r="M19" s="20">
        <v>30.5</v>
      </c>
      <c r="N19" s="43">
        <v>29.85</v>
      </c>
      <c r="O19" s="43">
        <v>62326.8</v>
      </c>
      <c r="P19" s="23">
        <v>0</v>
      </c>
      <c r="Q19" s="23">
        <v>1.5814610844194901</v>
      </c>
      <c r="R19" s="30">
        <v>0</v>
      </c>
      <c r="S19" s="28">
        <v>3116.34</v>
      </c>
      <c r="T19" s="28">
        <v>0</v>
      </c>
      <c r="U19" s="28">
        <v>65443.14</v>
      </c>
      <c r="W19" s="28">
        <v>4057.4746799999998</v>
      </c>
      <c r="X19" s="28">
        <v>948.92553000000009</v>
      </c>
      <c r="Y19" s="28">
        <v>122.4</v>
      </c>
      <c r="Z19" s="28">
        <v>41.999999999999986</v>
      </c>
      <c r="AA19" s="35">
        <v>5170.8002099999994</v>
      </c>
      <c r="AC19" s="35">
        <v>62326.8</v>
      </c>
      <c r="AD19" s="35">
        <v>65443.14</v>
      </c>
      <c r="AF19" s="46">
        <v>2.5000000000000001E-2</v>
      </c>
      <c r="AG19" s="46" t="s">
        <v>57</v>
      </c>
      <c r="AH19" s="35">
        <v>1558.17</v>
      </c>
      <c r="AI19" s="35">
        <v>0</v>
      </c>
      <c r="AJ19" s="35">
        <v>0</v>
      </c>
      <c r="AK19" s="35">
        <v>0</v>
      </c>
      <c r="AM19" s="35">
        <v>18232.559999999998</v>
      </c>
      <c r="AN19" s="35">
        <v>-2744.76</v>
      </c>
      <c r="AO19" s="35">
        <v>15487.799999999997</v>
      </c>
      <c r="AP19" s="35">
        <v>94000</v>
      </c>
      <c r="AQ19" s="35">
        <v>194.01599999999999</v>
      </c>
      <c r="AR19" s="35">
        <v>22.56</v>
      </c>
      <c r="AS19" s="35">
        <v>155.81700000000001</v>
      </c>
      <c r="AT19" s="35">
        <v>45.24</v>
      </c>
      <c r="AU19" s="35">
        <v>15905.432999999995</v>
      </c>
      <c r="AW19" s="102">
        <v>1</v>
      </c>
      <c r="AX19" s="102">
        <v>0.99860000000000004</v>
      </c>
      <c r="AZ19" s="35">
        <v>62326.8</v>
      </c>
      <c r="BA19" s="35">
        <v>0</v>
      </c>
      <c r="BB19" s="35">
        <v>3116.34</v>
      </c>
      <c r="BC19" s="35">
        <v>65443.14</v>
      </c>
      <c r="BE19" s="35">
        <v>87.257519999997314</v>
      </c>
      <c r="BF19" s="35">
        <v>0</v>
      </c>
      <c r="BG19" s="546">
        <v>3116.34</v>
      </c>
      <c r="BH19" s="35">
        <v>3203.5975199999975</v>
      </c>
      <c r="BJ19" s="35">
        <v>4057.4746799999998</v>
      </c>
      <c r="BK19" s="35">
        <v>948.92553000000009</v>
      </c>
      <c r="BL19" s="35">
        <v>122.4</v>
      </c>
      <c r="BM19" s="35">
        <v>41.999999999999986</v>
      </c>
      <c r="BN19" s="35">
        <v>5170.8002099999994</v>
      </c>
      <c r="BP19" s="35">
        <v>5.6804645519998243</v>
      </c>
      <c r="BQ19" s="35">
        <v>1.3284957419999592</v>
      </c>
      <c r="BR19" s="35">
        <v>0.17135999999999471</v>
      </c>
      <c r="BS19" s="35">
        <v>5.8799999999998166E-2</v>
      </c>
      <c r="BT19" s="35">
        <v>7.2391202939997763</v>
      </c>
      <c r="BV19" s="35">
        <v>1558.17</v>
      </c>
      <c r="BW19" s="35">
        <v>0</v>
      </c>
      <c r="BX19" s="35">
        <v>0</v>
      </c>
      <c r="BY19" s="35">
        <v>0</v>
      </c>
      <c r="CA19" s="35">
        <v>2.1814379999999329</v>
      </c>
      <c r="CB19" s="35">
        <v>0</v>
      </c>
      <c r="CC19" s="35">
        <v>0</v>
      </c>
      <c r="CD19" s="35">
        <v>0</v>
      </c>
      <c r="CF19" s="35">
        <v>18232.559999999998</v>
      </c>
      <c r="CG19" s="35">
        <v>-2744.76</v>
      </c>
      <c r="CH19" s="35">
        <v>15487.799999999997</v>
      </c>
      <c r="CI19" s="35">
        <v>194.01599999999999</v>
      </c>
      <c r="CJ19" s="35">
        <v>22.56</v>
      </c>
      <c r="CK19" s="35">
        <v>155.81700000000001</v>
      </c>
      <c r="CL19" s="35">
        <v>45.24</v>
      </c>
      <c r="CM19" s="35">
        <v>15905.432999999995</v>
      </c>
      <c r="CO19" s="35">
        <v>25.52558399999921</v>
      </c>
      <c r="CP19" s="35">
        <v>-3.842663999999882</v>
      </c>
      <c r="CQ19" s="35">
        <v>21.682919999999328</v>
      </c>
      <c r="CR19" s="35">
        <v>0.2716223999999916</v>
      </c>
      <c r="CS19" s="35">
        <v>3.1583999999999023E-2</v>
      </c>
      <c r="CT19" s="35">
        <v>0.21814379999999328</v>
      </c>
      <c r="CU19" s="35">
        <v>6.3335999999998047E-2</v>
      </c>
      <c r="CV19" s="35">
        <v>22.26760619999931</v>
      </c>
    </row>
    <row r="20" spans="1:100">
      <c r="A20" s="22">
        <v>15</v>
      </c>
      <c r="B20" s="37">
        <v>1</v>
      </c>
      <c r="C20" s="700"/>
      <c r="D20" s="12" t="s">
        <v>226</v>
      </c>
      <c r="E20" s="12" t="s">
        <v>9</v>
      </c>
      <c r="F20" s="701"/>
      <c r="G20" s="701"/>
      <c r="H20" s="34">
        <v>0.05</v>
      </c>
      <c r="I20" s="34">
        <v>0</v>
      </c>
      <c r="J20" s="720"/>
      <c r="K20" s="23">
        <v>32.369999999999997</v>
      </c>
      <c r="L20" s="20">
        <v>33.29</v>
      </c>
      <c r="M20" s="20">
        <v>34.26</v>
      </c>
      <c r="N20" s="43">
        <v>33.53</v>
      </c>
      <c r="O20" s="43">
        <v>70010.64</v>
      </c>
      <c r="P20" s="23">
        <v>40</v>
      </c>
      <c r="Q20" s="23">
        <v>1.5814610844194901</v>
      </c>
      <c r="R20" s="30">
        <v>2121.0556064234202</v>
      </c>
      <c r="S20" s="28">
        <v>3500.5320000000002</v>
      </c>
      <c r="T20" s="28">
        <v>0</v>
      </c>
      <c r="U20" s="28">
        <v>75632.227606423432</v>
      </c>
      <c r="W20" s="28">
        <v>4689.1981115982526</v>
      </c>
      <c r="X20" s="28">
        <v>1096.6673002931398</v>
      </c>
      <c r="Y20" s="28">
        <v>122.4</v>
      </c>
      <c r="Z20" s="28">
        <v>41.999999999999986</v>
      </c>
      <c r="AA20" s="35">
        <v>5950.2654118913924</v>
      </c>
      <c r="AC20" s="35">
        <v>70010.64</v>
      </c>
      <c r="AD20" s="35">
        <v>75632.227606423432</v>
      </c>
      <c r="AF20" s="46">
        <v>2.5000000000000001E-2</v>
      </c>
      <c r="AG20" s="46" t="s">
        <v>57</v>
      </c>
      <c r="AH20" s="35">
        <v>1750.2660000000001</v>
      </c>
      <c r="AI20" s="35">
        <v>0</v>
      </c>
      <c r="AJ20" s="35">
        <v>0</v>
      </c>
      <c r="AK20" s="35">
        <v>1050.1596</v>
      </c>
      <c r="AM20" s="35">
        <v>18232.559999999998</v>
      </c>
      <c r="AN20" s="35">
        <v>-2744.76</v>
      </c>
      <c r="AO20" s="35">
        <v>15487.799999999997</v>
      </c>
      <c r="AP20" s="35">
        <v>106000</v>
      </c>
      <c r="AQ20" s="35">
        <v>218.78399999999999</v>
      </c>
      <c r="AR20" s="35">
        <v>25.44</v>
      </c>
      <c r="AS20" s="35">
        <v>175.0266</v>
      </c>
      <c r="AT20" s="35">
        <v>45.24</v>
      </c>
      <c r="AU20" s="35">
        <v>15952.290599999997</v>
      </c>
      <c r="AW20" s="102">
        <v>1</v>
      </c>
      <c r="AX20" s="102">
        <v>0.77910000000000001</v>
      </c>
      <c r="AZ20" s="35">
        <v>70010.64</v>
      </c>
      <c r="BA20" s="35">
        <v>2121.0556064234202</v>
      </c>
      <c r="BB20" s="35">
        <v>3500.5320000000002</v>
      </c>
      <c r="BC20" s="35">
        <v>75632.227606423432</v>
      </c>
      <c r="BE20" s="35">
        <v>15465.350375999999</v>
      </c>
      <c r="BF20" s="35">
        <v>468.54118345893346</v>
      </c>
      <c r="BG20" s="546">
        <v>3500.5320000000002</v>
      </c>
      <c r="BH20" s="35">
        <v>19434.423559458934</v>
      </c>
      <c r="BJ20" s="35">
        <v>4689.1981115982526</v>
      </c>
      <c r="BK20" s="35">
        <v>1096.6673002931398</v>
      </c>
      <c r="BL20" s="35">
        <v>122.4</v>
      </c>
      <c r="BM20" s="35">
        <v>41.999999999999986</v>
      </c>
      <c r="BN20" s="35">
        <v>5950.2654118913924</v>
      </c>
      <c r="BP20" s="35">
        <v>1035.8438628520539</v>
      </c>
      <c r="BQ20" s="35">
        <v>242.25380663475457</v>
      </c>
      <c r="BR20" s="35">
        <v>27.038159999999998</v>
      </c>
      <c r="BS20" s="35">
        <v>9.2777999999999956</v>
      </c>
      <c r="BT20" s="35">
        <v>1314.4136294868085</v>
      </c>
      <c r="BV20" s="35">
        <v>1750.2660000000001</v>
      </c>
      <c r="BW20" s="35">
        <v>0</v>
      </c>
      <c r="BX20" s="35">
        <v>0</v>
      </c>
      <c r="BY20" s="35">
        <v>1050.1596</v>
      </c>
      <c r="CA20" s="35">
        <v>386.63375939999997</v>
      </c>
      <c r="CB20" s="35">
        <v>0</v>
      </c>
      <c r="CC20" s="35">
        <v>0</v>
      </c>
      <c r="CD20" s="35">
        <v>1050.1596</v>
      </c>
      <c r="CF20" s="35">
        <v>18232.559999999998</v>
      </c>
      <c r="CG20" s="35">
        <v>-2744.76</v>
      </c>
      <c r="CH20" s="35">
        <v>15487.799999999997</v>
      </c>
      <c r="CI20" s="35">
        <v>218.78399999999999</v>
      </c>
      <c r="CJ20" s="35">
        <v>25.44</v>
      </c>
      <c r="CK20" s="35">
        <v>175.0266</v>
      </c>
      <c r="CL20" s="35">
        <v>45.24</v>
      </c>
      <c r="CM20" s="35">
        <v>15952.290599999997</v>
      </c>
      <c r="CO20" s="35">
        <v>4027.5725039999993</v>
      </c>
      <c r="CP20" s="35">
        <v>-606.31748400000004</v>
      </c>
      <c r="CQ20" s="35">
        <v>3421.2550199999991</v>
      </c>
      <c r="CR20" s="35">
        <v>48.329385599999995</v>
      </c>
      <c r="CS20" s="35">
        <v>5.6196960000000002</v>
      </c>
      <c r="CT20" s="35">
        <v>38.663375939999995</v>
      </c>
      <c r="CU20" s="35">
        <v>9.9935159999999996</v>
      </c>
      <c r="CV20" s="35">
        <v>3523.8609935399995</v>
      </c>
    </row>
    <row r="21" spans="1:100">
      <c r="A21" s="22">
        <v>16</v>
      </c>
      <c r="B21" s="37">
        <v>1</v>
      </c>
      <c r="C21" s="700"/>
      <c r="D21" s="12" t="s">
        <v>263</v>
      </c>
      <c r="E21" s="12" t="s">
        <v>264</v>
      </c>
      <c r="F21" s="701"/>
      <c r="G21" s="701"/>
      <c r="H21" s="34">
        <v>0.05</v>
      </c>
      <c r="I21" s="34">
        <v>0</v>
      </c>
      <c r="J21" s="720"/>
      <c r="K21" s="23">
        <v>26.37</v>
      </c>
      <c r="L21" s="20">
        <v>27.12</v>
      </c>
      <c r="M21" s="20">
        <v>27.91</v>
      </c>
      <c r="N21" s="43">
        <v>27.31</v>
      </c>
      <c r="O21" s="43">
        <v>57023.28</v>
      </c>
      <c r="P21" s="23">
        <v>96</v>
      </c>
      <c r="Q21" s="23">
        <v>1.5814610844194901</v>
      </c>
      <c r="R21" s="30">
        <v>4146.2114126876422</v>
      </c>
      <c r="S21" s="28">
        <v>2851.1640000000002</v>
      </c>
      <c r="T21" s="28">
        <v>0</v>
      </c>
      <c r="U21" s="28">
        <v>64020.655412687636</v>
      </c>
      <c r="W21" s="28">
        <v>3969.2806355866333</v>
      </c>
      <c r="X21" s="28">
        <v>928.29950348397074</v>
      </c>
      <c r="Y21" s="28">
        <v>122.4</v>
      </c>
      <c r="Z21" s="28">
        <v>41.999999999999986</v>
      </c>
      <c r="AA21" s="35">
        <v>5061.9801390706034</v>
      </c>
      <c r="AC21" s="35">
        <v>57023.28</v>
      </c>
      <c r="AD21" s="35">
        <v>64020.655412687636</v>
      </c>
      <c r="AF21" s="46">
        <v>2.5000000000000001E-2</v>
      </c>
      <c r="AG21" s="46" t="s">
        <v>57</v>
      </c>
      <c r="AH21" s="35">
        <v>1425.5820000000001</v>
      </c>
      <c r="AI21" s="35">
        <v>0</v>
      </c>
      <c r="AJ21" s="35">
        <v>0</v>
      </c>
      <c r="AK21" s="35">
        <v>0</v>
      </c>
      <c r="AM21" s="35">
        <v>18232.559999999998</v>
      </c>
      <c r="AN21" s="35">
        <v>-2744.76</v>
      </c>
      <c r="AO21" s="35">
        <v>15487.799999999997</v>
      </c>
      <c r="AP21" s="35">
        <v>86000</v>
      </c>
      <c r="AQ21" s="35">
        <v>177.50399999999996</v>
      </c>
      <c r="AR21" s="35">
        <v>20.64</v>
      </c>
      <c r="AS21" s="35">
        <v>142.5582</v>
      </c>
      <c r="AT21" s="35">
        <v>45.24</v>
      </c>
      <c r="AU21" s="35">
        <v>15873.742199999997</v>
      </c>
      <c r="AW21" s="102">
        <v>1</v>
      </c>
      <c r="AX21" s="102">
        <v>0.17549999999999999</v>
      </c>
      <c r="AZ21" s="35">
        <v>57023.28</v>
      </c>
      <c r="BA21" s="35">
        <v>4146.2114126876422</v>
      </c>
      <c r="BB21" s="35">
        <v>2851.1640000000002</v>
      </c>
      <c r="BC21" s="35">
        <v>64020.655412687636</v>
      </c>
      <c r="BE21" s="35">
        <v>47015.694360000001</v>
      </c>
      <c r="BF21" s="35">
        <v>3418.551309760961</v>
      </c>
      <c r="BG21" s="546">
        <v>2851.1640000000002</v>
      </c>
      <c r="BH21" s="35">
        <v>53285.409669760957</v>
      </c>
      <c r="BJ21" s="35">
        <v>3969.2806355866333</v>
      </c>
      <c r="BK21" s="35">
        <v>928.29950348397074</v>
      </c>
      <c r="BL21" s="35">
        <v>122.4</v>
      </c>
      <c r="BM21" s="35">
        <v>41.999999999999986</v>
      </c>
      <c r="BN21" s="35">
        <v>5061.9801390706034</v>
      </c>
      <c r="BP21" s="35">
        <v>3272.6718840411791</v>
      </c>
      <c r="BQ21" s="35">
        <v>765.38294062253385</v>
      </c>
      <c r="BR21" s="35">
        <v>100.9188</v>
      </c>
      <c r="BS21" s="35">
        <v>34.628999999999991</v>
      </c>
      <c r="BT21" s="35">
        <v>4173.602624663713</v>
      </c>
      <c r="BV21" s="35">
        <v>1425.5820000000001</v>
      </c>
      <c r="BW21" s="35">
        <v>0</v>
      </c>
      <c r="BX21" s="35">
        <v>0</v>
      </c>
      <c r="BY21" s="35">
        <v>0</v>
      </c>
      <c r="CA21" s="35">
        <v>1175.3923590000002</v>
      </c>
      <c r="CB21" s="35">
        <v>0</v>
      </c>
      <c r="CC21" s="35">
        <v>0</v>
      </c>
      <c r="CD21" s="35">
        <v>0</v>
      </c>
      <c r="CF21" s="35">
        <v>18232.559999999998</v>
      </c>
      <c r="CG21" s="35">
        <v>-2744.76</v>
      </c>
      <c r="CH21" s="35">
        <v>15487.799999999997</v>
      </c>
      <c r="CI21" s="35">
        <v>177.50399999999996</v>
      </c>
      <c r="CJ21" s="35">
        <v>20.64</v>
      </c>
      <c r="CK21" s="35">
        <v>142.5582</v>
      </c>
      <c r="CL21" s="35">
        <v>45.24</v>
      </c>
      <c r="CM21" s="35">
        <v>15873.742199999997</v>
      </c>
      <c r="CO21" s="35">
        <v>15032.745719999999</v>
      </c>
      <c r="CP21" s="35">
        <v>-2263.0546200000003</v>
      </c>
      <c r="CQ21" s="35">
        <v>12769.691099999998</v>
      </c>
      <c r="CR21" s="35">
        <v>146.35204799999997</v>
      </c>
      <c r="CS21" s="35">
        <v>17.017680000000002</v>
      </c>
      <c r="CT21" s="35">
        <v>117.53923589999999</v>
      </c>
      <c r="CU21" s="35">
        <v>37.300380000000004</v>
      </c>
      <c r="CV21" s="35">
        <v>13087.9004439</v>
      </c>
    </row>
    <row r="22" spans="1:100">
      <c r="A22" s="22">
        <v>17</v>
      </c>
      <c r="B22" s="37">
        <v>1</v>
      </c>
      <c r="C22" s="700"/>
      <c r="D22" s="12" t="s">
        <v>285</v>
      </c>
      <c r="E22" s="12" t="s">
        <v>286</v>
      </c>
      <c r="F22" s="701"/>
      <c r="G22" s="701"/>
      <c r="H22" s="34">
        <v>0.05</v>
      </c>
      <c r="I22" s="34">
        <v>0</v>
      </c>
      <c r="J22" s="720"/>
      <c r="K22" s="23">
        <v>31</v>
      </c>
      <c r="L22" s="20">
        <v>31.88</v>
      </c>
      <c r="M22" s="20">
        <v>32.799999999999997</v>
      </c>
      <c r="N22" s="43">
        <v>32.11</v>
      </c>
      <c r="O22" s="43">
        <v>67045.679999999993</v>
      </c>
      <c r="P22" s="23">
        <v>180.00000000000003</v>
      </c>
      <c r="Q22" s="23">
        <v>1.5814610844194901</v>
      </c>
      <c r="R22" s="30">
        <v>9140.5287757277692</v>
      </c>
      <c r="S22" s="28">
        <v>3352.2839999999997</v>
      </c>
      <c r="T22" s="28">
        <v>0</v>
      </c>
      <c r="U22" s="28">
        <v>79538.492775727762</v>
      </c>
      <c r="W22" s="28">
        <v>4931.3865520951213</v>
      </c>
      <c r="X22" s="28">
        <v>1153.3081452480526</v>
      </c>
      <c r="Y22" s="28">
        <v>122.4</v>
      </c>
      <c r="Z22" s="28">
        <v>41.999999999999986</v>
      </c>
      <c r="AA22" s="35">
        <v>6249.0946973431737</v>
      </c>
      <c r="AC22" s="35">
        <v>67045.679999999993</v>
      </c>
      <c r="AD22" s="35">
        <v>79538.492775727762</v>
      </c>
      <c r="AF22" s="46">
        <v>2.5000000000000001E-2</v>
      </c>
      <c r="AG22" s="46" t="s">
        <v>57</v>
      </c>
      <c r="AH22" s="35">
        <v>1676.1419999999998</v>
      </c>
      <c r="AI22" s="35">
        <v>0</v>
      </c>
      <c r="AJ22" s="35">
        <v>0</v>
      </c>
      <c r="AK22" s="35">
        <v>0</v>
      </c>
      <c r="AM22" s="35">
        <v>23205.239999999998</v>
      </c>
      <c r="AN22" s="35">
        <v>-3493.44</v>
      </c>
      <c r="AO22" s="35">
        <v>19711.8</v>
      </c>
      <c r="AP22" s="35">
        <v>101000</v>
      </c>
      <c r="AQ22" s="35">
        <v>208.464</v>
      </c>
      <c r="AR22" s="35">
        <v>24.240000000000002</v>
      </c>
      <c r="AS22" s="35">
        <v>167.61419999999998</v>
      </c>
      <c r="AT22" s="35">
        <v>45.24</v>
      </c>
      <c r="AU22" s="35">
        <v>20157.358200000002</v>
      </c>
      <c r="AW22" s="102">
        <v>1</v>
      </c>
      <c r="AX22" s="102">
        <v>0.4627</v>
      </c>
      <c r="AZ22" s="35">
        <v>67045.679999999993</v>
      </c>
      <c r="BA22" s="35">
        <v>9140.5287757277692</v>
      </c>
      <c r="BB22" s="35">
        <v>3352.2839999999997</v>
      </c>
      <c r="BC22" s="35">
        <v>79538.492775727762</v>
      </c>
      <c r="BE22" s="35">
        <v>36023.643863999998</v>
      </c>
      <c r="BF22" s="35">
        <v>4911.2061111985304</v>
      </c>
      <c r="BG22" s="546">
        <v>3352.2839999999997</v>
      </c>
      <c r="BH22" s="35">
        <v>44287.133975198529</v>
      </c>
      <c r="BJ22" s="35">
        <v>4931.3865520951213</v>
      </c>
      <c r="BK22" s="35">
        <v>1153.3081452480526</v>
      </c>
      <c r="BL22" s="35">
        <v>122.4</v>
      </c>
      <c r="BM22" s="35">
        <v>41.999999999999986</v>
      </c>
      <c r="BN22" s="35">
        <v>6249.0946973431737</v>
      </c>
      <c r="BP22" s="35">
        <v>2649.6339944407086</v>
      </c>
      <c r="BQ22" s="35">
        <v>619.67246644177862</v>
      </c>
      <c r="BR22" s="35">
        <v>65.765520000000009</v>
      </c>
      <c r="BS22" s="35">
        <v>22.566599999999994</v>
      </c>
      <c r="BT22" s="35">
        <v>3357.6385808824871</v>
      </c>
      <c r="BV22" s="35">
        <v>1676.1419999999998</v>
      </c>
      <c r="BW22" s="35">
        <v>0</v>
      </c>
      <c r="BX22" s="35">
        <v>0</v>
      </c>
      <c r="BY22" s="35">
        <v>0</v>
      </c>
      <c r="CA22" s="35">
        <v>900.5910965999999</v>
      </c>
      <c r="CB22" s="35">
        <v>0</v>
      </c>
      <c r="CC22" s="35">
        <v>0</v>
      </c>
      <c r="CD22" s="35">
        <v>0</v>
      </c>
      <c r="CF22" s="35">
        <v>23205.239999999998</v>
      </c>
      <c r="CG22" s="35">
        <v>-3493.44</v>
      </c>
      <c r="CH22" s="35">
        <v>19711.8</v>
      </c>
      <c r="CI22" s="35">
        <v>208.464</v>
      </c>
      <c r="CJ22" s="35">
        <v>24.240000000000002</v>
      </c>
      <c r="CK22" s="35">
        <v>167.61419999999998</v>
      </c>
      <c r="CL22" s="35">
        <v>45.24</v>
      </c>
      <c r="CM22" s="35">
        <v>20157.358200000002</v>
      </c>
      <c r="CO22" s="35">
        <v>12468.175451999999</v>
      </c>
      <c r="CP22" s="35">
        <v>-1877.025312</v>
      </c>
      <c r="CQ22" s="35">
        <v>10591.15014</v>
      </c>
      <c r="CR22" s="35">
        <v>112.0077072</v>
      </c>
      <c r="CS22" s="35">
        <v>13.024152000000001</v>
      </c>
      <c r="CT22" s="35">
        <v>90.05910965999999</v>
      </c>
      <c r="CU22" s="35">
        <v>24.307452000000001</v>
      </c>
      <c r="CV22" s="35">
        <v>10830.548560859999</v>
      </c>
    </row>
    <row r="23" spans="1:100">
      <c r="A23" s="22">
        <v>18</v>
      </c>
      <c r="B23" s="37">
        <v>1</v>
      </c>
      <c r="C23" s="700"/>
      <c r="D23" s="12" t="s">
        <v>285</v>
      </c>
      <c r="E23" s="12" t="s">
        <v>286</v>
      </c>
      <c r="F23" s="701"/>
      <c r="G23" s="701"/>
      <c r="H23" s="34">
        <v>0.05</v>
      </c>
      <c r="I23" s="34">
        <v>0</v>
      </c>
      <c r="J23" s="720"/>
      <c r="K23" s="23">
        <v>22.72</v>
      </c>
      <c r="L23" s="20">
        <v>23.37</v>
      </c>
      <c r="M23" s="20">
        <v>24.05</v>
      </c>
      <c r="N23" s="43">
        <v>23.54</v>
      </c>
      <c r="O23" s="43">
        <v>49151.519999999997</v>
      </c>
      <c r="P23" s="23">
        <v>84</v>
      </c>
      <c r="Q23" s="23">
        <v>1.5814610844194901</v>
      </c>
      <c r="R23" s="30">
        <v>3127.1178898877224</v>
      </c>
      <c r="S23" s="28">
        <v>2457.576</v>
      </c>
      <c r="T23" s="28">
        <v>0</v>
      </c>
      <c r="U23" s="28">
        <v>54736.213889887717</v>
      </c>
      <c r="W23" s="28">
        <v>3393.6452611730383</v>
      </c>
      <c r="X23" s="28">
        <v>793.67510140337197</v>
      </c>
      <c r="Y23" s="28">
        <v>122.4</v>
      </c>
      <c r="Z23" s="28">
        <v>41.999999999999986</v>
      </c>
      <c r="AA23" s="35">
        <v>4351.7203625764096</v>
      </c>
      <c r="AC23" s="35">
        <v>49151.51999999999</v>
      </c>
      <c r="AD23" s="35">
        <v>54736.213889887717</v>
      </c>
      <c r="AF23" s="46">
        <v>2.5000000000000001E-2</v>
      </c>
      <c r="AG23" s="46" t="s">
        <v>57</v>
      </c>
      <c r="AH23" s="35">
        <v>1228.7879999999998</v>
      </c>
      <c r="AI23" s="35">
        <v>0</v>
      </c>
      <c r="AJ23" s="35">
        <v>0</v>
      </c>
      <c r="AK23" s="35">
        <v>0</v>
      </c>
      <c r="AM23" s="35">
        <v>8287.56</v>
      </c>
      <c r="AN23" s="35">
        <v>-1247.6399999999999</v>
      </c>
      <c r="AO23" s="35">
        <v>7039.92</v>
      </c>
      <c r="AP23" s="35">
        <v>74000</v>
      </c>
      <c r="AQ23" s="35">
        <v>152.73599999999999</v>
      </c>
      <c r="AR23" s="35">
        <v>17.759999999999998</v>
      </c>
      <c r="AS23" s="35">
        <v>122.8788</v>
      </c>
      <c r="AT23" s="35">
        <v>45.24</v>
      </c>
      <c r="AU23" s="35">
        <v>7378.5348000000004</v>
      </c>
      <c r="AW23" s="102">
        <v>1</v>
      </c>
      <c r="AX23" s="102">
        <v>0.32400000000000001</v>
      </c>
      <c r="AZ23" s="35">
        <v>49151.519999999997</v>
      </c>
      <c r="BA23" s="35">
        <v>3127.1178898877224</v>
      </c>
      <c r="BB23" s="35">
        <v>2457.576</v>
      </c>
      <c r="BC23" s="35">
        <v>54736.213889887717</v>
      </c>
      <c r="BE23" s="35">
        <v>33226.427519999997</v>
      </c>
      <c r="BF23" s="35">
        <v>2113.9316935641</v>
      </c>
      <c r="BG23" s="546">
        <v>2457.576</v>
      </c>
      <c r="BH23" s="35">
        <v>37797.935213564095</v>
      </c>
      <c r="BJ23" s="35">
        <v>3393.6452611730383</v>
      </c>
      <c r="BK23" s="35">
        <v>793.67510140337197</v>
      </c>
      <c r="BL23" s="35">
        <v>122.4</v>
      </c>
      <c r="BM23" s="35">
        <v>41.999999999999986</v>
      </c>
      <c r="BN23" s="35">
        <v>4351.7203625764096</v>
      </c>
      <c r="BP23" s="35">
        <v>2294.1041965529735</v>
      </c>
      <c r="BQ23" s="35">
        <v>536.52436854867938</v>
      </c>
      <c r="BR23" s="35">
        <v>82.742399999999989</v>
      </c>
      <c r="BS23" s="35">
        <v>28.391999999999989</v>
      </c>
      <c r="BT23" s="35">
        <v>2941.7629651016528</v>
      </c>
      <c r="BV23" s="35">
        <v>1228.7879999999998</v>
      </c>
      <c r="BW23" s="35">
        <v>0</v>
      </c>
      <c r="BX23" s="35">
        <v>0</v>
      </c>
      <c r="BY23" s="35">
        <v>0</v>
      </c>
      <c r="CA23" s="35">
        <v>830.66068799999982</v>
      </c>
      <c r="CB23" s="35">
        <v>0</v>
      </c>
      <c r="CC23" s="35">
        <v>0</v>
      </c>
      <c r="CD23" s="35">
        <v>0</v>
      </c>
      <c r="CF23" s="35">
        <v>8287.56</v>
      </c>
      <c r="CG23" s="35">
        <v>-1247.6399999999999</v>
      </c>
      <c r="CH23" s="35">
        <v>7039.92</v>
      </c>
      <c r="CI23" s="35">
        <v>152.73599999999999</v>
      </c>
      <c r="CJ23" s="35">
        <v>17.759999999999998</v>
      </c>
      <c r="CK23" s="35">
        <v>122.8788</v>
      </c>
      <c r="CL23" s="35">
        <v>45.24</v>
      </c>
      <c r="CM23" s="35">
        <v>7378.5348000000004</v>
      </c>
      <c r="CO23" s="35">
        <v>5602.3905599999989</v>
      </c>
      <c r="CP23" s="35">
        <v>-843.40463999999986</v>
      </c>
      <c r="CQ23" s="35">
        <v>4758.9859199999992</v>
      </c>
      <c r="CR23" s="35">
        <v>103.24953599999998</v>
      </c>
      <c r="CS23" s="35">
        <v>12.005759999999997</v>
      </c>
      <c r="CT23" s="35">
        <v>83.066068799999996</v>
      </c>
      <c r="CU23" s="35">
        <v>30.582239999999999</v>
      </c>
      <c r="CV23" s="35">
        <v>4987.889524799999</v>
      </c>
    </row>
    <row r="24" spans="1:100">
      <c r="A24" s="22">
        <v>19</v>
      </c>
      <c r="B24" s="37">
        <v>1</v>
      </c>
      <c r="C24" s="700"/>
      <c r="D24" s="12" t="s">
        <v>218</v>
      </c>
      <c r="E24" s="12" t="s">
        <v>219</v>
      </c>
      <c r="F24" s="701"/>
      <c r="G24" s="701"/>
      <c r="H24" s="34">
        <v>0.05</v>
      </c>
      <c r="I24" s="34">
        <v>0</v>
      </c>
      <c r="J24" s="720"/>
      <c r="K24" s="23">
        <v>32.46</v>
      </c>
      <c r="L24" s="20">
        <v>33.39</v>
      </c>
      <c r="M24" s="20">
        <v>34.36</v>
      </c>
      <c r="N24" s="43">
        <v>33.630000000000003</v>
      </c>
      <c r="O24" s="43">
        <v>70219.44</v>
      </c>
      <c r="P24" s="23">
        <v>95.999999999999986</v>
      </c>
      <c r="Q24" s="23">
        <v>1.5814610844194901</v>
      </c>
      <c r="R24" s="30">
        <v>5105.7154818266345</v>
      </c>
      <c r="S24" s="28">
        <v>3510.9720000000002</v>
      </c>
      <c r="T24" s="28">
        <v>0</v>
      </c>
      <c r="U24" s="28">
        <v>78836.127481826625</v>
      </c>
      <c r="W24" s="28">
        <v>4887.8399038732505</v>
      </c>
      <c r="X24" s="28">
        <v>1143.1238484864862</v>
      </c>
      <c r="Y24" s="28">
        <v>122.4</v>
      </c>
      <c r="Z24" s="28">
        <v>41.999999999999986</v>
      </c>
      <c r="AA24" s="35">
        <v>6195.3637523597363</v>
      </c>
      <c r="AC24" s="35">
        <v>70219.44</v>
      </c>
      <c r="AD24" s="35">
        <v>78836.127481826625</v>
      </c>
      <c r="AF24" s="46">
        <v>2.5000000000000001E-2</v>
      </c>
      <c r="AG24" s="46" t="s">
        <v>57</v>
      </c>
      <c r="AH24" s="35">
        <v>1755.4860000000001</v>
      </c>
      <c r="AI24" s="35">
        <v>0</v>
      </c>
      <c r="AJ24" s="35">
        <v>0</v>
      </c>
      <c r="AK24" s="35">
        <v>0</v>
      </c>
      <c r="AM24" s="35">
        <v>8287.56</v>
      </c>
      <c r="AN24" s="35">
        <v>-1247.6399999999999</v>
      </c>
      <c r="AO24" s="35">
        <v>7039.92</v>
      </c>
      <c r="AP24" s="35">
        <v>106000</v>
      </c>
      <c r="AQ24" s="35">
        <v>218.78399999999999</v>
      </c>
      <c r="AR24" s="35">
        <v>25.44</v>
      </c>
      <c r="AS24" s="35">
        <v>175.54859999999999</v>
      </c>
      <c r="AT24" s="35">
        <v>45.24</v>
      </c>
      <c r="AU24" s="35">
        <v>7504.9325999999992</v>
      </c>
      <c r="AW24" s="102">
        <v>1</v>
      </c>
      <c r="AX24" s="102">
        <v>0.86970000000000003</v>
      </c>
      <c r="AZ24" s="35">
        <v>70219.44</v>
      </c>
      <c r="BA24" s="35">
        <v>5105.7154818266345</v>
      </c>
      <c r="BB24" s="35">
        <v>3510.9720000000002</v>
      </c>
      <c r="BC24" s="35">
        <v>78836.127481826625</v>
      </c>
      <c r="BE24" s="35">
        <v>9149.5930319999989</v>
      </c>
      <c r="BF24" s="35">
        <v>665.2747272820103</v>
      </c>
      <c r="BG24" s="546">
        <v>3510.9720000000002</v>
      </c>
      <c r="BH24" s="35">
        <v>13325.839759282009</v>
      </c>
      <c r="BJ24" s="35">
        <v>4887.8399038732505</v>
      </c>
      <c r="BK24" s="35">
        <v>1143.1238484864862</v>
      </c>
      <c r="BL24" s="35">
        <v>122.4</v>
      </c>
      <c r="BM24" s="35">
        <v>41.999999999999986</v>
      </c>
      <c r="BN24" s="35">
        <v>6195.3637523597363</v>
      </c>
      <c r="BP24" s="35">
        <v>636.88553947468438</v>
      </c>
      <c r="BQ24" s="35">
        <v>148.9490374577891</v>
      </c>
      <c r="BR24" s="35">
        <v>15.948719999999998</v>
      </c>
      <c r="BS24" s="35">
        <v>5.4725999999999972</v>
      </c>
      <c r="BT24" s="35">
        <v>807.25589693247343</v>
      </c>
      <c r="BV24" s="35">
        <v>1755.4860000000001</v>
      </c>
      <c r="BW24" s="35">
        <v>0</v>
      </c>
      <c r="BX24" s="35">
        <v>0</v>
      </c>
      <c r="BY24" s="35">
        <v>0</v>
      </c>
      <c r="CA24" s="35">
        <v>228.73982579999998</v>
      </c>
      <c r="CB24" s="35">
        <v>0</v>
      </c>
      <c r="CC24" s="35">
        <v>0</v>
      </c>
      <c r="CD24" s="35">
        <v>0</v>
      </c>
      <c r="CF24" s="35">
        <v>8287.56</v>
      </c>
      <c r="CG24" s="35">
        <v>-1247.6399999999999</v>
      </c>
      <c r="CH24" s="35">
        <v>7039.92</v>
      </c>
      <c r="CI24" s="35">
        <v>218.78399999999999</v>
      </c>
      <c r="CJ24" s="35">
        <v>25.44</v>
      </c>
      <c r="CK24" s="35">
        <v>175.54859999999999</v>
      </c>
      <c r="CL24" s="35">
        <v>45.24</v>
      </c>
      <c r="CM24" s="35">
        <v>7504.9325999999992</v>
      </c>
      <c r="CO24" s="35">
        <v>1079.8690679999997</v>
      </c>
      <c r="CP24" s="35">
        <v>-162.56749199999996</v>
      </c>
      <c r="CQ24" s="35">
        <v>917.30157599999984</v>
      </c>
      <c r="CR24" s="35">
        <v>28.507555199999992</v>
      </c>
      <c r="CS24" s="35">
        <v>3.3148319999999996</v>
      </c>
      <c r="CT24" s="35">
        <v>22.873982579999993</v>
      </c>
      <c r="CU24" s="35">
        <v>5.8947719999999988</v>
      </c>
      <c r="CV24" s="35">
        <v>977.89271777999977</v>
      </c>
    </row>
    <row r="25" spans="1:100">
      <c r="A25" s="22">
        <v>20</v>
      </c>
      <c r="B25" s="37">
        <v>1</v>
      </c>
      <c r="C25" s="700"/>
      <c r="D25" s="12" t="s">
        <v>263</v>
      </c>
      <c r="E25" s="12" t="s">
        <v>264</v>
      </c>
      <c r="F25" s="701"/>
      <c r="G25" s="701"/>
      <c r="H25" s="34">
        <v>0.05</v>
      </c>
      <c r="I25" s="34">
        <v>0</v>
      </c>
      <c r="J25" s="720"/>
      <c r="K25" s="23">
        <v>32.020000000000003</v>
      </c>
      <c r="L25" s="20">
        <v>32.93</v>
      </c>
      <c r="M25" s="20">
        <v>33.880000000000003</v>
      </c>
      <c r="N25" s="43">
        <v>33.159999999999997</v>
      </c>
      <c r="O25" s="497">
        <v>69238.080000000002</v>
      </c>
      <c r="P25" s="23">
        <v>60</v>
      </c>
      <c r="Q25" s="23">
        <v>1.5814610844194901</v>
      </c>
      <c r="R25" s="30">
        <v>3146.4749735610171</v>
      </c>
      <c r="S25" s="28">
        <v>3461.9040000000005</v>
      </c>
      <c r="T25" s="28">
        <v>0</v>
      </c>
      <c r="U25" s="28">
        <v>75846.458973561021</v>
      </c>
      <c r="W25" s="28">
        <v>4702.4804563607831</v>
      </c>
      <c r="X25" s="28">
        <v>1099.7736551166349</v>
      </c>
      <c r="Y25" s="28">
        <v>122.4</v>
      </c>
      <c r="Z25" s="28">
        <v>41.999999999999986</v>
      </c>
      <c r="AA25" s="35">
        <v>5966.6541114774172</v>
      </c>
      <c r="AC25" s="35">
        <v>69238.080000000002</v>
      </c>
      <c r="AD25" s="35">
        <v>75846.458973561021</v>
      </c>
      <c r="AF25" s="46">
        <v>0.04</v>
      </c>
      <c r="AG25" s="46" t="s">
        <v>55</v>
      </c>
      <c r="AH25" s="35">
        <v>3033.8583589424411</v>
      </c>
      <c r="AI25" s="35">
        <v>3634.9991999999997</v>
      </c>
      <c r="AJ25" s="35">
        <v>0</v>
      </c>
      <c r="AK25" s="35">
        <v>0</v>
      </c>
      <c r="AM25" s="35">
        <v>8843.8799999999992</v>
      </c>
      <c r="AN25" s="35">
        <v>-1336.4399999999998</v>
      </c>
      <c r="AO25" s="35">
        <v>7507.44</v>
      </c>
      <c r="AP25" s="35">
        <v>104000</v>
      </c>
      <c r="AQ25" s="35">
        <v>214.65600000000001</v>
      </c>
      <c r="AR25" s="35">
        <v>24.96</v>
      </c>
      <c r="AS25" s="35">
        <v>173.09520000000001</v>
      </c>
      <c r="AT25" s="35">
        <v>45.24</v>
      </c>
      <c r="AU25" s="35">
        <v>7965.3911999999991</v>
      </c>
      <c r="AW25" s="102">
        <v>0.87990259385837166</v>
      </c>
      <c r="AX25" s="102">
        <v>2.8500000000000001E-2</v>
      </c>
      <c r="AZ25" s="35">
        <v>60922.766185773449</v>
      </c>
      <c r="BA25" s="35">
        <v>2768.5914907467904</v>
      </c>
      <c r="BB25" s="35">
        <v>3046.1383092886726</v>
      </c>
      <c r="BC25" s="35">
        <v>66737.495985808913</v>
      </c>
      <c r="BE25" s="35">
        <v>59186.467349478909</v>
      </c>
      <c r="BF25" s="35">
        <v>2689.6866332605068</v>
      </c>
      <c r="BG25" s="546">
        <v>3046.1383092886726</v>
      </c>
      <c r="BH25" s="35">
        <v>64922.292292028091</v>
      </c>
      <c r="BJ25" s="35">
        <v>4137.7247511201522</v>
      </c>
      <c r="BK25" s="35">
        <v>967.69369179422938</v>
      </c>
      <c r="BL25" s="35">
        <v>107.7000774882647</v>
      </c>
      <c r="BM25" s="35">
        <v>36.9559089420516</v>
      </c>
      <c r="BN25" s="35">
        <v>5250.0744293446978</v>
      </c>
      <c r="BP25" s="35">
        <v>4019.799595713228</v>
      </c>
      <c r="BQ25" s="35">
        <v>940.11442157809392</v>
      </c>
      <c r="BR25" s="35">
        <v>104.63062527984916</v>
      </c>
      <c r="BS25" s="35">
        <v>35.902665537203134</v>
      </c>
      <c r="BT25" s="35">
        <v>5100.4473081083752</v>
      </c>
      <c r="BV25" s="35">
        <v>2669.4998394323566</v>
      </c>
      <c r="BW25" s="35">
        <v>3198.4452247531058</v>
      </c>
      <c r="BX25" s="35">
        <v>0</v>
      </c>
      <c r="BY25" s="35">
        <v>0</v>
      </c>
      <c r="CA25" s="35">
        <v>2593.4190940085346</v>
      </c>
      <c r="CB25" s="35">
        <v>3107.2895358476426</v>
      </c>
      <c r="CC25" s="35">
        <v>0</v>
      </c>
      <c r="CD25" s="35">
        <v>0</v>
      </c>
      <c r="CF25" s="35">
        <v>7781.752951772175</v>
      </c>
      <c r="CG25" s="35">
        <v>-1175.9370225360822</v>
      </c>
      <c r="CH25" s="35">
        <v>6605.8159292360933</v>
      </c>
      <c r="CI25" s="35">
        <v>188.87637118726263</v>
      </c>
      <c r="CJ25" s="35">
        <v>21.962368742704957</v>
      </c>
      <c r="CK25" s="35">
        <v>152.30691546443362</v>
      </c>
      <c r="CL25" s="35">
        <v>39.806793346152737</v>
      </c>
      <c r="CM25" s="35">
        <v>7008.7683779766467</v>
      </c>
      <c r="CO25" s="35">
        <v>7559.972992646668</v>
      </c>
      <c r="CP25" s="35">
        <v>-1142.4228173938038</v>
      </c>
      <c r="CQ25" s="35">
        <v>6417.5501752528653</v>
      </c>
      <c r="CR25" s="35">
        <v>183.49339460842566</v>
      </c>
      <c r="CS25" s="35">
        <v>21.336441233537865</v>
      </c>
      <c r="CT25" s="35">
        <v>147.96616837369726</v>
      </c>
      <c r="CU25" s="35">
        <v>38.672299735787384</v>
      </c>
      <c r="CV25" s="35">
        <v>6809.0184792043137</v>
      </c>
    </row>
    <row r="26" spans="1:100">
      <c r="A26" s="22">
        <v>21</v>
      </c>
      <c r="B26" s="37">
        <v>1</v>
      </c>
      <c r="C26" s="700"/>
      <c r="D26" s="12" t="s">
        <v>285</v>
      </c>
      <c r="E26" s="12" t="s">
        <v>286</v>
      </c>
      <c r="F26" s="701"/>
      <c r="G26" s="701"/>
      <c r="H26" s="34">
        <v>0.05</v>
      </c>
      <c r="I26" s="34">
        <v>0</v>
      </c>
      <c r="J26" s="720"/>
      <c r="K26" s="23">
        <v>29.11</v>
      </c>
      <c r="L26" s="20">
        <v>29.94</v>
      </c>
      <c r="M26" s="20">
        <v>30.81</v>
      </c>
      <c r="N26" s="43">
        <v>30.15</v>
      </c>
      <c r="O26" s="43">
        <v>62953.2</v>
      </c>
      <c r="P26" s="23">
        <v>23.999999999999996</v>
      </c>
      <c r="Q26" s="23">
        <v>1.5814610844194901</v>
      </c>
      <c r="R26" s="30">
        <v>1144.3452406859428</v>
      </c>
      <c r="S26" s="28">
        <v>3147.66</v>
      </c>
      <c r="T26" s="28">
        <v>0</v>
      </c>
      <c r="U26" s="28">
        <v>67245.205240685944</v>
      </c>
      <c r="W26" s="28">
        <v>4169.2027249225284</v>
      </c>
      <c r="X26" s="28">
        <v>975.05547598994622</v>
      </c>
      <c r="Y26" s="28">
        <v>122.4</v>
      </c>
      <c r="Z26" s="28">
        <v>41.999999999999986</v>
      </c>
      <c r="AA26" s="35">
        <v>5308.6582009124741</v>
      </c>
      <c r="AC26" s="35">
        <v>62953.2</v>
      </c>
      <c r="AD26" s="35">
        <v>67245.205240685944</v>
      </c>
      <c r="AF26" s="46">
        <v>2.5000000000000001E-2</v>
      </c>
      <c r="AG26" s="46" t="s">
        <v>57</v>
      </c>
      <c r="AH26" s="35">
        <v>1573.83</v>
      </c>
      <c r="AI26" s="35">
        <v>0</v>
      </c>
      <c r="AJ26" s="35">
        <v>0</v>
      </c>
      <c r="AK26" s="35">
        <v>472.14899999999994</v>
      </c>
      <c r="AM26" s="35">
        <v>8287.56</v>
      </c>
      <c r="AN26" s="35">
        <v>-1247.6399999999999</v>
      </c>
      <c r="AO26" s="35">
        <v>7039.92</v>
      </c>
      <c r="AP26" s="35">
        <v>95000</v>
      </c>
      <c r="AQ26" s="35">
        <v>196.07999999999998</v>
      </c>
      <c r="AR26" s="35">
        <v>22.799999999999997</v>
      </c>
      <c r="AS26" s="35">
        <v>157.38299999999998</v>
      </c>
      <c r="AT26" s="35">
        <v>45.24</v>
      </c>
      <c r="AU26" s="35">
        <v>7461.4229999999998</v>
      </c>
      <c r="AW26" s="102">
        <v>1</v>
      </c>
      <c r="AX26" s="102">
        <v>0.4627</v>
      </c>
      <c r="AZ26" s="35">
        <v>62953.2</v>
      </c>
      <c r="BA26" s="35">
        <v>1144.3452406859428</v>
      </c>
      <c r="BB26" s="35">
        <v>3147.66</v>
      </c>
      <c r="BC26" s="35">
        <v>67245.205240685944</v>
      </c>
      <c r="BE26" s="35">
        <v>33824.754359999999</v>
      </c>
      <c r="BF26" s="35">
        <v>614.85669782055709</v>
      </c>
      <c r="BG26" s="546">
        <v>3147.66</v>
      </c>
      <c r="BH26" s="35">
        <v>37587.271057820559</v>
      </c>
      <c r="BJ26" s="35">
        <v>4169.2027249225284</v>
      </c>
      <c r="BK26" s="35">
        <v>975.05547598994622</v>
      </c>
      <c r="BL26" s="35">
        <v>122.4</v>
      </c>
      <c r="BM26" s="35">
        <v>41.999999999999986</v>
      </c>
      <c r="BN26" s="35">
        <v>5308.6582009124741</v>
      </c>
      <c r="BP26" s="35">
        <v>2240.1126241008747</v>
      </c>
      <c r="BQ26" s="35">
        <v>523.89730724939807</v>
      </c>
      <c r="BR26" s="35">
        <v>65.765520000000009</v>
      </c>
      <c r="BS26" s="35">
        <v>22.566599999999994</v>
      </c>
      <c r="BT26" s="35">
        <v>2852.3420513502729</v>
      </c>
      <c r="BV26" s="35">
        <v>1573.83</v>
      </c>
      <c r="BW26" s="35">
        <v>0</v>
      </c>
      <c r="BX26" s="35">
        <v>0</v>
      </c>
      <c r="BY26" s="35">
        <v>472.14899999999994</v>
      </c>
      <c r="CA26" s="35">
        <v>845.61885899999993</v>
      </c>
      <c r="CB26" s="35">
        <v>0</v>
      </c>
      <c r="CC26" s="35">
        <v>0</v>
      </c>
      <c r="CD26" s="35">
        <v>472.14899999999994</v>
      </c>
      <c r="CF26" s="35">
        <v>8287.56</v>
      </c>
      <c r="CG26" s="35">
        <v>-1247.6399999999999</v>
      </c>
      <c r="CH26" s="35">
        <v>7039.92</v>
      </c>
      <c r="CI26" s="35">
        <v>196.07999999999998</v>
      </c>
      <c r="CJ26" s="35">
        <v>22.799999999999997</v>
      </c>
      <c r="CK26" s="35">
        <v>157.38299999999998</v>
      </c>
      <c r="CL26" s="35">
        <v>45.24</v>
      </c>
      <c r="CM26" s="35">
        <v>7461.4229999999998</v>
      </c>
      <c r="CO26" s="35">
        <v>4452.9059879999995</v>
      </c>
      <c r="CP26" s="35">
        <v>-670.35697199999993</v>
      </c>
      <c r="CQ26" s="35">
        <v>3782.5490159999999</v>
      </c>
      <c r="CR26" s="35">
        <v>105.35378399999999</v>
      </c>
      <c r="CS26" s="35">
        <v>12.250439999999999</v>
      </c>
      <c r="CT26" s="35">
        <v>84.561885899999993</v>
      </c>
      <c r="CU26" s="35">
        <v>24.307452000000001</v>
      </c>
      <c r="CV26" s="35">
        <v>4009.0225778999998</v>
      </c>
    </row>
    <row r="27" spans="1:100">
      <c r="A27" s="22">
        <v>22</v>
      </c>
      <c r="B27" s="37">
        <v>1</v>
      </c>
      <c r="C27" s="700"/>
      <c r="D27" s="12" t="s">
        <v>226</v>
      </c>
      <c r="E27" s="12" t="s">
        <v>9</v>
      </c>
      <c r="F27" s="701"/>
      <c r="G27" s="701"/>
      <c r="H27" s="34">
        <v>0.05</v>
      </c>
      <c r="I27" s="34">
        <v>0</v>
      </c>
      <c r="J27" s="720"/>
      <c r="K27" s="23">
        <v>28.54</v>
      </c>
      <c r="L27" s="20">
        <v>29.35</v>
      </c>
      <c r="M27" s="20">
        <v>30.2</v>
      </c>
      <c r="N27" s="43">
        <v>29.56</v>
      </c>
      <c r="O27" s="497">
        <v>61721.279999999999</v>
      </c>
      <c r="P27" s="23">
        <v>0</v>
      </c>
      <c r="Q27" s="23">
        <v>1.5814610844194901</v>
      </c>
      <c r="R27" s="30">
        <v>0</v>
      </c>
      <c r="S27" s="28">
        <v>3086.0640000000003</v>
      </c>
      <c r="T27" s="28">
        <v>0</v>
      </c>
      <c r="U27" s="28">
        <v>64807.343999999997</v>
      </c>
      <c r="W27" s="28">
        <v>4018.0553279999999</v>
      </c>
      <c r="X27" s="28">
        <v>939.70648800000004</v>
      </c>
      <c r="Y27" s="28">
        <v>122.4</v>
      </c>
      <c r="Z27" s="28">
        <v>41.999999999999986</v>
      </c>
      <c r="AA27" s="35">
        <v>5122.1618159999998</v>
      </c>
      <c r="AC27" s="35">
        <v>61721.279999999999</v>
      </c>
      <c r="AD27" s="35">
        <v>64807.343999999997</v>
      </c>
      <c r="AF27" s="46">
        <v>2.5000000000000001E-2</v>
      </c>
      <c r="AG27" s="46" t="s">
        <v>57</v>
      </c>
      <c r="AH27" s="35">
        <v>1543.0320000000002</v>
      </c>
      <c r="AI27" s="35">
        <v>0</v>
      </c>
      <c r="AJ27" s="35">
        <v>0</v>
      </c>
      <c r="AK27" s="35">
        <v>185.16383999999999</v>
      </c>
      <c r="AM27" s="35">
        <v>23205.239999999998</v>
      </c>
      <c r="AN27" s="35">
        <v>-3493.44</v>
      </c>
      <c r="AO27" s="35">
        <v>19711.8</v>
      </c>
      <c r="AP27" s="35">
        <v>93000</v>
      </c>
      <c r="AQ27" s="35">
        <v>191.952</v>
      </c>
      <c r="AR27" s="35">
        <v>22.32</v>
      </c>
      <c r="AS27" s="35">
        <v>154.3032</v>
      </c>
      <c r="AT27" s="35">
        <v>45.24</v>
      </c>
      <c r="AU27" s="35">
        <v>20125.6152</v>
      </c>
      <c r="AW27" s="102">
        <v>0.99690856729716015</v>
      </c>
      <c r="AX27" s="102">
        <v>0.99990000000000001</v>
      </c>
      <c r="AZ27" s="35">
        <v>61530.472816546862</v>
      </c>
      <c r="BA27" s="35">
        <v>0</v>
      </c>
      <c r="BB27" s="35">
        <v>3076.5236408273436</v>
      </c>
      <c r="BC27" s="35">
        <v>64606.996457374204</v>
      </c>
      <c r="BE27" s="35">
        <v>6.1530472816540085</v>
      </c>
      <c r="BF27" s="35">
        <v>0</v>
      </c>
      <c r="BG27" s="546">
        <v>3076.5236408273436</v>
      </c>
      <c r="BH27" s="35">
        <v>3082.6766881089975</v>
      </c>
      <c r="BJ27" s="35">
        <v>4005.633780357201</v>
      </c>
      <c r="BK27" s="35">
        <v>936.80144863192606</v>
      </c>
      <c r="BL27" s="35">
        <v>122.02160863717241</v>
      </c>
      <c r="BM27" s="35">
        <v>41.870159826480709</v>
      </c>
      <c r="BN27" s="35">
        <v>5106.3269974527793</v>
      </c>
      <c r="BP27" s="35">
        <v>0.40056337803567599</v>
      </c>
      <c r="BQ27" s="35">
        <v>9.3680144863182283E-2</v>
      </c>
      <c r="BR27" s="35">
        <v>1.2202160863715898E-2</v>
      </c>
      <c r="BS27" s="35">
        <v>4.1870159826476096E-3</v>
      </c>
      <c r="BT27" s="35">
        <v>0.51063269974522174</v>
      </c>
      <c r="BV27" s="35">
        <v>1538.2618204136718</v>
      </c>
      <c r="BW27" s="35">
        <v>0</v>
      </c>
      <c r="BX27" s="35">
        <v>0</v>
      </c>
      <c r="BY27" s="35">
        <v>184.5914184496406</v>
      </c>
      <c r="CA27" s="35">
        <v>0.15382618204135023</v>
      </c>
      <c r="CB27" s="35">
        <v>0</v>
      </c>
      <c r="CC27" s="35">
        <v>0</v>
      </c>
      <c r="CD27" s="35">
        <v>184.5914184496406</v>
      </c>
      <c r="CF27" s="35">
        <v>23133.50256218675</v>
      </c>
      <c r="CG27" s="35">
        <v>-3482.6402653385912</v>
      </c>
      <c r="CH27" s="35">
        <v>19650.862296848161</v>
      </c>
      <c r="CI27" s="35">
        <v>191.35859330982447</v>
      </c>
      <c r="CJ27" s="35">
        <v>22.250999222072615</v>
      </c>
      <c r="CK27" s="35">
        <v>153.82618204136716</v>
      </c>
      <c r="CL27" s="35">
        <v>45.100143584523529</v>
      </c>
      <c r="CM27" s="35">
        <v>20063.398215005953</v>
      </c>
      <c r="CO27" s="35">
        <v>2.3133502562184201</v>
      </c>
      <c r="CP27" s="35">
        <v>-0.34826402653382077</v>
      </c>
      <c r="CQ27" s="35">
        <v>1.9650862296845997</v>
      </c>
      <c r="CR27" s="35">
        <v>1.9135859330980338E-2</v>
      </c>
      <c r="CS27" s="35">
        <v>2.2250999222070164E-3</v>
      </c>
      <c r="CT27" s="35">
        <v>1.5382618204135022E-2</v>
      </c>
      <c r="CU27" s="35">
        <v>4.5100143584518564E-3</v>
      </c>
      <c r="CV27" s="35">
        <v>2.006339821500374</v>
      </c>
    </row>
    <row r="28" spans="1:100">
      <c r="A28" s="22">
        <v>23</v>
      </c>
      <c r="B28" s="37">
        <v>1</v>
      </c>
      <c r="C28" s="700"/>
      <c r="D28" s="12" t="s">
        <v>335</v>
      </c>
      <c r="E28" s="12" t="s">
        <v>336</v>
      </c>
      <c r="F28" s="701"/>
      <c r="G28" s="701"/>
      <c r="H28" s="34">
        <v>0.05</v>
      </c>
      <c r="I28" s="34">
        <v>0</v>
      </c>
      <c r="J28" s="720"/>
      <c r="K28" s="23">
        <v>20.63</v>
      </c>
      <c r="L28" s="20">
        <v>21.22</v>
      </c>
      <c r="M28" s="20">
        <v>21.84</v>
      </c>
      <c r="N28" s="43">
        <v>21.37</v>
      </c>
      <c r="O28" s="43">
        <v>44620.56</v>
      </c>
      <c r="P28" s="23">
        <v>96</v>
      </c>
      <c r="Q28" s="23">
        <v>1.5814610844194901</v>
      </c>
      <c r="R28" s="30">
        <v>3244.3990439082722</v>
      </c>
      <c r="S28" s="28">
        <v>2231.0279999999998</v>
      </c>
      <c r="T28" s="28">
        <v>0</v>
      </c>
      <c r="U28" s="28">
        <v>50095.987043908266</v>
      </c>
      <c r="W28" s="28">
        <v>3105.9511967223125</v>
      </c>
      <c r="X28" s="28">
        <v>726.39181213666984</v>
      </c>
      <c r="Y28" s="28">
        <v>122.4</v>
      </c>
      <c r="Z28" s="28">
        <v>41.999999999999986</v>
      </c>
      <c r="AA28" s="35">
        <v>3996.7430088589822</v>
      </c>
      <c r="AC28" s="35">
        <v>44620.56</v>
      </c>
      <c r="AD28" s="35">
        <v>50095.987043908266</v>
      </c>
      <c r="AF28" s="46">
        <v>5.0000000000000001E-3</v>
      </c>
      <c r="AG28" s="46" t="s">
        <v>57</v>
      </c>
      <c r="AH28" s="35">
        <v>223.1028</v>
      </c>
      <c r="AI28" s="35">
        <v>0</v>
      </c>
      <c r="AJ28" s="35">
        <v>0</v>
      </c>
      <c r="AK28" s="35">
        <v>0</v>
      </c>
      <c r="AM28" s="35">
        <v>23205.239999999998</v>
      </c>
      <c r="AN28" s="35">
        <v>-3493.44</v>
      </c>
      <c r="AO28" s="35">
        <v>19711.8</v>
      </c>
      <c r="AP28" s="35">
        <v>67000</v>
      </c>
      <c r="AQ28" s="35">
        <v>138.28799999999995</v>
      </c>
      <c r="AR28" s="35">
        <v>16.080000000000002</v>
      </c>
      <c r="AS28" s="35">
        <v>111.5514</v>
      </c>
      <c r="AT28" s="35">
        <v>45.24</v>
      </c>
      <c r="AU28" s="35">
        <v>20022.959400000003</v>
      </c>
      <c r="AW28" s="102">
        <v>1</v>
      </c>
      <c r="AX28" s="102">
        <v>0.1137</v>
      </c>
      <c r="AZ28" s="35">
        <v>44620.56</v>
      </c>
      <c r="BA28" s="35">
        <v>3244.3990439082722</v>
      </c>
      <c r="BB28" s="35">
        <v>2231.0279999999998</v>
      </c>
      <c r="BC28" s="35">
        <v>50095.987043908266</v>
      </c>
      <c r="BE28" s="35">
        <v>39547.202327999999</v>
      </c>
      <c r="BF28" s="35">
        <v>2875.5108726159015</v>
      </c>
      <c r="BG28" s="546">
        <v>2231.0279999999998</v>
      </c>
      <c r="BH28" s="35">
        <v>44653.741200615899</v>
      </c>
      <c r="BJ28" s="35">
        <v>3105.9511967223125</v>
      </c>
      <c r="BK28" s="35">
        <v>726.39181213666984</v>
      </c>
      <c r="BL28" s="35">
        <v>122.4</v>
      </c>
      <c r="BM28" s="35">
        <v>41.999999999999986</v>
      </c>
      <c r="BN28" s="35">
        <v>3996.7430088589822</v>
      </c>
      <c r="BP28" s="35">
        <v>2752.8045456549853</v>
      </c>
      <c r="BQ28" s="35">
        <v>643.80106309673045</v>
      </c>
      <c r="BR28" s="35">
        <v>108.48312</v>
      </c>
      <c r="BS28" s="35">
        <v>37.224599999999988</v>
      </c>
      <c r="BT28" s="35">
        <v>3542.3133287517157</v>
      </c>
      <c r="BV28" s="35">
        <v>223.1028</v>
      </c>
      <c r="BW28" s="35">
        <v>0</v>
      </c>
      <c r="BX28" s="35">
        <v>0</v>
      </c>
      <c r="BY28" s="35">
        <v>0</v>
      </c>
      <c r="CA28" s="35">
        <v>197.73601163999999</v>
      </c>
      <c r="CB28" s="35">
        <v>0</v>
      </c>
      <c r="CC28" s="35">
        <v>0</v>
      </c>
      <c r="CD28" s="35">
        <v>0</v>
      </c>
      <c r="CF28" s="35">
        <v>23205.239999999998</v>
      </c>
      <c r="CG28" s="35">
        <v>-3493.44</v>
      </c>
      <c r="CH28" s="35">
        <v>19711.8</v>
      </c>
      <c r="CI28" s="35">
        <v>138.28799999999995</v>
      </c>
      <c r="CJ28" s="35">
        <v>16.080000000000002</v>
      </c>
      <c r="CK28" s="35">
        <v>111.5514</v>
      </c>
      <c r="CL28" s="35">
        <v>45.24</v>
      </c>
      <c r="CM28" s="35">
        <v>20022.959400000003</v>
      </c>
      <c r="CO28" s="35">
        <v>20566.804211999999</v>
      </c>
      <c r="CP28" s="35">
        <v>-3096.2358719999997</v>
      </c>
      <c r="CQ28" s="35">
        <v>17470.568339999998</v>
      </c>
      <c r="CR28" s="35">
        <v>122.56465439999995</v>
      </c>
      <c r="CS28" s="35">
        <v>14.251704000000002</v>
      </c>
      <c r="CT28" s="35">
        <v>98.868005819999993</v>
      </c>
      <c r="CU28" s="35">
        <v>40.096212000000001</v>
      </c>
      <c r="CV28" s="35">
        <v>17746.348916219999</v>
      </c>
    </row>
    <row r="29" spans="1:100">
      <c r="A29" s="22">
        <v>24</v>
      </c>
      <c r="B29" s="37">
        <v>1</v>
      </c>
      <c r="C29" s="700"/>
      <c r="D29" s="12" t="s">
        <v>226</v>
      </c>
      <c r="E29" s="12" t="s">
        <v>9</v>
      </c>
      <c r="F29" s="701"/>
      <c r="G29" s="701"/>
      <c r="H29" s="34">
        <v>0.05</v>
      </c>
      <c r="I29" s="34">
        <v>0</v>
      </c>
      <c r="J29" s="720"/>
      <c r="K29" s="23">
        <v>25.5</v>
      </c>
      <c r="L29" s="20">
        <v>26.23</v>
      </c>
      <c r="M29" s="20">
        <v>26.99</v>
      </c>
      <c r="N29" s="43">
        <v>26.42</v>
      </c>
      <c r="O29" s="497">
        <v>55164.959999999999</v>
      </c>
      <c r="P29" s="23">
        <v>0</v>
      </c>
      <c r="Q29" s="23">
        <v>1.5814610844194901</v>
      </c>
      <c r="R29" s="30">
        <v>0</v>
      </c>
      <c r="S29" s="28">
        <v>2758.248</v>
      </c>
      <c r="T29" s="28">
        <v>0</v>
      </c>
      <c r="U29" s="28">
        <v>57923.207999999999</v>
      </c>
      <c r="W29" s="28">
        <v>3591.2388959999998</v>
      </c>
      <c r="X29" s="28">
        <v>839.88651600000003</v>
      </c>
      <c r="Y29" s="28">
        <v>122.4</v>
      </c>
      <c r="Z29" s="28">
        <v>41.999999999999986</v>
      </c>
      <c r="AA29" s="35">
        <v>4595.5254119999991</v>
      </c>
      <c r="AC29" s="35">
        <v>55164.959999999999</v>
      </c>
      <c r="AD29" s="35">
        <v>57923.207999999999</v>
      </c>
      <c r="AF29" s="46">
        <v>2.5000000000000001E-2</v>
      </c>
      <c r="AG29" s="46" t="s">
        <v>57</v>
      </c>
      <c r="AH29" s="35">
        <v>1379.124</v>
      </c>
      <c r="AI29" s="35">
        <v>0</v>
      </c>
      <c r="AJ29" s="35">
        <v>0</v>
      </c>
      <c r="AK29" s="35">
        <v>0</v>
      </c>
      <c r="AM29" s="35">
        <v>21906.839999999997</v>
      </c>
      <c r="AN29" s="35">
        <v>-3286.08</v>
      </c>
      <c r="AO29" s="35">
        <v>18620.759999999995</v>
      </c>
      <c r="AP29" s="35">
        <v>83000</v>
      </c>
      <c r="AQ29" s="35">
        <v>171.31199999999998</v>
      </c>
      <c r="AR29" s="35">
        <v>19.919999999999998</v>
      </c>
      <c r="AS29" s="35">
        <v>137.91239999999999</v>
      </c>
      <c r="AT29" s="35">
        <v>45.24</v>
      </c>
      <c r="AU29" s="35">
        <v>18995.144399999997</v>
      </c>
      <c r="AW29" s="102">
        <v>0.99690856729716015</v>
      </c>
      <c r="AX29" s="102">
        <v>0.99990000000000001</v>
      </c>
      <c r="AZ29" s="35">
        <v>54994.421238605144</v>
      </c>
      <c r="BA29" s="35">
        <v>0</v>
      </c>
      <c r="BB29" s="35">
        <v>2749.7210619302573</v>
      </c>
      <c r="BC29" s="35">
        <v>57744.142300535401</v>
      </c>
      <c r="BE29" s="35">
        <v>5.4994421238599092</v>
      </c>
      <c r="BF29" s="35">
        <v>0</v>
      </c>
      <c r="BG29" s="546">
        <v>2749.7210619302573</v>
      </c>
      <c r="BH29" s="35">
        <v>2755.2205040541171</v>
      </c>
      <c r="BJ29" s="35">
        <v>3580.1368226331952</v>
      </c>
      <c r="BK29" s="35">
        <v>837.29006335776342</v>
      </c>
      <c r="BL29" s="35">
        <v>122.02160863717241</v>
      </c>
      <c r="BM29" s="35">
        <v>41.870159826480709</v>
      </c>
      <c r="BN29" s="35">
        <v>4581.3186544546115</v>
      </c>
      <c r="BP29" s="35">
        <v>0.35801368226328006</v>
      </c>
      <c r="BQ29" s="35">
        <v>8.3729006335767117E-2</v>
      </c>
      <c r="BR29" s="35">
        <v>1.2202160863715898E-2</v>
      </c>
      <c r="BS29" s="35">
        <v>4.1870159826476096E-3</v>
      </c>
      <c r="BT29" s="35">
        <v>0.45813186544541068</v>
      </c>
      <c r="BV29" s="35">
        <v>1374.8605309651286</v>
      </c>
      <c r="BW29" s="35">
        <v>0</v>
      </c>
      <c r="BX29" s="35">
        <v>0</v>
      </c>
      <c r="BY29" s="35">
        <v>0</v>
      </c>
      <c r="CA29" s="35">
        <v>0.13748605309649772</v>
      </c>
      <c r="CB29" s="35">
        <v>0</v>
      </c>
      <c r="CC29" s="35">
        <v>0</v>
      </c>
      <c r="CD29" s="35">
        <v>0</v>
      </c>
      <c r="CF29" s="35">
        <v>21839.116478408116</v>
      </c>
      <c r="CG29" s="35">
        <v>-3275.9213048238521</v>
      </c>
      <c r="CH29" s="35">
        <v>18563.195173584263</v>
      </c>
      <c r="CI29" s="35">
        <v>170.78240048081108</v>
      </c>
      <c r="CJ29" s="35">
        <v>19.85841866055943</v>
      </c>
      <c r="CK29" s="35">
        <v>137.48605309651285</v>
      </c>
      <c r="CL29" s="35">
        <v>45.100143584523529</v>
      </c>
      <c r="CM29" s="35">
        <v>18936.422189406669</v>
      </c>
      <c r="CO29" s="35">
        <v>2.1839116478405711</v>
      </c>
      <c r="CP29" s="35">
        <v>-0.32759213048234914</v>
      </c>
      <c r="CQ29" s="35">
        <v>1.8563195173582219</v>
      </c>
      <c r="CR29" s="35">
        <v>1.7078240048079226E-2</v>
      </c>
      <c r="CS29" s="35">
        <v>1.9858418660557244E-3</v>
      </c>
      <c r="CT29" s="35">
        <v>1.374860530964977E-2</v>
      </c>
      <c r="CU29" s="35">
        <v>4.5100143584518564E-3</v>
      </c>
      <c r="CV29" s="35">
        <v>1.8936422189404583</v>
      </c>
    </row>
    <row r="30" spans="1:100">
      <c r="A30" s="22">
        <v>25</v>
      </c>
      <c r="B30" s="37">
        <v>1</v>
      </c>
      <c r="C30" s="700"/>
      <c r="D30" s="12" t="s">
        <v>335</v>
      </c>
      <c r="E30" s="12" t="s">
        <v>336</v>
      </c>
      <c r="F30" s="701"/>
      <c r="G30" s="701"/>
      <c r="H30" s="34">
        <v>0.05</v>
      </c>
      <c r="I30" s="34">
        <v>0</v>
      </c>
      <c r="J30" s="720"/>
      <c r="K30" s="23">
        <v>19.850000000000001</v>
      </c>
      <c r="L30" s="20">
        <v>20.420000000000002</v>
      </c>
      <c r="M30" s="20">
        <v>21.01</v>
      </c>
      <c r="N30" s="43">
        <v>20.57</v>
      </c>
      <c r="O30" s="43">
        <v>42950.16</v>
      </c>
      <c r="P30" s="23">
        <v>96</v>
      </c>
      <c r="Q30" s="23">
        <v>1.5814610844194901</v>
      </c>
      <c r="R30" s="30">
        <v>3122.9428326248553</v>
      </c>
      <c r="S30" s="28">
        <v>2147.5080000000003</v>
      </c>
      <c r="T30" s="28">
        <v>0</v>
      </c>
      <c r="U30" s="28">
        <v>48220.610832624858</v>
      </c>
      <c r="W30" s="28">
        <v>2989.6778716227413</v>
      </c>
      <c r="X30" s="28">
        <v>699.19885707306048</v>
      </c>
      <c r="Y30" s="28">
        <v>122.4</v>
      </c>
      <c r="Z30" s="28">
        <v>41.999999999999986</v>
      </c>
      <c r="AA30" s="35">
        <v>3853.2767286958019</v>
      </c>
      <c r="AC30" s="35">
        <v>42950.16</v>
      </c>
      <c r="AD30" s="35">
        <v>48220.610832624858</v>
      </c>
      <c r="AF30" s="46">
        <v>2.5000000000000001E-2</v>
      </c>
      <c r="AG30" s="46" t="s">
        <v>57</v>
      </c>
      <c r="AH30" s="35">
        <v>1073.7540000000001</v>
      </c>
      <c r="AI30" s="35">
        <v>0</v>
      </c>
      <c r="AJ30" s="35">
        <v>0</v>
      </c>
      <c r="AK30" s="35">
        <v>0</v>
      </c>
      <c r="AM30" s="35">
        <v>8843.8799999999992</v>
      </c>
      <c r="AN30" s="35">
        <v>-1336.4399999999998</v>
      </c>
      <c r="AO30" s="35">
        <v>7507.44</v>
      </c>
      <c r="AP30" s="35">
        <v>65000</v>
      </c>
      <c r="AQ30" s="35">
        <v>134.16</v>
      </c>
      <c r="AR30" s="35">
        <v>15.600000000000001</v>
      </c>
      <c r="AS30" s="35">
        <v>107.37540000000001</v>
      </c>
      <c r="AT30" s="35">
        <v>45.24</v>
      </c>
      <c r="AU30" s="35">
        <v>7809.8153999999995</v>
      </c>
      <c r="AW30" s="102">
        <v>1</v>
      </c>
      <c r="AX30" s="102">
        <v>0.1137</v>
      </c>
      <c r="AZ30" s="35">
        <v>42950.16</v>
      </c>
      <c r="BA30" s="35">
        <v>3122.9428326248553</v>
      </c>
      <c r="BB30" s="35">
        <v>2147.5080000000003</v>
      </c>
      <c r="BC30" s="35">
        <v>48220.610832624858</v>
      </c>
      <c r="BE30" s="35">
        <v>38066.726807999999</v>
      </c>
      <c r="BF30" s="35">
        <v>2767.8642325554092</v>
      </c>
      <c r="BG30" s="546">
        <v>2147.5080000000003</v>
      </c>
      <c r="BH30" s="35">
        <v>42982.099040555411</v>
      </c>
      <c r="BJ30" s="35">
        <v>2989.6778716227413</v>
      </c>
      <c r="BK30" s="35">
        <v>699.19885707306048</v>
      </c>
      <c r="BL30" s="35">
        <v>122.4</v>
      </c>
      <c r="BM30" s="35">
        <v>41.999999999999986</v>
      </c>
      <c r="BN30" s="35">
        <v>3853.2767286958019</v>
      </c>
      <c r="BP30" s="35">
        <v>2649.7514976192356</v>
      </c>
      <c r="BQ30" s="35">
        <v>619.6999470238535</v>
      </c>
      <c r="BR30" s="35">
        <v>108.48312</v>
      </c>
      <c r="BS30" s="35">
        <v>37.224599999999988</v>
      </c>
      <c r="BT30" s="35">
        <v>3415.1591646430888</v>
      </c>
      <c r="BV30" s="35">
        <v>1073.7540000000001</v>
      </c>
      <c r="BW30" s="35">
        <v>0</v>
      </c>
      <c r="BX30" s="35">
        <v>0</v>
      </c>
      <c r="BY30" s="35">
        <v>0</v>
      </c>
      <c r="CA30" s="35">
        <v>951.66817020000008</v>
      </c>
      <c r="CB30" s="35">
        <v>0</v>
      </c>
      <c r="CC30" s="35">
        <v>0</v>
      </c>
      <c r="CD30" s="35">
        <v>0</v>
      </c>
      <c r="CF30" s="35">
        <v>8843.8799999999992</v>
      </c>
      <c r="CG30" s="35">
        <v>-1336.4399999999998</v>
      </c>
      <c r="CH30" s="35">
        <v>7507.44</v>
      </c>
      <c r="CI30" s="35">
        <v>134.16</v>
      </c>
      <c r="CJ30" s="35">
        <v>15.600000000000001</v>
      </c>
      <c r="CK30" s="35">
        <v>107.37540000000001</v>
      </c>
      <c r="CL30" s="35">
        <v>45.24</v>
      </c>
      <c r="CM30" s="35">
        <v>7809.8153999999995</v>
      </c>
      <c r="CO30" s="35">
        <v>7838.3308439999992</v>
      </c>
      <c r="CP30" s="35">
        <v>-1184.4867719999997</v>
      </c>
      <c r="CQ30" s="35">
        <v>6653.8440719999999</v>
      </c>
      <c r="CR30" s="35">
        <v>118.906008</v>
      </c>
      <c r="CS30" s="35">
        <v>13.826280000000001</v>
      </c>
      <c r="CT30" s="35">
        <v>95.166817020000011</v>
      </c>
      <c r="CU30" s="35">
        <v>40.096212000000001</v>
      </c>
      <c r="CV30" s="35">
        <v>6921.8393890200005</v>
      </c>
    </row>
    <row r="31" spans="1:100">
      <c r="A31" s="22">
        <v>26</v>
      </c>
      <c r="B31" s="37">
        <v>1</v>
      </c>
      <c r="C31" s="700"/>
      <c r="D31" s="12" t="s">
        <v>218</v>
      </c>
      <c r="E31" s="12" t="s">
        <v>219</v>
      </c>
      <c r="F31" s="701"/>
      <c r="G31" s="701"/>
      <c r="H31" s="34">
        <v>0.05</v>
      </c>
      <c r="I31" s="34">
        <v>0</v>
      </c>
      <c r="J31" s="720"/>
      <c r="K31" s="23">
        <v>24.68</v>
      </c>
      <c r="L31" s="20">
        <v>25.38</v>
      </c>
      <c r="M31" s="20">
        <v>26.12</v>
      </c>
      <c r="N31" s="43">
        <v>25.56</v>
      </c>
      <c r="O31" s="43">
        <v>53369.279999999999</v>
      </c>
      <c r="P31" s="23">
        <v>0</v>
      </c>
      <c r="Q31" s="23">
        <v>1.5814610844194901</v>
      </c>
      <c r="R31" s="30">
        <v>0</v>
      </c>
      <c r="S31" s="28">
        <v>2668.4639999999999</v>
      </c>
      <c r="T31" s="28">
        <v>0</v>
      </c>
      <c r="U31" s="28">
        <v>56037.743999999999</v>
      </c>
      <c r="W31" s="28">
        <v>3474.3401279999998</v>
      </c>
      <c r="X31" s="28">
        <v>812.54728799999998</v>
      </c>
      <c r="Y31" s="28">
        <v>122.4</v>
      </c>
      <c r="Z31" s="28">
        <v>41.999999999999986</v>
      </c>
      <c r="AA31" s="35">
        <v>4451.2874159999992</v>
      </c>
      <c r="AC31" s="35">
        <v>53369.279999999999</v>
      </c>
      <c r="AD31" s="35">
        <v>56037.743999999999</v>
      </c>
      <c r="AF31" s="46">
        <v>0.04</v>
      </c>
      <c r="AG31" s="46" t="s">
        <v>55</v>
      </c>
      <c r="AH31" s="35">
        <v>2241.5097599999999</v>
      </c>
      <c r="AI31" s="35">
        <v>2801.8871999999997</v>
      </c>
      <c r="AJ31" s="35">
        <v>0</v>
      </c>
      <c r="AK31" s="35">
        <v>0</v>
      </c>
      <c r="AM31" s="35">
        <v>23205.239999999998</v>
      </c>
      <c r="AN31" s="35">
        <v>-3493.44</v>
      </c>
      <c r="AO31" s="35">
        <v>19711.8</v>
      </c>
      <c r="AP31" s="35">
        <v>81000</v>
      </c>
      <c r="AQ31" s="35">
        <v>167.18399999999997</v>
      </c>
      <c r="AR31" s="35">
        <v>19.440000000000001</v>
      </c>
      <c r="AS31" s="35">
        <v>133.42320000000001</v>
      </c>
      <c r="AT31" s="35">
        <v>45.24</v>
      </c>
      <c r="AU31" s="35">
        <v>20077.087200000002</v>
      </c>
      <c r="AW31" s="102">
        <v>1</v>
      </c>
      <c r="AX31" s="102">
        <v>4.2099999999999999E-2</v>
      </c>
      <c r="AZ31" s="35">
        <v>53369.279999999999</v>
      </c>
      <c r="BA31" s="35">
        <v>0</v>
      </c>
      <c r="BB31" s="35">
        <v>2668.4639999999999</v>
      </c>
      <c r="BC31" s="35">
        <v>56037.743999999999</v>
      </c>
      <c r="BE31" s="35">
        <v>51122.433312000001</v>
      </c>
      <c r="BF31" s="35">
        <v>0</v>
      </c>
      <c r="BG31" s="546">
        <v>2668.4639999999999</v>
      </c>
      <c r="BH31" s="35">
        <v>53790.897312000001</v>
      </c>
      <c r="BJ31" s="35">
        <v>3474.3401279999998</v>
      </c>
      <c r="BK31" s="35">
        <v>812.54728799999998</v>
      </c>
      <c r="BL31" s="35">
        <v>122.4</v>
      </c>
      <c r="BM31" s="35">
        <v>41.999999999999986</v>
      </c>
      <c r="BN31" s="35">
        <v>4451.2874159999992</v>
      </c>
      <c r="BP31" s="35">
        <v>3328.0704086111996</v>
      </c>
      <c r="BQ31" s="35">
        <v>778.33904717519999</v>
      </c>
      <c r="BR31" s="35">
        <v>117.24696</v>
      </c>
      <c r="BS31" s="35">
        <v>40.231799999999986</v>
      </c>
      <c r="BT31" s="35">
        <v>4263.8882157863991</v>
      </c>
      <c r="BV31" s="35">
        <v>2241.5097599999999</v>
      </c>
      <c r="BW31" s="35">
        <v>2801.8871999999997</v>
      </c>
      <c r="BX31" s="35">
        <v>0</v>
      </c>
      <c r="BY31" s="35">
        <v>0</v>
      </c>
      <c r="CA31" s="35">
        <v>2147.1421991039997</v>
      </c>
      <c r="CB31" s="35">
        <v>2683.9277488799994</v>
      </c>
      <c r="CC31" s="35">
        <v>0</v>
      </c>
      <c r="CD31" s="35">
        <v>0</v>
      </c>
      <c r="CF31" s="35">
        <v>23205.239999999998</v>
      </c>
      <c r="CG31" s="35">
        <v>-3493.44</v>
      </c>
      <c r="CH31" s="35">
        <v>19711.8</v>
      </c>
      <c r="CI31" s="35">
        <v>167.18399999999997</v>
      </c>
      <c r="CJ31" s="35">
        <v>19.440000000000001</v>
      </c>
      <c r="CK31" s="35">
        <v>133.42320000000001</v>
      </c>
      <c r="CL31" s="35">
        <v>45.24</v>
      </c>
      <c r="CM31" s="35">
        <v>20077.087200000002</v>
      </c>
      <c r="CO31" s="35">
        <v>22228.299395999999</v>
      </c>
      <c r="CP31" s="35">
        <v>-3346.366176</v>
      </c>
      <c r="CQ31" s="35">
        <v>18881.933219999999</v>
      </c>
      <c r="CR31" s="35">
        <v>160.14555359999997</v>
      </c>
      <c r="CS31" s="35">
        <v>18.621576000000001</v>
      </c>
      <c r="CT31" s="35">
        <v>127.80608328000001</v>
      </c>
      <c r="CU31" s="35">
        <v>43.335396000000003</v>
      </c>
      <c r="CV31" s="35">
        <v>19231.841828879999</v>
      </c>
    </row>
    <row r="32" spans="1:100">
      <c r="A32" s="22">
        <v>27</v>
      </c>
      <c r="B32" s="37">
        <v>1</v>
      </c>
      <c r="C32" s="700"/>
      <c r="D32" s="12" t="s">
        <v>285</v>
      </c>
      <c r="E32" s="12" t="s">
        <v>286</v>
      </c>
      <c r="F32" s="701"/>
      <c r="G32" s="701"/>
      <c r="H32" s="34">
        <v>0.05</v>
      </c>
      <c r="I32" s="34">
        <v>0</v>
      </c>
      <c r="J32" s="720"/>
      <c r="K32" s="23">
        <v>22.57</v>
      </c>
      <c r="L32" s="20">
        <v>23.21</v>
      </c>
      <c r="M32" s="20">
        <v>23.88</v>
      </c>
      <c r="N32" s="43">
        <v>23.38</v>
      </c>
      <c r="O32" s="43">
        <v>48817.440000000002</v>
      </c>
      <c r="P32" s="23">
        <v>144</v>
      </c>
      <c r="Q32" s="23">
        <v>1.5814610844194901</v>
      </c>
      <c r="R32" s="30">
        <v>5324.3366621367859</v>
      </c>
      <c r="S32" s="28">
        <v>2440.8720000000003</v>
      </c>
      <c r="T32" s="28">
        <v>0</v>
      </c>
      <c r="U32" s="28">
        <v>56582.648662136795</v>
      </c>
      <c r="W32" s="28">
        <v>3508.1242170524811</v>
      </c>
      <c r="X32" s="28">
        <v>820.44840560098362</v>
      </c>
      <c r="Y32" s="28">
        <v>122.4</v>
      </c>
      <c r="Z32" s="28">
        <v>41.999999999999986</v>
      </c>
      <c r="AA32" s="35">
        <v>4492.972622653464</v>
      </c>
      <c r="AC32" s="35">
        <v>48817.440000000002</v>
      </c>
      <c r="AD32" s="35">
        <v>56582.648662136795</v>
      </c>
      <c r="AF32" s="46">
        <v>0.04</v>
      </c>
      <c r="AG32" s="46" t="s">
        <v>55</v>
      </c>
      <c r="AH32" s="35">
        <v>2263.3059464854718</v>
      </c>
      <c r="AI32" s="35">
        <v>2562.9155999999998</v>
      </c>
      <c r="AJ32" s="35">
        <v>0</v>
      </c>
      <c r="AK32" s="35">
        <v>0</v>
      </c>
      <c r="AM32" s="35">
        <v>23205.239999999998</v>
      </c>
      <c r="AN32" s="35">
        <v>-3493.44</v>
      </c>
      <c r="AO32" s="35">
        <v>19711.8</v>
      </c>
      <c r="AP32" s="35">
        <v>74000</v>
      </c>
      <c r="AQ32" s="35">
        <v>152.73599999999999</v>
      </c>
      <c r="AR32" s="35">
        <v>17.759999999999998</v>
      </c>
      <c r="AS32" s="35">
        <v>122.04360000000001</v>
      </c>
      <c r="AT32" s="35">
        <v>45.24</v>
      </c>
      <c r="AU32" s="35">
        <v>20049.579600000001</v>
      </c>
      <c r="AW32" s="102">
        <v>1</v>
      </c>
      <c r="AX32" s="102">
        <v>0.32400000000000001</v>
      </c>
      <c r="AZ32" s="35">
        <v>48817.440000000002</v>
      </c>
      <c r="BA32" s="35">
        <v>5324.3366621367859</v>
      </c>
      <c r="BB32" s="35">
        <v>2440.8720000000003</v>
      </c>
      <c r="BC32" s="35">
        <v>56582.648662136795</v>
      </c>
      <c r="BE32" s="35">
        <v>33000.589439999996</v>
      </c>
      <c r="BF32" s="35">
        <v>3599.2515836044668</v>
      </c>
      <c r="BG32" s="546">
        <v>2440.8720000000003</v>
      </c>
      <c r="BH32" s="35">
        <v>39040.713023604469</v>
      </c>
      <c r="BJ32" s="35">
        <v>3508.1242170524811</v>
      </c>
      <c r="BK32" s="35">
        <v>820.44840560098362</v>
      </c>
      <c r="BL32" s="35">
        <v>122.4</v>
      </c>
      <c r="BM32" s="35">
        <v>41.999999999999986</v>
      </c>
      <c r="BN32" s="35">
        <v>4492.972622653464</v>
      </c>
      <c r="BP32" s="35">
        <v>2371.4919707274771</v>
      </c>
      <c r="BQ32" s="35">
        <v>554.62312218626482</v>
      </c>
      <c r="BR32" s="35">
        <v>82.742399999999989</v>
      </c>
      <c r="BS32" s="35">
        <v>28.391999999999989</v>
      </c>
      <c r="BT32" s="35">
        <v>3037.249492913742</v>
      </c>
      <c r="BV32" s="35">
        <v>2263.3059464854718</v>
      </c>
      <c r="BW32" s="35">
        <v>2562.9155999999998</v>
      </c>
      <c r="BX32" s="35">
        <v>0</v>
      </c>
      <c r="BY32" s="35">
        <v>0</v>
      </c>
      <c r="CA32" s="35">
        <v>1529.9948198241789</v>
      </c>
      <c r="CB32" s="35">
        <v>1732.5309455999998</v>
      </c>
      <c r="CC32" s="35">
        <v>0</v>
      </c>
      <c r="CD32" s="35">
        <v>0</v>
      </c>
      <c r="CF32" s="35">
        <v>23205.239999999998</v>
      </c>
      <c r="CG32" s="35">
        <v>-3493.44</v>
      </c>
      <c r="CH32" s="35">
        <v>19711.8</v>
      </c>
      <c r="CI32" s="35">
        <v>152.73599999999999</v>
      </c>
      <c r="CJ32" s="35">
        <v>17.759999999999998</v>
      </c>
      <c r="CK32" s="35">
        <v>122.04360000000001</v>
      </c>
      <c r="CL32" s="35">
        <v>45.24</v>
      </c>
      <c r="CM32" s="35">
        <v>20049.579600000001</v>
      </c>
      <c r="CO32" s="35">
        <v>15686.742239999998</v>
      </c>
      <c r="CP32" s="35">
        <v>-2361.5654399999999</v>
      </c>
      <c r="CQ32" s="35">
        <v>13325.176799999997</v>
      </c>
      <c r="CR32" s="35">
        <v>103.24953599999998</v>
      </c>
      <c r="CS32" s="35">
        <v>12.005759999999997</v>
      </c>
      <c r="CT32" s="35">
        <v>82.501473599999997</v>
      </c>
      <c r="CU32" s="35">
        <v>30.582239999999999</v>
      </c>
      <c r="CV32" s="35">
        <v>13553.515809599996</v>
      </c>
    </row>
    <row r="33" spans="1:100">
      <c r="A33" s="22">
        <v>28</v>
      </c>
      <c r="B33" s="37">
        <v>1</v>
      </c>
      <c r="C33" s="700"/>
      <c r="D33" s="12" t="s">
        <v>239</v>
      </c>
      <c r="E33" s="12" t="s">
        <v>18</v>
      </c>
      <c r="F33" s="701"/>
      <c r="G33" s="701"/>
      <c r="H33" s="34">
        <v>0.05</v>
      </c>
      <c r="I33" s="34">
        <v>0</v>
      </c>
      <c r="J33" s="720"/>
      <c r="K33" s="23">
        <v>26.66</v>
      </c>
      <c r="L33" s="20">
        <v>27.42</v>
      </c>
      <c r="M33" s="20">
        <v>28.22</v>
      </c>
      <c r="N33" s="43">
        <v>27.62</v>
      </c>
      <c r="O33" s="43">
        <v>57670.559999999998</v>
      </c>
      <c r="P33" s="23">
        <v>10</v>
      </c>
      <c r="Q33" s="23">
        <v>1.5814610844194901</v>
      </c>
      <c r="R33" s="30">
        <v>436.7995515166632</v>
      </c>
      <c r="S33" s="28">
        <v>2883.5280000000002</v>
      </c>
      <c r="T33" s="28">
        <v>0</v>
      </c>
      <c r="U33" s="28">
        <v>60990.887551516658</v>
      </c>
      <c r="W33" s="28">
        <v>3781.4350281940328</v>
      </c>
      <c r="X33" s="28">
        <v>884.3678694969916</v>
      </c>
      <c r="Y33" s="28">
        <v>122.4</v>
      </c>
      <c r="Z33" s="28">
        <v>41.999999999999986</v>
      </c>
      <c r="AA33" s="35">
        <v>4830.2028976910242</v>
      </c>
      <c r="AC33" s="35">
        <v>57670.559999999998</v>
      </c>
      <c r="AD33" s="35">
        <v>60990.887551516658</v>
      </c>
      <c r="AF33" s="46">
        <v>0.04</v>
      </c>
      <c r="AG33" s="46" t="s">
        <v>55</v>
      </c>
      <c r="AH33" s="35">
        <v>2439.6355020606666</v>
      </c>
      <c r="AI33" s="35">
        <v>3027.7043999999996</v>
      </c>
      <c r="AJ33" s="35">
        <v>0</v>
      </c>
      <c r="AK33" s="35">
        <v>86.505839999999992</v>
      </c>
      <c r="AM33" s="35">
        <v>0</v>
      </c>
      <c r="AN33" s="35">
        <v>0</v>
      </c>
      <c r="AO33" s="35">
        <v>0</v>
      </c>
      <c r="AP33" s="35">
        <v>87000</v>
      </c>
      <c r="AQ33" s="35">
        <v>179.56799999999998</v>
      </c>
      <c r="AR33" s="35">
        <v>20.88</v>
      </c>
      <c r="AS33" s="35">
        <v>144.1764</v>
      </c>
      <c r="AT33" s="35">
        <v>45.24</v>
      </c>
      <c r="AU33" s="35">
        <v>389.86439999999999</v>
      </c>
      <c r="AW33" s="102">
        <v>1</v>
      </c>
      <c r="AX33" s="102">
        <v>0</v>
      </c>
      <c r="AZ33" s="35">
        <v>57670.559999999998</v>
      </c>
      <c r="BA33" s="35">
        <v>436.7995515166632</v>
      </c>
      <c r="BB33" s="35">
        <v>2883.5280000000002</v>
      </c>
      <c r="BC33" s="35">
        <v>60990.887551516658</v>
      </c>
      <c r="BE33" s="35">
        <v>57670.559999999998</v>
      </c>
      <c r="BF33" s="35">
        <v>436.7995515166632</v>
      </c>
      <c r="BG33" s="546">
        <v>2883.5280000000002</v>
      </c>
      <c r="BH33" s="35">
        <v>60990.887551516658</v>
      </c>
      <c r="BJ33" s="35">
        <v>3781.4350281940328</v>
      </c>
      <c r="BK33" s="35">
        <v>884.3678694969916</v>
      </c>
      <c r="BL33" s="35">
        <v>122.4</v>
      </c>
      <c r="BM33" s="35">
        <v>41.999999999999986</v>
      </c>
      <c r="BN33" s="35">
        <v>4830.2028976910242</v>
      </c>
      <c r="BP33" s="35">
        <v>3781.4350281940328</v>
      </c>
      <c r="BQ33" s="35">
        <v>884.3678694969916</v>
      </c>
      <c r="BR33" s="35">
        <v>122.4</v>
      </c>
      <c r="BS33" s="35">
        <v>41.999999999999986</v>
      </c>
      <c r="BT33" s="35">
        <v>4830.2028976910242</v>
      </c>
      <c r="BV33" s="35">
        <v>2439.6355020606666</v>
      </c>
      <c r="BW33" s="35">
        <v>3027.7043999999996</v>
      </c>
      <c r="BX33" s="35">
        <v>0</v>
      </c>
      <c r="BY33" s="35">
        <v>86.505839999999992</v>
      </c>
      <c r="CA33" s="35">
        <v>2439.6355020606666</v>
      </c>
      <c r="CB33" s="35">
        <v>3027.7043999999996</v>
      </c>
      <c r="CC33" s="35">
        <v>0</v>
      </c>
      <c r="CD33" s="35">
        <v>86.505839999999992</v>
      </c>
      <c r="CF33" s="35">
        <v>0</v>
      </c>
      <c r="CG33" s="35">
        <v>0</v>
      </c>
      <c r="CH33" s="35">
        <v>0</v>
      </c>
      <c r="CI33" s="35">
        <v>179.56799999999998</v>
      </c>
      <c r="CJ33" s="35">
        <v>20.88</v>
      </c>
      <c r="CK33" s="35">
        <v>144.1764</v>
      </c>
      <c r="CL33" s="35">
        <v>45.24</v>
      </c>
      <c r="CM33" s="35">
        <v>389.86439999999999</v>
      </c>
      <c r="CO33" s="35">
        <v>0</v>
      </c>
      <c r="CP33" s="35">
        <v>0</v>
      </c>
      <c r="CQ33" s="35">
        <v>0</v>
      </c>
      <c r="CR33" s="35">
        <v>179.56799999999998</v>
      </c>
      <c r="CS33" s="35">
        <v>20.88</v>
      </c>
      <c r="CT33" s="35">
        <v>144.1764</v>
      </c>
      <c r="CU33" s="35">
        <v>45.24</v>
      </c>
      <c r="CV33" s="35">
        <v>389.86439999999999</v>
      </c>
    </row>
    <row r="34" spans="1:100">
      <c r="A34" s="22">
        <v>29</v>
      </c>
      <c r="B34" s="37">
        <v>1</v>
      </c>
      <c r="C34" s="700"/>
      <c r="D34" s="12" t="s">
        <v>285</v>
      </c>
      <c r="E34" s="12" t="s">
        <v>286</v>
      </c>
      <c r="F34" s="701"/>
      <c r="G34" s="701"/>
      <c r="H34" s="34">
        <v>0.05</v>
      </c>
      <c r="I34" s="34">
        <v>0</v>
      </c>
      <c r="J34" s="720"/>
      <c r="K34" s="23">
        <v>24.25</v>
      </c>
      <c r="L34" s="20">
        <v>24.94</v>
      </c>
      <c r="M34" s="20">
        <v>25.66</v>
      </c>
      <c r="N34" s="43">
        <v>25.12</v>
      </c>
      <c r="O34" s="43">
        <v>52450.559999999998</v>
      </c>
      <c r="P34" s="23">
        <v>180.00000000000003</v>
      </c>
      <c r="Q34" s="23">
        <v>1.5814610844194901</v>
      </c>
      <c r="R34" s="30">
        <v>7150.734439311168</v>
      </c>
      <c r="S34" s="28">
        <v>2622.5280000000002</v>
      </c>
      <c r="T34" s="28">
        <v>0</v>
      </c>
      <c r="U34" s="28">
        <v>62223.822439311167</v>
      </c>
      <c r="W34" s="28">
        <v>3857.8769912372923</v>
      </c>
      <c r="X34" s="28">
        <v>902.24542537001196</v>
      </c>
      <c r="Y34" s="28">
        <v>122.4</v>
      </c>
      <c r="Z34" s="28">
        <v>41.999999999999986</v>
      </c>
      <c r="AA34" s="35">
        <v>4924.522416607304</v>
      </c>
      <c r="AC34" s="35">
        <v>52450.559999999998</v>
      </c>
      <c r="AD34" s="35">
        <v>62223.822439311167</v>
      </c>
      <c r="AF34" s="46">
        <v>0</v>
      </c>
      <c r="AG34" s="46">
        <v>0</v>
      </c>
      <c r="AH34" s="35">
        <v>0</v>
      </c>
      <c r="AI34" s="35">
        <v>2753.6543999999999</v>
      </c>
      <c r="AJ34" s="35">
        <v>0</v>
      </c>
      <c r="AK34" s="35">
        <v>314.70335999999998</v>
      </c>
      <c r="AM34" s="35">
        <v>23205.239999999998</v>
      </c>
      <c r="AN34" s="35">
        <v>-3493.44</v>
      </c>
      <c r="AO34" s="35">
        <v>19711.8</v>
      </c>
      <c r="AP34" s="35">
        <v>79000</v>
      </c>
      <c r="AQ34" s="35">
        <v>163.05599999999998</v>
      </c>
      <c r="AR34" s="35">
        <v>18.96</v>
      </c>
      <c r="AS34" s="35">
        <v>131.12639999999999</v>
      </c>
      <c r="AT34" s="35">
        <v>45.24</v>
      </c>
      <c r="AU34" s="35">
        <v>20070.182400000002</v>
      </c>
      <c r="AW34" s="102">
        <v>1</v>
      </c>
      <c r="AX34" s="102">
        <v>0.4627</v>
      </c>
      <c r="AZ34" s="35">
        <v>52450.559999999998</v>
      </c>
      <c r="BA34" s="35">
        <v>7150.734439311168</v>
      </c>
      <c r="BB34" s="35">
        <v>2622.5280000000002</v>
      </c>
      <c r="BC34" s="35">
        <v>62223.822439311167</v>
      </c>
      <c r="BE34" s="35">
        <v>28181.685888</v>
      </c>
      <c r="BF34" s="35">
        <v>3842.0896142418906</v>
      </c>
      <c r="BG34" s="546">
        <v>2622.5280000000002</v>
      </c>
      <c r="BH34" s="35">
        <v>34646.303502241892</v>
      </c>
      <c r="BJ34" s="35">
        <v>3857.8769912372923</v>
      </c>
      <c r="BK34" s="35">
        <v>902.24542537001196</v>
      </c>
      <c r="BL34" s="35">
        <v>122.4</v>
      </c>
      <c r="BM34" s="35">
        <v>41.999999999999986</v>
      </c>
      <c r="BN34" s="35">
        <v>4924.522416607304</v>
      </c>
      <c r="BP34" s="35">
        <v>2072.8373073917969</v>
      </c>
      <c r="BQ34" s="35">
        <v>484.77646705130741</v>
      </c>
      <c r="BR34" s="35">
        <v>65.765520000000009</v>
      </c>
      <c r="BS34" s="35">
        <v>22.566599999999994</v>
      </c>
      <c r="BT34" s="35">
        <v>2645.9458944431044</v>
      </c>
      <c r="BV34" s="35">
        <v>0</v>
      </c>
      <c r="BW34" s="35">
        <v>2753.6543999999999</v>
      </c>
      <c r="BX34" s="35">
        <v>0</v>
      </c>
      <c r="BY34" s="35">
        <v>314.70335999999998</v>
      </c>
      <c r="CA34" s="35">
        <v>0</v>
      </c>
      <c r="CB34" s="35">
        <v>1479.5385091199998</v>
      </c>
      <c r="CC34" s="35">
        <v>0</v>
      </c>
      <c r="CD34" s="35">
        <v>314.70335999999998</v>
      </c>
      <c r="CF34" s="35">
        <v>23205.239999999998</v>
      </c>
      <c r="CG34" s="35">
        <v>-3493.44</v>
      </c>
      <c r="CH34" s="35">
        <v>19711.8</v>
      </c>
      <c r="CI34" s="35">
        <v>163.05599999999998</v>
      </c>
      <c r="CJ34" s="35">
        <v>18.96</v>
      </c>
      <c r="CK34" s="35">
        <v>131.12639999999999</v>
      </c>
      <c r="CL34" s="35">
        <v>45.24</v>
      </c>
      <c r="CM34" s="35">
        <v>20070.182400000002</v>
      </c>
      <c r="CO34" s="35">
        <v>12468.175451999999</v>
      </c>
      <c r="CP34" s="35">
        <v>-1877.025312</v>
      </c>
      <c r="CQ34" s="35">
        <v>10591.15014</v>
      </c>
      <c r="CR34" s="35">
        <v>87.609988799999996</v>
      </c>
      <c r="CS34" s="35">
        <v>10.187208</v>
      </c>
      <c r="CT34" s="35">
        <v>70.454214719999996</v>
      </c>
      <c r="CU34" s="35">
        <v>24.307452000000001</v>
      </c>
      <c r="CV34" s="35">
        <v>10783.70900352</v>
      </c>
    </row>
    <row r="35" spans="1:100">
      <c r="A35" s="22">
        <v>30</v>
      </c>
      <c r="B35" s="37">
        <v>1</v>
      </c>
      <c r="C35" s="700"/>
      <c r="D35" s="12" t="s">
        <v>218</v>
      </c>
      <c r="E35" s="12" t="s">
        <v>219</v>
      </c>
      <c r="F35" s="701"/>
      <c r="G35" s="701"/>
      <c r="H35" s="34">
        <v>0.05</v>
      </c>
      <c r="I35" s="34">
        <v>0</v>
      </c>
      <c r="J35" s="720"/>
      <c r="K35" s="23">
        <v>21.44</v>
      </c>
      <c r="L35" s="20">
        <v>22.05</v>
      </c>
      <c r="M35" s="20">
        <v>22.69</v>
      </c>
      <c r="N35" s="43">
        <v>22.21</v>
      </c>
      <c r="O35" s="43">
        <v>46374.48</v>
      </c>
      <c r="P35" s="23">
        <v>0</v>
      </c>
      <c r="Q35" s="23">
        <v>1.5814610844194901</v>
      </c>
      <c r="R35" s="30">
        <v>0</v>
      </c>
      <c r="S35" s="28">
        <v>2318.7240000000002</v>
      </c>
      <c r="T35" s="28">
        <v>0</v>
      </c>
      <c r="U35" s="28">
        <v>48693.204000000005</v>
      </c>
      <c r="W35" s="28">
        <v>3018.9786480000002</v>
      </c>
      <c r="X35" s="28">
        <v>706.05145800000014</v>
      </c>
      <c r="Y35" s="28">
        <v>122.4</v>
      </c>
      <c r="Z35" s="28">
        <v>41.999999999999986</v>
      </c>
      <c r="AA35" s="35">
        <v>3889.4301060000003</v>
      </c>
      <c r="AC35" s="35">
        <v>46374.48</v>
      </c>
      <c r="AD35" s="35">
        <v>48693.204000000005</v>
      </c>
      <c r="AF35" s="46">
        <v>0.04</v>
      </c>
      <c r="AG35" s="46" t="s">
        <v>55</v>
      </c>
      <c r="AH35" s="35">
        <v>1947.7281600000003</v>
      </c>
      <c r="AI35" s="35">
        <v>2434.6602000000003</v>
      </c>
      <c r="AJ35" s="35">
        <v>0</v>
      </c>
      <c r="AK35" s="35">
        <v>0</v>
      </c>
      <c r="AM35" s="35">
        <v>18232.559999999998</v>
      </c>
      <c r="AN35" s="35">
        <v>-2744.76</v>
      </c>
      <c r="AO35" s="35">
        <v>15487.799999999997</v>
      </c>
      <c r="AP35" s="35">
        <v>70000</v>
      </c>
      <c r="AQ35" s="35">
        <v>144.47999999999996</v>
      </c>
      <c r="AR35" s="35">
        <v>16.799999999999997</v>
      </c>
      <c r="AS35" s="35">
        <v>115.93620000000001</v>
      </c>
      <c r="AT35" s="35">
        <v>45.24</v>
      </c>
      <c r="AU35" s="35">
        <v>15810.256199999996</v>
      </c>
      <c r="AW35" s="102">
        <v>1</v>
      </c>
      <c r="AX35" s="102">
        <v>0.84360000000000002</v>
      </c>
      <c r="AZ35" s="35">
        <v>46374.48</v>
      </c>
      <c r="BA35" s="35">
        <v>0</v>
      </c>
      <c r="BB35" s="35">
        <v>2318.7240000000002</v>
      </c>
      <c r="BC35" s="35">
        <v>48693.204000000005</v>
      </c>
      <c r="BE35" s="35">
        <v>7252.968672</v>
      </c>
      <c r="BF35" s="35">
        <v>0</v>
      </c>
      <c r="BG35" s="546">
        <v>2318.7240000000002</v>
      </c>
      <c r="BH35" s="35">
        <v>9571.692672000001</v>
      </c>
      <c r="BJ35" s="35">
        <v>3018.9786480000002</v>
      </c>
      <c r="BK35" s="35">
        <v>706.05145800000014</v>
      </c>
      <c r="BL35" s="35">
        <v>122.4</v>
      </c>
      <c r="BM35" s="35">
        <v>41.999999999999986</v>
      </c>
      <c r="BN35" s="35">
        <v>3889.4301060000003</v>
      </c>
      <c r="BP35" s="35">
        <v>472.16826054719996</v>
      </c>
      <c r="BQ35" s="35">
        <v>110.42644803120001</v>
      </c>
      <c r="BR35" s="35">
        <v>19.143359999999998</v>
      </c>
      <c r="BS35" s="35">
        <v>6.5687999999999969</v>
      </c>
      <c r="BT35" s="35">
        <v>608.30686857839999</v>
      </c>
      <c r="BV35" s="35">
        <v>1947.7281600000003</v>
      </c>
      <c r="BW35" s="35">
        <v>2434.6602000000003</v>
      </c>
      <c r="BX35" s="35">
        <v>0</v>
      </c>
      <c r="BY35" s="35">
        <v>0</v>
      </c>
      <c r="CA35" s="35">
        <v>304.62468422400002</v>
      </c>
      <c r="CB35" s="35">
        <v>380.78085528000003</v>
      </c>
      <c r="CC35" s="35">
        <v>0</v>
      </c>
      <c r="CD35" s="35">
        <v>0</v>
      </c>
      <c r="CF35" s="35">
        <v>18232.559999999998</v>
      </c>
      <c r="CG35" s="35">
        <v>-2744.76</v>
      </c>
      <c r="CH35" s="35">
        <v>15487.799999999997</v>
      </c>
      <c r="CI35" s="35">
        <v>144.47999999999996</v>
      </c>
      <c r="CJ35" s="35">
        <v>16.799999999999997</v>
      </c>
      <c r="CK35" s="35">
        <v>115.93620000000001</v>
      </c>
      <c r="CL35" s="35">
        <v>45.24</v>
      </c>
      <c r="CM35" s="35">
        <v>15810.256199999996</v>
      </c>
      <c r="CO35" s="35">
        <v>2851.5723839999991</v>
      </c>
      <c r="CP35" s="35">
        <v>-429.28046399999999</v>
      </c>
      <c r="CQ35" s="35">
        <v>2422.2919199999992</v>
      </c>
      <c r="CR35" s="35">
        <v>22.596671999999991</v>
      </c>
      <c r="CS35" s="35">
        <v>2.6275199999999992</v>
      </c>
      <c r="CT35" s="35">
        <v>18.13242168</v>
      </c>
      <c r="CU35" s="35">
        <v>7.0755359999999996</v>
      </c>
      <c r="CV35" s="35">
        <v>2472.724069679999</v>
      </c>
    </row>
    <row r="36" spans="1:100">
      <c r="A36" s="22">
        <v>31</v>
      </c>
      <c r="B36" s="37">
        <v>1</v>
      </c>
      <c r="C36" s="700"/>
      <c r="D36" s="12" t="s">
        <v>218</v>
      </c>
      <c r="E36" s="12" t="s">
        <v>219</v>
      </c>
      <c r="F36" s="701"/>
      <c r="G36" s="701"/>
      <c r="H36" s="34">
        <v>0.05</v>
      </c>
      <c r="I36" s="34">
        <v>0</v>
      </c>
      <c r="J36" s="720"/>
      <c r="K36" s="23">
        <v>21.72</v>
      </c>
      <c r="L36" s="20">
        <v>22.34</v>
      </c>
      <c r="M36" s="20">
        <v>22.99</v>
      </c>
      <c r="N36" s="43">
        <v>22.5</v>
      </c>
      <c r="O36" s="43">
        <v>46980</v>
      </c>
      <c r="P36" s="23">
        <v>0</v>
      </c>
      <c r="Q36" s="23">
        <v>1.5814610844194901</v>
      </c>
      <c r="R36" s="30">
        <v>0</v>
      </c>
      <c r="S36" s="28">
        <v>2349</v>
      </c>
      <c r="T36" s="28">
        <v>0</v>
      </c>
      <c r="U36" s="28">
        <v>49329</v>
      </c>
      <c r="W36" s="28">
        <v>3058.3980000000001</v>
      </c>
      <c r="X36" s="28">
        <v>715.27050000000008</v>
      </c>
      <c r="Y36" s="28">
        <v>122.4</v>
      </c>
      <c r="Z36" s="28">
        <v>41.999999999999986</v>
      </c>
      <c r="AA36" s="35">
        <v>3938.0685000000003</v>
      </c>
      <c r="AC36" s="35">
        <v>46980</v>
      </c>
      <c r="AD36" s="35">
        <v>49329</v>
      </c>
      <c r="AF36" s="46">
        <v>0.03</v>
      </c>
      <c r="AG36" s="46" t="s">
        <v>55</v>
      </c>
      <c r="AH36" s="35">
        <v>1479.87</v>
      </c>
      <c r="AI36" s="35">
        <v>2466.4499999999998</v>
      </c>
      <c r="AJ36" s="35">
        <v>0</v>
      </c>
      <c r="AK36" s="35">
        <v>0</v>
      </c>
      <c r="AM36" s="35">
        <v>19061.440000000002</v>
      </c>
      <c r="AN36" s="35">
        <v>-2869.48</v>
      </c>
      <c r="AO36" s="35">
        <v>16191.960000000003</v>
      </c>
      <c r="AP36" s="35">
        <v>71000</v>
      </c>
      <c r="AQ36" s="35">
        <v>146.54399999999998</v>
      </c>
      <c r="AR36" s="35">
        <v>17.04</v>
      </c>
      <c r="AS36" s="35">
        <v>117.45</v>
      </c>
      <c r="AT36" s="35">
        <v>45.24</v>
      </c>
      <c r="AU36" s="35">
        <v>16518.234000000004</v>
      </c>
      <c r="AW36" s="102">
        <v>1</v>
      </c>
      <c r="AX36" s="102">
        <v>4.2099999999999999E-2</v>
      </c>
      <c r="AZ36" s="35">
        <v>46980</v>
      </c>
      <c r="BA36" s="35">
        <v>0</v>
      </c>
      <c r="BB36" s="35">
        <v>2349</v>
      </c>
      <c r="BC36" s="35">
        <v>49329</v>
      </c>
      <c r="BE36" s="35">
        <v>45002.142</v>
      </c>
      <c r="BF36" s="35">
        <v>0</v>
      </c>
      <c r="BG36" s="546">
        <v>2349</v>
      </c>
      <c r="BH36" s="35">
        <v>47351.142</v>
      </c>
      <c r="BJ36" s="35">
        <v>3058.3980000000001</v>
      </c>
      <c r="BK36" s="35">
        <v>715.27050000000008</v>
      </c>
      <c r="BL36" s="35">
        <v>122.4</v>
      </c>
      <c r="BM36" s="35">
        <v>41.999999999999986</v>
      </c>
      <c r="BN36" s="35">
        <v>3938.0685000000003</v>
      </c>
      <c r="BP36" s="35">
        <v>2929.6394442000001</v>
      </c>
      <c r="BQ36" s="35">
        <v>685.15761195000005</v>
      </c>
      <c r="BR36" s="35">
        <v>117.24696</v>
      </c>
      <c r="BS36" s="35">
        <v>40.231799999999986</v>
      </c>
      <c r="BT36" s="35">
        <v>3772.2758161500001</v>
      </c>
      <c r="BV36" s="35">
        <v>1479.87</v>
      </c>
      <c r="BW36" s="35">
        <v>2466.4499999999998</v>
      </c>
      <c r="BX36" s="35">
        <v>0</v>
      </c>
      <c r="BY36" s="35">
        <v>0</v>
      </c>
      <c r="CA36" s="35">
        <v>1417.5674729999998</v>
      </c>
      <c r="CB36" s="35">
        <v>2362.612455</v>
      </c>
      <c r="CC36" s="35">
        <v>0</v>
      </c>
      <c r="CD36" s="35">
        <v>0</v>
      </c>
      <c r="CF36" s="35">
        <v>19061.440000000002</v>
      </c>
      <c r="CG36" s="35">
        <v>-2869.48</v>
      </c>
      <c r="CH36" s="35">
        <v>16191.960000000003</v>
      </c>
      <c r="CI36" s="35">
        <v>146.54399999999998</v>
      </c>
      <c r="CJ36" s="35">
        <v>17.04</v>
      </c>
      <c r="CK36" s="35">
        <v>117.45</v>
      </c>
      <c r="CL36" s="35">
        <v>45.24</v>
      </c>
      <c r="CM36" s="35">
        <v>16518.234000000004</v>
      </c>
      <c r="CO36" s="35">
        <v>18258.953376000001</v>
      </c>
      <c r="CP36" s="35">
        <v>-2748.674892</v>
      </c>
      <c r="CQ36" s="35">
        <v>15510.278484000002</v>
      </c>
      <c r="CR36" s="35">
        <v>140.37449759999998</v>
      </c>
      <c r="CS36" s="35">
        <v>16.322616</v>
      </c>
      <c r="CT36" s="35">
        <v>112.50535499999999</v>
      </c>
      <c r="CU36" s="35">
        <v>43.335396000000003</v>
      </c>
      <c r="CV36" s="35">
        <v>15822.816348600001</v>
      </c>
    </row>
    <row r="37" spans="1:100">
      <c r="A37" s="22">
        <v>32</v>
      </c>
      <c r="B37" s="37">
        <v>1</v>
      </c>
      <c r="C37" s="700"/>
      <c r="D37" s="12" t="s">
        <v>226</v>
      </c>
      <c r="E37" s="12" t="s">
        <v>9</v>
      </c>
      <c r="F37" s="701"/>
      <c r="G37" s="701"/>
      <c r="H37" s="34">
        <v>0.05</v>
      </c>
      <c r="I37" s="34">
        <v>0</v>
      </c>
      <c r="J37" s="720"/>
      <c r="K37" s="23">
        <v>27.73</v>
      </c>
      <c r="L37" s="20">
        <v>28.52</v>
      </c>
      <c r="M37" s="20">
        <v>29.35</v>
      </c>
      <c r="N37" s="43">
        <v>28.72</v>
      </c>
      <c r="O37" s="43">
        <v>59967.360000000001</v>
      </c>
      <c r="P37" s="23">
        <v>40</v>
      </c>
      <c r="Q37" s="23">
        <v>1.5814610844194901</v>
      </c>
      <c r="R37" s="30">
        <v>1816.7824937811101</v>
      </c>
      <c r="S37" s="28">
        <v>2998.3680000000004</v>
      </c>
      <c r="T37" s="28">
        <v>0</v>
      </c>
      <c r="U37" s="28">
        <v>64782.510493781112</v>
      </c>
      <c r="W37" s="28">
        <v>4016.515650614429</v>
      </c>
      <c r="X37" s="28">
        <v>939.3464021598262</v>
      </c>
      <c r="Y37" s="28">
        <v>122.4</v>
      </c>
      <c r="Z37" s="28">
        <v>41.999999999999986</v>
      </c>
      <c r="AA37" s="35">
        <v>5120.2620527742547</v>
      </c>
      <c r="AC37" s="35">
        <v>59967.360000000001</v>
      </c>
      <c r="AD37" s="35">
        <v>64782.510493781112</v>
      </c>
      <c r="AF37" s="46">
        <v>0.04</v>
      </c>
      <c r="AG37" s="46" t="s">
        <v>55</v>
      </c>
      <c r="AH37" s="35">
        <v>2591.3004197512446</v>
      </c>
      <c r="AI37" s="35">
        <v>3148.2864</v>
      </c>
      <c r="AJ37" s="35">
        <v>0</v>
      </c>
      <c r="AK37" s="35">
        <v>0</v>
      </c>
      <c r="AM37" s="35">
        <v>23205.239999999998</v>
      </c>
      <c r="AN37" s="35">
        <v>-3493.44</v>
      </c>
      <c r="AO37" s="35">
        <v>19711.8</v>
      </c>
      <c r="AP37" s="35">
        <v>90000</v>
      </c>
      <c r="AQ37" s="35">
        <v>185.76</v>
      </c>
      <c r="AR37" s="35">
        <v>21.6</v>
      </c>
      <c r="AS37" s="35">
        <v>149.91839999999999</v>
      </c>
      <c r="AT37" s="35">
        <v>45.24</v>
      </c>
      <c r="AU37" s="35">
        <v>20114.318399999996</v>
      </c>
      <c r="AW37" s="102">
        <v>1</v>
      </c>
      <c r="AX37" s="102">
        <v>0.77910000000000001</v>
      </c>
      <c r="AZ37" s="35">
        <v>59967.360000000001</v>
      </c>
      <c r="BA37" s="35">
        <v>1816.7824937811101</v>
      </c>
      <c r="BB37" s="35">
        <v>2998.3680000000004</v>
      </c>
      <c r="BC37" s="35">
        <v>64782.510493781112</v>
      </c>
      <c r="BE37" s="35">
        <v>13246.789823999999</v>
      </c>
      <c r="BF37" s="35">
        <v>401.3272528762472</v>
      </c>
      <c r="BG37" s="546">
        <v>2998.3680000000004</v>
      </c>
      <c r="BH37" s="35">
        <v>16646.485076876248</v>
      </c>
      <c r="BJ37" s="35">
        <v>4016.515650614429</v>
      </c>
      <c r="BK37" s="35">
        <v>939.3464021598262</v>
      </c>
      <c r="BL37" s="35">
        <v>122.4</v>
      </c>
      <c r="BM37" s="35">
        <v>41.999999999999986</v>
      </c>
      <c r="BN37" s="35">
        <v>5120.2620527742547</v>
      </c>
      <c r="BP37" s="35">
        <v>887.24830722072727</v>
      </c>
      <c r="BQ37" s="35">
        <v>207.50162023710558</v>
      </c>
      <c r="BR37" s="35">
        <v>27.038159999999998</v>
      </c>
      <c r="BS37" s="35">
        <v>9.2777999999999956</v>
      </c>
      <c r="BT37" s="35">
        <v>1131.065887457833</v>
      </c>
      <c r="BV37" s="35">
        <v>2591.3004197512446</v>
      </c>
      <c r="BW37" s="35">
        <v>3148.2864</v>
      </c>
      <c r="BX37" s="35">
        <v>0</v>
      </c>
      <c r="BY37" s="35">
        <v>0</v>
      </c>
      <c r="CA37" s="35">
        <v>572.41826272304991</v>
      </c>
      <c r="CB37" s="35">
        <v>695.4564657599999</v>
      </c>
      <c r="CC37" s="35">
        <v>0</v>
      </c>
      <c r="CD37" s="35">
        <v>0</v>
      </c>
      <c r="CF37" s="35">
        <v>23205.239999999998</v>
      </c>
      <c r="CG37" s="35">
        <v>-3493.44</v>
      </c>
      <c r="CH37" s="35">
        <v>19711.8</v>
      </c>
      <c r="CI37" s="35">
        <v>185.76</v>
      </c>
      <c r="CJ37" s="35">
        <v>21.6</v>
      </c>
      <c r="CK37" s="35">
        <v>149.91839999999999</v>
      </c>
      <c r="CL37" s="35">
        <v>45.24</v>
      </c>
      <c r="CM37" s="35">
        <v>20114.318399999996</v>
      </c>
      <c r="CO37" s="35">
        <v>5126.0375159999994</v>
      </c>
      <c r="CP37" s="35">
        <v>-771.70089599999994</v>
      </c>
      <c r="CQ37" s="35">
        <v>4354.3366199999991</v>
      </c>
      <c r="CR37" s="35">
        <v>41.034383999999996</v>
      </c>
      <c r="CS37" s="35">
        <v>4.7714400000000001</v>
      </c>
      <c r="CT37" s="35">
        <v>33.116974559999996</v>
      </c>
      <c r="CU37" s="35">
        <v>9.9935159999999996</v>
      </c>
      <c r="CV37" s="35">
        <v>4443.2529345599996</v>
      </c>
    </row>
    <row r="38" spans="1:100">
      <c r="A38" s="22">
        <v>33</v>
      </c>
      <c r="B38" s="37">
        <v>1</v>
      </c>
      <c r="C38" s="700"/>
      <c r="D38" s="12" t="s">
        <v>285</v>
      </c>
      <c r="E38" s="12" t="s">
        <v>286</v>
      </c>
      <c r="F38" s="701"/>
      <c r="G38" s="701"/>
      <c r="H38" s="34">
        <v>0.05</v>
      </c>
      <c r="I38" s="34">
        <v>0</v>
      </c>
      <c r="J38" s="720"/>
      <c r="K38" s="23">
        <v>27.03</v>
      </c>
      <c r="L38" s="20">
        <v>27.8</v>
      </c>
      <c r="M38" s="20">
        <v>28.61</v>
      </c>
      <c r="N38" s="43">
        <v>28</v>
      </c>
      <c r="O38" s="43">
        <v>58464</v>
      </c>
      <c r="P38" s="23">
        <v>180</v>
      </c>
      <c r="Q38" s="23">
        <v>1.5814610844194901</v>
      </c>
      <c r="R38" s="30">
        <v>7970.5638654742297</v>
      </c>
      <c r="S38" s="28">
        <v>2923.2000000000003</v>
      </c>
      <c r="T38" s="28">
        <v>0</v>
      </c>
      <c r="U38" s="28">
        <v>69357.763865474233</v>
      </c>
      <c r="W38" s="28">
        <v>4300.181359659402</v>
      </c>
      <c r="X38" s="28">
        <v>1005.6875760493764</v>
      </c>
      <c r="Y38" s="28">
        <v>122.4</v>
      </c>
      <c r="Z38" s="28">
        <v>41.999999999999986</v>
      </c>
      <c r="AA38" s="35">
        <v>5470.2689357087784</v>
      </c>
      <c r="AC38" s="35">
        <v>58464.000000000007</v>
      </c>
      <c r="AD38" s="35">
        <v>69357.763865474233</v>
      </c>
      <c r="AF38" s="46">
        <v>0.04</v>
      </c>
      <c r="AG38" s="46" t="s">
        <v>55</v>
      </c>
      <c r="AH38" s="35">
        <v>2774.3105546189695</v>
      </c>
      <c r="AI38" s="35">
        <v>3069.36</v>
      </c>
      <c r="AJ38" s="35">
        <v>0</v>
      </c>
      <c r="AK38" s="35">
        <v>263.08800000000002</v>
      </c>
      <c r="AM38" s="35">
        <v>18458.64</v>
      </c>
      <c r="AN38" s="35">
        <v>-2773.32</v>
      </c>
      <c r="AO38" s="35">
        <v>15685.32</v>
      </c>
      <c r="AP38" s="35">
        <v>88000</v>
      </c>
      <c r="AQ38" s="35">
        <v>181.63199999999998</v>
      </c>
      <c r="AR38" s="35">
        <v>21.12</v>
      </c>
      <c r="AS38" s="35">
        <v>146.16</v>
      </c>
      <c r="AT38" s="35">
        <v>45.24</v>
      </c>
      <c r="AU38" s="35">
        <v>16079.472</v>
      </c>
      <c r="AW38" s="102">
        <v>1</v>
      </c>
      <c r="AX38" s="102">
        <v>0.4627</v>
      </c>
      <c r="AZ38" s="35">
        <v>58464</v>
      </c>
      <c r="BA38" s="35">
        <v>7970.5638654742297</v>
      </c>
      <c r="BB38" s="35">
        <v>2923.2000000000003</v>
      </c>
      <c r="BC38" s="35">
        <v>69357.763865474233</v>
      </c>
      <c r="BE38" s="35">
        <v>31412.707200000001</v>
      </c>
      <c r="BF38" s="35">
        <v>4282.583964919304</v>
      </c>
      <c r="BG38" s="546">
        <v>2923.2000000000003</v>
      </c>
      <c r="BH38" s="35">
        <v>38618.491164919302</v>
      </c>
      <c r="BJ38" s="35">
        <v>4300.181359659402</v>
      </c>
      <c r="BK38" s="35">
        <v>1005.6875760493764</v>
      </c>
      <c r="BL38" s="35">
        <v>122.4</v>
      </c>
      <c r="BM38" s="35">
        <v>41.999999999999986</v>
      </c>
      <c r="BN38" s="35">
        <v>5470.2689357087784</v>
      </c>
      <c r="BP38" s="35">
        <v>2310.4874445449968</v>
      </c>
      <c r="BQ38" s="35">
        <v>540.35593461132999</v>
      </c>
      <c r="BR38" s="35">
        <v>65.765520000000009</v>
      </c>
      <c r="BS38" s="35">
        <v>22.566599999999994</v>
      </c>
      <c r="BT38" s="35">
        <v>2939.1754991563266</v>
      </c>
      <c r="BV38" s="35">
        <v>2774.3105546189695</v>
      </c>
      <c r="BW38" s="35">
        <v>3069.36</v>
      </c>
      <c r="BX38" s="35">
        <v>0</v>
      </c>
      <c r="BY38" s="35">
        <v>263.08800000000002</v>
      </c>
      <c r="CA38" s="35">
        <v>1490.6370609967723</v>
      </c>
      <c r="CB38" s="35">
        <v>1649.167128</v>
      </c>
      <c r="CC38" s="35">
        <v>0</v>
      </c>
      <c r="CD38" s="35">
        <v>263.08800000000002</v>
      </c>
      <c r="CF38" s="35">
        <v>18458.64</v>
      </c>
      <c r="CG38" s="35">
        <v>-2773.32</v>
      </c>
      <c r="CH38" s="35">
        <v>15685.32</v>
      </c>
      <c r="CI38" s="35">
        <v>181.63199999999998</v>
      </c>
      <c r="CJ38" s="35">
        <v>21.12</v>
      </c>
      <c r="CK38" s="35">
        <v>146.16</v>
      </c>
      <c r="CL38" s="35">
        <v>45.24</v>
      </c>
      <c r="CM38" s="35">
        <v>16079.472</v>
      </c>
      <c r="CO38" s="35">
        <v>9917.8272720000004</v>
      </c>
      <c r="CP38" s="35">
        <v>-1490.104836</v>
      </c>
      <c r="CQ38" s="35">
        <v>8427.722436</v>
      </c>
      <c r="CR38" s="35">
        <v>97.590873599999981</v>
      </c>
      <c r="CS38" s="35">
        <v>11.347776000000001</v>
      </c>
      <c r="CT38" s="35">
        <v>78.531768</v>
      </c>
      <c r="CU38" s="35">
        <v>24.307452000000001</v>
      </c>
      <c r="CV38" s="35">
        <v>8639.5003056000005</v>
      </c>
    </row>
    <row r="39" spans="1:100">
      <c r="A39" s="22">
        <v>34</v>
      </c>
      <c r="B39" s="37">
        <v>1</v>
      </c>
      <c r="C39" s="700"/>
      <c r="D39" s="12" t="s">
        <v>828</v>
      </c>
      <c r="E39" s="12" t="s">
        <v>829</v>
      </c>
      <c r="F39" s="701"/>
      <c r="G39" s="701"/>
      <c r="H39" s="34">
        <v>0.05</v>
      </c>
      <c r="I39" s="34">
        <v>0</v>
      </c>
      <c r="J39" s="720"/>
      <c r="K39" s="23">
        <v>30</v>
      </c>
      <c r="L39" s="20">
        <v>30.86</v>
      </c>
      <c r="M39" s="20">
        <v>31.75</v>
      </c>
      <c r="N39" s="43">
        <v>31.08</v>
      </c>
      <c r="O39" s="43">
        <v>64895.040000000001</v>
      </c>
      <c r="P39" s="23">
        <v>192</v>
      </c>
      <c r="Q39" s="23">
        <v>1.5814610844194901</v>
      </c>
      <c r="R39" s="30">
        <v>9437.1476167214878</v>
      </c>
      <c r="S39" s="28">
        <v>3244.7520000000004</v>
      </c>
      <c r="T39" s="28">
        <v>0</v>
      </c>
      <c r="U39" s="28">
        <v>77576.939616721502</v>
      </c>
      <c r="W39" s="28">
        <v>4809.7702562367331</v>
      </c>
      <c r="X39" s="28">
        <v>1124.8656244424619</v>
      </c>
      <c r="Y39" s="28">
        <v>122.4</v>
      </c>
      <c r="Z39" s="28">
        <v>41.999999999999986</v>
      </c>
      <c r="AA39" s="35">
        <v>6099.0358806791946</v>
      </c>
      <c r="AC39" s="35">
        <v>64895.040000000015</v>
      </c>
      <c r="AD39" s="35">
        <v>77576.939616721502</v>
      </c>
      <c r="AF39" s="46">
        <v>0.04</v>
      </c>
      <c r="AG39" s="46" t="s">
        <v>55</v>
      </c>
      <c r="AH39" s="35">
        <v>3103.0775846688603</v>
      </c>
      <c r="AI39" s="35">
        <v>3406.9896000000008</v>
      </c>
      <c r="AJ39" s="35">
        <v>0</v>
      </c>
      <c r="AK39" s="35">
        <v>0</v>
      </c>
      <c r="AM39" s="35">
        <v>23205.239999999998</v>
      </c>
      <c r="AN39" s="35">
        <v>-3493.44</v>
      </c>
      <c r="AO39" s="35">
        <v>19711.8</v>
      </c>
      <c r="AP39" s="35">
        <v>98000</v>
      </c>
      <c r="AQ39" s="35">
        <v>202.27200000000002</v>
      </c>
      <c r="AR39" s="35">
        <v>23.52</v>
      </c>
      <c r="AS39" s="35">
        <v>162.23760000000001</v>
      </c>
      <c r="AT39" s="35">
        <v>45.24</v>
      </c>
      <c r="AU39" s="35">
        <v>20145.069600000003</v>
      </c>
      <c r="AW39" s="102">
        <v>1</v>
      </c>
      <c r="AX39" s="102">
        <v>2.8999999999999998E-3</v>
      </c>
      <c r="AZ39" s="35">
        <v>64895.040000000001</v>
      </c>
      <c r="BA39" s="35">
        <v>9437.1476167214878</v>
      </c>
      <c r="BB39" s="35">
        <v>3244.7520000000004</v>
      </c>
      <c r="BC39" s="35">
        <v>77576.939616721502</v>
      </c>
      <c r="BE39" s="35">
        <v>64706.844383999996</v>
      </c>
      <c r="BF39" s="35">
        <v>9409.7798886329947</v>
      </c>
      <c r="BG39" s="546">
        <v>3244.7520000000004</v>
      </c>
      <c r="BH39" s="35">
        <v>77361.376272633002</v>
      </c>
      <c r="BJ39" s="35">
        <v>4809.7702562367331</v>
      </c>
      <c r="BK39" s="35">
        <v>1124.8656244424619</v>
      </c>
      <c r="BL39" s="35">
        <v>122.4</v>
      </c>
      <c r="BM39" s="35">
        <v>41.999999999999986</v>
      </c>
      <c r="BN39" s="35">
        <v>6099.0358806791946</v>
      </c>
      <c r="BP39" s="35">
        <v>4795.8219224936465</v>
      </c>
      <c r="BQ39" s="35">
        <v>1121.6035141315788</v>
      </c>
      <c r="BR39" s="35">
        <v>122.04504</v>
      </c>
      <c r="BS39" s="35">
        <v>41.878199999999985</v>
      </c>
      <c r="BT39" s="35">
        <v>6081.3486766252254</v>
      </c>
      <c r="BV39" s="35">
        <v>3103.0775846688603</v>
      </c>
      <c r="BW39" s="35">
        <v>3406.9896000000008</v>
      </c>
      <c r="BX39" s="35">
        <v>0</v>
      </c>
      <c r="BY39" s="35">
        <v>0</v>
      </c>
      <c r="CA39" s="35">
        <v>3094.0786596733205</v>
      </c>
      <c r="CB39" s="35">
        <v>3397.1093301600008</v>
      </c>
      <c r="CC39" s="35">
        <v>0</v>
      </c>
      <c r="CD39" s="35">
        <v>0</v>
      </c>
      <c r="CF39" s="35">
        <v>23205.239999999998</v>
      </c>
      <c r="CG39" s="35">
        <v>-3493.44</v>
      </c>
      <c r="CH39" s="35">
        <v>19711.8</v>
      </c>
      <c r="CI39" s="35">
        <v>202.27200000000002</v>
      </c>
      <c r="CJ39" s="35">
        <v>23.52</v>
      </c>
      <c r="CK39" s="35">
        <v>162.23760000000001</v>
      </c>
      <c r="CL39" s="35">
        <v>45.24</v>
      </c>
      <c r="CM39" s="35">
        <v>20145.069600000003</v>
      </c>
      <c r="CO39" s="35">
        <v>23137.944803999999</v>
      </c>
      <c r="CP39" s="35">
        <v>-3483.3090240000001</v>
      </c>
      <c r="CQ39" s="35">
        <v>19654.635780000001</v>
      </c>
      <c r="CR39" s="35">
        <v>201.6854112</v>
      </c>
      <c r="CS39" s="35">
        <v>23.451791999999998</v>
      </c>
      <c r="CT39" s="35">
        <v>161.76711096000002</v>
      </c>
      <c r="CU39" s="35">
        <v>45.108803999999999</v>
      </c>
      <c r="CV39" s="35">
        <v>20086.648898160001</v>
      </c>
    </row>
    <row r="40" spans="1:100">
      <c r="A40" s="22">
        <v>35</v>
      </c>
      <c r="B40" s="37">
        <v>1</v>
      </c>
      <c r="C40" s="700"/>
      <c r="D40" s="12" t="s">
        <v>204</v>
      </c>
      <c r="E40" s="12" t="s">
        <v>5</v>
      </c>
      <c r="F40" s="701"/>
      <c r="G40" s="701"/>
      <c r="H40" s="34">
        <v>0.05</v>
      </c>
      <c r="I40" s="34">
        <v>0</v>
      </c>
      <c r="J40" s="720"/>
      <c r="K40" s="23">
        <v>29.65</v>
      </c>
      <c r="L40" s="20">
        <v>30.5</v>
      </c>
      <c r="M40" s="20">
        <v>31.38</v>
      </c>
      <c r="N40" s="43">
        <v>30.72</v>
      </c>
      <c r="O40" s="43">
        <v>64143.360000000001</v>
      </c>
      <c r="P40" s="23">
        <v>0</v>
      </c>
      <c r="Q40" s="23">
        <v>1.5814610844194901</v>
      </c>
      <c r="R40" s="30">
        <v>0</v>
      </c>
      <c r="S40" s="28">
        <v>3207.1680000000001</v>
      </c>
      <c r="T40" s="28">
        <v>0</v>
      </c>
      <c r="U40" s="28">
        <v>67350.528000000006</v>
      </c>
      <c r="W40" s="28">
        <v>4175.7327359999999</v>
      </c>
      <c r="X40" s="28">
        <v>976.58265600000016</v>
      </c>
      <c r="Y40" s="28">
        <v>122.4</v>
      </c>
      <c r="Z40" s="28">
        <v>41.999999999999986</v>
      </c>
      <c r="AA40" s="35">
        <v>5316.7153920000001</v>
      </c>
      <c r="AC40" s="35">
        <v>64143.360000000008</v>
      </c>
      <c r="AD40" s="35">
        <v>67350.528000000006</v>
      </c>
      <c r="AF40" s="46">
        <v>0.04</v>
      </c>
      <c r="AG40" s="46" t="s">
        <v>55</v>
      </c>
      <c r="AH40" s="35">
        <v>2694.0211200000003</v>
      </c>
      <c r="AI40" s="35">
        <v>3367.5264000000002</v>
      </c>
      <c r="AJ40" s="35">
        <v>0</v>
      </c>
      <c r="AK40" s="35">
        <v>0</v>
      </c>
      <c r="AM40" s="35">
        <v>8287.56</v>
      </c>
      <c r="AN40" s="35">
        <v>-1247.6399999999999</v>
      </c>
      <c r="AO40" s="35">
        <v>7039.92</v>
      </c>
      <c r="AP40" s="35">
        <v>97000</v>
      </c>
      <c r="AQ40" s="35">
        <v>200.20800000000003</v>
      </c>
      <c r="AR40" s="35">
        <v>23.28</v>
      </c>
      <c r="AS40" s="35">
        <v>160.35839999999999</v>
      </c>
      <c r="AT40" s="35">
        <v>45.24</v>
      </c>
      <c r="AU40" s="35">
        <v>7469.0063999999993</v>
      </c>
      <c r="AW40" s="102">
        <v>1</v>
      </c>
      <c r="AX40" s="102">
        <v>2.29E-2</v>
      </c>
      <c r="AZ40" s="35">
        <v>64143.360000000001</v>
      </c>
      <c r="BA40" s="35">
        <v>0</v>
      </c>
      <c r="BB40" s="35">
        <v>3207.1680000000001</v>
      </c>
      <c r="BC40" s="35">
        <v>67350.528000000006</v>
      </c>
      <c r="BE40" s="35">
        <v>62674.477055999996</v>
      </c>
      <c r="BF40" s="35">
        <v>0</v>
      </c>
      <c r="BG40" s="546">
        <v>3207.1680000000001</v>
      </c>
      <c r="BH40" s="35">
        <v>65881.645055999994</v>
      </c>
      <c r="BJ40" s="35">
        <v>4175.7327359999999</v>
      </c>
      <c r="BK40" s="35">
        <v>976.58265600000016</v>
      </c>
      <c r="BL40" s="35">
        <v>122.4</v>
      </c>
      <c r="BM40" s="35">
        <v>41.999999999999986</v>
      </c>
      <c r="BN40" s="35">
        <v>5316.7153920000001</v>
      </c>
      <c r="BP40" s="35">
        <v>4080.1084563455997</v>
      </c>
      <c r="BQ40" s="35">
        <v>954.21891317760014</v>
      </c>
      <c r="BR40" s="35">
        <v>119.59704000000001</v>
      </c>
      <c r="BS40" s="35">
        <v>41.038199999999982</v>
      </c>
      <c r="BT40" s="35">
        <v>5194.9626095231997</v>
      </c>
      <c r="BV40" s="35">
        <v>2694.0211200000003</v>
      </c>
      <c r="BW40" s="35">
        <v>3367.5264000000002</v>
      </c>
      <c r="BX40" s="35">
        <v>0</v>
      </c>
      <c r="BY40" s="35">
        <v>0</v>
      </c>
      <c r="CA40" s="35">
        <v>2632.3280363520003</v>
      </c>
      <c r="CB40" s="35">
        <v>3290.41004544</v>
      </c>
      <c r="CC40" s="35">
        <v>0</v>
      </c>
      <c r="CD40" s="35">
        <v>0</v>
      </c>
      <c r="CF40" s="35">
        <v>8287.56</v>
      </c>
      <c r="CG40" s="35">
        <v>-1247.6399999999999</v>
      </c>
      <c r="CH40" s="35">
        <v>7039.92</v>
      </c>
      <c r="CI40" s="35">
        <v>200.20800000000003</v>
      </c>
      <c r="CJ40" s="35">
        <v>23.28</v>
      </c>
      <c r="CK40" s="35">
        <v>160.35839999999999</v>
      </c>
      <c r="CL40" s="35">
        <v>45.24</v>
      </c>
      <c r="CM40" s="35">
        <v>7469.0063999999993</v>
      </c>
      <c r="CO40" s="35">
        <v>8097.7748759999995</v>
      </c>
      <c r="CP40" s="35">
        <v>-1219.0690439999998</v>
      </c>
      <c r="CQ40" s="35">
        <v>6878.7058319999996</v>
      </c>
      <c r="CR40" s="35">
        <v>195.62323680000003</v>
      </c>
      <c r="CS40" s="35">
        <v>22.746888000000002</v>
      </c>
      <c r="CT40" s="35">
        <v>156.68619263999997</v>
      </c>
      <c r="CU40" s="35">
        <v>44.204003999999998</v>
      </c>
      <c r="CV40" s="35">
        <v>7297.9661534399993</v>
      </c>
    </row>
    <row r="41" spans="1:100">
      <c r="A41" s="22">
        <v>36</v>
      </c>
      <c r="B41" s="37">
        <v>1</v>
      </c>
      <c r="C41" s="700"/>
      <c r="D41" s="12" t="s">
        <v>226</v>
      </c>
      <c r="E41" s="12" t="s">
        <v>9</v>
      </c>
      <c r="F41" s="701"/>
      <c r="G41" s="701"/>
      <c r="H41" s="34">
        <v>0.05</v>
      </c>
      <c r="I41" s="34">
        <v>0</v>
      </c>
      <c r="J41" s="720"/>
      <c r="K41" s="23">
        <v>27.1</v>
      </c>
      <c r="L41" s="20">
        <v>27.87</v>
      </c>
      <c r="M41" s="20">
        <v>28.68</v>
      </c>
      <c r="N41" s="43">
        <v>28.07</v>
      </c>
      <c r="O41" s="497">
        <v>58610.16</v>
      </c>
      <c r="P41" s="23">
        <v>40</v>
      </c>
      <c r="Q41" s="23">
        <v>1.5814610844194901</v>
      </c>
      <c r="R41" s="30">
        <v>1775.6645055862034</v>
      </c>
      <c r="S41" s="28">
        <v>2930.5080000000003</v>
      </c>
      <c r="T41" s="28">
        <v>0</v>
      </c>
      <c r="U41" s="28">
        <v>63316.332505586208</v>
      </c>
      <c r="W41" s="28">
        <v>3925.6126153463447</v>
      </c>
      <c r="X41" s="28">
        <v>918.08682133100001</v>
      </c>
      <c r="Y41" s="28">
        <v>122.4</v>
      </c>
      <c r="Z41" s="28">
        <v>41.999999999999986</v>
      </c>
      <c r="AA41" s="35">
        <v>5008.0994366773448</v>
      </c>
      <c r="AC41" s="35">
        <v>58610.16</v>
      </c>
      <c r="AD41" s="35">
        <v>63316.332505586208</v>
      </c>
      <c r="AF41" s="46">
        <v>0.04</v>
      </c>
      <c r="AG41" s="46" t="s">
        <v>55</v>
      </c>
      <c r="AH41" s="35">
        <v>2532.6533002234482</v>
      </c>
      <c r="AI41" s="35">
        <v>3077.0334000000003</v>
      </c>
      <c r="AJ41" s="35">
        <v>0</v>
      </c>
      <c r="AK41" s="35">
        <v>0</v>
      </c>
      <c r="AM41" s="35">
        <v>8287.56</v>
      </c>
      <c r="AN41" s="35">
        <v>-1247.6399999999999</v>
      </c>
      <c r="AO41" s="35">
        <v>7039.92</v>
      </c>
      <c r="AP41" s="35">
        <v>88000</v>
      </c>
      <c r="AQ41" s="35">
        <v>181.63199999999998</v>
      </c>
      <c r="AR41" s="35">
        <v>21.12</v>
      </c>
      <c r="AS41" s="35">
        <v>146.52540000000002</v>
      </c>
      <c r="AT41" s="35">
        <v>45.24</v>
      </c>
      <c r="AU41" s="35">
        <v>7434.4373999999998</v>
      </c>
      <c r="AW41" s="102">
        <v>0.99690856729716015</v>
      </c>
      <c r="AX41" s="102">
        <v>0.99990000000000001</v>
      </c>
      <c r="AZ41" s="35">
        <v>58428.970634657329</v>
      </c>
      <c r="BA41" s="35">
        <v>1770.1751582643624</v>
      </c>
      <c r="BB41" s="35">
        <v>2921.4485317328663</v>
      </c>
      <c r="BC41" s="35">
        <v>63120.594324654558</v>
      </c>
      <c r="BE41" s="35">
        <v>5.8428970634650899</v>
      </c>
      <c r="BF41" s="35">
        <v>0.17701751582641675</v>
      </c>
      <c r="BG41" s="546">
        <v>2921.4485317328663</v>
      </c>
      <c r="BH41" s="35">
        <v>2927.468446312158</v>
      </c>
      <c r="BJ41" s="35">
        <v>3913.4768481285823</v>
      </c>
      <c r="BK41" s="35">
        <v>915.24861770749112</v>
      </c>
      <c r="BL41" s="35">
        <v>122.02160863717241</v>
      </c>
      <c r="BM41" s="35">
        <v>41.870159826480709</v>
      </c>
      <c r="BN41" s="35">
        <v>4992.6172342997261</v>
      </c>
      <c r="BP41" s="35">
        <v>0.39134768481281512</v>
      </c>
      <c r="BQ41" s="35">
        <v>9.1524861770739027E-2</v>
      </c>
      <c r="BR41" s="35">
        <v>1.2202160863715898E-2</v>
      </c>
      <c r="BS41" s="35">
        <v>4.1870159826476096E-3</v>
      </c>
      <c r="BT41" s="35">
        <v>0.49926172342991765</v>
      </c>
      <c r="BV41" s="35">
        <v>2524.8237729861821</v>
      </c>
      <c r="BW41" s="35">
        <v>3067.5209583195096</v>
      </c>
      <c r="BX41" s="35">
        <v>0</v>
      </c>
      <c r="BY41" s="35">
        <v>0</v>
      </c>
      <c r="CA41" s="35">
        <v>0.25248237729859041</v>
      </c>
      <c r="CB41" s="35">
        <v>0.3067520958319172</v>
      </c>
      <c r="CC41" s="35">
        <v>0</v>
      </c>
      <c r="CD41" s="35">
        <v>0</v>
      </c>
      <c r="CF41" s="35">
        <v>8261.9395659892525</v>
      </c>
      <c r="CG41" s="35">
        <v>-1243.7830049026288</v>
      </c>
      <c r="CH41" s="35">
        <v>7018.1565610866237</v>
      </c>
      <c r="CI41" s="35">
        <v>181.07049689531777</v>
      </c>
      <c r="CJ41" s="35">
        <v>21.054708941316022</v>
      </c>
      <c r="CK41" s="35">
        <v>146.07242658664333</v>
      </c>
      <c r="CL41" s="35">
        <v>45.100143584523529</v>
      </c>
      <c r="CM41" s="35">
        <v>7411.4543370944239</v>
      </c>
      <c r="CO41" s="35">
        <v>0.82619395659883421</v>
      </c>
      <c r="CP41" s="35">
        <v>-0.12437830049024919</v>
      </c>
      <c r="CQ41" s="35">
        <v>0.7018156561085851</v>
      </c>
      <c r="CR41" s="35">
        <v>1.8107049689529784E-2</v>
      </c>
      <c r="CS41" s="35">
        <v>2.1054708941313704E-3</v>
      </c>
      <c r="CT41" s="35">
        <v>1.4607242658662725E-2</v>
      </c>
      <c r="CU41" s="35">
        <v>4.5100143584518564E-3</v>
      </c>
      <c r="CV41" s="35">
        <v>0.74114543370936092</v>
      </c>
    </row>
    <row r="42" spans="1:100">
      <c r="A42" s="22">
        <v>37</v>
      </c>
      <c r="B42" s="37">
        <v>1</v>
      </c>
      <c r="C42" s="700"/>
      <c r="D42" s="12" t="s">
        <v>263</v>
      </c>
      <c r="E42" s="12" t="s">
        <v>264</v>
      </c>
      <c r="F42" s="701"/>
      <c r="G42" s="701"/>
      <c r="H42" s="34">
        <v>0.05</v>
      </c>
      <c r="I42" s="34">
        <v>0</v>
      </c>
      <c r="J42" s="720"/>
      <c r="K42" s="23">
        <v>35.51</v>
      </c>
      <c r="L42" s="20">
        <v>36.520000000000003</v>
      </c>
      <c r="M42" s="20">
        <v>37.58</v>
      </c>
      <c r="N42" s="43">
        <v>36.78</v>
      </c>
      <c r="O42" s="43">
        <v>76796.639999999999</v>
      </c>
      <c r="P42" s="23">
        <v>0</v>
      </c>
      <c r="Q42" s="23">
        <v>1.5814610844194901</v>
      </c>
      <c r="R42" s="30">
        <v>0</v>
      </c>
      <c r="S42" s="28">
        <v>3839.8320000000003</v>
      </c>
      <c r="T42" s="28">
        <v>0</v>
      </c>
      <c r="U42" s="28">
        <v>80636.471999999994</v>
      </c>
      <c r="W42" s="28">
        <v>4999.4612639999996</v>
      </c>
      <c r="X42" s="28">
        <v>1169.228844</v>
      </c>
      <c r="Y42" s="28">
        <v>122.4</v>
      </c>
      <c r="Z42" s="28">
        <v>41.999999999999986</v>
      </c>
      <c r="AA42" s="35">
        <v>6333.0901079999994</v>
      </c>
      <c r="AC42" s="35">
        <v>76796.639999999999</v>
      </c>
      <c r="AD42" s="35">
        <v>80636.471999999994</v>
      </c>
      <c r="AF42" s="46">
        <v>0.04</v>
      </c>
      <c r="AG42" s="46" t="s">
        <v>55</v>
      </c>
      <c r="AH42" s="35">
        <v>3225.4588799999997</v>
      </c>
      <c r="AI42" s="35">
        <v>4031.8235999999997</v>
      </c>
      <c r="AJ42" s="35">
        <v>0</v>
      </c>
      <c r="AK42" s="35">
        <v>230.38991999999999</v>
      </c>
      <c r="AM42" s="35">
        <v>18232.559999999998</v>
      </c>
      <c r="AN42" s="35">
        <v>-2744.76</v>
      </c>
      <c r="AO42" s="35">
        <v>15487.799999999997</v>
      </c>
      <c r="AP42" s="35">
        <v>116000</v>
      </c>
      <c r="AQ42" s="35">
        <v>239.42400000000004</v>
      </c>
      <c r="AR42" s="35">
        <v>27.839999999999996</v>
      </c>
      <c r="AS42" s="35">
        <v>191.99160000000001</v>
      </c>
      <c r="AT42" s="35">
        <v>45.24</v>
      </c>
      <c r="AU42" s="35">
        <v>15992.295599999998</v>
      </c>
      <c r="AW42" s="102">
        <v>1</v>
      </c>
      <c r="AX42" s="102">
        <v>0.23599999999999999</v>
      </c>
      <c r="AZ42" s="35">
        <v>76796.639999999999</v>
      </c>
      <c r="BA42" s="35">
        <v>0</v>
      </c>
      <c r="BB42" s="35">
        <v>3839.8320000000003</v>
      </c>
      <c r="BC42" s="35">
        <v>80636.471999999994</v>
      </c>
      <c r="BE42" s="35">
        <v>58672.632960000003</v>
      </c>
      <c r="BF42" s="35">
        <v>0</v>
      </c>
      <c r="BG42" s="546">
        <v>3839.8320000000003</v>
      </c>
      <c r="BH42" s="35">
        <v>62512.464960000005</v>
      </c>
      <c r="BJ42" s="35">
        <v>4999.4612639999996</v>
      </c>
      <c r="BK42" s="35">
        <v>1169.228844</v>
      </c>
      <c r="BL42" s="35">
        <v>122.4</v>
      </c>
      <c r="BM42" s="35">
        <v>41.999999999999986</v>
      </c>
      <c r="BN42" s="35">
        <v>6333.0901079999994</v>
      </c>
      <c r="BP42" s="35">
        <v>3819.5884056959999</v>
      </c>
      <c r="BQ42" s="35">
        <v>893.29083681600002</v>
      </c>
      <c r="BR42" s="35">
        <v>93.513600000000011</v>
      </c>
      <c r="BS42" s="35">
        <v>32.087999999999987</v>
      </c>
      <c r="BT42" s="35">
        <v>4838.480842512</v>
      </c>
      <c r="BV42" s="35">
        <v>3225.4588799999997</v>
      </c>
      <c r="BW42" s="35">
        <v>4031.8235999999997</v>
      </c>
      <c r="BX42" s="35">
        <v>0</v>
      </c>
      <c r="BY42" s="35">
        <v>230.38991999999999</v>
      </c>
      <c r="CA42" s="35">
        <v>2464.2505843199997</v>
      </c>
      <c r="CB42" s="35">
        <v>3080.3132303999996</v>
      </c>
      <c r="CC42" s="35">
        <v>0</v>
      </c>
      <c r="CD42" s="35">
        <v>230.38991999999999</v>
      </c>
      <c r="CF42" s="35">
        <v>18232.559999999998</v>
      </c>
      <c r="CG42" s="35">
        <v>-2744.76</v>
      </c>
      <c r="CH42" s="35">
        <v>15487.799999999997</v>
      </c>
      <c r="CI42" s="35">
        <v>239.42400000000004</v>
      </c>
      <c r="CJ42" s="35">
        <v>27.839999999999996</v>
      </c>
      <c r="CK42" s="35">
        <v>191.99160000000001</v>
      </c>
      <c r="CL42" s="35">
        <v>45.24</v>
      </c>
      <c r="CM42" s="35">
        <v>15992.295599999998</v>
      </c>
      <c r="CO42" s="35">
        <v>13929.675839999998</v>
      </c>
      <c r="CP42" s="35">
        <v>-2096.9966400000003</v>
      </c>
      <c r="CQ42" s="35">
        <v>11832.679199999999</v>
      </c>
      <c r="CR42" s="35">
        <v>182.91993600000004</v>
      </c>
      <c r="CS42" s="35">
        <v>21.269759999999998</v>
      </c>
      <c r="CT42" s="35">
        <v>146.6815824</v>
      </c>
      <c r="CU42" s="35">
        <v>34.563360000000003</v>
      </c>
      <c r="CV42" s="35">
        <v>12218.113838399999</v>
      </c>
    </row>
    <row r="43" spans="1:100">
      <c r="A43" s="22">
        <v>38</v>
      </c>
      <c r="B43" s="37">
        <v>1</v>
      </c>
      <c r="C43" s="700"/>
      <c r="D43" s="12" t="s">
        <v>226</v>
      </c>
      <c r="E43" s="12" t="s">
        <v>9</v>
      </c>
      <c r="F43" s="701"/>
      <c r="G43" s="701"/>
      <c r="H43" s="34">
        <v>0.05</v>
      </c>
      <c r="I43" s="34">
        <v>0</v>
      </c>
      <c r="J43" s="720"/>
      <c r="K43" s="23">
        <v>27.1</v>
      </c>
      <c r="L43" s="20">
        <v>27.87</v>
      </c>
      <c r="M43" s="20">
        <v>28.68</v>
      </c>
      <c r="N43" s="43">
        <v>28.07</v>
      </c>
      <c r="O43" s="497">
        <v>58610.16</v>
      </c>
      <c r="P43" s="23">
        <v>40</v>
      </c>
      <c r="Q43" s="23">
        <v>1.5814610844194901</v>
      </c>
      <c r="R43" s="30">
        <v>1775.6645055862034</v>
      </c>
      <c r="S43" s="28">
        <v>2930.5080000000003</v>
      </c>
      <c r="T43" s="28">
        <v>0</v>
      </c>
      <c r="U43" s="28">
        <v>63316.332505586208</v>
      </c>
      <c r="W43" s="28">
        <v>3925.6126153463447</v>
      </c>
      <c r="X43" s="28">
        <v>918.08682133100001</v>
      </c>
      <c r="Y43" s="28">
        <v>122.4</v>
      </c>
      <c r="Z43" s="28">
        <v>41.999999999999986</v>
      </c>
      <c r="AA43" s="35">
        <v>5008.0994366773448</v>
      </c>
      <c r="AC43" s="35">
        <v>58610.16</v>
      </c>
      <c r="AD43" s="35">
        <v>63316.332505586208</v>
      </c>
      <c r="AF43" s="46">
        <v>0.03</v>
      </c>
      <c r="AG43" s="46" t="s">
        <v>55</v>
      </c>
      <c r="AH43" s="35">
        <v>1899.4899751675862</v>
      </c>
      <c r="AI43" s="35">
        <v>3077.0334000000003</v>
      </c>
      <c r="AJ43" s="35">
        <v>0</v>
      </c>
      <c r="AK43" s="35">
        <v>0</v>
      </c>
      <c r="AM43" s="35">
        <v>18232.559999999998</v>
      </c>
      <c r="AN43" s="35">
        <v>-2744.76</v>
      </c>
      <c r="AO43" s="35">
        <v>15487.799999999997</v>
      </c>
      <c r="AP43" s="35">
        <v>88000</v>
      </c>
      <c r="AQ43" s="35">
        <v>181.63199999999998</v>
      </c>
      <c r="AR43" s="35">
        <v>21.12</v>
      </c>
      <c r="AS43" s="35">
        <v>146.52540000000002</v>
      </c>
      <c r="AT43" s="35">
        <v>45.24</v>
      </c>
      <c r="AU43" s="35">
        <v>15882.317399999998</v>
      </c>
      <c r="AW43" s="102">
        <v>0.99690856729716015</v>
      </c>
      <c r="AX43" s="102">
        <v>0.99990000000000001</v>
      </c>
      <c r="AZ43" s="35">
        <v>58428.970634657329</v>
      </c>
      <c r="BA43" s="35">
        <v>1770.1751582643624</v>
      </c>
      <c r="BB43" s="35">
        <v>2921.4485317328663</v>
      </c>
      <c r="BC43" s="35">
        <v>63120.594324654558</v>
      </c>
      <c r="BE43" s="35">
        <v>5.8428970634650899</v>
      </c>
      <c r="BF43" s="35">
        <v>0.17701751582641675</v>
      </c>
      <c r="BG43" s="546">
        <v>2921.4485317328663</v>
      </c>
      <c r="BH43" s="35">
        <v>2927.468446312158</v>
      </c>
      <c r="BJ43" s="35">
        <v>3913.4768481285823</v>
      </c>
      <c r="BK43" s="35">
        <v>915.24861770749112</v>
      </c>
      <c r="BL43" s="35">
        <v>122.02160863717241</v>
      </c>
      <c r="BM43" s="35">
        <v>41.870159826480709</v>
      </c>
      <c r="BN43" s="35">
        <v>4992.6172342997261</v>
      </c>
      <c r="BP43" s="35">
        <v>0.39134768481281512</v>
      </c>
      <c r="BQ43" s="35">
        <v>9.1524861770739027E-2</v>
      </c>
      <c r="BR43" s="35">
        <v>1.2202160863715898E-2</v>
      </c>
      <c r="BS43" s="35">
        <v>4.1870159826476096E-3</v>
      </c>
      <c r="BT43" s="35">
        <v>0.49926172342991765</v>
      </c>
      <c r="BV43" s="35">
        <v>1893.6178297396366</v>
      </c>
      <c r="BW43" s="35">
        <v>3067.5209583195096</v>
      </c>
      <c r="BX43" s="35">
        <v>0</v>
      </c>
      <c r="BY43" s="35">
        <v>0</v>
      </c>
      <c r="CA43" s="35">
        <v>0.18936178297394279</v>
      </c>
      <c r="CB43" s="35">
        <v>0.3067520958319172</v>
      </c>
      <c r="CC43" s="35">
        <v>0</v>
      </c>
      <c r="CD43" s="35">
        <v>0</v>
      </c>
      <c r="CF43" s="35">
        <v>18176.195267759507</v>
      </c>
      <c r="CG43" s="35">
        <v>-2736.2747591745533</v>
      </c>
      <c r="CH43" s="35">
        <v>15439.920508584955</v>
      </c>
      <c r="CI43" s="35">
        <v>181.07049689531777</v>
      </c>
      <c r="CJ43" s="35">
        <v>21.054708941316022</v>
      </c>
      <c r="CK43" s="35">
        <v>146.07242658664333</v>
      </c>
      <c r="CL43" s="35">
        <v>45.100143584523529</v>
      </c>
      <c r="CM43" s="35">
        <v>15833.218284592755</v>
      </c>
      <c r="CO43" s="35">
        <v>1.8176195267757504</v>
      </c>
      <c r="CP43" s="35">
        <v>-0.2736274759174252</v>
      </c>
      <c r="CQ43" s="35">
        <v>1.5439920508583256</v>
      </c>
      <c r="CR43" s="35">
        <v>1.8107049689529784E-2</v>
      </c>
      <c r="CS43" s="35">
        <v>2.1054708941313704E-3</v>
      </c>
      <c r="CT43" s="35">
        <v>1.4607242658662725E-2</v>
      </c>
      <c r="CU43" s="35">
        <v>4.5100143584518564E-3</v>
      </c>
      <c r="CV43" s="35">
        <v>1.5833218284591011</v>
      </c>
    </row>
    <row r="44" spans="1:100">
      <c r="A44" s="22">
        <v>39</v>
      </c>
      <c r="B44" s="37">
        <v>1</v>
      </c>
      <c r="C44" s="700"/>
      <c r="D44" s="12" t="s">
        <v>218</v>
      </c>
      <c r="E44" s="12" t="s">
        <v>219</v>
      </c>
      <c r="F44" s="701"/>
      <c r="G44" s="701"/>
      <c r="H44" s="34">
        <v>0.05</v>
      </c>
      <c r="I44" s="34">
        <v>0</v>
      </c>
      <c r="J44" s="720"/>
      <c r="K44" s="23">
        <v>21.29</v>
      </c>
      <c r="L44" s="20">
        <v>21.9</v>
      </c>
      <c r="M44" s="20">
        <v>22.54</v>
      </c>
      <c r="N44" s="43">
        <v>22.06</v>
      </c>
      <c r="O44" s="43">
        <v>46061.279999999999</v>
      </c>
      <c r="P44" s="23">
        <v>0</v>
      </c>
      <c r="Q44" s="23">
        <v>1.5814610844194901</v>
      </c>
      <c r="R44" s="30">
        <v>0</v>
      </c>
      <c r="S44" s="28">
        <v>2303.0639999999999</v>
      </c>
      <c r="T44" s="28">
        <v>0</v>
      </c>
      <c r="U44" s="28">
        <v>48364.343999999997</v>
      </c>
      <c r="W44" s="28">
        <v>2998.589328</v>
      </c>
      <c r="X44" s="28">
        <v>701.28298800000005</v>
      </c>
      <c r="Y44" s="28">
        <v>122.4</v>
      </c>
      <c r="Z44" s="28">
        <v>41.999999999999986</v>
      </c>
      <c r="AA44" s="35">
        <v>3864.272316</v>
      </c>
      <c r="AC44" s="35">
        <v>46061.279999999999</v>
      </c>
      <c r="AD44" s="35">
        <v>48364.343999999997</v>
      </c>
      <c r="AF44" s="46">
        <v>0.04</v>
      </c>
      <c r="AG44" s="46" t="s">
        <v>55</v>
      </c>
      <c r="AH44" s="35">
        <v>1934.57376</v>
      </c>
      <c r="AI44" s="35">
        <v>2418.2172</v>
      </c>
      <c r="AJ44" s="35">
        <v>0</v>
      </c>
      <c r="AK44" s="35">
        <v>0</v>
      </c>
      <c r="AM44" s="35">
        <v>8287.56</v>
      </c>
      <c r="AN44" s="35">
        <v>-1247.6399999999999</v>
      </c>
      <c r="AO44" s="35">
        <v>7039.92</v>
      </c>
      <c r="AP44" s="35">
        <v>70000</v>
      </c>
      <c r="AQ44" s="35">
        <v>144.47999999999996</v>
      </c>
      <c r="AR44" s="35">
        <v>16.799999999999997</v>
      </c>
      <c r="AS44" s="35">
        <v>115.1532</v>
      </c>
      <c r="AT44" s="35">
        <v>45.24</v>
      </c>
      <c r="AU44" s="35">
        <v>7361.5931999999993</v>
      </c>
      <c r="AW44" s="102">
        <v>1</v>
      </c>
      <c r="AX44" s="102">
        <v>4.2099999999999999E-2</v>
      </c>
      <c r="AZ44" s="35">
        <v>46061.279999999999</v>
      </c>
      <c r="BA44" s="35">
        <v>0</v>
      </c>
      <c r="BB44" s="35">
        <v>2303.0639999999999</v>
      </c>
      <c r="BC44" s="35">
        <v>48364.343999999997</v>
      </c>
      <c r="BE44" s="35">
        <v>44122.100112</v>
      </c>
      <c r="BF44" s="35">
        <v>0</v>
      </c>
      <c r="BG44" s="546">
        <v>2303.0639999999999</v>
      </c>
      <c r="BH44" s="35">
        <v>46425.164111999999</v>
      </c>
      <c r="BJ44" s="35">
        <v>2998.589328</v>
      </c>
      <c r="BK44" s="35">
        <v>701.28298800000005</v>
      </c>
      <c r="BL44" s="35">
        <v>122.4</v>
      </c>
      <c r="BM44" s="35">
        <v>41.999999999999986</v>
      </c>
      <c r="BN44" s="35">
        <v>3864.272316</v>
      </c>
      <c r="BP44" s="35">
        <v>2872.3487172912</v>
      </c>
      <c r="BQ44" s="35">
        <v>671.75897420520005</v>
      </c>
      <c r="BR44" s="35">
        <v>117.24696</v>
      </c>
      <c r="BS44" s="35">
        <v>40.231799999999986</v>
      </c>
      <c r="BT44" s="35">
        <v>3701.5864514964001</v>
      </c>
      <c r="BV44" s="35">
        <v>1934.57376</v>
      </c>
      <c r="BW44" s="35">
        <v>2418.2172</v>
      </c>
      <c r="BX44" s="35">
        <v>0</v>
      </c>
      <c r="BY44" s="35">
        <v>0</v>
      </c>
      <c r="CA44" s="35">
        <v>1853.1282047039999</v>
      </c>
      <c r="CB44" s="35">
        <v>2316.41025588</v>
      </c>
      <c r="CC44" s="35">
        <v>0</v>
      </c>
      <c r="CD44" s="35">
        <v>0</v>
      </c>
      <c r="CF44" s="35">
        <v>8287.56</v>
      </c>
      <c r="CG44" s="35">
        <v>-1247.6399999999999</v>
      </c>
      <c r="CH44" s="35">
        <v>7039.92</v>
      </c>
      <c r="CI44" s="35">
        <v>144.47999999999996</v>
      </c>
      <c r="CJ44" s="35">
        <v>16.799999999999997</v>
      </c>
      <c r="CK44" s="35">
        <v>115.1532</v>
      </c>
      <c r="CL44" s="35">
        <v>45.24</v>
      </c>
      <c r="CM44" s="35">
        <v>7361.5931999999993</v>
      </c>
      <c r="CO44" s="35">
        <v>7938.6537239999989</v>
      </c>
      <c r="CP44" s="35">
        <v>-1195.1143559999998</v>
      </c>
      <c r="CQ44" s="35">
        <v>6743.5393679999997</v>
      </c>
      <c r="CR44" s="35">
        <v>138.39739199999997</v>
      </c>
      <c r="CS44" s="35">
        <v>16.092719999999996</v>
      </c>
      <c r="CT44" s="35">
        <v>110.30525028</v>
      </c>
      <c r="CU44" s="35">
        <v>43.335396000000003</v>
      </c>
      <c r="CV44" s="35">
        <v>7051.6701262799997</v>
      </c>
    </row>
    <row r="45" spans="1:100">
      <c r="A45" s="22">
        <v>40</v>
      </c>
      <c r="B45" s="37">
        <v>1</v>
      </c>
      <c r="C45" s="700"/>
      <c r="D45" s="12" t="s">
        <v>883</v>
      </c>
      <c r="E45" s="12" t="s">
        <v>884</v>
      </c>
      <c r="F45" s="701"/>
      <c r="G45" s="701"/>
      <c r="H45" s="34">
        <v>0.05</v>
      </c>
      <c r="I45" s="34">
        <v>0</v>
      </c>
      <c r="J45" s="720"/>
      <c r="K45" s="23">
        <v>20.5</v>
      </c>
      <c r="L45" s="20">
        <v>21.08</v>
      </c>
      <c r="M45" s="20">
        <v>21.69</v>
      </c>
      <c r="N45" s="43">
        <v>21.23</v>
      </c>
      <c r="O45" s="43">
        <v>44328.24</v>
      </c>
      <c r="P45" s="23">
        <v>0</v>
      </c>
      <c r="Q45" s="23">
        <v>1.5814610844194901</v>
      </c>
      <c r="R45" s="30">
        <v>0</v>
      </c>
      <c r="S45" s="28">
        <v>2216.4119999999998</v>
      </c>
      <c r="T45" s="28">
        <v>0</v>
      </c>
      <c r="U45" s="28">
        <v>46544.651999999995</v>
      </c>
      <c r="W45" s="28">
        <v>2885.7684239999999</v>
      </c>
      <c r="X45" s="28">
        <v>674.89745399999993</v>
      </c>
      <c r="Y45" s="28">
        <v>122.4</v>
      </c>
      <c r="Z45" s="28">
        <v>41.999999999999986</v>
      </c>
      <c r="AA45" s="35">
        <v>3725.0658779999999</v>
      </c>
      <c r="AC45" s="35">
        <v>44328.24</v>
      </c>
      <c r="AD45" s="35">
        <v>46544.651999999995</v>
      </c>
      <c r="AF45" s="46">
        <v>0.03</v>
      </c>
      <c r="AG45" s="46" t="s">
        <v>55</v>
      </c>
      <c r="AH45" s="35">
        <v>1396.3395599999999</v>
      </c>
      <c r="AI45" s="35">
        <v>2327.2325999999998</v>
      </c>
      <c r="AJ45" s="35">
        <v>0</v>
      </c>
      <c r="AK45" s="35">
        <v>0</v>
      </c>
      <c r="AM45" s="35">
        <v>23205.239999999998</v>
      </c>
      <c r="AN45" s="35">
        <v>-3493.44</v>
      </c>
      <c r="AO45" s="35">
        <v>19711.8</v>
      </c>
      <c r="AP45" s="35">
        <v>67000</v>
      </c>
      <c r="AQ45" s="35">
        <v>138.28799999999995</v>
      </c>
      <c r="AR45" s="35">
        <v>16.080000000000002</v>
      </c>
      <c r="AS45" s="35">
        <v>110.8206</v>
      </c>
      <c r="AT45" s="35">
        <v>45.24</v>
      </c>
      <c r="AU45" s="35">
        <v>20022.228600000002</v>
      </c>
      <c r="AW45" s="102">
        <v>1</v>
      </c>
      <c r="AX45" s="102">
        <v>0</v>
      </c>
      <c r="AZ45" s="35">
        <v>44328.24</v>
      </c>
      <c r="BA45" s="35">
        <v>0</v>
      </c>
      <c r="BB45" s="35">
        <v>2216.4119999999998</v>
      </c>
      <c r="BC45" s="35">
        <v>46544.651999999995</v>
      </c>
      <c r="BE45" s="35">
        <v>44328.24</v>
      </c>
      <c r="BF45" s="35">
        <v>0</v>
      </c>
      <c r="BG45" s="546">
        <v>2216.4119999999998</v>
      </c>
      <c r="BH45" s="35">
        <v>46544.651999999995</v>
      </c>
      <c r="BJ45" s="35">
        <v>2885.7684239999999</v>
      </c>
      <c r="BK45" s="35">
        <v>674.89745399999993</v>
      </c>
      <c r="BL45" s="35">
        <v>122.4</v>
      </c>
      <c r="BM45" s="35">
        <v>41.999999999999986</v>
      </c>
      <c r="BN45" s="35">
        <v>3725.0658779999999</v>
      </c>
      <c r="BP45" s="35">
        <v>2885.7684239999999</v>
      </c>
      <c r="BQ45" s="35">
        <v>674.89745399999993</v>
      </c>
      <c r="BR45" s="35">
        <v>122.4</v>
      </c>
      <c r="BS45" s="35">
        <v>41.999999999999986</v>
      </c>
      <c r="BT45" s="35">
        <v>3725.0658779999999</v>
      </c>
      <c r="BV45" s="35">
        <v>1396.3395599999999</v>
      </c>
      <c r="BW45" s="35">
        <v>2327.2325999999998</v>
      </c>
      <c r="BX45" s="35">
        <v>0</v>
      </c>
      <c r="BY45" s="35">
        <v>0</v>
      </c>
      <c r="CA45" s="35">
        <v>1396.3395599999999</v>
      </c>
      <c r="CB45" s="35">
        <v>2327.2325999999998</v>
      </c>
      <c r="CC45" s="35">
        <v>0</v>
      </c>
      <c r="CD45" s="35">
        <v>0</v>
      </c>
      <c r="CF45" s="35">
        <v>23205.239999999998</v>
      </c>
      <c r="CG45" s="35">
        <v>-3493.44</v>
      </c>
      <c r="CH45" s="35">
        <v>19711.8</v>
      </c>
      <c r="CI45" s="35">
        <v>138.28799999999995</v>
      </c>
      <c r="CJ45" s="35">
        <v>16.080000000000002</v>
      </c>
      <c r="CK45" s="35">
        <v>110.8206</v>
      </c>
      <c r="CL45" s="35">
        <v>45.24</v>
      </c>
      <c r="CM45" s="35">
        <v>20022.228600000002</v>
      </c>
      <c r="CO45" s="35">
        <v>23205.239999999998</v>
      </c>
      <c r="CP45" s="35">
        <v>-3493.44</v>
      </c>
      <c r="CQ45" s="35">
        <v>19711.8</v>
      </c>
      <c r="CR45" s="35">
        <v>138.28799999999995</v>
      </c>
      <c r="CS45" s="35">
        <v>16.080000000000002</v>
      </c>
      <c r="CT45" s="35">
        <v>110.8206</v>
      </c>
      <c r="CU45" s="35">
        <v>45.24</v>
      </c>
      <c r="CV45" s="35">
        <v>20022.228600000002</v>
      </c>
    </row>
    <row r="46" spans="1:100">
      <c r="A46" s="22">
        <v>41</v>
      </c>
      <c r="B46" s="37">
        <v>1</v>
      </c>
      <c r="C46" s="700"/>
      <c r="D46" s="12" t="s">
        <v>883</v>
      </c>
      <c r="E46" s="12" t="s">
        <v>884</v>
      </c>
      <c r="F46" s="701"/>
      <c r="G46" s="701"/>
      <c r="H46" s="34">
        <v>0.05</v>
      </c>
      <c r="I46" s="34">
        <v>0</v>
      </c>
      <c r="J46" s="720"/>
      <c r="K46" s="23">
        <v>25.75</v>
      </c>
      <c r="L46" s="20">
        <v>26.48</v>
      </c>
      <c r="M46" s="20">
        <v>27.25</v>
      </c>
      <c r="N46" s="43">
        <v>26.67</v>
      </c>
      <c r="O46" s="43">
        <v>55686.96</v>
      </c>
      <c r="P46" s="23">
        <v>0</v>
      </c>
      <c r="Q46" s="23">
        <v>1.5814610844194901</v>
      </c>
      <c r="R46" s="30">
        <v>0</v>
      </c>
      <c r="S46" s="28">
        <v>2784.348</v>
      </c>
      <c r="T46" s="28">
        <v>0</v>
      </c>
      <c r="U46" s="28">
        <v>58471.307999999997</v>
      </c>
      <c r="W46" s="28">
        <v>3625.2210959999998</v>
      </c>
      <c r="X46" s="28">
        <v>847.83396600000003</v>
      </c>
      <c r="Y46" s="28">
        <v>122.4</v>
      </c>
      <c r="Z46" s="28">
        <v>41.999999999999986</v>
      </c>
      <c r="AA46" s="35">
        <v>4637.4550619999991</v>
      </c>
      <c r="AC46" s="35">
        <v>55686.96</v>
      </c>
      <c r="AD46" s="35">
        <v>58471.307999999997</v>
      </c>
      <c r="AF46" s="46">
        <v>0.03</v>
      </c>
      <c r="AG46" s="46" t="s">
        <v>55</v>
      </c>
      <c r="AH46" s="35">
        <v>1754.1392399999997</v>
      </c>
      <c r="AI46" s="35">
        <v>2923.5654</v>
      </c>
      <c r="AJ46" s="35">
        <v>0</v>
      </c>
      <c r="AK46" s="35">
        <v>0</v>
      </c>
      <c r="AM46" s="35">
        <v>8287.56</v>
      </c>
      <c r="AN46" s="35">
        <v>-1247.6399999999999</v>
      </c>
      <c r="AO46" s="35">
        <v>7039.92</v>
      </c>
      <c r="AP46" s="35">
        <v>84000</v>
      </c>
      <c r="AQ46" s="35">
        <v>173.37599999999998</v>
      </c>
      <c r="AR46" s="35">
        <v>20.16</v>
      </c>
      <c r="AS46" s="35">
        <v>139.2174</v>
      </c>
      <c r="AT46" s="35">
        <v>45.24</v>
      </c>
      <c r="AU46" s="35">
        <v>7417.9133999999995</v>
      </c>
      <c r="AW46" s="102">
        <v>1</v>
      </c>
      <c r="AX46" s="102">
        <v>6.6400000000000001E-2</v>
      </c>
      <c r="AZ46" s="35">
        <v>55686.96</v>
      </c>
      <c r="BA46" s="35">
        <v>0</v>
      </c>
      <c r="BB46" s="35">
        <v>2784.348</v>
      </c>
      <c r="BC46" s="35">
        <v>58471.307999999997</v>
      </c>
      <c r="BE46" s="35">
        <v>51989.345856</v>
      </c>
      <c r="BF46" s="35">
        <v>0</v>
      </c>
      <c r="BG46" s="546">
        <v>2784.348</v>
      </c>
      <c r="BH46" s="35">
        <v>54773.693855999998</v>
      </c>
      <c r="BJ46" s="35">
        <v>3625.2210959999998</v>
      </c>
      <c r="BK46" s="35">
        <v>847.83396600000003</v>
      </c>
      <c r="BL46" s="35">
        <v>122.4</v>
      </c>
      <c r="BM46" s="35">
        <v>41.999999999999986</v>
      </c>
      <c r="BN46" s="35">
        <v>4637.4550619999991</v>
      </c>
      <c r="BP46" s="35">
        <v>3384.5064152255995</v>
      </c>
      <c r="BQ46" s="35">
        <v>791.5377906576</v>
      </c>
      <c r="BR46" s="35">
        <v>114.27264000000001</v>
      </c>
      <c r="BS46" s="35">
        <v>39.211199999999984</v>
      </c>
      <c r="BT46" s="35">
        <v>4329.5280458831994</v>
      </c>
      <c r="BV46" s="35">
        <v>1754.1392399999997</v>
      </c>
      <c r="BW46" s="35">
        <v>2923.5654</v>
      </c>
      <c r="BX46" s="35">
        <v>0</v>
      </c>
      <c r="BY46" s="35">
        <v>0</v>
      </c>
      <c r="CA46" s="35">
        <v>1637.6643944639998</v>
      </c>
      <c r="CB46" s="35">
        <v>2729.44065744</v>
      </c>
      <c r="CC46" s="35">
        <v>0</v>
      </c>
      <c r="CD46" s="35">
        <v>0</v>
      </c>
      <c r="CF46" s="35">
        <v>8287.56</v>
      </c>
      <c r="CG46" s="35">
        <v>-1247.6399999999999</v>
      </c>
      <c r="CH46" s="35">
        <v>7039.92</v>
      </c>
      <c r="CI46" s="35">
        <v>173.37599999999998</v>
      </c>
      <c r="CJ46" s="35">
        <v>20.16</v>
      </c>
      <c r="CK46" s="35">
        <v>139.2174</v>
      </c>
      <c r="CL46" s="35">
        <v>45.24</v>
      </c>
      <c r="CM46" s="35">
        <v>7417.9133999999995</v>
      </c>
      <c r="CO46" s="35">
        <v>7737.2660159999996</v>
      </c>
      <c r="CP46" s="35">
        <v>-1164.7967039999999</v>
      </c>
      <c r="CQ46" s="35">
        <v>6572.4693120000002</v>
      </c>
      <c r="CR46" s="35">
        <v>161.86383359999996</v>
      </c>
      <c r="CS46" s="35">
        <v>18.821376000000001</v>
      </c>
      <c r="CT46" s="35">
        <v>129.97336464</v>
      </c>
      <c r="CU46" s="35">
        <v>42.236063999999999</v>
      </c>
      <c r="CV46" s="35">
        <v>6925.3639502400001</v>
      </c>
    </row>
    <row r="47" spans="1:100">
      <c r="A47" s="22">
        <v>42</v>
      </c>
      <c r="B47" s="37">
        <v>1</v>
      </c>
      <c r="C47" s="700"/>
      <c r="D47" s="12" t="s">
        <v>218</v>
      </c>
      <c r="E47" s="12" t="s">
        <v>219</v>
      </c>
      <c r="F47" s="701"/>
      <c r="G47" s="701"/>
      <c r="H47" s="34">
        <v>0.05</v>
      </c>
      <c r="I47" s="34">
        <v>0</v>
      </c>
      <c r="J47" s="720"/>
      <c r="K47" s="23">
        <v>21.29</v>
      </c>
      <c r="L47" s="20">
        <v>21.9</v>
      </c>
      <c r="M47" s="20">
        <v>22.54</v>
      </c>
      <c r="N47" s="43">
        <v>22.06</v>
      </c>
      <c r="O47" s="43">
        <v>46061.279999999999</v>
      </c>
      <c r="P47" s="23">
        <v>0</v>
      </c>
      <c r="Q47" s="23">
        <v>1.5814610844194901</v>
      </c>
      <c r="R47" s="30">
        <v>0</v>
      </c>
      <c r="S47" s="28">
        <v>2303.0639999999999</v>
      </c>
      <c r="T47" s="28">
        <v>0</v>
      </c>
      <c r="U47" s="28">
        <v>48364.343999999997</v>
      </c>
      <c r="W47" s="28">
        <v>2998.589328</v>
      </c>
      <c r="X47" s="28">
        <v>701.28298800000005</v>
      </c>
      <c r="Y47" s="28">
        <v>122.4</v>
      </c>
      <c r="Z47" s="28">
        <v>41.999999999999986</v>
      </c>
      <c r="AA47" s="35">
        <v>3864.272316</v>
      </c>
      <c r="AC47" s="35">
        <v>46061.279999999999</v>
      </c>
      <c r="AD47" s="35">
        <v>48364.343999999997</v>
      </c>
      <c r="AF47" s="46">
        <v>0.03</v>
      </c>
      <c r="AG47" s="46" t="s">
        <v>55</v>
      </c>
      <c r="AH47" s="35">
        <v>1450.9303199999999</v>
      </c>
      <c r="AI47" s="35">
        <v>2418.2172</v>
      </c>
      <c r="AJ47" s="35">
        <v>0</v>
      </c>
      <c r="AK47" s="35">
        <v>0</v>
      </c>
      <c r="AM47" s="35">
        <v>8287.56</v>
      </c>
      <c r="AN47" s="35">
        <v>-1247.6399999999999</v>
      </c>
      <c r="AO47" s="35">
        <v>7039.92</v>
      </c>
      <c r="AP47" s="35">
        <v>70000</v>
      </c>
      <c r="AQ47" s="35">
        <v>144.47999999999996</v>
      </c>
      <c r="AR47" s="35">
        <v>16.799999999999997</v>
      </c>
      <c r="AS47" s="35">
        <v>115.1532</v>
      </c>
      <c r="AT47" s="35">
        <v>45.24</v>
      </c>
      <c r="AU47" s="35">
        <v>7361.5931999999993</v>
      </c>
      <c r="AW47" s="102">
        <v>1</v>
      </c>
      <c r="AX47" s="102">
        <v>4.2099999999999999E-2</v>
      </c>
      <c r="AZ47" s="35">
        <v>46061.279999999999</v>
      </c>
      <c r="BA47" s="35">
        <v>0</v>
      </c>
      <c r="BB47" s="35">
        <v>2303.0639999999999</v>
      </c>
      <c r="BC47" s="35">
        <v>48364.343999999997</v>
      </c>
      <c r="BE47" s="35">
        <v>44122.100112</v>
      </c>
      <c r="BF47" s="35">
        <v>0</v>
      </c>
      <c r="BG47" s="546">
        <v>2303.0639999999999</v>
      </c>
      <c r="BH47" s="35">
        <v>46425.164111999999</v>
      </c>
      <c r="BJ47" s="35">
        <v>2998.589328</v>
      </c>
      <c r="BK47" s="35">
        <v>701.28298800000005</v>
      </c>
      <c r="BL47" s="35">
        <v>122.4</v>
      </c>
      <c r="BM47" s="35">
        <v>41.999999999999986</v>
      </c>
      <c r="BN47" s="35">
        <v>3864.272316</v>
      </c>
      <c r="BP47" s="35">
        <v>2872.3487172912</v>
      </c>
      <c r="BQ47" s="35">
        <v>671.75897420520005</v>
      </c>
      <c r="BR47" s="35">
        <v>117.24696</v>
      </c>
      <c r="BS47" s="35">
        <v>40.231799999999986</v>
      </c>
      <c r="BT47" s="35">
        <v>3701.5864514964001</v>
      </c>
      <c r="BV47" s="35">
        <v>1450.9303199999999</v>
      </c>
      <c r="BW47" s="35">
        <v>2418.2172</v>
      </c>
      <c r="BX47" s="35">
        <v>0</v>
      </c>
      <c r="BY47" s="35">
        <v>0</v>
      </c>
      <c r="CA47" s="35">
        <v>1389.8461535279998</v>
      </c>
      <c r="CB47" s="35">
        <v>2316.41025588</v>
      </c>
      <c r="CC47" s="35">
        <v>0</v>
      </c>
      <c r="CD47" s="35">
        <v>0</v>
      </c>
      <c r="CF47" s="35">
        <v>8287.56</v>
      </c>
      <c r="CG47" s="35">
        <v>-1247.6399999999999</v>
      </c>
      <c r="CH47" s="35">
        <v>7039.92</v>
      </c>
      <c r="CI47" s="35">
        <v>144.47999999999996</v>
      </c>
      <c r="CJ47" s="35">
        <v>16.799999999999997</v>
      </c>
      <c r="CK47" s="35">
        <v>115.1532</v>
      </c>
      <c r="CL47" s="35">
        <v>45.24</v>
      </c>
      <c r="CM47" s="35">
        <v>7361.5931999999993</v>
      </c>
      <c r="CO47" s="35">
        <v>7938.6537239999989</v>
      </c>
      <c r="CP47" s="35">
        <v>-1195.1143559999998</v>
      </c>
      <c r="CQ47" s="35">
        <v>6743.5393679999997</v>
      </c>
      <c r="CR47" s="35">
        <v>138.39739199999997</v>
      </c>
      <c r="CS47" s="35">
        <v>16.092719999999996</v>
      </c>
      <c r="CT47" s="35">
        <v>110.30525028</v>
      </c>
      <c r="CU47" s="35">
        <v>43.335396000000003</v>
      </c>
      <c r="CV47" s="35">
        <v>7051.6701262799997</v>
      </c>
    </row>
    <row r="48" spans="1:100">
      <c r="A48" s="22">
        <v>43</v>
      </c>
      <c r="B48" s="37">
        <v>1</v>
      </c>
      <c r="C48" s="701"/>
      <c r="D48" s="12" t="s">
        <v>226</v>
      </c>
      <c r="E48" s="12" t="s">
        <v>9</v>
      </c>
      <c r="F48" s="701"/>
      <c r="G48" s="701"/>
      <c r="H48" s="34">
        <v>0.05</v>
      </c>
      <c r="I48" s="34">
        <v>0</v>
      </c>
      <c r="J48" s="721"/>
      <c r="K48" s="23">
        <v>30.76</v>
      </c>
      <c r="L48" s="20">
        <v>31.64</v>
      </c>
      <c r="M48" s="20">
        <v>32.56</v>
      </c>
      <c r="N48" s="43">
        <v>31.87</v>
      </c>
      <c r="O48" s="43">
        <v>66544.56</v>
      </c>
      <c r="P48" s="23">
        <v>45</v>
      </c>
      <c r="Q48" s="23">
        <v>1.5814610844194901</v>
      </c>
      <c r="R48" s="30">
        <v>2268.0524142202116</v>
      </c>
      <c r="S48" s="28">
        <v>3327.2280000000001</v>
      </c>
      <c r="T48" s="28">
        <v>0</v>
      </c>
      <c r="U48" s="28">
        <v>72139.840414220205</v>
      </c>
      <c r="W48" s="28">
        <v>4472.6701056816528</v>
      </c>
      <c r="X48" s="28">
        <v>1046.0276860061931</v>
      </c>
      <c r="Y48" s="28">
        <v>122.4</v>
      </c>
      <c r="Z48" s="28">
        <v>41.999999999999986</v>
      </c>
      <c r="AA48" s="35">
        <v>5683.0977916878455</v>
      </c>
      <c r="AC48" s="35">
        <v>66544.56</v>
      </c>
      <c r="AD48" s="35">
        <v>72139.840414220205</v>
      </c>
      <c r="AF48" s="46">
        <v>3.2651515151515154E-2</v>
      </c>
      <c r="AG48" s="46" t="s">
        <v>128</v>
      </c>
      <c r="AH48" s="35">
        <v>2355.4750923127963</v>
      </c>
      <c r="AI48" s="35">
        <v>3493.5893999999998</v>
      </c>
      <c r="AJ48" s="35">
        <v>0</v>
      </c>
      <c r="AK48" s="35">
        <v>0</v>
      </c>
      <c r="AM48" s="35">
        <v>17131.575774647899</v>
      </c>
      <c r="AN48" s="35">
        <v>-2573.515492957747</v>
      </c>
      <c r="AO48" s="35">
        <v>14558.060281690152</v>
      </c>
      <c r="AP48" s="35">
        <v>100000</v>
      </c>
      <c r="AQ48" s="35">
        <v>206.39999999999998</v>
      </c>
      <c r="AR48" s="35">
        <v>24</v>
      </c>
      <c r="AS48" s="35">
        <v>166.3614</v>
      </c>
      <c r="AT48" s="35">
        <v>45.24</v>
      </c>
      <c r="AU48" s="35">
        <v>15000.061681690151</v>
      </c>
      <c r="AW48" s="102">
        <v>1</v>
      </c>
      <c r="AX48" s="102">
        <v>0.99119999999999997</v>
      </c>
      <c r="AZ48" s="35">
        <v>66544.56</v>
      </c>
      <c r="BA48" s="35">
        <v>2268.0524142202116</v>
      </c>
      <c r="BB48" s="35">
        <v>3327.2280000000001</v>
      </c>
      <c r="BC48" s="35">
        <v>72139.840414220205</v>
      </c>
      <c r="BE48" s="35">
        <v>585.59212800000194</v>
      </c>
      <c r="BF48" s="35">
        <v>19.958861245137932</v>
      </c>
      <c r="BG48" s="546">
        <v>3327.2280000000001</v>
      </c>
      <c r="BH48" s="35">
        <v>3932.7789892451401</v>
      </c>
      <c r="BJ48" s="35">
        <v>4472.6701056816528</v>
      </c>
      <c r="BK48" s="35">
        <v>1046.0276860061931</v>
      </c>
      <c r="BL48" s="35">
        <v>122.4</v>
      </c>
      <c r="BM48" s="35">
        <v>41.999999999999986</v>
      </c>
      <c r="BN48" s="35">
        <v>5683.0977916878455</v>
      </c>
      <c r="BP48" s="35">
        <v>39.359496929998677</v>
      </c>
      <c r="BQ48" s="35">
        <v>9.2050436368545299</v>
      </c>
      <c r="BR48" s="35">
        <v>1.0771200000000036</v>
      </c>
      <c r="BS48" s="35">
        <v>0.36960000000000115</v>
      </c>
      <c r="BT48" s="35">
        <v>50.01126056685321</v>
      </c>
      <c r="BV48" s="35">
        <v>2355.4750923127963</v>
      </c>
      <c r="BW48" s="35">
        <v>3493.5893999999998</v>
      </c>
      <c r="BX48" s="35">
        <v>0</v>
      </c>
      <c r="BY48" s="35">
        <v>0</v>
      </c>
      <c r="CA48" s="35">
        <v>20.728180812352679</v>
      </c>
      <c r="CB48" s="35">
        <v>30.743586720000103</v>
      </c>
      <c r="CC48" s="35">
        <v>0</v>
      </c>
      <c r="CD48" s="35">
        <v>0</v>
      </c>
      <c r="CF48" s="35">
        <v>17131.575774647899</v>
      </c>
      <c r="CG48" s="35">
        <v>-2573.515492957747</v>
      </c>
      <c r="CH48" s="35">
        <v>14558.060281690152</v>
      </c>
      <c r="CI48" s="35">
        <v>206.39999999999998</v>
      </c>
      <c r="CJ48" s="35">
        <v>24</v>
      </c>
      <c r="CK48" s="35">
        <v>166.3614</v>
      </c>
      <c r="CL48" s="35">
        <v>45.24</v>
      </c>
      <c r="CM48" s="35">
        <v>15000.061681690151</v>
      </c>
      <c r="CO48" s="35">
        <v>150.75786681690204</v>
      </c>
      <c r="CP48" s="35">
        <v>-22.646936338028251</v>
      </c>
      <c r="CQ48" s="35">
        <v>128.11093047887377</v>
      </c>
      <c r="CR48" s="35">
        <v>1.8163200000000059</v>
      </c>
      <c r="CS48" s="35">
        <v>0.21120000000000072</v>
      </c>
      <c r="CT48" s="35">
        <v>1.463980320000005</v>
      </c>
      <c r="CU48" s="35">
        <v>0.39811200000000135</v>
      </c>
      <c r="CV48" s="35">
        <v>132.00054279887379</v>
      </c>
    </row>
    <row r="49" spans="1:100">
      <c r="A49" s="22">
        <v>44</v>
      </c>
      <c r="B49" s="37">
        <v>1</v>
      </c>
      <c r="C49" s="701"/>
      <c r="D49" s="12" t="s">
        <v>314</v>
      </c>
      <c r="E49" s="12" t="s">
        <v>315</v>
      </c>
      <c r="F49" s="701"/>
      <c r="G49" s="701"/>
      <c r="H49" s="34">
        <v>0.05</v>
      </c>
      <c r="I49" s="34">
        <v>0</v>
      </c>
      <c r="J49" s="721"/>
      <c r="K49" s="23">
        <v>27.01</v>
      </c>
      <c r="L49" s="20">
        <v>27.78</v>
      </c>
      <c r="M49" s="20">
        <v>28.59</v>
      </c>
      <c r="N49" s="43">
        <v>27.98</v>
      </c>
      <c r="O49" s="497">
        <v>58422.239999999998</v>
      </c>
      <c r="P49" s="23">
        <v>351</v>
      </c>
      <c r="Q49" s="23">
        <v>1.5814610844194901</v>
      </c>
      <c r="R49" s="30">
        <v>15531.497680862125</v>
      </c>
      <c r="S49" s="28">
        <v>2921.1120000000001</v>
      </c>
      <c r="T49" s="28">
        <v>0</v>
      </c>
      <c r="U49" s="28">
        <v>76874.849680862113</v>
      </c>
      <c r="W49" s="28">
        <v>4766.240680213451</v>
      </c>
      <c r="X49" s="28">
        <v>1114.6853203725007</v>
      </c>
      <c r="Y49" s="28">
        <v>122.4</v>
      </c>
      <c r="Z49" s="28">
        <v>41.999999999999986</v>
      </c>
      <c r="AA49" s="35">
        <v>6045.3260005859511</v>
      </c>
      <c r="AC49" s="35">
        <v>58422.239999999983</v>
      </c>
      <c r="AD49" s="35">
        <v>76874.849680862113</v>
      </c>
      <c r="AF49" s="46">
        <v>3.2651515151515154E-2</v>
      </c>
      <c r="AG49" s="46" t="s">
        <v>128</v>
      </c>
      <c r="AH49" s="35">
        <v>2510.0803191251193</v>
      </c>
      <c r="AI49" s="35">
        <v>3067.1675999999989</v>
      </c>
      <c r="AJ49" s="35">
        <v>0</v>
      </c>
      <c r="AK49" s="35">
        <v>0</v>
      </c>
      <c r="AM49" s="35">
        <v>17131.575774647899</v>
      </c>
      <c r="AN49" s="35">
        <v>-2573.515492957747</v>
      </c>
      <c r="AO49" s="35">
        <v>14558.060281690152</v>
      </c>
      <c r="AP49" s="35">
        <v>88000</v>
      </c>
      <c r="AQ49" s="35">
        <v>181.63199999999998</v>
      </c>
      <c r="AR49" s="35">
        <v>21.12</v>
      </c>
      <c r="AS49" s="35">
        <v>146.0556</v>
      </c>
      <c r="AT49" s="35">
        <v>45.24</v>
      </c>
      <c r="AU49" s="35">
        <v>14952.107881690152</v>
      </c>
      <c r="AW49" s="102">
        <v>0.98726133271584049</v>
      </c>
      <c r="AX49" s="102">
        <v>0.28010000000000002</v>
      </c>
      <c r="AZ49" s="35">
        <v>57678.018522644685</v>
      </c>
      <c r="BA49" s="35">
        <v>15333.647099480928</v>
      </c>
      <c r="BB49" s="35">
        <v>2883.9009261322344</v>
      </c>
      <c r="BC49" s="35">
        <v>75895.566548257848</v>
      </c>
      <c r="BE49" s="35">
        <v>41522.405534451907</v>
      </c>
      <c r="BF49" s="35">
        <v>11038.69254691632</v>
      </c>
      <c r="BG49" s="546">
        <v>2883.9009261322344</v>
      </c>
      <c r="BH49" s="35">
        <v>55444.999007500461</v>
      </c>
      <c r="BJ49" s="35">
        <v>4705.525125991986</v>
      </c>
      <c r="BK49" s="35">
        <v>1100.4857149497386</v>
      </c>
      <c r="BL49" s="35">
        <v>120.84078712441888</v>
      </c>
      <c r="BM49" s="35">
        <v>41.46497597406529</v>
      </c>
      <c r="BN49" s="35">
        <v>5968.3166040402084</v>
      </c>
      <c r="BP49" s="35">
        <v>3387.5075382016307</v>
      </c>
      <c r="BQ49" s="35">
        <v>792.2396661923168</v>
      </c>
      <c r="BR49" s="35">
        <v>86.993282650869148</v>
      </c>
      <c r="BS49" s="35">
        <v>29.8506362037296</v>
      </c>
      <c r="BT49" s="35">
        <v>4296.5911232485469</v>
      </c>
      <c r="BV49" s="35">
        <v>2478.1052410832676</v>
      </c>
      <c r="BW49" s="35">
        <v>3028.0959724388449</v>
      </c>
      <c r="BX49" s="35">
        <v>0</v>
      </c>
      <c r="BY49" s="35">
        <v>0</v>
      </c>
      <c r="CA49" s="35">
        <v>1783.9879630558444</v>
      </c>
      <c r="CB49" s="35">
        <v>2179.9262905587243</v>
      </c>
      <c r="CC49" s="35">
        <v>0</v>
      </c>
      <c r="CD49" s="35">
        <v>0</v>
      </c>
      <c r="CF49" s="35">
        <v>16913.342330801293</v>
      </c>
      <c r="CG49" s="35">
        <v>-2540.7323353423285</v>
      </c>
      <c r="CH49" s="35">
        <v>14372.609995458964</v>
      </c>
      <c r="CI49" s="35">
        <v>179.31825038384352</v>
      </c>
      <c r="CJ49" s="35">
        <v>20.85095934695855</v>
      </c>
      <c r="CK49" s="35">
        <v>144.19504630661172</v>
      </c>
      <c r="CL49" s="35">
        <v>44.663702692064625</v>
      </c>
      <c r="CM49" s="35">
        <v>14761.637954188443</v>
      </c>
      <c r="CO49" s="35">
        <v>12175.91514394385</v>
      </c>
      <c r="CP49" s="35">
        <v>-1829.0732082129423</v>
      </c>
      <c r="CQ49" s="35">
        <v>10346.841935730909</v>
      </c>
      <c r="CR49" s="35">
        <v>129.09120845132895</v>
      </c>
      <c r="CS49" s="35">
        <v>15.010605633875461</v>
      </c>
      <c r="CT49" s="35">
        <v>103.80601383612976</v>
      </c>
      <c r="CU49" s="35">
        <v>32.153399568017321</v>
      </c>
      <c r="CV49" s="35">
        <v>10626.90316322026</v>
      </c>
    </row>
    <row r="50" spans="1:100">
      <c r="A50" s="22">
        <v>45</v>
      </c>
      <c r="B50" s="37">
        <v>1</v>
      </c>
      <c r="C50" s="701"/>
      <c r="D50" s="12" t="s">
        <v>356</v>
      </c>
      <c r="E50" s="12" t="s">
        <v>357</v>
      </c>
      <c r="F50" s="701"/>
      <c r="G50" s="701"/>
      <c r="H50" s="34">
        <v>0.05</v>
      </c>
      <c r="I50" s="34">
        <v>0</v>
      </c>
      <c r="J50" s="721"/>
      <c r="K50" s="23">
        <v>29</v>
      </c>
      <c r="L50" s="20">
        <v>29.83</v>
      </c>
      <c r="M50" s="20">
        <v>30.7</v>
      </c>
      <c r="N50" s="43">
        <v>30.04</v>
      </c>
      <c r="O50" s="30">
        <v>62723.519999999997</v>
      </c>
      <c r="P50" s="23">
        <v>96</v>
      </c>
      <c r="Q50" s="23">
        <v>1.5814610844194901</v>
      </c>
      <c r="R50" s="30">
        <v>4560.6807336923021</v>
      </c>
      <c r="S50" s="28">
        <v>3136.1759999999999</v>
      </c>
      <c r="T50" s="28">
        <v>0</v>
      </c>
      <c r="U50" s="28">
        <v>70420.376733692305</v>
      </c>
      <c r="W50" s="28">
        <v>4366.0633574889225</v>
      </c>
      <c r="X50" s="28">
        <v>1021.0954626385385</v>
      </c>
      <c r="Y50" s="28">
        <v>122.4</v>
      </c>
      <c r="Z50" s="28">
        <v>41.999999999999986</v>
      </c>
      <c r="AA50" s="35">
        <v>5551.5588201274604</v>
      </c>
      <c r="AC50" s="35">
        <v>62723.519999999997</v>
      </c>
      <c r="AD50" s="35">
        <v>70420.376733692305</v>
      </c>
      <c r="AF50" s="46">
        <v>3.2651515151515154E-2</v>
      </c>
      <c r="AG50" s="46" t="s">
        <v>128</v>
      </c>
      <c r="AH50" s="35">
        <v>2299.3319978955597</v>
      </c>
      <c r="AI50" s="35">
        <v>3292.9847999999997</v>
      </c>
      <c r="AJ50" s="35">
        <v>0</v>
      </c>
      <c r="AK50" s="35">
        <v>0</v>
      </c>
      <c r="AM50" s="35">
        <v>17131.575774647899</v>
      </c>
      <c r="AN50" s="35">
        <v>-2573.515492957747</v>
      </c>
      <c r="AO50" s="35">
        <v>14558.060281690152</v>
      </c>
      <c r="AP50" s="35">
        <v>95000</v>
      </c>
      <c r="AQ50" s="35">
        <v>196.07999999999998</v>
      </c>
      <c r="AR50" s="35">
        <v>22.799999999999997</v>
      </c>
      <c r="AS50" s="35">
        <v>156.80879999999999</v>
      </c>
      <c r="AT50" s="35">
        <v>45.24</v>
      </c>
      <c r="AU50" s="35">
        <v>14978.989081690152</v>
      </c>
      <c r="AW50" s="102">
        <v>0.99655536179465642</v>
      </c>
      <c r="AX50" s="102">
        <v>1E-3</v>
      </c>
      <c r="AZ50" s="35">
        <v>62507.460166634366</v>
      </c>
      <c r="BA50" s="35">
        <v>4544.9708385946515</v>
      </c>
      <c r="BB50" s="35">
        <v>3125.3730083317182</v>
      </c>
      <c r="BC50" s="35">
        <v>70177.804013560744</v>
      </c>
      <c r="BE50" s="35">
        <v>62444.952706467731</v>
      </c>
      <c r="BF50" s="35">
        <v>4540.4258677560565</v>
      </c>
      <c r="BG50" s="546">
        <v>3125.3730083317182</v>
      </c>
      <c r="BH50" s="35">
        <v>70110.751582555502</v>
      </c>
      <c r="BJ50" s="35">
        <v>4351.0238488407658</v>
      </c>
      <c r="BK50" s="35">
        <v>1017.5781581966309</v>
      </c>
      <c r="BL50" s="35">
        <v>121.97837628366595</v>
      </c>
      <c r="BM50" s="35">
        <v>41.855325195375556</v>
      </c>
      <c r="BN50" s="35">
        <v>5532.4357085164384</v>
      </c>
      <c r="BP50" s="35">
        <v>4346.6728249919252</v>
      </c>
      <c r="BQ50" s="35">
        <v>1016.5605800384342</v>
      </c>
      <c r="BR50" s="35">
        <v>121.85639790738229</v>
      </c>
      <c r="BS50" s="35">
        <v>41.813469870180178</v>
      </c>
      <c r="BT50" s="35">
        <v>5526.9032728079228</v>
      </c>
      <c r="BV50" s="35">
        <v>2291.4116310488398</v>
      </c>
      <c r="BW50" s="35">
        <v>3281.6416587483041</v>
      </c>
      <c r="BX50" s="35">
        <v>0</v>
      </c>
      <c r="BY50" s="35">
        <v>0</v>
      </c>
      <c r="CA50" s="35">
        <v>2289.1202194177908</v>
      </c>
      <c r="CB50" s="35">
        <v>3278.3600170895556</v>
      </c>
      <c r="CC50" s="35">
        <v>0</v>
      </c>
      <c r="CD50" s="35">
        <v>0</v>
      </c>
      <c r="CF50" s="35">
        <v>17072.563694216809</v>
      </c>
      <c r="CG50" s="35">
        <v>-2564.6506631686611</v>
      </c>
      <c r="CH50" s="35">
        <v>14507.913031048147</v>
      </c>
      <c r="CI50" s="35">
        <v>195.40457534069623</v>
      </c>
      <c r="CJ50" s="35">
        <v>22.721462248918165</v>
      </c>
      <c r="CK50" s="35">
        <v>156.2686504165859</v>
      </c>
      <c r="CL50" s="35">
        <v>45.084164567590257</v>
      </c>
      <c r="CM50" s="35">
        <v>14927.391883621936</v>
      </c>
      <c r="CO50" s="35">
        <v>17055.491130522594</v>
      </c>
      <c r="CP50" s="35">
        <v>-2562.0860125054924</v>
      </c>
      <c r="CQ50" s="35">
        <v>14493.405118017099</v>
      </c>
      <c r="CR50" s="35">
        <v>195.20917076535554</v>
      </c>
      <c r="CS50" s="35">
        <v>22.698740786669248</v>
      </c>
      <c r="CT50" s="35">
        <v>156.11238176616931</v>
      </c>
      <c r="CU50" s="35">
        <v>45.039080403022666</v>
      </c>
      <c r="CV50" s="35">
        <v>14912.464491738318</v>
      </c>
    </row>
    <row r="51" spans="1:100">
      <c r="A51" s="22">
        <v>46</v>
      </c>
      <c r="B51" s="37">
        <v>1</v>
      </c>
      <c r="C51" s="701"/>
      <c r="D51" s="12" t="s">
        <v>226</v>
      </c>
      <c r="E51" s="12" t="s">
        <v>9</v>
      </c>
      <c r="F51" s="701"/>
      <c r="G51" s="701"/>
      <c r="H51" s="34">
        <v>0.05</v>
      </c>
      <c r="I51" s="34">
        <v>0</v>
      </c>
      <c r="J51" s="721"/>
      <c r="K51" s="23">
        <v>32</v>
      </c>
      <c r="L51" s="20">
        <v>32.909999999999997</v>
      </c>
      <c r="M51" s="20">
        <v>33.86</v>
      </c>
      <c r="N51" s="43">
        <v>33.14</v>
      </c>
      <c r="O51" s="30">
        <v>69196.320000000007</v>
      </c>
      <c r="P51" s="23">
        <v>0</v>
      </c>
      <c r="Q51" s="23">
        <v>1.5814610844194901</v>
      </c>
      <c r="R51" s="30">
        <v>0</v>
      </c>
      <c r="S51" s="28">
        <v>3459.8160000000007</v>
      </c>
      <c r="T51" s="28">
        <v>0</v>
      </c>
      <c r="U51" s="28">
        <v>72656.136000000013</v>
      </c>
      <c r="W51" s="28">
        <v>4504.680432000001</v>
      </c>
      <c r="X51" s="28">
        <v>1053.5139720000002</v>
      </c>
      <c r="Y51" s="28">
        <v>122.4</v>
      </c>
      <c r="Z51" s="28">
        <v>41.999999999999986</v>
      </c>
      <c r="AA51" s="35">
        <v>5722.5944040000013</v>
      </c>
      <c r="AC51" s="35">
        <v>69196.320000000007</v>
      </c>
      <c r="AD51" s="35">
        <v>72656.136000000013</v>
      </c>
      <c r="AF51" s="46">
        <v>3.2651515151515154E-2</v>
      </c>
      <c r="AG51" s="46" t="s">
        <v>128</v>
      </c>
      <c r="AH51" s="35">
        <v>2372.3329254545461</v>
      </c>
      <c r="AI51" s="35">
        <v>3632.8068000000003</v>
      </c>
      <c r="AJ51" s="35">
        <v>0</v>
      </c>
      <c r="AK51" s="35">
        <v>0</v>
      </c>
      <c r="AM51" s="35">
        <v>17131.575774647899</v>
      </c>
      <c r="AN51" s="35">
        <v>-2573.515492957747</v>
      </c>
      <c r="AO51" s="35">
        <v>14558.060281690152</v>
      </c>
      <c r="AP51" s="35">
        <v>104000</v>
      </c>
      <c r="AQ51" s="35">
        <v>214.65600000000001</v>
      </c>
      <c r="AR51" s="35">
        <v>24.96</v>
      </c>
      <c r="AS51" s="35">
        <v>172.99080000000001</v>
      </c>
      <c r="AT51" s="35">
        <v>45.24</v>
      </c>
      <c r="AU51" s="35">
        <v>15015.907081690151</v>
      </c>
      <c r="AW51" s="102">
        <v>0.9909</v>
      </c>
      <c r="AX51" s="102">
        <v>1</v>
      </c>
      <c r="AZ51" s="35">
        <v>68566.633488000007</v>
      </c>
      <c r="BA51" s="35">
        <v>0</v>
      </c>
      <c r="BB51" s="35">
        <v>3428.3316744000008</v>
      </c>
      <c r="BC51" s="35">
        <v>71994.965162400011</v>
      </c>
      <c r="BE51" s="35">
        <v>0</v>
      </c>
      <c r="BF51" s="35">
        <v>0</v>
      </c>
      <c r="BG51" s="546">
        <v>3428.3316744000008</v>
      </c>
      <c r="BH51" s="35">
        <v>3428.3316744000008</v>
      </c>
      <c r="BJ51" s="35">
        <v>4463.6878400688011</v>
      </c>
      <c r="BK51" s="35">
        <v>1043.9269948548001</v>
      </c>
      <c r="BL51" s="35">
        <v>121.28616000000001</v>
      </c>
      <c r="BM51" s="35">
        <v>41.617799999999988</v>
      </c>
      <c r="BN51" s="35">
        <v>5670.5187949236006</v>
      </c>
      <c r="BP51" s="35">
        <v>0</v>
      </c>
      <c r="BQ51" s="35">
        <v>0</v>
      </c>
      <c r="BR51" s="35">
        <v>0</v>
      </c>
      <c r="BS51" s="35">
        <v>0</v>
      </c>
      <c r="BT51" s="35">
        <v>0</v>
      </c>
      <c r="BV51" s="35">
        <v>2350.7446958329097</v>
      </c>
      <c r="BW51" s="35">
        <v>3599.7482581200002</v>
      </c>
      <c r="BX51" s="35">
        <v>0</v>
      </c>
      <c r="BY51" s="35">
        <v>0</v>
      </c>
      <c r="CA51" s="35">
        <v>0</v>
      </c>
      <c r="CB51" s="35">
        <v>0</v>
      </c>
      <c r="CC51" s="35">
        <v>0</v>
      </c>
      <c r="CD51" s="35">
        <v>0</v>
      </c>
      <c r="CF51" s="35">
        <v>16975.678435098602</v>
      </c>
      <c r="CG51" s="35">
        <v>-2550.0965019718315</v>
      </c>
      <c r="CH51" s="35">
        <v>14425.581933126772</v>
      </c>
      <c r="CI51" s="35">
        <v>212.7026304</v>
      </c>
      <c r="CJ51" s="35">
        <v>24.732863999999999</v>
      </c>
      <c r="CK51" s="35">
        <v>171.41658372000001</v>
      </c>
      <c r="CL51" s="35">
        <v>44.828316000000001</v>
      </c>
      <c r="CM51" s="35">
        <v>14879.26232724677</v>
      </c>
      <c r="CO51" s="35">
        <v>0</v>
      </c>
      <c r="CP51" s="35">
        <v>0</v>
      </c>
      <c r="CQ51" s="35">
        <v>0</v>
      </c>
      <c r="CR51" s="35">
        <v>0</v>
      </c>
      <c r="CS51" s="35">
        <v>0</v>
      </c>
      <c r="CT51" s="35">
        <v>0</v>
      </c>
      <c r="CU51" s="35">
        <v>0</v>
      </c>
      <c r="CV51" s="35">
        <v>0</v>
      </c>
    </row>
    <row r="52" spans="1:100">
      <c r="A52" s="22">
        <v>47</v>
      </c>
      <c r="B52" s="37">
        <v>1</v>
      </c>
      <c r="C52" s="701"/>
      <c r="D52" s="12" t="s">
        <v>356</v>
      </c>
      <c r="E52" s="12" t="s">
        <v>357</v>
      </c>
      <c r="F52" s="701"/>
      <c r="G52" s="701"/>
      <c r="H52" s="34">
        <v>0.05</v>
      </c>
      <c r="I52" s="34">
        <v>0</v>
      </c>
      <c r="J52" s="721"/>
      <c r="K52" s="23">
        <v>30.76</v>
      </c>
      <c r="L52" s="20">
        <v>31.64</v>
      </c>
      <c r="M52" s="20">
        <v>32.56</v>
      </c>
      <c r="N52" s="43">
        <v>31.87</v>
      </c>
      <c r="O52" s="30">
        <v>66544.56</v>
      </c>
      <c r="P52" s="23">
        <v>96</v>
      </c>
      <c r="Q52" s="23">
        <v>1.5814610844194901</v>
      </c>
      <c r="R52" s="30">
        <v>4838.5118170031183</v>
      </c>
      <c r="S52" s="28">
        <v>3327.2280000000001</v>
      </c>
      <c r="T52" s="28">
        <v>0</v>
      </c>
      <c r="U52" s="28">
        <v>74710.299817003121</v>
      </c>
      <c r="W52" s="28">
        <v>4632.0385886541935</v>
      </c>
      <c r="X52" s="28">
        <v>1083.2993473465453</v>
      </c>
      <c r="Y52" s="28">
        <v>122.4</v>
      </c>
      <c r="Z52" s="28">
        <v>41.999999999999986</v>
      </c>
      <c r="AA52" s="35">
        <v>5879.737936000738</v>
      </c>
      <c r="AC52" s="35">
        <v>66544.56</v>
      </c>
      <c r="AD52" s="35">
        <v>74710.299817003121</v>
      </c>
      <c r="AF52" s="46">
        <v>3.2651515151515154E-2</v>
      </c>
      <c r="AG52" s="46" t="s">
        <v>128</v>
      </c>
      <c r="AH52" s="35">
        <v>2439.404486449117</v>
      </c>
      <c r="AI52" s="35">
        <v>3493.5893999999998</v>
      </c>
      <c r="AJ52" s="35">
        <v>0</v>
      </c>
      <c r="AK52" s="35">
        <v>0</v>
      </c>
      <c r="AM52" s="35">
        <v>17131.575774647899</v>
      </c>
      <c r="AN52" s="35">
        <v>-2573.515492957747</v>
      </c>
      <c r="AO52" s="35">
        <v>14558.060281690152</v>
      </c>
      <c r="AP52" s="35">
        <v>100000</v>
      </c>
      <c r="AQ52" s="35">
        <v>206.39999999999998</v>
      </c>
      <c r="AR52" s="35">
        <v>24</v>
      </c>
      <c r="AS52" s="35">
        <v>166.3614</v>
      </c>
      <c r="AT52" s="35">
        <v>45.24</v>
      </c>
      <c r="AU52" s="35">
        <v>15000.061681690151</v>
      </c>
      <c r="AW52" s="102">
        <v>1</v>
      </c>
      <c r="AX52" s="102">
        <v>2.3999999999999998E-3</v>
      </c>
      <c r="AZ52" s="35">
        <v>66544.56</v>
      </c>
      <c r="BA52" s="35">
        <v>4838.5118170031183</v>
      </c>
      <c r="BB52" s="35">
        <v>3327.2280000000001</v>
      </c>
      <c r="BC52" s="35">
        <v>74710.299817003121</v>
      </c>
      <c r="BE52" s="35">
        <v>66384.853056000007</v>
      </c>
      <c r="BF52" s="35">
        <v>4826.8993886423114</v>
      </c>
      <c r="BG52" s="546">
        <v>3327.2280000000001</v>
      </c>
      <c r="BH52" s="35">
        <v>74538.980444642322</v>
      </c>
      <c r="BJ52" s="35">
        <v>4632.0385886541935</v>
      </c>
      <c r="BK52" s="35">
        <v>1083.2993473465453</v>
      </c>
      <c r="BL52" s="35">
        <v>122.4</v>
      </c>
      <c r="BM52" s="35">
        <v>41.999999999999986</v>
      </c>
      <c r="BN52" s="35">
        <v>5879.737936000738</v>
      </c>
      <c r="BP52" s="35">
        <v>4620.9216960414233</v>
      </c>
      <c r="BQ52" s="35">
        <v>1080.6994289129136</v>
      </c>
      <c r="BR52" s="35">
        <v>122.10624000000001</v>
      </c>
      <c r="BS52" s="35">
        <v>41.899199999999986</v>
      </c>
      <c r="BT52" s="35">
        <v>5865.6265649543366</v>
      </c>
      <c r="BV52" s="35">
        <v>2439.404486449117</v>
      </c>
      <c r="BW52" s="35">
        <v>3493.5893999999998</v>
      </c>
      <c r="BX52" s="35">
        <v>0</v>
      </c>
      <c r="BY52" s="35">
        <v>0</v>
      </c>
      <c r="CA52" s="35">
        <v>2433.549915681639</v>
      </c>
      <c r="CB52" s="35">
        <v>3485.2047854399998</v>
      </c>
      <c r="CC52" s="35">
        <v>0</v>
      </c>
      <c r="CD52" s="35">
        <v>0</v>
      </c>
      <c r="CF52" s="35">
        <v>17131.575774647899</v>
      </c>
      <c r="CG52" s="35">
        <v>-2573.515492957747</v>
      </c>
      <c r="CH52" s="35">
        <v>14558.060281690152</v>
      </c>
      <c r="CI52" s="35">
        <v>206.39999999999998</v>
      </c>
      <c r="CJ52" s="35">
        <v>24</v>
      </c>
      <c r="CK52" s="35">
        <v>166.3614</v>
      </c>
      <c r="CL52" s="35">
        <v>45.24</v>
      </c>
      <c r="CM52" s="35">
        <v>15000.061681690151</v>
      </c>
      <c r="CO52" s="35">
        <v>17090.459992788747</v>
      </c>
      <c r="CP52" s="35">
        <v>-2567.3390557746484</v>
      </c>
      <c r="CQ52" s="35">
        <v>14523.120937014097</v>
      </c>
      <c r="CR52" s="35">
        <v>205.90463999999997</v>
      </c>
      <c r="CS52" s="35">
        <v>23.942399999999999</v>
      </c>
      <c r="CT52" s="35">
        <v>165.96213264000002</v>
      </c>
      <c r="CU52" s="35">
        <v>45.131424000000003</v>
      </c>
      <c r="CV52" s="35">
        <v>14964.061533654096</v>
      </c>
    </row>
    <row r="53" spans="1:100">
      <c r="A53" s="22"/>
      <c r="B53" s="37"/>
      <c r="F53" s="82"/>
      <c r="H53" s="34"/>
      <c r="I53" s="34"/>
      <c r="J53" s="505"/>
      <c r="K53" s="23"/>
      <c r="L53" s="20"/>
      <c r="M53" s="20"/>
      <c r="N53" s="43"/>
      <c r="O53" s="30"/>
      <c r="P53" s="23"/>
      <c r="Q53" s="23"/>
      <c r="R53" s="30"/>
      <c r="S53" s="28"/>
      <c r="T53" s="28"/>
      <c r="U53" s="28"/>
      <c r="W53" s="28"/>
      <c r="X53" s="28"/>
      <c r="Y53" s="28"/>
      <c r="Z53" s="28"/>
      <c r="AA53" s="35"/>
      <c r="AC53" s="35"/>
      <c r="AD53" s="35"/>
      <c r="AF53" s="46"/>
      <c r="AG53" s="46"/>
      <c r="AH53" s="35"/>
      <c r="AI53" s="35"/>
      <c r="AJ53" s="35"/>
      <c r="AK53" s="35"/>
      <c r="AM53" s="35"/>
      <c r="AN53" s="35"/>
      <c r="AO53" s="35"/>
      <c r="AP53" s="35"/>
      <c r="AQ53" s="35"/>
      <c r="AR53" s="35"/>
      <c r="AS53" s="35"/>
      <c r="AT53" s="35"/>
      <c r="AU53" s="35"/>
      <c r="AW53" s="102"/>
      <c r="AX53" s="102"/>
      <c r="AZ53" s="35"/>
      <c r="BA53" s="35"/>
      <c r="BB53" s="35"/>
      <c r="BC53" s="35"/>
      <c r="BE53" s="35"/>
      <c r="BF53" s="35"/>
      <c r="BG53" s="546"/>
      <c r="BH53" s="35"/>
      <c r="BJ53" s="35"/>
      <c r="BK53" s="35"/>
      <c r="BL53" s="35"/>
      <c r="BM53" s="35"/>
      <c r="BN53" s="35"/>
      <c r="BP53" s="35"/>
      <c r="BQ53" s="35"/>
      <c r="BR53" s="35"/>
      <c r="BS53" s="35"/>
      <c r="BT53" s="35"/>
      <c r="BV53" s="35"/>
      <c r="BW53" s="35"/>
      <c r="BX53" s="35"/>
      <c r="BY53" s="35"/>
      <c r="CA53" s="35"/>
      <c r="CB53" s="35"/>
      <c r="CC53" s="35"/>
      <c r="CD53" s="35"/>
      <c r="CF53" s="35"/>
      <c r="CG53" s="35"/>
      <c r="CH53" s="35"/>
      <c r="CI53" s="35"/>
      <c r="CJ53" s="35"/>
      <c r="CK53" s="35"/>
      <c r="CL53" s="35"/>
      <c r="CM53" s="35"/>
      <c r="CO53" s="35"/>
      <c r="CP53" s="35"/>
      <c r="CQ53" s="35"/>
      <c r="CR53" s="35"/>
      <c r="CS53" s="35"/>
      <c r="CT53" s="35"/>
      <c r="CU53" s="35"/>
      <c r="CV53" s="35"/>
    </row>
    <row r="54" spans="1:100">
      <c r="B54" s="38">
        <v>47</v>
      </c>
      <c r="O54" s="31">
        <v>2744613.3600000003</v>
      </c>
      <c r="P54" s="515">
        <v>4991</v>
      </c>
      <c r="Q54" s="110"/>
      <c r="R54" s="31">
        <v>225461.2525340381</v>
      </c>
      <c r="S54" s="31">
        <v>137230.66800000003</v>
      </c>
      <c r="T54" s="31">
        <v>0</v>
      </c>
      <c r="U54" s="31">
        <v>3107305.2805340379</v>
      </c>
      <c r="W54" s="31">
        <v>192652.92739311044</v>
      </c>
      <c r="X54" s="31">
        <v>45055.926567743554</v>
      </c>
      <c r="Y54" s="31">
        <v>5752.7999999999975</v>
      </c>
      <c r="Z54" s="31">
        <v>1973.9999999999998</v>
      </c>
      <c r="AA54" s="31">
        <v>245435.65396085393</v>
      </c>
      <c r="AB54" s="31"/>
      <c r="AC54" s="31">
        <v>2744613.36</v>
      </c>
      <c r="AD54" s="31">
        <v>3107305.2805340379</v>
      </c>
      <c r="AH54" s="31">
        <v>94408.005115132342</v>
      </c>
      <c r="AI54" s="31">
        <v>101914.81020000001</v>
      </c>
      <c r="AJ54" s="31">
        <v>0</v>
      </c>
      <c r="AK54" s="31">
        <v>4002.16356</v>
      </c>
      <c r="AM54" s="31">
        <v>805888.07887323957</v>
      </c>
      <c r="AN54" s="31">
        <v>-121286.77746478871</v>
      </c>
      <c r="AO54" s="31">
        <v>684601.30140845128</v>
      </c>
      <c r="AP54" s="31">
        <v>4141000</v>
      </c>
      <c r="AQ54" s="31">
        <v>8547.0239999999958</v>
      </c>
      <c r="AR54" s="31">
        <v>993.83999999999992</v>
      </c>
      <c r="AS54" s="31">
        <v>6861.5333999999984</v>
      </c>
      <c r="AT54" s="31">
        <v>2126.2799999999997</v>
      </c>
      <c r="AU54" s="31">
        <v>703129.97880845086</v>
      </c>
      <c r="AZ54" s="31">
        <v>2589433.2430595318</v>
      </c>
      <c r="BA54" s="31">
        <v>197370.47802202223</v>
      </c>
      <c r="BB54" s="31">
        <v>129471.66215297654</v>
      </c>
      <c r="BC54" s="31">
        <v>2916275.3832345302</v>
      </c>
      <c r="BE54" s="31">
        <v>1656985.0055304463</v>
      </c>
      <c r="BF54" s="31">
        <v>151570.92021539193</v>
      </c>
      <c r="BG54" s="31">
        <v>129471.66215297654</v>
      </c>
      <c r="BH54" s="31">
        <v>1938027.5878988148</v>
      </c>
      <c r="BJ54" s="31">
        <v>180809.07376054078</v>
      </c>
      <c r="BK54" s="31">
        <v>42285.993056900683</v>
      </c>
      <c r="BL54" s="31">
        <v>5457.7310906791081</v>
      </c>
      <c r="BM54" s="31">
        <v>1872.7508644487136</v>
      </c>
      <c r="BN54" s="31">
        <v>230425.54877256931</v>
      </c>
      <c r="BP54" s="31">
        <v>117267.12091338634</v>
      </c>
      <c r="BQ54" s="31">
        <v>27425.375052324227</v>
      </c>
      <c r="BR54" s="31">
        <v>3522.7352715639213</v>
      </c>
      <c r="BS54" s="31">
        <v>1208.781710830757</v>
      </c>
      <c r="BT54" s="31">
        <v>149424.01294810526</v>
      </c>
      <c r="BV54" s="31">
        <v>88297.78618187501</v>
      </c>
      <c r="BW54" s="31">
        <v>97195.461774846204</v>
      </c>
      <c r="BX54" s="31">
        <v>0</v>
      </c>
      <c r="BY54" s="31">
        <v>3595.2017905059042</v>
      </c>
      <c r="CA54" s="31">
        <v>59127.397571061316</v>
      </c>
      <c r="CB54" s="31">
        <v>71472.722950297699</v>
      </c>
      <c r="CC54" s="31">
        <v>0</v>
      </c>
      <c r="CD54" s="31">
        <v>3595.2017905059042</v>
      </c>
      <c r="CF54" s="31">
        <v>751959.69602695224</v>
      </c>
      <c r="CG54" s="31">
        <v>-113167.68566336192</v>
      </c>
      <c r="CH54" s="31">
        <v>638792.01036359044</v>
      </c>
      <c r="CI54" s="31">
        <v>8063.3767952886546</v>
      </c>
      <c r="CJ54" s="31">
        <v>937.60195294054154</v>
      </c>
      <c r="CK54" s="31">
        <v>6473.5831076488248</v>
      </c>
      <c r="CL54" s="31">
        <v>2017.2202168490437</v>
      </c>
      <c r="CM54" s="31">
        <v>656283.79243631719</v>
      </c>
      <c r="CO54" s="31">
        <v>489940.69374761009</v>
      </c>
      <c r="CP54" s="31">
        <v>-73748.567465257336</v>
      </c>
      <c r="CQ54" s="31">
        <v>416192.12628235295</v>
      </c>
      <c r="CR54" s="31">
        <v>5163.2615766463723</v>
      </c>
      <c r="CS54" s="31">
        <v>600.37925309841546</v>
      </c>
      <c r="CT54" s="31">
        <v>4142.4625138261154</v>
      </c>
      <c r="CU54" s="31">
        <v>1302.0305856662721</v>
      </c>
      <c r="CV54" s="31">
        <v>427400.26021159015</v>
      </c>
    </row>
    <row r="56" spans="1:100">
      <c r="AM56" s="44"/>
      <c r="AO56" s="44"/>
    </row>
    <row r="57" spans="1:100">
      <c r="AM57" s="44"/>
      <c r="AN57" s="44"/>
      <c r="AO57" s="44"/>
      <c r="AP57" s="44"/>
      <c r="AQ57" s="44"/>
      <c r="AR57" s="44"/>
      <c r="AS57" s="44"/>
      <c r="AT57" s="44"/>
      <c r="AU57" s="44"/>
      <c r="AZ57" s="44"/>
      <c r="BB57" s="44"/>
    </row>
    <row r="58" spans="1:100">
      <c r="AZ58" s="44"/>
      <c r="BB58" s="44"/>
      <c r="BE58" s="26"/>
    </row>
    <row r="59" spans="1:100">
      <c r="AM59" s="35"/>
      <c r="AN59" s="35"/>
      <c r="AO59" s="35"/>
    </row>
    <row r="60" spans="1:100">
      <c r="AM60" s="35"/>
      <c r="AN60" s="35"/>
      <c r="AO60" s="35"/>
      <c r="AP60" s="35"/>
    </row>
  </sheetData>
  <sortState ref="C7:C79">
    <sortCondition ref="C6"/>
  </sortState>
  <mergeCells count="12">
    <mergeCell ref="W4:AA4"/>
    <mergeCell ref="AM4:AU4"/>
    <mergeCell ref="AF4:AK4"/>
    <mergeCell ref="K4:U4"/>
    <mergeCell ref="AZ4:BC4"/>
    <mergeCell ref="CF4:CM4"/>
    <mergeCell ref="CO4:CV4"/>
    <mergeCell ref="BE4:BH4"/>
    <mergeCell ref="BJ4:BN4"/>
    <mergeCell ref="BP4:BT4"/>
    <mergeCell ref="BV4:BY4"/>
    <mergeCell ref="CA4:CD4"/>
  </mergeCells>
  <pageMargins left="0.25" right="0.25" top="1" bottom="0.25" header="0.25" footer="0.3"/>
  <pageSetup scale="64" fitToWidth="2" fitToHeight="2" orientation="landscape" r:id="rId1"/>
  <colBreaks count="8" manualBreakCount="8">
    <brk id="21" max="54" man="1"/>
    <brk id="31" max="54" man="1"/>
    <brk id="38" max="54" man="1"/>
    <brk id="48" max="54" man="1"/>
    <brk id="61" max="54" man="1"/>
    <brk id="73" max="54" man="1"/>
    <brk id="83" max="54" man="1"/>
    <brk id="92" max="54" man="1"/>
  </colBreaks>
  <customProperties>
    <customPr name="_pios_id" r:id="rId2"/>
  </customProperties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57"/>
  <sheetViews>
    <sheetView zoomScale="80" zoomScaleNormal="80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9" sqref="I9"/>
    </sheetView>
  </sheetViews>
  <sheetFormatPr defaultColWidth="8.88671875" defaultRowHeight="14.4" outlineLevelCol="2"/>
  <cols>
    <col min="1" max="1" width="4.5546875" style="12" customWidth="1"/>
    <col min="2" max="2" width="5.6640625" style="35" customWidth="1"/>
    <col min="3" max="3" width="8.33203125" style="12" customWidth="1"/>
    <col min="4" max="4" width="19.33203125" style="12" bestFit="1" customWidth="1"/>
    <col min="5" max="5" width="26.6640625" style="12" bestFit="1" customWidth="1"/>
    <col min="6" max="6" width="32.44140625" style="82" customWidth="1" outlineLevel="1"/>
    <col min="7" max="7" width="10.5546875" style="12" customWidth="1" outlineLevel="2"/>
    <col min="8" max="8" width="13.109375" style="24" customWidth="1" outlineLevel="2"/>
    <col min="9" max="9" width="11" style="24" customWidth="1" outlineLevel="2"/>
    <col min="10" max="10" width="7.5546875" style="24" customWidth="1" outlineLevel="2"/>
    <col min="11" max="11" width="9.33203125" style="24" customWidth="1" outlineLevel="2"/>
    <col min="12" max="12" width="13.109375" style="12" customWidth="1"/>
    <col min="13" max="13" width="11.88671875" style="12" customWidth="1"/>
    <col min="14" max="14" width="12.44140625" style="12" customWidth="1"/>
    <col min="15" max="15" width="13.109375" style="12" customWidth="1"/>
    <col min="16" max="16" width="11.6640625" style="12" customWidth="1"/>
    <col min="17" max="17" width="13" style="12" customWidth="1"/>
    <col min="18" max="18" width="12.5546875" style="12" customWidth="1"/>
    <col min="19" max="19" width="11.44140625" style="12" customWidth="1"/>
    <col min="20" max="20" width="1.6640625" style="12" customWidth="1"/>
    <col min="21" max="21" width="12.109375" style="12" customWidth="1"/>
    <col min="22" max="22" width="9.6640625" style="12" customWidth="1"/>
    <col min="23" max="24" width="8.88671875" style="12" customWidth="1"/>
    <col min="25" max="25" width="11.33203125" style="12" customWidth="1"/>
    <col min="26" max="26" width="1.6640625" style="114" customWidth="1"/>
    <col min="27" max="28" width="11.33203125" style="12" customWidth="1" outlineLevel="1"/>
    <col min="29" max="29" width="1.6640625" style="12" customWidth="1" outlineLevel="1"/>
    <col min="30" max="30" width="7.44140625" style="12" customWidth="1"/>
    <col min="31" max="31" width="28.33203125" style="12" customWidth="1" outlineLevel="1"/>
    <col min="32" max="32" width="10" style="12" customWidth="1"/>
    <col min="33" max="33" width="12.6640625" style="12" customWidth="1"/>
    <col min="34" max="35" width="8.88671875" style="12" customWidth="1"/>
    <col min="36" max="36" width="1.6640625" style="12" customWidth="1"/>
    <col min="37" max="37" width="10.6640625" style="12" customWidth="1"/>
    <col min="38" max="38" width="12.44140625" style="12" customWidth="1"/>
    <col min="39" max="39" width="10.44140625" style="12" customWidth="1"/>
    <col min="40" max="40" width="12.109375" style="12" customWidth="1"/>
    <col min="41" max="42" width="8.88671875" style="12" customWidth="1"/>
    <col min="43" max="44" width="9.6640625" style="12" customWidth="1"/>
    <col min="45" max="45" width="10.5546875" style="12" customWidth="1"/>
    <col min="46" max="46" width="1.6640625" style="12" customWidth="1"/>
    <col min="47" max="48" width="8.88671875" style="12"/>
    <col min="49" max="49" width="1.6640625" style="12" customWidth="1"/>
    <col min="50" max="50" width="11.6640625" style="12" customWidth="1"/>
    <col min="51" max="51" width="11.109375" style="12" customWidth="1"/>
    <col min="52" max="52" width="12.33203125" style="12" customWidth="1"/>
    <col min="53" max="53" width="13.109375" style="12" customWidth="1"/>
    <col min="54" max="54" width="1.6640625" style="12" customWidth="1"/>
    <col min="55" max="55" width="11.6640625" style="12" customWidth="1"/>
    <col min="56" max="56" width="12.33203125" style="12" customWidth="1"/>
    <col min="57" max="57" width="12.5546875" style="12" customWidth="1"/>
    <col min="58" max="58" width="12.33203125" style="12" customWidth="1"/>
    <col min="59" max="59" width="1.6640625" style="12" customWidth="1"/>
    <col min="60" max="60" width="10.6640625" style="12" bestFit="1" customWidth="1"/>
    <col min="61" max="63" width="8.88671875" style="12" customWidth="1"/>
    <col min="64" max="64" width="10.5546875" style="12" bestFit="1" customWidth="1"/>
    <col min="65" max="65" width="1.6640625" style="12" customWidth="1"/>
    <col min="66" max="66" width="11.5546875" style="12" customWidth="1"/>
    <col min="67" max="69" width="8.88671875" style="12" customWidth="1"/>
    <col min="70" max="70" width="10.5546875" style="12" bestFit="1" customWidth="1"/>
    <col min="71" max="71" width="1.6640625" style="12" customWidth="1"/>
    <col min="72" max="72" width="8.88671875" style="12" customWidth="1"/>
    <col min="73" max="73" width="13.109375" style="12" customWidth="1"/>
    <col min="74" max="75" width="8.88671875" style="12" customWidth="1"/>
    <col min="76" max="76" width="1.6640625" style="12" customWidth="1"/>
    <col min="77" max="77" width="8.88671875" style="12" customWidth="1"/>
    <col min="78" max="78" width="12.88671875" style="12" customWidth="1"/>
    <col min="79" max="79" width="8.88671875" style="12" customWidth="1"/>
    <col min="80" max="80" width="9.33203125" style="12" customWidth="1"/>
    <col min="81" max="81" width="1.6640625" style="12" customWidth="1"/>
    <col min="82" max="82" width="14.109375" style="12" bestFit="1" customWidth="1"/>
    <col min="83" max="83" width="17.44140625" style="12" bestFit="1" customWidth="1"/>
    <col min="84" max="84" width="14" style="12" bestFit="1" customWidth="1"/>
    <col min="85" max="85" width="14.44140625" style="12" bestFit="1" customWidth="1"/>
    <col min="86" max="86" width="11.6640625" style="12" bestFit="1" customWidth="1"/>
    <col min="87" max="87" width="15.44140625" style="12" bestFit="1" customWidth="1"/>
    <col min="88" max="88" width="16" style="12" bestFit="1" customWidth="1"/>
    <col min="89" max="89" width="16.109375" style="12" bestFit="1" customWidth="1"/>
    <col min="90" max="90" width="1.6640625" style="12" customWidth="1"/>
    <col min="91" max="91" width="14.109375" style="12" bestFit="1" customWidth="1"/>
    <col min="92" max="92" width="17.44140625" style="12" bestFit="1" customWidth="1"/>
    <col min="93" max="93" width="14" style="12" bestFit="1" customWidth="1"/>
    <col min="94" max="94" width="14.44140625" style="12" bestFit="1" customWidth="1"/>
    <col min="95" max="95" width="11.6640625" style="12" bestFit="1" customWidth="1"/>
    <col min="96" max="96" width="15.44140625" style="12" bestFit="1" customWidth="1"/>
    <col min="97" max="97" width="16" style="12" bestFit="1" customWidth="1"/>
    <col min="98" max="98" width="16.109375" style="12" bestFit="1" customWidth="1"/>
    <col min="99" max="16384" width="8.88671875" style="12"/>
  </cols>
  <sheetData>
    <row r="1" spans="1:100">
      <c r="A1" s="93" t="s">
        <v>431</v>
      </c>
      <c r="Z1" s="12"/>
    </row>
    <row r="2" spans="1:100">
      <c r="A2" s="2" t="s">
        <v>164</v>
      </c>
      <c r="AQ2" s="26"/>
    </row>
    <row r="3" spans="1:100">
      <c r="A3" s="2"/>
      <c r="I3" s="598"/>
    </row>
    <row r="4" spans="1:100" ht="42.6" customHeight="1">
      <c r="A4" s="2" t="s">
        <v>114</v>
      </c>
      <c r="E4" s="722" t="s">
        <v>1135</v>
      </c>
      <c r="F4" s="723" t="s">
        <v>1135</v>
      </c>
      <c r="G4" s="702" t="s">
        <v>1134</v>
      </c>
      <c r="H4" s="702" t="s">
        <v>1134</v>
      </c>
      <c r="L4" s="747" t="s">
        <v>165</v>
      </c>
      <c r="M4" s="747"/>
      <c r="N4" s="747"/>
      <c r="O4" s="747"/>
      <c r="P4" s="747"/>
      <c r="Q4" s="747"/>
      <c r="R4" s="747"/>
      <c r="S4" s="747"/>
      <c r="U4" s="742" t="s">
        <v>118</v>
      </c>
      <c r="V4" s="742"/>
      <c r="W4" s="742"/>
      <c r="X4" s="742"/>
      <c r="Y4" s="742"/>
      <c r="Z4" s="111"/>
      <c r="AA4" s="42" t="s">
        <v>79</v>
      </c>
      <c r="AB4" s="42" t="s">
        <v>79</v>
      </c>
      <c r="AD4" s="743" t="s">
        <v>80</v>
      </c>
      <c r="AE4" s="743"/>
      <c r="AF4" s="743"/>
      <c r="AG4" s="743"/>
      <c r="AH4" s="743"/>
      <c r="AI4" s="743"/>
      <c r="AK4" s="743" t="s">
        <v>81</v>
      </c>
      <c r="AL4" s="743"/>
      <c r="AM4" s="743"/>
      <c r="AN4" s="743"/>
      <c r="AO4" s="743"/>
      <c r="AP4" s="743"/>
      <c r="AQ4" s="743"/>
      <c r="AR4" s="743"/>
      <c r="AS4" s="743"/>
      <c r="AX4" s="744" t="s">
        <v>552</v>
      </c>
      <c r="AY4" s="744"/>
      <c r="AZ4" s="744"/>
      <c r="BA4" s="744"/>
      <c r="BC4" s="745" t="s">
        <v>553</v>
      </c>
      <c r="BD4" s="745"/>
      <c r="BE4" s="745"/>
      <c r="BF4" s="745"/>
      <c r="BH4" s="742" t="s">
        <v>554</v>
      </c>
      <c r="BI4" s="742"/>
      <c r="BJ4" s="742"/>
      <c r="BK4" s="742"/>
      <c r="BL4" s="742"/>
      <c r="BN4" s="746" t="s">
        <v>555</v>
      </c>
      <c r="BO4" s="746"/>
      <c r="BP4" s="746"/>
      <c r="BQ4" s="746"/>
      <c r="BR4" s="746"/>
      <c r="BT4" s="743" t="s">
        <v>556</v>
      </c>
      <c r="BU4" s="743"/>
      <c r="BV4" s="743"/>
      <c r="BW4" s="743"/>
      <c r="BY4" s="739" t="s">
        <v>557</v>
      </c>
      <c r="BZ4" s="739"/>
      <c r="CA4" s="739"/>
      <c r="CB4" s="739"/>
      <c r="CD4" s="743" t="s">
        <v>558</v>
      </c>
      <c r="CE4" s="743"/>
      <c r="CF4" s="743"/>
      <c r="CG4" s="743"/>
      <c r="CH4" s="743"/>
      <c r="CI4" s="743"/>
      <c r="CJ4" s="743"/>
      <c r="CK4" s="743"/>
      <c r="CM4" s="739" t="s">
        <v>559</v>
      </c>
      <c r="CN4" s="739"/>
      <c r="CO4" s="739"/>
      <c r="CP4" s="739"/>
      <c r="CQ4" s="739"/>
      <c r="CR4" s="739"/>
      <c r="CS4" s="739"/>
      <c r="CT4" s="739"/>
    </row>
    <row r="5" spans="1:100" ht="57.6">
      <c r="A5" s="3" t="s">
        <v>82</v>
      </c>
      <c r="B5" s="36" t="s">
        <v>83</v>
      </c>
      <c r="C5" s="3" t="s">
        <v>2</v>
      </c>
      <c r="D5" s="13" t="s">
        <v>100</v>
      </c>
      <c r="E5" s="13" t="s">
        <v>1</v>
      </c>
      <c r="F5" s="277" t="s">
        <v>477</v>
      </c>
      <c r="G5" s="3" t="s">
        <v>101</v>
      </c>
      <c r="H5" s="25" t="s">
        <v>189</v>
      </c>
      <c r="I5" s="25" t="s">
        <v>116</v>
      </c>
      <c r="J5" s="25" t="s">
        <v>677</v>
      </c>
      <c r="K5" s="25" t="s">
        <v>678</v>
      </c>
      <c r="L5" s="3" t="s">
        <v>973</v>
      </c>
      <c r="M5" s="6" t="s">
        <v>897</v>
      </c>
      <c r="N5" s="6" t="s">
        <v>898</v>
      </c>
      <c r="O5" s="6" t="s">
        <v>108</v>
      </c>
      <c r="P5" s="3" t="s">
        <v>78</v>
      </c>
      <c r="Q5" s="3" t="s">
        <v>679</v>
      </c>
      <c r="R5" s="3" t="s">
        <v>680</v>
      </c>
      <c r="S5" s="3" t="s">
        <v>103</v>
      </c>
      <c r="U5" s="3" t="s">
        <v>88</v>
      </c>
      <c r="V5" s="3" t="s">
        <v>89</v>
      </c>
      <c r="W5" s="3" t="s">
        <v>90</v>
      </c>
      <c r="X5" s="3" t="s">
        <v>91</v>
      </c>
      <c r="Y5" s="8" t="s">
        <v>92</v>
      </c>
      <c r="Z5" s="112"/>
      <c r="AA5" s="7" t="s">
        <v>139</v>
      </c>
      <c r="AB5" s="7" t="s">
        <v>535</v>
      </c>
      <c r="AD5" s="5" t="s">
        <v>85</v>
      </c>
      <c r="AE5" s="5" t="s">
        <v>138</v>
      </c>
      <c r="AF5" s="7" t="s">
        <v>77</v>
      </c>
      <c r="AG5" s="8" t="s">
        <v>86</v>
      </c>
      <c r="AH5" s="8" t="s">
        <v>87</v>
      </c>
      <c r="AI5" s="8" t="s">
        <v>58</v>
      </c>
      <c r="AK5" s="3" t="s">
        <v>93</v>
      </c>
      <c r="AL5" s="3" t="s">
        <v>94</v>
      </c>
      <c r="AM5" s="8" t="s">
        <v>95</v>
      </c>
      <c r="AN5" s="3" t="s">
        <v>163</v>
      </c>
      <c r="AO5" s="3" t="s">
        <v>96</v>
      </c>
      <c r="AP5" s="3" t="s">
        <v>97</v>
      </c>
      <c r="AQ5" s="3" t="s">
        <v>72</v>
      </c>
      <c r="AR5" s="3" t="s">
        <v>73</v>
      </c>
      <c r="AS5" s="3" t="s">
        <v>98</v>
      </c>
      <c r="AU5" s="6" t="s">
        <v>478</v>
      </c>
      <c r="AV5" s="6" t="s">
        <v>485</v>
      </c>
      <c r="AX5" s="3" t="s">
        <v>78</v>
      </c>
      <c r="AY5" s="3" t="s">
        <v>115</v>
      </c>
      <c r="AZ5" s="3" t="s">
        <v>117</v>
      </c>
      <c r="BA5" s="3" t="s">
        <v>103</v>
      </c>
      <c r="BC5" s="3" t="s">
        <v>78</v>
      </c>
      <c r="BD5" s="3" t="s">
        <v>115</v>
      </c>
      <c r="BE5" s="3" t="s">
        <v>117</v>
      </c>
      <c r="BF5" s="3" t="s">
        <v>103</v>
      </c>
      <c r="BH5" s="3" t="s">
        <v>88</v>
      </c>
      <c r="BI5" s="3" t="s">
        <v>89</v>
      </c>
      <c r="BJ5" s="3" t="s">
        <v>90</v>
      </c>
      <c r="BK5" s="3" t="s">
        <v>91</v>
      </c>
      <c r="BL5" s="8" t="s">
        <v>92</v>
      </c>
      <c r="BN5" s="3" t="s">
        <v>88</v>
      </c>
      <c r="BO5" s="3" t="s">
        <v>89</v>
      </c>
      <c r="BP5" s="3" t="s">
        <v>90</v>
      </c>
      <c r="BQ5" s="3" t="s">
        <v>91</v>
      </c>
      <c r="BR5" s="8" t="s">
        <v>92</v>
      </c>
      <c r="BT5" s="8" t="s">
        <v>77</v>
      </c>
      <c r="BU5" s="7" t="s">
        <v>86</v>
      </c>
      <c r="BV5" s="8" t="s">
        <v>87</v>
      </c>
      <c r="BW5" s="7" t="s">
        <v>58</v>
      </c>
      <c r="BY5" s="8" t="s">
        <v>77</v>
      </c>
      <c r="BZ5" s="7" t="s">
        <v>86</v>
      </c>
      <c r="CA5" s="8" t="s">
        <v>87</v>
      </c>
      <c r="CB5" s="7" t="s">
        <v>58</v>
      </c>
      <c r="CD5" s="3" t="s">
        <v>93</v>
      </c>
      <c r="CE5" s="3" t="s">
        <v>94</v>
      </c>
      <c r="CF5" s="8" t="s">
        <v>95</v>
      </c>
      <c r="CG5" s="3" t="s">
        <v>96</v>
      </c>
      <c r="CH5" s="3" t="s">
        <v>97</v>
      </c>
      <c r="CI5" s="3" t="s">
        <v>72</v>
      </c>
      <c r="CJ5" s="3" t="s">
        <v>73</v>
      </c>
      <c r="CK5" s="3" t="s">
        <v>98</v>
      </c>
      <c r="CM5" s="3" t="s">
        <v>93</v>
      </c>
      <c r="CN5" s="3" t="s">
        <v>94</v>
      </c>
      <c r="CO5" s="8" t="s">
        <v>95</v>
      </c>
      <c r="CP5" s="3" t="s">
        <v>96</v>
      </c>
      <c r="CQ5" s="3" t="s">
        <v>97</v>
      </c>
      <c r="CR5" s="3" t="s">
        <v>72</v>
      </c>
      <c r="CS5" s="3" t="s">
        <v>73</v>
      </c>
      <c r="CT5" s="3" t="s">
        <v>98</v>
      </c>
    </row>
    <row r="6" spans="1:100">
      <c r="A6" s="22">
        <v>1</v>
      </c>
      <c r="B6" s="37">
        <v>1</v>
      </c>
      <c r="C6" s="12" t="s">
        <v>239</v>
      </c>
      <c r="D6" s="12" t="s">
        <v>18</v>
      </c>
      <c r="E6" s="701"/>
      <c r="F6" s="701"/>
      <c r="G6" s="703"/>
      <c r="H6" s="720"/>
      <c r="I6" s="516">
        <v>40</v>
      </c>
      <c r="J6" s="34">
        <v>0.15</v>
      </c>
      <c r="K6" s="34">
        <v>0</v>
      </c>
      <c r="L6" s="640">
        <v>55.66</v>
      </c>
      <c r="M6" s="641">
        <v>57.25</v>
      </c>
      <c r="N6" s="641">
        <v>58.91</v>
      </c>
      <c r="O6" s="642">
        <v>57.66</v>
      </c>
      <c r="P6" s="30">
        <v>120394.08</v>
      </c>
      <c r="Q6" s="30">
        <v>18059</v>
      </c>
      <c r="R6" s="30">
        <v>0</v>
      </c>
      <c r="S6" s="30">
        <v>138453.08000000002</v>
      </c>
      <c r="U6" s="30">
        <v>7960.8</v>
      </c>
      <c r="V6" s="30">
        <v>2007.5696600000003</v>
      </c>
      <c r="W6" s="30">
        <v>122.4</v>
      </c>
      <c r="X6" s="30">
        <v>41.999999999999986</v>
      </c>
      <c r="Y6" s="44">
        <v>10132.76966</v>
      </c>
      <c r="Z6" s="113"/>
      <c r="AA6" s="44">
        <v>120394.08</v>
      </c>
      <c r="AB6" s="44">
        <v>138453.08000000002</v>
      </c>
      <c r="AD6" s="46">
        <v>2.5000000000000001E-2</v>
      </c>
      <c r="AE6" s="434" t="s">
        <v>57</v>
      </c>
      <c r="AF6" s="44">
        <v>3009.8520000000003</v>
      </c>
      <c r="AG6" s="44">
        <v>0</v>
      </c>
      <c r="AH6" s="44">
        <v>0</v>
      </c>
      <c r="AI6" s="44">
        <v>1805.9112000000002</v>
      </c>
      <c r="AK6" s="44">
        <v>23205.239999999998</v>
      </c>
      <c r="AL6" s="44">
        <v>-3493.44</v>
      </c>
      <c r="AM6" s="44">
        <v>19711.8</v>
      </c>
      <c r="AN6" s="44">
        <v>181000</v>
      </c>
      <c r="AO6" s="44">
        <v>373.58399999999995</v>
      </c>
      <c r="AP6" s="44">
        <v>43.44</v>
      </c>
      <c r="AQ6" s="44">
        <v>300.98520000000002</v>
      </c>
      <c r="AR6" s="44">
        <v>45.24</v>
      </c>
      <c r="AS6" s="44">
        <v>20475.049199999979</v>
      </c>
      <c r="AU6" s="102">
        <v>1</v>
      </c>
      <c r="AV6" s="102">
        <v>0</v>
      </c>
      <c r="AX6" s="44">
        <v>120394.08</v>
      </c>
      <c r="AY6" s="44">
        <v>18059</v>
      </c>
      <c r="AZ6" s="44">
        <v>0</v>
      </c>
      <c r="BA6" s="44">
        <v>138453.08000000002</v>
      </c>
      <c r="BC6" s="44">
        <v>120394.08</v>
      </c>
      <c r="BD6" s="44">
        <v>18059</v>
      </c>
      <c r="BE6" s="44">
        <v>0</v>
      </c>
      <c r="BF6" s="44">
        <v>138453.08000000002</v>
      </c>
      <c r="BH6" s="44">
        <v>7960.8</v>
      </c>
      <c r="BI6" s="44">
        <v>2007.5696600000003</v>
      </c>
      <c r="BJ6" s="44">
        <v>122.4</v>
      </c>
      <c r="BK6" s="44">
        <v>41.999999999999986</v>
      </c>
      <c r="BL6" s="44">
        <v>10132.76966</v>
      </c>
      <c r="BN6" s="44">
        <v>7960.8</v>
      </c>
      <c r="BO6" s="44">
        <v>2007.5696600000003</v>
      </c>
      <c r="BP6" s="44">
        <v>122.4</v>
      </c>
      <c r="BQ6" s="44">
        <v>41.999999999999986</v>
      </c>
      <c r="BR6" s="44">
        <v>10132.76966</v>
      </c>
      <c r="BT6" s="44">
        <v>3009.8520000000003</v>
      </c>
      <c r="BU6" s="44">
        <v>0</v>
      </c>
      <c r="BV6" s="44">
        <v>0</v>
      </c>
      <c r="BW6" s="44">
        <v>1805.9112000000002</v>
      </c>
      <c r="BY6" s="44">
        <v>3009.8520000000003</v>
      </c>
      <c r="BZ6" s="44">
        <v>0</v>
      </c>
      <c r="CA6" s="44">
        <v>0</v>
      </c>
      <c r="CB6" s="44">
        <v>1805.9112000000002</v>
      </c>
      <c r="CD6" s="44">
        <v>23205.239999999998</v>
      </c>
      <c r="CE6" s="44">
        <v>-3493.44</v>
      </c>
      <c r="CF6" s="44">
        <v>19711.8</v>
      </c>
      <c r="CG6" s="44">
        <v>373.58399999999995</v>
      </c>
      <c r="CH6" s="44">
        <v>43.44</v>
      </c>
      <c r="CI6" s="44">
        <v>300.98520000000002</v>
      </c>
      <c r="CJ6" s="44">
        <v>45.24</v>
      </c>
      <c r="CK6" s="44">
        <v>20475.049199999998</v>
      </c>
      <c r="CM6" s="44">
        <v>23205.239999999998</v>
      </c>
      <c r="CN6" s="44">
        <v>-3493.44</v>
      </c>
      <c r="CO6" s="44">
        <v>19711.8</v>
      </c>
      <c r="CP6" s="44">
        <v>373.58399999999995</v>
      </c>
      <c r="CQ6" s="44">
        <v>43.44</v>
      </c>
      <c r="CR6" s="44">
        <v>300.98520000000002</v>
      </c>
      <c r="CS6" s="44">
        <v>45.24</v>
      </c>
      <c r="CT6" s="44">
        <v>20475.049199999998</v>
      </c>
    </row>
    <row r="7" spans="1:100">
      <c r="A7" s="22">
        <v>1</v>
      </c>
      <c r="B7" s="37">
        <v>1</v>
      </c>
      <c r="C7" s="12" t="s">
        <v>246</v>
      </c>
      <c r="D7" s="12" t="s">
        <v>247</v>
      </c>
      <c r="E7" s="701"/>
      <c r="F7" s="701"/>
      <c r="G7" s="703"/>
      <c r="H7" s="720"/>
      <c r="I7" s="516">
        <v>25</v>
      </c>
      <c r="J7" s="34">
        <v>0.05</v>
      </c>
      <c r="K7" s="34">
        <v>0</v>
      </c>
      <c r="L7" s="23">
        <v>34.49</v>
      </c>
      <c r="M7" s="20">
        <v>35.47</v>
      </c>
      <c r="N7" s="20">
        <v>36.5</v>
      </c>
      <c r="O7" s="43">
        <v>35.72</v>
      </c>
      <c r="P7" s="497">
        <v>74583.360000000001</v>
      </c>
      <c r="Q7" s="497">
        <v>3729</v>
      </c>
      <c r="R7" s="43">
        <v>0</v>
      </c>
      <c r="S7" s="28">
        <v>78312.36</v>
      </c>
      <c r="U7" s="28">
        <v>4855.3663200000001</v>
      </c>
      <c r="V7" s="28">
        <v>1135.5292200000001</v>
      </c>
      <c r="W7" s="28">
        <v>122.4</v>
      </c>
      <c r="X7" s="28">
        <v>41.999999999999986</v>
      </c>
      <c r="Y7" s="35">
        <v>6155.2955400000001</v>
      </c>
      <c r="Z7" s="115"/>
      <c r="AA7" s="35">
        <v>74583.360000000001</v>
      </c>
      <c r="AB7" s="35">
        <v>78312.36</v>
      </c>
      <c r="AD7" s="46">
        <v>2.5000000000000001E-2</v>
      </c>
      <c r="AE7" s="434" t="s">
        <v>57</v>
      </c>
      <c r="AF7" s="35">
        <v>1864.5840000000001</v>
      </c>
      <c r="AG7" s="35">
        <v>0</v>
      </c>
      <c r="AH7" s="35">
        <v>0</v>
      </c>
      <c r="AI7" s="35">
        <v>0</v>
      </c>
      <c r="AK7" s="35">
        <v>8287.56</v>
      </c>
      <c r="AL7" s="35">
        <v>-1247.6399999999999</v>
      </c>
      <c r="AM7" s="35">
        <v>7039.92</v>
      </c>
      <c r="AN7" s="35">
        <v>112000</v>
      </c>
      <c r="AO7" s="35">
        <v>231.16800000000001</v>
      </c>
      <c r="AP7" s="35">
        <v>26.880000000000003</v>
      </c>
      <c r="AQ7" s="35">
        <v>186.45840000000001</v>
      </c>
      <c r="AR7" s="35">
        <v>45.24</v>
      </c>
      <c r="AS7" s="35">
        <v>7529.6664000000164</v>
      </c>
      <c r="AU7" s="102">
        <v>0.99787364508894416</v>
      </c>
      <c r="AV7" s="102">
        <v>3.15E-2</v>
      </c>
      <c r="AX7" s="35">
        <v>74424.769306180955</v>
      </c>
      <c r="AY7" s="35">
        <v>3721.0708225366729</v>
      </c>
      <c r="AZ7" s="35">
        <v>0</v>
      </c>
      <c r="BA7" s="35">
        <v>78145.840128717624</v>
      </c>
      <c r="BC7" s="35">
        <v>72080.389073036262</v>
      </c>
      <c r="BD7" s="35">
        <v>3721.0708225366729</v>
      </c>
      <c r="BE7" s="35">
        <v>0</v>
      </c>
      <c r="BF7" s="35">
        <v>75801.459895572931</v>
      </c>
      <c r="BH7" s="35">
        <v>4845.0420879804933</v>
      </c>
      <c r="BI7" s="35">
        <v>1133.1146818664058</v>
      </c>
      <c r="BJ7" s="35">
        <v>122.13973415888677</v>
      </c>
      <c r="BK7" s="35">
        <v>41.910693093735638</v>
      </c>
      <c r="BL7" s="35">
        <v>6142.2071970995221</v>
      </c>
      <c r="BN7" s="35">
        <v>4692.4232622091076</v>
      </c>
      <c r="BO7" s="35">
        <v>1097.421569387614</v>
      </c>
      <c r="BP7" s="35">
        <v>118.29233253288184</v>
      </c>
      <c r="BQ7" s="35">
        <v>40.590506261282968</v>
      </c>
      <c r="BR7" s="35">
        <v>5948.7276703908865</v>
      </c>
      <c r="BT7" s="35">
        <v>1860.619232654524</v>
      </c>
      <c r="BU7" s="35">
        <v>0</v>
      </c>
      <c r="BV7" s="35">
        <v>0</v>
      </c>
      <c r="BW7" s="35">
        <v>0</v>
      </c>
      <c r="BY7" s="35">
        <v>1802.0097268259065</v>
      </c>
      <c r="BZ7" s="35">
        <v>0</v>
      </c>
      <c r="CA7" s="35">
        <v>0</v>
      </c>
      <c r="CB7" s="35">
        <v>0</v>
      </c>
      <c r="CD7" s="35">
        <v>8269.9377060933293</v>
      </c>
      <c r="CE7" s="35">
        <v>-1244.9870745587702</v>
      </c>
      <c r="CF7" s="35">
        <v>7024.9506315345598</v>
      </c>
      <c r="CG7" s="35">
        <v>230.67645478792105</v>
      </c>
      <c r="CH7" s="35">
        <v>26.82284357999082</v>
      </c>
      <c r="CI7" s="35">
        <v>186.06192326545241</v>
      </c>
      <c r="CJ7" s="35">
        <v>45.143803703823835</v>
      </c>
      <c r="CK7" s="35">
        <v>7513.6556568717488</v>
      </c>
      <c r="CM7" s="35">
        <v>8009.4346683513895</v>
      </c>
      <c r="CN7" s="35">
        <v>-1205.7699817101691</v>
      </c>
      <c r="CO7" s="35">
        <v>6803.6646866412211</v>
      </c>
      <c r="CP7" s="35">
        <v>223.41014646210155</v>
      </c>
      <c r="CQ7" s="35">
        <v>25.977924007221109</v>
      </c>
      <c r="CR7" s="35">
        <v>180.20097268259067</v>
      </c>
      <c r="CS7" s="35">
        <v>43.721773887153383</v>
      </c>
      <c r="CT7" s="35">
        <v>7276.9755036802881</v>
      </c>
    </row>
    <row r="8" spans="1:100">
      <c r="A8" s="22">
        <v>1</v>
      </c>
      <c r="B8" s="37">
        <v>1</v>
      </c>
      <c r="C8" s="12" t="s">
        <v>226</v>
      </c>
      <c r="D8" s="12" t="s">
        <v>9</v>
      </c>
      <c r="E8" s="701"/>
      <c r="F8" s="701"/>
      <c r="G8" s="703"/>
      <c r="H8" s="720"/>
      <c r="I8" s="516">
        <v>30</v>
      </c>
      <c r="J8" s="34">
        <v>0.1</v>
      </c>
      <c r="K8" s="34">
        <v>0</v>
      </c>
      <c r="L8" s="23">
        <v>37.9</v>
      </c>
      <c r="M8" s="20">
        <v>38.979999999999997</v>
      </c>
      <c r="N8" s="20">
        <v>40.11</v>
      </c>
      <c r="O8" s="43">
        <v>39.26</v>
      </c>
      <c r="P8" s="497">
        <v>81974.880000000005</v>
      </c>
      <c r="Q8" s="497">
        <v>8197</v>
      </c>
      <c r="R8" s="43">
        <v>0</v>
      </c>
      <c r="S8" s="28">
        <v>90171.88</v>
      </c>
      <c r="U8" s="28">
        <v>5590.6565600000004</v>
      </c>
      <c r="V8" s="28">
        <v>1307.4922600000002</v>
      </c>
      <c r="W8" s="28">
        <v>122.4</v>
      </c>
      <c r="X8" s="28">
        <v>41.999999999999986</v>
      </c>
      <c r="Y8" s="35">
        <v>7062.54882</v>
      </c>
      <c r="Z8" s="115"/>
      <c r="AA8" s="35">
        <v>81974.880000000005</v>
      </c>
      <c r="AB8" s="35">
        <v>90171.88</v>
      </c>
      <c r="AD8" s="46">
        <v>2.5000000000000001E-2</v>
      </c>
      <c r="AE8" s="434" t="s">
        <v>57</v>
      </c>
      <c r="AF8" s="35">
        <v>2049.3720000000003</v>
      </c>
      <c r="AG8" s="35">
        <v>0</v>
      </c>
      <c r="AH8" s="35">
        <v>0</v>
      </c>
      <c r="AI8" s="35">
        <v>368.88695999999999</v>
      </c>
      <c r="AK8" s="35">
        <v>18232.559999999998</v>
      </c>
      <c r="AL8" s="35">
        <v>-2744.76</v>
      </c>
      <c r="AM8" s="35">
        <v>15487.799999999997</v>
      </c>
      <c r="AN8" s="35">
        <v>123000</v>
      </c>
      <c r="AO8" s="35">
        <v>253.87199999999999</v>
      </c>
      <c r="AP8" s="35">
        <v>29.52</v>
      </c>
      <c r="AQ8" s="35">
        <v>204.93720000000002</v>
      </c>
      <c r="AR8" s="35">
        <v>45.24</v>
      </c>
      <c r="AS8" s="35">
        <v>16021.369199999957</v>
      </c>
      <c r="AU8" s="102">
        <v>1</v>
      </c>
      <c r="AV8" s="102">
        <v>0.72750000000000004</v>
      </c>
      <c r="AX8" s="35">
        <v>81974.880000000005</v>
      </c>
      <c r="AY8" s="35">
        <v>8197</v>
      </c>
      <c r="AZ8" s="35">
        <v>0</v>
      </c>
      <c r="BA8" s="35">
        <v>90171.88</v>
      </c>
      <c r="BC8" s="35">
        <v>22338.154799999997</v>
      </c>
      <c r="BD8" s="35">
        <v>8197</v>
      </c>
      <c r="BE8" s="35">
        <v>0</v>
      </c>
      <c r="BF8" s="35">
        <v>30535.154799999997</v>
      </c>
      <c r="BH8" s="35">
        <v>5590.6565600000004</v>
      </c>
      <c r="BI8" s="35">
        <v>1307.4922600000002</v>
      </c>
      <c r="BJ8" s="35">
        <v>122.4</v>
      </c>
      <c r="BK8" s="35">
        <v>41.999999999999986</v>
      </c>
      <c r="BL8" s="35">
        <v>7062.54882</v>
      </c>
      <c r="BN8" s="35">
        <v>1523.4539126</v>
      </c>
      <c r="BO8" s="35">
        <v>356.29164085000002</v>
      </c>
      <c r="BP8" s="35">
        <v>33.353999999999999</v>
      </c>
      <c r="BQ8" s="35">
        <v>11.444999999999995</v>
      </c>
      <c r="BR8" s="35">
        <v>1924.54455345</v>
      </c>
      <c r="BT8" s="35">
        <v>2049.3720000000003</v>
      </c>
      <c r="BU8" s="35">
        <v>0</v>
      </c>
      <c r="BV8" s="35">
        <v>0</v>
      </c>
      <c r="BW8" s="35">
        <v>368.88695999999999</v>
      </c>
      <c r="BY8" s="35">
        <v>558.45387000000005</v>
      </c>
      <c r="BZ8" s="35">
        <v>0</v>
      </c>
      <c r="CA8" s="35">
        <v>0</v>
      </c>
      <c r="CB8" s="35">
        <v>368.88695999999999</v>
      </c>
      <c r="CD8" s="35">
        <v>18232.559999999998</v>
      </c>
      <c r="CE8" s="35">
        <v>-2744.76</v>
      </c>
      <c r="CF8" s="35">
        <v>15487.799999999997</v>
      </c>
      <c r="CG8" s="35">
        <v>253.87199999999999</v>
      </c>
      <c r="CH8" s="35">
        <v>29.52</v>
      </c>
      <c r="CI8" s="35">
        <v>204.93720000000002</v>
      </c>
      <c r="CJ8" s="35">
        <v>45.24</v>
      </c>
      <c r="CK8" s="35">
        <v>16021.369199999997</v>
      </c>
      <c r="CM8" s="35">
        <v>4968.3725999999988</v>
      </c>
      <c r="CN8" s="35">
        <v>-747.94709999999998</v>
      </c>
      <c r="CO8" s="35">
        <v>4220.4254999999985</v>
      </c>
      <c r="CP8" s="35">
        <v>69.180119999999988</v>
      </c>
      <c r="CQ8" s="35">
        <v>8.0441999999999982</v>
      </c>
      <c r="CR8" s="35">
        <v>55.845386999999995</v>
      </c>
      <c r="CS8" s="35">
        <v>12.3279</v>
      </c>
      <c r="CT8" s="35">
        <v>4365.8231069999993</v>
      </c>
    </row>
    <row r="9" spans="1:100" s="82" customFormat="1">
      <c r="A9" s="314">
        <v>1</v>
      </c>
      <c r="B9" s="417">
        <v>1</v>
      </c>
      <c r="C9" s="12" t="s">
        <v>204</v>
      </c>
      <c r="D9" s="12" t="s">
        <v>5</v>
      </c>
      <c r="E9" s="701"/>
      <c r="F9" s="701"/>
      <c r="G9" s="703"/>
      <c r="H9" s="720"/>
      <c r="I9" s="516">
        <v>35</v>
      </c>
      <c r="J9" s="34">
        <v>0.1</v>
      </c>
      <c r="K9" s="34">
        <v>0</v>
      </c>
      <c r="L9" s="23">
        <v>41.55</v>
      </c>
      <c r="M9" s="20">
        <v>42.73</v>
      </c>
      <c r="N9" s="20">
        <v>43.97</v>
      </c>
      <c r="O9" s="43">
        <v>43.04</v>
      </c>
      <c r="P9" s="497">
        <v>89867.520000000004</v>
      </c>
      <c r="Q9" s="497">
        <v>8987</v>
      </c>
      <c r="R9" s="43">
        <v>0</v>
      </c>
      <c r="S9" s="418">
        <v>98854.52</v>
      </c>
      <c r="U9" s="28">
        <v>6128.9802399999999</v>
      </c>
      <c r="V9" s="28">
        <v>1433.3905400000001</v>
      </c>
      <c r="W9" s="28">
        <v>122.4</v>
      </c>
      <c r="X9" s="28">
        <v>41.999999999999986</v>
      </c>
      <c r="Y9" s="35">
        <v>7726.7707799999998</v>
      </c>
      <c r="Z9" s="115"/>
      <c r="AA9" s="35">
        <v>89867.520000000004</v>
      </c>
      <c r="AB9" s="81">
        <v>98854.52</v>
      </c>
      <c r="AD9" s="46">
        <v>2.5000000000000001E-2</v>
      </c>
      <c r="AE9" s="434" t="s">
        <v>57</v>
      </c>
      <c r="AF9" s="81">
        <v>2246.6880000000001</v>
      </c>
      <c r="AG9" s="35">
        <v>0</v>
      </c>
      <c r="AH9" s="35">
        <v>0</v>
      </c>
      <c r="AI9" s="35">
        <v>674.00639999999999</v>
      </c>
      <c r="AK9" s="35">
        <v>23205.239999999998</v>
      </c>
      <c r="AL9" s="35">
        <v>-3493.44</v>
      </c>
      <c r="AM9" s="81">
        <v>19711.8</v>
      </c>
      <c r="AN9" s="81">
        <v>135000</v>
      </c>
      <c r="AO9" s="81">
        <v>278.63999999999993</v>
      </c>
      <c r="AP9" s="35">
        <v>32.400000000000006</v>
      </c>
      <c r="AQ9" s="81">
        <v>224.6688</v>
      </c>
      <c r="AR9" s="35">
        <v>45.24</v>
      </c>
      <c r="AS9" s="81">
        <v>20292.748800000001</v>
      </c>
      <c r="AU9" s="105">
        <v>1</v>
      </c>
      <c r="AV9" s="105">
        <v>8.2299999999999998E-2</v>
      </c>
      <c r="AX9" s="81">
        <v>89867.520000000004</v>
      </c>
      <c r="AY9" s="81">
        <v>8987</v>
      </c>
      <c r="AZ9" s="81">
        <v>0</v>
      </c>
      <c r="BA9" s="81">
        <v>98854.52</v>
      </c>
      <c r="BC9" s="81">
        <v>82471.423104000001</v>
      </c>
      <c r="BD9" s="81">
        <v>8987</v>
      </c>
      <c r="BE9" s="81">
        <v>0</v>
      </c>
      <c r="BF9" s="81">
        <v>91458.423104000001</v>
      </c>
      <c r="BH9" s="81">
        <v>6128.9802399999999</v>
      </c>
      <c r="BI9" s="81">
        <v>1433.3905400000001</v>
      </c>
      <c r="BJ9" s="81">
        <v>122.4</v>
      </c>
      <c r="BK9" s="81">
        <v>41.999999999999986</v>
      </c>
      <c r="BL9" s="81">
        <v>7726.7707799999998</v>
      </c>
      <c r="BN9" s="81">
        <v>5624.5651662479995</v>
      </c>
      <c r="BO9" s="81">
        <v>1315.4224985580001</v>
      </c>
      <c r="BP9" s="81">
        <v>112.32648</v>
      </c>
      <c r="BQ9" s="81">
        <v>38.543399999999984</v>
      </c>
      <c r="BR9" s="81">
        <v>7090.8575448059992</v>
      </c>
      <c r="BT9" s="81">
        <v>2246.6880000000001</v>
      </c>
      <c r="BU9" s="81">
        <v>0</v>
      </c>
      <c r="BV9" s="81">
        <v>0</v>
      </c>
      <c r="BW9" s="81">
        <v>674.00639999999999</v>
      </c>
      <c r="BY9" s="81">
        <v>2061.7855776000001</v>
      </c>
      <c r="BZ9" s="81">
        <v>0</v>
      </c>
      <c r="CA9" s="81">
        <v>0</v>
      </c>
      <c r="CB9" s="81">
        <v>674.00639999999999</v>
      </c>
      <c r="CD9" s="81">
        <v>23205.239999999998</v>
      </c>
      <c r="CE9" s="35">
        <v>-3493.44</v>
      </c>
      <c r="CF9" s="35">
        <v>19711.8</v>
      </c>
      <c r="CG9" s="35">
        <v>278.63999999999993</v>
      </c>
      <c r="CH9" s="35">
        <v>32.400000000000006</v>
      </c>
      <c r="CI9" s="35">
        <v>224.6688</v>
      </c>
      <c r="CJ9" s="35">
        <v>45.24</v>
      </c>
      <c r="CK9" s="35">
        <v>20292.748800000001</v>
      </c>
      <c r="CL9" s="12"/>
      <c r="CM9" s="35">
        <v>21295.448747999999</v>
      </c>
      <c r="CN9" s="35">
        <v>-3205.9298880000001</v>
      </c>
      <c r="CO9" s="35">
        <v>18089.51886</v>
      </c>
      <c r="CP9" s="35">
        <v>255.70792799999992</v>
      </c>
      <c r="CQ9" s="35">
        <v>29.733480000000004</v>
      </c>
      <c r="CR9" s="35">
        <v>206.17855775999999</v>
      </c>
      <c r="CS9" s="35">
        <v>41.516748</v>
      </c>
      <c r="CT9" s="35">
        <v>18622.655573759996</v>
      </c>
      <c r="CV9" s="12"/>
    </row>
    <row r="10" spans="1:100">
      <c r="A10" s="22">
        <v>1</v>
      </c>
      <c r="B10" s="37">
        <v>1</v>
      </c>
      <c r="C10" s="12" t="s">
        <v>285</v>
      </c>
      <c r="D10" s="12" t="s">
        <v>286</v>
      </c>
      <c r="E10" s="701"/>
      <c r="F10" s="701"/>
      <c r="G10" s="703"/>
      <c r="H10" s="720"/>
      <c r="I10" s="516">
        <v>40</v>
      </c>
      <c r="J10" s="34">
        <v>0.15</v>
      </c>
      <c r="K10" s="34">
        <v>0</v>
      </c>
      <c r="L10" s="23">
        <v>51.77</v>
      </c>
      <c r="M10" s="20">
        <v>53.25</v>
      </c>
      <c r="N10" s="20">
        <v>54.79</v>
      </c>
      <c r="O10" s="43">
        <v>53.63</v>
      </c>
      <c r="P10" s="497">
        <v>111979.44</v>
      </c>
      <c r="Q10" s="497">
        <v>16797</v>
      </c>
      <c r="R10" s="43">
        <v>0</v>
      </c>
      <c r="S10" s="28">
        <v>128776.44</v>
      </c>
      <c r="U10" s="28">
        <v>7960.8</v>
      </c>
      <c r="V10" s="28">
        <v>1867.2583800000002</v>
      </c>
      <c r="W10" s="28">
        <v>122.4</v>
      </c>
      <c r="X10" s="28">
        <v>41.999999999999986</v>
      </c>
      <c r="Y10" s="35">
        <v>9992.45838</v>
      </c>
      <c r="Z10" s="115"/>
      <c r="AA10" s="35">
        <v>111979.44</v>
      </c>
      <c r="AB10" s="35">
        <v>128776.44</v>
      </c>
      <c r="AD10" s="46">
        <v>2.5000000000000001E-2</v>
      </c>
      <c r="AE10" s="434" t="s">
        <v>57</v>
      </c>
      <c r="AF10" s="35">
        <v>2799.4860000000003</v>
      </c>
      <c r="AG10" s="35">
        <v>0</v>
      </c>
      <c r="AH10" s="35">
        <v>0</v>
      </c>
      <c r="AI10" s="35">
        <v>0</v>
      </c>
      <c r="AK10" s="35">
        <v>18232.559999999998</v>
      </c>
      <c r="AL10" s="35">
        <v>-2744.76</v>
      </c>
      <c r="AM10" s="35">
        <v>15487.799999999997</v>
      </c>
      <c r="AN10" s="35">
        <v>168000</v>
      </c>
      <c r="AO10" s="35">
        <v>346.75199999999995</v>
      </c>
      <c r="AP10" s="35">
        <v>40.32</v>
      </c>
      <c r="AQ10" s="35">
        <v>279.9486</v>
      </c>
      <c r="AR10" s="35">
        <v>45.24</v>
      </c>
      <c r="AS10" s="35">
        <v>16200.060599999997</v>
      </c>
      <c r="AU10" s="102">
        <v>1</v>
      </c>
      <c r="AV10" s="102">
        <v>0.439</v>
      </c>
      <c r="AX10" s="35">
        <v>111979.44</v>
      </c>
      <c r="AY10" s="35">
        <v>16797</v>
      </c>
      <c r="AZ10" s="35">
        <v>0</v>
      </c>
      <c r="BA10" s="35">
        <v>128776.44</v>
      </c>
      <c r="BC10" s="35">
        <v>62820.465839999997</v>
      </c>
      <c r="BD10" s="35">
        <v>16797</v>
      </c>
      <c r="BE10" s="35">
        <v>0</v>
      </c>
      <c r="BF10" s="35">
        <v>79617.46583999999</v>
      </c>
      <c r="BH10" s="35">
        <v>7960.8</v>
      </c>
      <c r="BI10" s="35">
        <v>1867.2583800000002</v>
      </c>
      <c r="BJ10" s="35">
        <v>122.4</v>
      </c>
      <c r="BK10" s="35">
        <v>41.999999999999986</v>
      </c>
      <c r="BL10" s="35">
        <v>9992.45838</v>
      </c>
      <c r="BN10" s="35">
        <v>4466.0087999999996</v>
      </c>
      <c r="BO10" s="35">
        <v>1047.5319511800001</v>
      </c>
      <c r="BP10" s="35">
        <v>68.666399999999996</v>
      </c>
      <c r="BQ10" s="35">
        <v>23.561999999999991</v>
      </c>
      <c r="BR10" s="35">
        <v>5605.7691511799994</v>
      </c>
      <c r="BT10" s="35">
        <v>2799.4860000000003</v>
      </c>
      <c r="BU10" s="35">
        <v>0</v>
      </c>
      <c r="BV10" s="35">
        <v>0</v>
      </c>
      <c r="BW10" s="35">
        <v>0</v>
      </c>
      <c r="BY10" s="35">
        <v>1570.5116459999999</v>
      </c>
      <c r="BZ10" s="35">
        <v>0</v>
      </c>
      <c r="CA10" s="35">
        <v>0</v>
      </c>
      <c r="CB10" s="35">
        <v>0</v>
      </c>
      <c r="CD10" s="35">
        <v>18232.559999999998</v>
      </c>
      <c r="CE10" s="35">
        <v>-2744.76</v>
      </c>
      <c r="CF10" s="35">
        <v>15487.799999999997</v>
      </c>
      <c r="CG10" s="35">
        <v>346.75199999999995</v>
      </c>
      <c r="CH10" s="35">
        <v>40.32</v>
      </c>
      <c r="CI10" s="35">
        <v>279.9486</v>
      </c>
      <c r="CJ10" s="35">
        <v>45.24</v>
      </c>
      <c r="CK10" s="35">
        <v>16200.060599999997</v>
      </c>
      <c r="CM10" s="35">
        <v>10228.466159999998</v>
      </c>
      <c r="CN10" s="35">
        <v>-1539.8103599999999</v>
      </c>
      <c r="CO10" s="35">
        <v>8688.6557999999968</v>
      </c>
      <c r="CP10" s="35">
        <v>194.52787199999995</v>
      </c>
      <c r="CQ10" s="35">
        <v>22.619519999999998</v>
      </c>
      <c r="CR10" s="35">
        <v>157.05116459999999</v>
      </c>
      <c r="CS10" s="35">
        <v>25.379639999999998</v>
      </c>
      <c r="CT10" s="35">
        <v>9088.2339965999963</v>
      </c>
    </row>
    <row r="11" spans="1:100">
      <c r="A11" s="22">
        <v>1</v>
      </c>
      <c r="B11" s="37">
        <v>1</v>
      </c>
      <c r="C11" s="12" t="s">
        <v>255</v>
      </c>
      <c r="D11" s="12" t="s">
        <v>256</v>
      </c>
      <c r="E11" s="701"/>
      <c r="F11" s="701"/>
      <c r="G11" s="703"/>
      <c r="H11" s="720"/>
      <c r="I11" s="516">
        <v>30</v>
      </c>
      <c r="J11" s="34">
        <v>0.1</v>
      </c>
      <c r="K11" s="34">
        <v>0</v>
      </c>
      <c r="L11" s="23">
        <v>40.71</v>
      </c>
      <c r="M11" s="20">
        <v>41.87</v>
      </c>
      <c r="N11" s="20">
        <v>43.08</v>
      </c>
      <c r="O11" s="43">
        <v>42.17</v>
      </c>
      <c r="P11" s="497">
        <v>88050.96</v>
      </c>
      <c r="Q11" s="497">
        <v>8805</v>
      </c>
      <c r="R11" s="43">
        <v>0</v>
      </c>
      <c r="S11" s="28">
        <v>96855.96</v>
      </c>
      <c r="U11" s="28">
        <v>6005.06952</v>
      </c>
      <c r="V11" s="28">
        <v>1404.4114200000001</v>
      </c>
      <c r="W11" s="28">
        <v>122.4</v>
      </c>
      <c r="X11" s="28">
        <v>41.999999999999986</v>
      </c>
      <c r="Y11" s="35">
        <v>7573.88094</v>
      </c>
      <c r="Z11" s="115"/>
      <c r="AA11" s="35">
        <v>88050.96</v>
      </c>
      <c r="AB11" s="35">
        <v>96855.96</v>
      </c>
      <c r="AD11" s="46">
        <v>2.5000000000000001E-2</v>
      </c>
      <c r="AE11" s="434" t="s">
        <v>57</v>
      </c>
      <c r="AF11" s="35">
        <v>2201.2740000000003</v>
      </c>
      <c r="AG11" s="35">
        <v>0</v>
      </c>
      <c r="AH11" s="35">
        <v>0</v>
      </c>
      <c r="AI11" s="35">
        <v>0</v>
      </c>
      <c r="AK11" s="35">
        <v>8287.56</v>
      </c>
      <c r="AL11" s="35">
        <v>-1247.6399999999999</v>
      </c>
      <c r="AM11" s="35">
        <v>7039.92</v>
      </c>
      <c r="AN11" s="35">
        <v>133000</v>
      </c>
      <c r="AO11" s="35">
        <v>274.51199999999994</v>
      </c>
      <c r="AP11" s="35">
        <v>31.92</v>
      </c>
      <c r="AQ11" s="35">
        <v>220.12740000000002</v>
      </c>
      <c r="AR11" s="35">
        <v>45.24</v>
      </c>
      <c r="AS11" s="35">
        <v>7611.7194000000018</v>
      </c>
      <c r="AU11" s="102">
        <v>1</v>
      </c>
      <c r="AV11" s="102">
        <v>0.32419999999999999</v>
      </c>
      <c r="AX11" s="35">
        <v>88050.96</v>
      </c>
      <c r="AY11" s="35">
        <v>8805</v>
      </c>
      <c r="AZ11" s="35">
        <v>0</v>
      </c>
      <c r="BA11" s="35">
        <v>96855.96</v>
      </c>
      <c r="BC11" s="35">
        <v>59504.838768000001</v>
      </c>
      <c r="BD11" s="35">
        <v>8805</v>
      </c>
      <c r="BE11" s="35">
        <v>0</v>
      </c>
      <c r="BF11" s="35">
        <v>68309.838768000001</v>
      </c>
      <c r="BH11" s="35">
        <v>6005.06952</v>
      </c>
      <c r="BI11" s="35">
        <v>1404.4114200000001</v>
      </c>
      <c r="BJ11" s="35">
        <v>122.4</v>
      </c>
      <c r="BK11" s="35">
        <v>41.999999999999986</v>
      </c>
      <c r="BL11" s="35">
        <v>7573.88094</v>
      </c>
      <c r="BN11" s="35">
        <v>4058.2259816159999</v>
      </c>
      <c r="BO11" s="35">
        <v>949.10123763600006</v>
      </c>
      <c r="BP11" s="35">
        <v>82.717919999999992</v>
      </c>
      <c r="BQ11" s="35">
        <v>28.383599999999987</v>
      </c>
      <c r="BR11" s="35">
        <v>5118.428739252</v>
      </c>
      <c r="BT11" s="35">
        <v>2201.2740000000003</v>
      </c>
      <c r="BU11" s="35">
        <v>0</v>
      </c>
      <c r="BV11" s="35">
        <v>0</v>
      </c>
      <c r="BW11" s="35">
        <v>0</v>
      </c>
      <c r="BY11" s="35">
        <v>1487.6209692000002</v>
      </c>
      <c r="BZ11" s="35">
        <v>0</v>
      </c>
      <c r="CA11" s="35">
        <v>0</v>
      </c>
      <c r="CB11" s="35">
        <v>0</v>
      </c>
      <c r="CD11" s="35">
        <v>8287.56</v>
      </c>
      <c r="CE11" s="35">
        <v>-1247.6399999999999</v>
      </c>
      <c r="CF11" s="35">
        <v>7039.92</v>
      </c>
      <c r="CG11" s="35">
        <v>274.51199999999994</v>
      </c>
      <c r="CH11" s="35">
        <v>31.92</v>
      </c>
      <c r="CI11" s="35">
        <v>220.12740000000002</v>
      </c>
      <c r="CJ11" s="35">
        <v>45.24</v>
      </c>
      <c r="CK11" s="35">
        <v>7611.7194</v>
      </c>
      <c r="CM11" s="35">
        <v>5600.7330479999991</v>
      </c>
      <c r="CN11" s="35">
        <v>-843.1551119999998</v>
      </c>
      <c r="CO11" s="35">
        <v>4757.5779359999997</v>
      </c>
      <c r="CP11" s="35">
        <v>185.51520959999996</v>
      </c>
      <c r="CQ11" s="35">
        <v>21.571535999999998</v>
      </c>
      <c r="CR11" s="35">
        <v>148.76209692</v>
      </c>
      <c r="CS11" s="35">
        <v>30.573191999999999</v>
      </c>
      <c r="CT11" s="35">
        <v>5143.9999705199998</v>
      </c>
    </row>
    <row r="12" spans="1:100">
      <c r="A12" s="22">
        <v>1</v>
      </c>
      <c r="B12" s="37">
        <v>1</v>
      </c>
      <c r="C12" s="12" t="s">
        <v>285</v>
      </c>
      <c r="D12" s="12" t="s">
        <v>286</v>
      </c>
      <c r="E12" s="701"/>
      <c r="F12" s="701"/>
      <c r="G12" s="703"/>
      <c r="H12" s="720"/>
      <c r="I12" s="516">
        <v>30</v>
      </c>
      <c r="J12" s="34">
        <v>0.1</v>
      </c>
      <c r="K12" s="34">
        <v>0</v>
      </c>
      <c r="L12" s="23">
        <v>32.9</v>
      </c>
      <c r="M12" s="20">
        <v>33.840000000000003</v>
      </c>
      <c r="N12" s="20">
        <v>34.82</v>
      </c>
      <c r="O12" s="43">
        <v>34.08</v>
      </c>
      <c r="P12" s="497">
        <v>71159.039999999994</v>
      </c>
      <c r="Q12" s="497">
        <v>7116</v>
      </c>
      <c r="R12" s="43">
        <v>0</v>
      </c>
      <c r="S12" s="28">
        <v>78275.039999999994</v>
      </c>
      <c r="U12" s="28">
        <v>4853.0524799999994</v>
      </c>
      <c r="V12" s="28">
        <v>1134.9880799999999</v>
      </c>
      <c r="W12" s="28">
        <v>122.4</v>
      </c>
      <c r="X12" s="28">
        <v>41.999999999999986</v>
      </c>
      <c r="Y12" s="35">
        <v>6152.4405599999991</v>
      </c>
      <c r="Z12" s="115"/>
      <c r="AA12" s="35">
        <v>71159.039999999994</v>
      </c>
      <c r="AB12" s="35">
        <v>78275.039999999994</v>
      </c>
      <c r="AD12" s="46">
        <v>2.5000000000000001E-2</v>
      </c>
      <c r="AE12" s="434" t="s">
        <v>57</v>
      </c>
      <c r="AF12" s="35">
        <v>1778.9759999999999</v>
      </c>
      <c r="AG12" s="35">
        <v>0</v>
      </c>
      <c r="AH12" s="35">
        <v>0</v>
      </c>
      <c r="AI12" s="35">
        <v>320.21568000000002</v>
      </c>
      <c r="AK12" s="35">
        <v>23205.239999999998</v>
      </c>
      <c r="AL12" s="35">
        <v>-3493.44</v>
      </c>
      <c r="AM12" s="35">
        <v>19711.8</v>
      </c>
      <c r="AN12" s="35">
        <v>107000</v>
      </c>
      <c r="AO12" s="35">
        <v>220.84800000000001</v>
      </c>
      <c r="AP12" s="35">
        <v>25.68</v>
      </c>
      <c r="AQ12" s="35">
        <v>177.89759999999998</v>
      </c>
      <c r="AR12" s="35">
        <v>45.24</v>
      </c>
      <c r="AS12" s="35">
        <v>20181.465599999996</v>
      </c>
      <c r="AU12" s="102">
        <v>1</v>
      </c>
      <c r="AV12" s="102">
        <v>0.85509999999999997</v>
      </c>
      <c r="AX12" s="35">
        <v>71159.039999999994</v>
      </c>
      <c r="AY12" s="35">
        <v>7116</v>
      </c>
      <c r="AZ12" s="35">
        <v>0</v>
      </c>
      <c r="BA12" s="35">
        <v>78275.039999999994</v>
      </c>
      <c r="BC12" s="35">
        <v>10310.944896000001</v>
      </c>
      <c r="BD12" s="35">
        <v>7116</v>
      </c>
      <c r="BE12" s="35">
        <v>0</v>
      </c>
      <c r="BF12" s="35">
        <v>17426.944896000001</v>
      </c>
      <c r="BH12" s="35">
        <v>4853.0524799999994</v>
      </c>
      <c r="BI12" s="35">
        <v>1134.9880799999999</v>
      </c>
      <c r="BJ12" s="35">
        <v>122.4</v>
      </c>
      <c r="BK12" s="35">
        <v>41.999999999999986</v>
      </c>
      <c r="BL12" s="35">
        <v>6152.4405599999991</v>
      </c>
      <c r="BN12" s="35">
        <v>703.20730435200005</v>
      </c>
      <c r="BO12" s="35">
        <v>164.45977279200002</v>
      </c>
      <c r="BP12" s="35">
        <v>17.735760000000003</v>
      </c>
      <c r="BQ12" s="35">
        <v>6.085799999999999</v>
      </c>
      <c r="BR12" s="35">
        <v>891.48863714400011</v>
      </c>
      <c r="BT12" s="35">
        <v>1778.9759999999999</v>
      </c>
      <c r="BU12" s="35">
        <v>0</v>
      </c>
      <c r="BV12" s="35">
        <v>0</v>
      </c>
      <c r="BW12" s="35">
        <v>320.21568000000002</v>
      </c>
      <c r="BY12" s="35">
        <v>257.77362240000002</v>
      </c>
      <c r="BZ12" s="35">
        <v>0</v>
      </c>
      <c r="CA12" s="35">
        <v>0</v>
      </c>
      <c r="CB12" s="35">
        <v>320.21568000000002</v>
      </c>
      <c r="CD12" s="35">
        <v>23205.239999999998</v>
      </c>
      <c r="CE12" s="35">
        <v>-3493.44</v>
      </c>
      <c r="CF12" s="35">
        <v>19711.8</v>
      </c>
      <c r="CG12" s="35">
        <v>220.84800000000001</v>
      </c>
      <c r="CH12" s="35">
        <v>25.68</v>
      </c>
      <c r="CI12" s="35">
        <v>177.89759999999998</v>
      </c>
      <c r="CJ12" s="35">
        <v>45.24</v>
      </c>
      <c r="CK12" s="35">
        <v>20181.465600000003</v>
      </c>
      <c r="CM12" s="35">
        <v>3362.4392760000005</v>
      </c>
      <c r="CN12" s="35">
        <v>-506.19945600000011</v>
      </c>
      <c r="CO12" s="35">
        <v>2856.2398200000002</v>
      </c>
      <c r="CP12" s="35">
        <v>32.00087520000001</v>
      </c>
      <c r="CQ12" s="35">
        <v>3.7210320000000006</v>
      </c>
      <c r="CR12" s="35">
        <v>25.777362240000002</v>
      </c>
      <c r="CS12" s="35">
        <v>6.5552760000000019</v>
      </c>
      <c r="CT12" s="35">
        <v>2924.2943654400001</v>
      </c>
    </row>
    <row r="13" spans="1:100">
      <c r="A13" s="22">
        <v>1</v>
      </c>
      <c r="B13" s="37">
        <v>1</v>
      </c>
      <c r="C13" s="12" t="s">
        <v>285</v>
      </c>
      <c r="D13" s="12" t="s">
        <v>286</v>
      </c>
      <c r="E13" s="701"/>
      <c r="F13" s="701"/>
      <c r="G13" s="703"/>
      <c r="H13" s="720"/>
      <c r="I13" s="516">
        <v>45</v>
      </c>
      <c r="J13" s="34">
        <v>0.2</v>
      </c>
      <c r="K13" s="34">
        <v>0</v>
      </c>
      <c r="L13" s="23">
        <v>50.26</v>
      </c>
      <c r="M13" s="20">
        <v>51.69</v>
      </c>
      <c r="N13" s="20">
        <v>53.19</v>
      </c>
      <c r="O13" s="43">
        <v>52.06</v>
      </c>
      <c r="P13" s="497">
        <v>108701.28</v>
      </c>
      <c r="Q13" s="497">
        <v>21740</v>
      </c>
      <c r="R13" s="43">
        <v>0</v>
      </c>
      <c r="S13" s="28">
        <v>130441.28</v>
      </c>
      <c r="U13" s="28">
        <v>7960.8</v>
      </c>
      <c r="V13" s="28">
        <v>1891.3985600000001</v>
      </c>
      <c r="W13" s="28">
        <v>122.4</v>
      </c>
      <c r="X13" s="28">
        <v>41.999999999999986</v>
      </c>
      <c r="Y13" s="35">
        <v>10016.59856</v>
      </c>
      <c r="Z13" s="115"/>
      <c r="AA13" s="35">
        <v>108701.28</v>
      </c>
      <c r="AB13" s="35">
        <v>130441.28</v>
      </c>
      <c r="AD13" s="46">
        <v>2.5000000000000001E-2</v>
      </c>
      <c r="AE13" s="434" t="s">
        <v>57</v>
      </c>
      <c r="AF13" s="35">
        <v>2717.5320000000002</v>
      </c>
      <c r="AG13" s="35">
        <v>0</v>
      </c>
      <c r="AH13" s="35">
        <v>0</v>
      </c>
      <c r="AI13" s="35">
        <v>0</v>
      </c>
      <c r="AK13" s="35">
        <v>23205.239999999998</v>
      </c>
      <c r="AL13" s="35">
        <v>-3493.44</v>
      </c>
      <c r="AM13" s="35">
        <v>19711.8</v>
      </c>
      <c r="AN13" s="35">
        <v>164000</v>
      </c>
      <c r="AO13" s="35">
        <v>338.49599999999992</v>
      </c>
      <c r="AP13" s="35">
        <v>39.36</v>
      </c>
      <c r="AQ13" s="35">
        <v>271.75319999999999</v>
      </c>
      <c r="AR13" s="35">
        <v>45.24</v>
      </c>
      <c r="AS13" s="35">
        <v>20406.649199999985</v>
      </c>
      <c r="AU13" s="102">
        <v>0.99976851851851856</v>
      </c>
      <c r="AV13" s="102">
        <v>0.3387</v>
      </c>
      <c r="AX13" s="35">
        <v>108676.11766666667</v>
      </c>
      <c r="AY13" s="35">
        <v>21734.967592592595</v>
      </c>
      <c r="AZ13" s="35">
        <v>0</v>
      </c>
      <c r="BA13" s="35">
        <v>130411.08525925927</v>
      </c>
      <c r="BC13" s="35">
        <v>71867.516612966676</v>
      </c>
      <c r="BD13" s="35">
        <v>21734.967592592595</v>
      </c>
      <c r="BE13" s="35">
        <v>0</v>
      </c>
      <c r="BF13" s="35">
        <v>93602.484205559274</v>
      </c>
      <c r="BH13" s="35">
        <v>7958.9572222222223</v>
      </c>
      <c r="BI13" s="35">
        <v>1890.9607362592594</v>
      </c>
      <c r="BJ13" s="35">
        <v>122.37166666666668</v>
      </c>
      <c r="BK13" s="35">
        <v>41.990277777777763</v>
      </c>
      <c r="BL13" s="35">
        <v>10014.279902925924</v>
      </c>
      <c r="BN13" s="35">
        <v>5263.2584110555554</v>
      </c>
      <c r="BO13" s="35">
        <v>1250.4923348882483</v>
      </c>
      <c r="BP13" s="35">
        <v>80.924383166666672</v>
      </c>
      <c r="BQ13" s="35">
        <v>27.768170694444436</v>
      </c>
      <c r="BR13" s="35">
        <v>6622.4432998049142</v>
      </c>
      <c r="BT13" s="35">
        <v>2716.9029416666667</v>
      </c>
      <c r="BU13" s="35">
        <v>0</v>
      </c>
      <c r="BV13" s="35">
        <v>0</v>
      </c>
      <c r="BW13" s="35">
        <v>0</v>
      </c>
      <c r="BY13" s="35">
        <v>1796.6879153241666</v>
      </c>
      <c r="BZ13" s="35">
        <v>0</v>
      </c>
      <c r="CA13" s="35">
        <v>0</v>
      </c>
      <c r="CB13" s="35">
        <v>0</v>
      </c>
      <c r="CD13" s="35">
        <v>23199.868416666664</v>
      </c>
      <c r="CE13" s="35">
        <v>-3492.6313333333337</v>
      </c>
      <c r="CF13" s="35">
        <v>19707.237083333333</v>
      </c>
      <c r="CG13" s="35">
        <v>338.41764444444436</v>
      </c>
      <c r="CH13" s="35">
        <v>39.350888888888889</v>
      </c>
      <c r="CI13" s="35">
        <v>271.69029416666666</v>
      </c>
      <c r="CJ13" s="35">
        <v>45.229527777777783</v>
      </c>
      <c r="CK13" s="35">
        <v>20401.925438611113</v>
      </c>
      <c r="CM13" s="35">
        <v>15342.072983941665</v>
      </c>
      <c r="CN13" s="35">
        <v>-2309.6771007333336</v>
      </c>
      <c r="CO13" s="35">
        <v>13032.395883208334</v>
      </c>
      <c r="CP13" s="35">
        <v>223.79558827111106</v>
      </c>
      <c r="CQ13" s="35">
        <v>26.022742822222224</v>
      </c>
      <c r="CR13" s="35">
        <v>179.66879153241666</v>
      </c>
      <c r="CS13" s="35">
        <v>29.910286719444446</v>
      </c>
      <c r="CT13" s="35">
        <v>13491.793292553528</v>
      </c>
    </row>
    <row r="14" spans="1:100">
      <c r="A14" s="22">
        <v>1</v>
      </c>
      <c r="B14" s="37">
        <v>1</v>
      </c>
      <c r="C14" s="12" t="s">
        <v>335</v>
      </c>
      <c r="D14" s="12" t="s">
        <v>336</v>
      </c>
      <c r="E14" s="701"/>
      <c r="F14" s="701"/>
      <c r="G14" s="703"/>
      <c r="H14" s="720"/>
      <c r="I14" s="516">
        <v>40</v>
      </c>
      <c r="J14" s="34">
        <v>0.15</v>
      </c>
      <c r="K14" s="34">
        <v>0</v>
      </c>
      <c r="L14" s="23">
        <v>40.380000000000003</v>
      </c>
      <c r="M14" s="20">
        <v>41.53</v>
      </c>
      <c r="N14" s="20">
        <v>42.73</v>
      </c>
      <c r="O14" s="43">
        <v>41.83</v>
      </c>
      <c r="P14" s="497">
        <v>87341.04</v>
      </c>
      <c r="Q14" s="497">
        <v>13101</v>
      </c>
      <c r="R14" s="43">
        <v>0</v>
      </c>
      <c r="S14" s="28">
        <v>100442.04</v>
      </c>
      <c r="U14" s="28">
        <v>6227.4064799999996</v>
      </c>
      <c r="V14" s="28">
        <v>1456.40958</v>
      </c>
      <c r="W14" s="28">
        <v>122.4</v>
      </c>
      <c r="X14" s="28">
        <v>41.999999999999986</v>
      </c>
      <c r="Y14" s="35">
        <v>7848.2160599999988</v>
      </c>
      <c r="Z14" s="115"/>
      <c r="AA14" s="35">
        <v>87341.04</v>
      </c>
      <c r="AB14" s="35">
        <v>100442.04</v>
      </c>
      <c r="AD14" s="46">
        <v>0.04</v>
      </c>
      <c r="AE14" s="434" t="s">
        <v>55</v>
      </c>
      <c r="AF14" s="35">
        <v>4017.6815999999999</v>
      </c>
      <c r="AG14" s="35">
        <v>4585.4045999999998</v>
      </c>
      <c r="AH14" s="35">
        <v>0</v>
      </c>
      <c r="AI14" s="35">
        <v>0</v>
      </c>
      <c r="AK14" s="35">
        <v>23205.239999999998</v>
      </c>
      <c r="AL14" s="35">
        <v>-3493.44</v>
      </c>
      <c r="AM14" s="35">
        <v>19711.8</v>
      </c>
      <c r="AN14" s="35">
        <v>132000</v>
      </c>
      <c r="AO14" s="35">
        <v>272.44799999999998</v>
      </c>
      <c r="AP14" s="35">
        <v>31.68</v>
      </c>
      <c r="AQ14" s="35">
        <v>218.3526</v>
      </c>
      <c r="AR14" s="35">
        <v>45.24</v>
      </c>
      <c r="AS14" s="35">
        <v>20279.520599999989</v>
      </c>
      <c r="AU14" s="102">
        <v>1</v>
      </c>
      <c r="AV14" s="102">
        <v>0.15479999999999999</v>
      </c>
      <c r="AX14" s="35">
        <v>87341.04</v>
      </c>
      <c r="AY14" s="35">
        <v>13101</v>
      </c>
      <c r="AZ14" s="35">
        <v>0</v>
      </c>
      <c r="BA14" s="35">
        <v>100442.04</v>
      </c>
      <c r="BC14" s="35">
        <v>73820.647007999985</v>
      </c>
      <c r="BD14" s="35">
        <v>13101</v>
      </c>
      <c r="BE14" s="35">
        <v>0</v>
      </c>
      <c r="BF14" s="35">
        <v>86921.647007999985</v>
      </c>
      <c r="BH14" s="35">
        <v>6227.4064799999996</v>
      </c>
      <c r="BI14" s="35">
        <v>1456.40958</v>
      </c>
      <c r="BJ14" s="35">
        <v>122.4</v>
      </c>
      <c r="BK14" s="35">
        <v>41.999999999999986</v>
      </c>
      <c r="BL14" s="35">
        <v>7848.2160599999988</v>
      </c>
      <c r="BN14" s="35">
        <v>5263.4039568959997</v>
      </c>
      <c r="BO14" s="35">
        <v>1230.957377016</v>
      </c>
      <c r="BP14" s="35">
        <v>103.45247999999999</v>
      </c>
      <c r="BQ14" s="35">
        <v>35.498399999999982</v>
      </c>
      <c r="BR14" s="35">
        <v>6633.3122139120005</v>
      </c>
      <c r="BT14" s="35">
        <v>4017.6815999999999</v>
      </c>
      <c r="BU14" s="35">
        <v>4585.4045999999998</v>
      </c>
      <c r="BV14" s="35">
        <v>0</v>
      </c>
      <c r="BW14" s="35">
        <v>0</v>
      </c>
      <c r="BY14" s="35">
        <v>3395.7444883199996</v>
      </c>
      <c r="BZ14" s="35">
        <v>3875.5839679199998</v>
      </c>
      <c r="CA14" s="35">
        <v>0</v>
      </c>
      <c r="CB14" s="35">
        <v>0</v>
      </c>
      <c r="CD14" s="35">
        <v>23205.239999999998</v>
      </c>
      <c r="CE14" s="35">
        <v>-3493.44</v>
      </c>
      <c r="CF14" s="35">
        <v>19711.8</v>
      </c>
      <c r="CG14" s="35">
        <v>272.44799999999998</v>
      </c>
      <c r="CH14" s="35">
        <v>31.68</v>
      </c>
      <c r="CI14" s="35">
        <v>218.3526</v>
      </c>
      <c r="CJ14" s="35">
        <v>45.24</v>
      </c>
      <c r="CK14" s="35">
        <v>20279.5206</v>
      </c>
      <c r="CM14" s="35">
        <v>19613.068847999995</v>
      </c>
      <c r="CN14" s="35">
        <v>-2952.6554879999999</v>
      </c>
      <c r="CO14" s="35">
        <v>16660.413359999999</v>
      </c>
      <c r="CP14" s="35">
        <v>230.27304959999998</v>
      </c>
      <c r="CQ14" s="35">
        <v>26.775935999999998</v>
      </c>
      <c r="CR14" s="35">
        <v>184.55161751999998</v>
      </c>
      <c r="CS14" s="35">
        <v>38.236848000000002</v>
      </c>
      <c r="CT14" s="35">
        <v>17140.250811119997</v>
      </c>
    </row>
    <row r="15" spans="1:100">
      <c r="A15" s="22">
        <v>1</v>
      </c>
      <c r="B15" s="37">
        <v>1</v>
      </c>
      <c r="C15" s="12" t="s">
        <v>263</v>
      </c>
      <c r="D15" s="12" t="s">
        <v>264</v>
      </c>
      <c r="E15" s="701"/>
      <c r="F15" s="701"/>
      <c r="G15" s="703"/>
      <c r="H15" s="720"/>
      <c r="I15" s="516">
        <v>30</v>
      </c>
      <c r="J15" s="34">
        <v>0.1</v>
      </c>
      <c r="K15" s="34">
        <v>0</v>
      </c>
      <c r="L15" s="23">
        <v>37.82</v>
      </c>
      <c r="M15" s="20">
        <v>38.9</v>
      </c>
      <c r="N15" s="20">
        <v>40.03</v>
      </c>
      <c r="O15" s="43">
        <v>39.18</v>
      </c>
      <c r="P15" s="497">
        <v>81807.839999999997</v>
      </c>
      <c r="Q15" s="497">
        <v>8181</v>
      </c>
      <c r="R15" s="43">
        <v>0</v>
      </c>
      <c r="S15" s="28">
        <v>89988.84</v>
      </c>
      <c r="U15" s="28">
        <v>5579.3080799999998</v>
      </c>
      <c r="V15" s="28">
        <v>1304.83818</v>
      </c>
      <c r="W15" s="28">
        <v>122.4</v>
      </c>
      <c r="X15" s="28">
        <v>41.999999999999986</v>
      </c>
      <c r="Y15" s="35">
        <v>7048.5462599999992</v>
      </c>
      <c r="Z15" s="115"/>
      <c r="AA15" s="35">
        <v>81807.839999999997</v>
      </c>
      <c r="AB15" s="35">
        <v>89988.84</v>
      </c>
      <c r="AD15" s="46">
        <v>0.04</v>
      </c>
      <c r="AE15" s="434" t="s">
        <v>55</v>
      </c>
      <c r="AF15" s="35">
        <v>3599.5535999999997</v>
      </c>
      <c r="AG15" s="35">
        <v>4294.9115999999995</v>
      </c>
      <c r="AH15" s="35">
        <v>0</v>
      </c>
      <c r="AI15" s="35">
        <v>0</v>
      </c>
      <c r="AK15" s="35">
        <v>23205.239999999998</v>
      </c>
      <c r="AL15" s="35">
        <v>-3493.44</v>
      </c>
      <c r="AM15" s="35">
        <v>19711.8</v>
      </c>
      <c r="AN15" s="35">
        <v>123000</v>
      </c>
      <c r="AO15" s="35">
        <v>253.87199999999999</v>
      </c>
      <c r="AP15" s="35">
        <v>29.52</v>
      </c>
      <c r="AQ15" s="35">
        <v>204.5196</v>
      </c>
      <c r="AR15" s="35">
        <v>45.24</v>
      </c>
      <c r="AS15" s="35">
        <v>20244.951599999971</v>
      </c>
      <c r="AU15" s="102">
        <v>1</v>
      </c>
      <c r="AV15" s="102">
        <v>0.32790000000000002</v>
      </c>
      <c r="AX15" s="35">
        <v>81807.839999999997</v>
      </c>
      <c r="AY15" s="35">
        <v>8181</v>
      </c>
      <c r="AZ15" s="35">
        <v>0</v>
      </c>
      <c r="BA15" s="35">
        <v>89988.84</v>
      </c>
      <c r="BC15" s="35">
        <v>54983.049263999994</v>
      </c>
      <c r="BD15" s="35">
        <v>8181</v>
      </c>
      <c r="BE15" s="35">
        <v>0</v>
      </c>
      <c r="BF15" s="35">
        <v>63164.049263999994</v>
      </c>
      <c r="BH15" s="35">
        <v>5579.3080799999998</v>
      </c>
      <c r="BI15" s="35">
        <v>1304.83818</v>
      </c>
      <c r="BJ15" s="35">
        <v>122.4</v>
      </c>
      <c r="BK15" s="35">
        <v>41.999999999999986</v>
      </c>
      <c r="BL15" s="35">
        <v>7048.5462599999992</v>
      </c>
      <c r="BN15" s="35">
        <v>3749.8529605679996</v>
      </c>
      <c r="BO15" s="35">
        <v>876.9817407779999</v>
      </c>
      <c r="BP15" s="35">
        <v>82.265039999999999</v>
      </c>
      <c r="BQ15" s="35">
        <v>28.228199999999987</v>
      </c>
      <c r="BR15" s="35">
        <v>4737.3279413459995</v>
      </c>
      <c r="BT15" s="35">
        <v>3599.5535999999997</v>
      </c>
      <c r="BU15" s="35">
        <v>4294.9115999999995</v>
      </c>
      <c r="BV15" s="35">
        <v>0</v>
      </c>
      <c r="BW15" s="35">
        <v>0</v>
      </c>
      <c r="BY15" s="35">
        <v>2419.2599745599996</v>
      </c>
      <c r="BZ15" s="35">
        <v>2886.6100863599995</v>
      </c>
      <c r="CA15" s="35">
        <v>0</v>
      </c>
      <c r="CB15" s="35">
        <v>0</v>
      </c>
      <c r="CD15" s="35">
        <v>23205.239999999998</v>
      </c>
      <c r="CE15" s="35">
        <v>-3493.44</v>
      </c>
      <c r="CF15" s="35">
        <v>19711.8</v>
      </c>
      <c r="CG15" s="35">
        <v>253.87199999999999</v>
      </c>
      <c r="CH15" s="35">
        <v>29.52</v>
      </c>
      <c r="CI15" s="35">
        <v>204.5196</v>
      </c>
      <c r="CJ15" s="35">
        <v>45.24</v>
      </c>
      <c r="CK15" s="35">
        <v>20244.9516</v>
      </c>
      <c r="CM15" s="35">
        <v>15596.241803999998</v>
      </c>
      <c r="CN15" s="35">
        <v>-2347.9410239999997</v>
      </c>
      <c r="CO15" s="35">
        <v>13248.300779999998</v>
      </c>
      <c r="CP15" s="35">
        <v>170.62737119999997</v>
      </c>
      <c r="CQ15" s="35">
        <v>19.840391999999998</v>
      </c>
      <c r="CR15" s="35">
        <v>137.45762315999997</v>
      </c>
      <c r="CS15" s="35">
        <v>30.405803999999996</v>
      </c>
      <c r="CT15" s="35">
        <v>13606.631970359998</v>
      </c>
    </row>
    <row r="16" spans="1:100">
      <c r="A16" s="22">
        <v>1</v>
      </c>
      <c r="B16" s="37">
        <v>1</v>
      </c>
      <c r="C16" s="12" t="s">
        <v>285</v>
      </c>
      <c r="D16" s="12" t="s">
        <v>286</v>
      </c>
      <c r="E16" s="701"/>
      <c r="F16" s="701"/>
      <c r="G16" s="703"/>
      <c r="H16" s="720"/>
      <c r="I16" s="516">
        <v>40</v>
      </c>
      <c r="J16" s="34">
        <v>0.15</v>
      </c>
      <c r="K16" s="34">
        <v>0</v>
      </c>
      <c r="L16" s="23">
        <v>45.96</v>
      </c>
      <c r="M16" s="20">
        <v>47.27</v>
      </c>
      <c r="N16" s="20">
        <v>48.64</v>
      </c>
      <c r="O16" s="43">
        <v>47.61</v>
      </c>
      <c r="P16" s="497">
        <v>99409.68</v>
      </c>
      <c r="Q16" s="497">
        <v>14911</v>
      </c>
      <c r="R16" s="43">
        <v>0</v>
      </c>
      <c r="S16" s="28">
        <v>114320.68</v>
      </c>
      <c r="U16" s="28">
        <v>7087.8821599999992</v>
      </c>
      <c r="V16" s="28">
        <v>1657.64986</v>
      </c>
      <c r="W16" s="28">
        <v>122.4</v>
      </c>
      <c r="X16" s="28">
        <v>41.999999999999986</v>
      </c>
      <c r="Y16" s="35">
        <v>8909.9320199999984</v>
      </c>
      <c r="Z16" s="115"/>
      <c r="AA16" s="35">
        <v>99409.68</v>
      </c>
      <c r="AB16" s="35">
        <v>114320.68</v>
      </c>
      <c r="AD16" s="46">
        <v>0.04</v>
      </c>
      <c r="AE16" s="434" t="s">
        <v>55</v>
      </c>
      <c r="AF16" s="35">
        <v>4572.8271999999997</v>
      </c>
      <c r="AG16" s="35">
        <v>5219.0081999999993</v>
      </c>
      <c r="AH16" s="35">
        <v>0</v>
      </c>
      <c r="AI16" s="35">
        <v>745.57259999999985</v>
      </c>
      <c r="AK16" s="35">
        <v>8287.56</v>
      </c>
      <c r="AL16" s="35">
        <v>-1247.6399999999999</v>
      </c>
      <c r="AM16" s="35">
        <v>7039.92</v>
      </c>
      <c r="AN16" s="35">
        <v>150000</v>
      </c>
      <c r="AO16" s="35">
        <v>309.59999999999997</v>
      </c>
      <c r="AP16" s="35">
        <v>36</v>
      </c>
      <c r="AQ16" s="35">
        <v>248.52419999999998</v>
      </c>
      <c r="AR16" s="35">
        <v>45.24</v>
      </c>
      <c r="AS16" s="35">
        <v>7679.2842000000237</v>
      </c>
      <c r="AU16" s="102">
        <v>1</v>
      </c>
      <c r="AV16" s="102">
        <v>0.439</v>
      </c>
      <c r="AX16" s="35">
        <v>99409.68</v>
      </c>
      <c r="AY16" s="35">
        <v>14911</v>
      </c>
      <c r="AZ16" s="35">
        <v>0</v>
      </c>
      <c r="BA16" s="35">
        <v>114320.68</v>
      </c>
      <c r="BC16" s="35">
        <v>55768.83047999999</v>
      </c>
      <c r="BD16" s="35">
        <v>14911</v>
      </c>
      <c r="BE16" s="35">
        <v>0</v>
      </c>
      <c r="BF16" s="35">
        <v>70679.83047999999</v>
      </c>
      <c r="BH16" s="35">
        <v>7087.8821599999992</v>
      </c>
      <c r="BI16" s="35">
        <v>1657.64986</v>
      </c>
      <c r="BJ16" s="35">
        <v>122.4</v>
      </c>
      <c r="BK16" s="35">
        <v>41.999999999999986</v>
      </c>
      <c r="BL16" s="35">
        <v>8909.9320199999984</v>
      </c>
      <c r="BN16" s="35">
        <v>3976.3018917599993</v>
      </c>
      <c r="BO16" s="35">
        <v>929.94157145999986</v>
      </c>
      <c r="BP16" s="35">
        <v>68.666399999999996</v>
      </c>
      <c r="BQ16" s="35">
        <v>23.561999999999991</v>
      </c>
      <c r="BR16" s="35">
        <v>4998.4718632199992</v>
      </c>
      <c r="BT16" s="35">
        <v>4572.8271999999997</v>
      </c>
      <c r="BU16" s="35">
        <v>5219.0081999999993</v>
      </c>
      <c r="BV16" s="35">
        <v>0</v>
      </c>
      <c r="BW16" s="35">
        <v>745.57259999999985</v>
      </c>
      <c r="BY16" s="35">
        <v>2565.3560591999994</v>
      </c>
      <c r="BZ16" s="35">
        <v>2927.8636001999994</v>
      </c>
      <c r="CA16" s="35">
        <v>0</v>
      </c>
      <c r="CB16" s="35">
        <v>745.57259999999985</v>
      </c>
      <c r="CD16" s="35">
        <v>8287.56</v>
      </c>
      <c r="CE16" s="35">
        <v>-1247.6399999999999</v>
      </c>
      <c r="CF16" s="35">
        <v>7039.92</v>
      </c>
      <c r="CG16" s="35">
        <v>309.59999999999997</v>
      </c>
      <c r="CH16" s="35">
        <v>36</v>
      </c>
      <c r="CI16" s="35">
        <v>248.52419999999998</v>
      </c>
      <c r="CJ16" s="35">
        <v>45.24</v>
      </c>
      <c r="CK16" s="35">
        <v>7679.2842000000001</v>
      </c>
      <c r="CM16" s="35">
        <v>4649.3211599999995</v>
      </c>
      <c r="CN16" s="35">
        <v>-699.92603999999983</v>
      </c>
      <c r="CO16" s="35">
        <v>3949.3951199999997</v>
      </c>
      <c r="CP16" s="35">
        <v>173.68559999999997</v>
      </c>
      <c r="CQ16" s="35">
        <v>20.195999999999998</v>
      </c>
      <c r="CR16" s="35">
        <v>139.42207619999996</v>
      </c>
      <c r="CS16" s="35">
        <v>25.379639999999998</v>
      </c>
      <c r="CT16" s="35">
        <v>4308.0784361999995</v>
      </c>
    </row>
    <row r="17" spans="1:98">
      <c r="A17" s="22">
        <v>1</v>
      </c>
      <c r="B17" s="37">
        <v>1</v>
      </c>
      <c r="C17" s="12" t="s">
        <v>263</v>
      </c>
      <c r="D17" s="12" t="s">
        <v>264</v>
      </c>
      <c r="E17" s="701"/>
      <c r="F17" s="701"/>
      <c r="G17" s="703"/>
      <c r="H17" s="720"/>
      <c r="I17" s="516">
        <v>40</v>
      </c>
      <c r="J17" s="34">
        <v>0.15</v>
      </c>
      <c r="K17" s="34">
        <v>0</v>
      </c>
      <c r="L17" s="23">
        <v>46.43</v>
      </c>
      <c r="M17" s="20">
        <v>47.75</v>
      </c>
      <c r="N17" s="20">
        <v>49.13</v>
      </c>
      <c r="O17" s="43">
        <v>48.09</v>
      </c>
      <c r="P17" s="497">
        <v>100411.92</v>
      </c>
      <c r="Q17" s="497">
        <v>15062</v>
      </c>
      <c r="R17" s="43">
        <v>0</v>
      </c>
      <c r="S17" s="28">
        <v>115473.92</v>
      </c>
      <c r="U17" s="28">
        <v>7159.3830399999997</v>
      </c>
      <c r="V17" s="28">
        <v>1674.37184</v>
      </c>
      <c r="W17" s="28">
        <v>122.4</v>
      </c>
      <c r="X17" s="28">
        <v>41.999999999999986</v>
      </c>
      <c r="Y17" s="35">
        <v>8998.15488</v>
      </c>
      <c r="Z17" s="115"/>
      <c r="AA17" s="35">
        <v>100411.92</v>
      </c>
      <c r="AB17" s="35">
        <v>115473.92</v>
      </c>
      <c r="AD17" s="46">
        <v>0.04</v>
      </c>
      <c r="AE17" s="434" t="s">
        <v>55</v>
      </c>
      <c r="AF17" s="35">
        <v>4618.9567999999999</v>
      </c>
      <c r="AG17" s="35">
        <v>5271.6257999999998</v>
      </c>
      <c r="AH17" s="35">
        <v>0</v>
      </c>
      <c r="AI17" s="35">
        <v>0</v>
      </c>
      <c r="AK17" s="35">
        <v>23205.239999999998</v>
      </c>
      <c r="AL17" s="35">
        <v>-3493.44</v>
      </c>
      <c r="AM17" s="35">
        <v>19711.8</v>
      </c>
      <c r="AN17" s="35">
        <v>151000</v>
      </c>
      <c r="AO17" s="35">
        <v>311.66399999999999</v>
      </c>
      <c r="AP17" s="35">
        <v>36.24</v>
      </c>
      <c r="AQ17" s="35">
        <v>251.02979999999999</v>
      </c>
      <c r="AR17" s="35">
        <v>45.24</v>
      </c>
      <c r="AS17" s="35">
        <v>20355.973799999949</v>
      </c>
      <c r="AU17" s="102">
        <v>0.99487179487179489</v>
      </c>
      <c r="AV17" s="102">
        <v>0.31879999999999997</v>
      </c>
      <c r="AX17" s="35">
        <v>99896.987076923077</v>
      </c>
      <c r="AY17" s="35">
        <v>14984.758974358974</v>
      </c>
      <c r="AZ17" s="35">
        <v>0</v>
      </c>
      <c r="BA17" s="35">
        <v>114881.74605128205</v>
      </c>
      <c r="BC17" s="35">
        <v>68049.827596800009</v>
      </c>
      <c r="BD17" s="35">
        <v>14984.758974358974</v>
      </c>
      <c r="BE17" s="35">
        <v>0</v>
      </c>
      <c r="BF17" s="35">
        <v>83034.586571158987</v>
      </c>
      <c r="BH17" s="35">
        <v>7122.6682551794875</v>
      </c>
      <c r="BI17" s="35">
        <v>1665.7853177435898</v>
      </c>
      <c r="BJ17" s="35">
        <v>121.77230769230771</v>
      </c>
      <c r="BK17" s="35">
        <v>41.784615384615371</v>
      </c>
      <c r="BL17" s="35">
        <v>8952.0104960000008</v>
      </c>
      <c r="BN17" s="35">
        <v>4851.9616154282667</v>
      </c>
      <c r="BO17" s="35">
        <v>1134.7329584469335</v>
      </c>
      <c r="BP17" s="35">
        <v>82.951296000000013</v>
      </c>
      <c r="BQ17" s="35">
        <v>28.463679999999993</v>
      </c>
      <c r="BR17" s="35">
        <v>6098.1095498752002</v>
      </c>
      <c r="BT17" s="35">
        <v>4595.2698420512825</v>
      </c>
      <c r="BU17" s="35">
        <v>5244.5918215384618</v>
      </c>
      <c r="BV17" s="35">
        <v>0</v>
      </c>
      <c r="BW17" s="35">
        <v>0</v>
      </c>
      <c r="BY17" s="35">
        <v>3130.2978164053338</v>
      </c>
      <c r="BZ17" s="35">
        <v>3572.6159488320004</v>
      </c>
      <c r="CA17" s="35">
        <v>0</v>
      </c>
      <c r="CB17" s="35">
        <v>0</v>
      </c>
      <c r="CD17" s="35">
        <v>23086.238769230768</v>
      </c>
      <c r="CE17" s="35">
        <v>-3475.5249230769232</v>
      </c>
      <c r="CF17" s="35">
        <v>19610.713846153845</v>
      </c>
      <c r="CG17" s="35">
        <v>310.06572307692306</v>
      </c>
      <c r="CH17" s="35">
        <v>36.054153846153852</v>
      </c>
      <c r="CI17" s="35">
        <v>249.74246769230768</v>
      </c>
      <c r="CJ17" s="35">
        <v>45.008000000000003</v>
      </c>
      <c r="CK17" s="35">
        <v>20251.584190769234</v>
      </c>
      <c r="CM17" s="35">
        <v>15726.3458496</v>
      </c>
      <c r="CN17" s="35">
        <v>-2367.5275776000003</v>
      </c>
      <c r="CO17" s="35">
        <v>13358.818272</v>
      </c>
      <c r="CP17" s="35">
        <v>211.21677055999999</v>
      </c>
      <c r="CQ17" s="35">
        <v>24.560089600000005</v>
      </c>
      <c r="CR17" s="35">
        <v>170.12456899200001</v>
      </c>
      <c r="CS17" s="35">
        <v>30.659449600000002</v>
      </c>
      <c r="CT17" s="35">
        <v>13795.379150752</v>
      </c>
    </row>
    <row r="18" spans="1:98" s="82" customFormat="1">
      <c r="A18" s="314">
        <v>1</v>
      </c>
      <c r="B18" s="417">
        <v>1</v>
      </c>
      <c r="C18" s="82" t="s">
        <v>204</v>
      </c>
      <c r="D18" s="82" t="s">
        <v>5</v>
      </c>
      <c r="E18" s="733" t="s">
        <v>812</v>
      </c>
      <c r="F18" s="733" t="s">
        <v>1006</v>
      </c>
      <c r="G18" s="703"/>
      <c r="H18" s="720"/>
      <c r="I18" s="516">
        <v>55</v>
      </c>
      <c r="J18" s="635">
        <v>0.2</v>
      </c>
      <c r="K18" s="635">
        <v>0.1</v>
      </c>
      <c r="L18" s="43">
        <v>74.459999999999994</v>
      </c>
      <c r="M18" s="636">
        <v>76.58</v>
      </c>
      <c r="N18" s="636">
        <v>78.8</v>
      </c>
      <c r="O18" s="43">
        <v>77.13</v>
      </c>
      <c r="P18" s="497">
        <v>161047.44</v>
      </c>
      <c r="Q18" s="497">
        <v>32209</v>
      </c>
      <c r="R18" s="43">
        <v>16105</v>
      </c>
      <c r="S18" s="418">
        <v>209361.44</v>
      </c>
      <c r="U18" s="418">
        <v>7960.8</v>
      </c>
      <c r="V18" s="418">
        <v>3035.7408800000003</v>
      </c>
      <c r="W18" s="418">
        <v>122.4</v>
      </c>
      <c r="X18" s="418">
        <v>41.999999999999986</v>
      </c>
      <c r="Y18" s="81">
        <v>11160.94088</v>
      </c>
      <c r="Z18" s="115"/>
      <c r="AA18" s="81">
        <v>161047.44</v>
      </c>
      <c r="AB18" s="81">
        <v>193256.44</v>
      </c>
      <c r="AD18" s="637">
        <v>0.04</v>
      </c>
      <c r="AE18" s="638" t="s">
        <v>55</v>
      </c>
      <c r="AF18" s="81">
        <v>7730.2575999999999</v>
      </c>
      <c r="AG18" s="81">
        <v>8454.9905999999992</v>
      </c>
      <c r="AH18" s="81">
        <v>0</v>
      </c>
      <c r="AI18" s="81">
        <v>0</v>
      </c>
      <c r="AK18" s="81">
        <v>23205.239999999998</v>
      </c>
      <c r="AL18" s="81">
        <v>-3493.44</v>
      </c>
      <c r="AM18" s="81">
        <v>19711.8</v>
      </c>
      <c r="AN18" s="81">
        <v>200000</v>
      </c>
      <c r="AO18" s="81">
        <v>412.79999999999995</v>
      </c>
      <c r="AP18" s="81">
        <v>48</v>
      </c>
      <c r="AQ18" s="81">
        <v>402.61860000000001</v>
      </c>
      <c r="AR18" s="81">
        <v>45.24</v>
      </c>
      <c r="AS18" s="81">
        <v>20620.458599999954</v>
      </c>
      <c r="AU18" s="105">
        <v>1</v>
      </c>
      <c r="AV18" s="105">
        <v>0.33189999999999997</v>
      </c>
      <c r="AX18" s="81">
        <v>161047.44</v>
      </c>
      <c r="AY18" s="81">
        <v>32209</v>
      </c>
      <c r="AZ18" s="81">
        <v>16105</v>
      </c>
      <c r="BA18" s="81">
        <v>209361.44</v>
      </c>
      <c r="BC18" s="81">
        <v>107595.794664</v>
      </c>
      <c r="BD18" s="81">
        <v>32209</v>
      </c>
      <c r="BE18" s="81">
        <v>16105</v>
      </c>
      <c r="BF18" s="81">
        <v>155909.79466399999</v>
      </c>
      <c r="BH18" s="81">
        <v>7960.8</v>
      </c>
      <c r="BI18" s="81">
        <v>3035.7408800000003</v>
      </c>
      <c r="BJ18" s="81">
        <v>122.4</v>
      </c>
      <c r="BK18" s="81">
        <v>41.999999999999986</v>
      </c>
      <c r="BL18" s="81">
        <v>11160.94088</v>
      </c>
      <c r="BN18" s="81">
        <v>5318.6104800000003</v>
      </c>
      <c r="BO18" s="81">
        <v>2028.1784819280003</v>
      </c>
      <c r="BP18" s="81">
        <v>81.775440000000003</v>
      </c>
      <c r="BQ18" s="81">
        <v>28.060199999999991</v>
      </c>
      <c r="BR18" s="81">
        <v>7456.6246019280006</v>
      </c>
      <c r="BT18" s="81">
        <v>7730.2575999999999</v>
      </c>
      <c r="BU18" s="81">
        <v>8454.9905999999992</v>
      </c>
      <c r="BV18" s="81">
        <v>0</v>
      </c>
      <c r="BW18" s="81">
        <v>0</v>
      </c>
      <c r="BY18" s="81">
        <v>5164.5851025600005</v>
      </c>
      <c r="BZ18" s="81">
        <v>5648.77921986</v>
      </c>
      <c r="CA18" s="81">
        <v>0</v>
      </c>
      <c r="CB18" s="81">
        <v>0</v>
      </c>
      <c r="CD18" s="81">
        <v>23205.239999999998</v>
      </c>
      <c r="CE18" s="81">
        <v>-3493.44</v>
      </c>
      <c r="CF18" s="81">
        <v>19711.8</v>
      </c>
      <c r="CG18" s="81">
        <v>412.79999999999995</v>
      </c>
      <c r="CH18" s="81">
        <v>48</v>
      </c>
      <c r="CI18" s="81">
        <v>402.61860000000001</v>
      </c>
      <c r="CJ18" s="81">
        <v>45.24</v>
      </c>
      <c r="CK18" s="81">
        <v>20620.458600000002</v>
      </c>
      <c r="CM18" s="81">
        <v>15503.420843999998</v>
      </c>
      <c r="CN18" s="81">
        <v>-2333.9672640000003</v>
      </c>
      <c r="CO18" s="81">
        <v>13169.453579999999</v>
      </c>
      <c r="CP18" s="81">
        <v>275.79167999999999</v>
      </c>
      <c r="CQ18" s="81">
        <v>32.068800000000003</v>
      </c>
      <c r="CR18" s="81">
        <v>268.98948666000001</v>
      </c>
      <c r="CS18" s="81">
        <v>30.224844000000001</v>
      </c>
      <c r="CT18" s="81">
        <v>13776.52839066</v>
      </c>
    </row>
    <row r="19" spans="1:98">
      <c r="A19" s="22">
        <v>1</v>
      </c>
      <c r="B19" s="37">
        <v>1</v>
      </c>
      <c r="C19" s="12" t="s">
        <v>239</v>
      </c>
      <c r="D19" s="12" t="s">
        <v>18</v>
      </c>
      <c r="E19" s="701"/>
      <c r="F19" s="701"/>
      <c r="G19" s="703"/>
      <c r="H19" s="720"/>
      <c r="I19" s="516">
        <v>30</v>
      </c>
      <c r="J19" s="34">
        <v>0.1</v>
      </c>
      <c r="K19" s="34">
        <v>0</v>
      </c>
      <c r="L19" s="23">
        <v>31.02</v>
      </c>
      <c r="M19" s="20">
        <v>31.9</v>
      </c>
      <c r="N19" s="20">
        <v>32.83</v>
      </c>
      <c r="O19" s="43">
        <v>32.130000000000003</v>
      </c>
      <c r="P19" s="497">
        <v>67087.44</v>
      </c>
      <c r="Q19" s="497">
        <v>6709</v>
      </c>
      <c r="R19" s="43">
        <v>0</v>
      </c>
      <c r="S19" s="28">
        <v>73796.44</v>
      </c>
      <c r="U19" s="28">
        <v>4575.3792800000001</v>
      </c>
      <c r="V19" s="28">
        <v>1070.0483800000002</v>
      </c>
      <c r="W19" s="28">
        <v>122.4</v>
      </c>
      <c r="X19" s="28">
        <v>41.999999999999986</v>
      </c>
      <c r="Y19" s="35">
        <v>5809.8276599999999</v>
      </c>
      <c r="Z19" s="115"/>
      <c r="AA19" s="35">
        <v>67087.44</v>
      </c>
      <c r="AB19" s="35">
        <v>73796.44</v>
      </c>
      <c r="AD19" s="46">
        <v>0.02</v>
      </c>
      <c r="AE19" s="434" t="s">
        <v>55</v>
      </c>
      <c r="AF19" s="35">
        <v>1475.9288000000001</v>
      </c>
      <c r="AG19" s="35">
        <v>3522.0906</v>
      </c>
      <c r="AH19" s="35">
        <v>0</v>
      </c>
      <c r="AI19" s="35">
        <v>100.63116000000001</v>
      </c>
      <c r="AK19" s="35">
        <v>23205.239999999998</v>
      </c>
      <c r="AL19" s="35">
        <v>-3493.44</v>
      </c>
      <c r="AM19" s="35">
        <v>19711.8</v>
      </c>
      <c r="AN19" s="35">
        <v>101000</v>
      </c>
      <c r="AO19" s="35">
        <v>208.464</v>
      </c>
      <c r="AP19" s="35">
        <v>24.240000000000002</v>
      </c>
      <c r="AQ19" s="35">
        <v>167.71860000000001</v>
      </c>
      <c r="AR19" s="35">
        <v>45.24</v>
      </c>
      <c r="AS19" s="35">
        <v>20157.462600000013</v>
      </c>
      <c r="AU19" s="102">
        <v>1</v>
      </c>
      <c r="AV19" s="102">
        <v>0</v>
      </c>
      <c r="AX19" s="35">
        <v>67087.44</v>
      </c>
      <c r="AY19" s="35">
        <v>6709</v>
      </c>
      <c r="AZ19" s="35">
        <v>0</v>
      </c>
      <c r="BA19" s="35">
        <v>73796.44</v>
      </c>
      <c r="BC19" s="35">
        <v>67087.44</v>
      </c>
      <c r="BD19" s="35">
        <v>6709</v>
      </c>
      <c r="BE19" s="35">
        <v>0</v>
      </c>
      <c r="BF19" s="35">
        <v>73796.44</v>
      </c>
      <c r="BH19" s="35">
        <v>4575.3792800000001</v>
      </c>
      <c r="BI19" s="35">
        <v>1070.0483800000002</v>
      </c>
      <c r="BJ19" s="35">
        <v>122.4</v>
      </c>
      <c r="BK19" s="35">
        <v>41.999999999999986</v>
      </c>
      <c r="BL19" s="35">
        <v>5809.8276599999999</v>
      </c>
      <c r="BN19" s="35">
        <v>4575.3792800000001</v>
      </c>
      <c r="BO19" s="35">
        <v>1070.0483800000002</v>
      </c>
      <c r="BP19" s="35">
        <v>122.4</v>
      </c>
      <c r="BQ19" s="35">
        <v>41.999999999999986</v>
      </c>
      <c r="BR19" s="35">
        <v>5809.8276599999999</v>
      </c>
      <c r="BT19" s="35">
        <v>1475.9288000000001</v>
      </c>
      <c r="BU19" s="35">
        <v>3522.0906</v>
      </c>
      <c r="BV19" s="35">
        <v>0</v>
      </c>
      <c r="BW19" s="35">
        <v>100.63116000000001</v>
      </c>
      <c r="BY19" s="35">
        <v>1475.9288000000001</v>
      </c>
      <c r="BZ19" s="35">
        <v>3522.0906</v>
      </c>
      <c r="CA19" s="35">
        <v>0</v>
      </c>
      <c r="CB19" s="35">
        <v>100.63116000000001</v>
      </c>
      <c r="CD19" s="35">
        <v>23205.239999999998</v>
      </c>
      <c r="CE19" s="35">
        <v>-3493.44</v>
      </c>
      <c r="CF19" s="35">
        <v>19711.8</v>
      </c>
      <c r="CG19" s="35">
        <v>208.464</v>
      </c>
      <c r="CH19" s="35">
        <v>24.240000000000002</v>
      </c>
      <c r="CI19" s="35">
        <v>167.71860000000001</v>
      </c>
      <c r="CJ19" s="35">
        <v>45.24</v>
      </c>
      <c r="CK19" s="35">
        <v>20157.462600000003</v>
      </c>
      <c r="CM19" s="35">
        <v>23205.239999999998</v>
      </c>
      <c r="CN19" s="35">
        <v>-3493.44</v>
      </c>
      <c r="CO19" s="35">
        <v>19711.8</v>
      </c>
      <c r="CP19" s="35">
        <v>208.464</v>
      </c>
      <c r="CQ19" s="35">
        <v>24.240000000000002</v>
      </c>
      <c r="CR19" s="35">
        <v>167.71860000000001</v>
      </c>
      <c r="CS19" s="35">
        <v>45.24</v>
      </c>
      <c r="CT19" s="35">
        <v>20157.462600000003</v>
      </c>
    </row>
    <row r="20" spans="1:98">
      <c r="A20" s="22">
        <v>1</v>
      </c>
      <c r="B20" s="37">
        <v>1</v>
      </c>
      <c r="C20" s="12" t="s">
        <v>226</v>
      </c>
      <c r="D20" s="12" t="s">
        <v>9</v>
      </c>
      <c r="E20" s="701"/>
      <c r="F20" s="701"/>
      <c r="G20" s="703"/>
      <c r="H20" s="720"/>
      <c r="I20" s="516">
        <v>35</v>
      </c>
      <c r="J20" s="34">
        <v>0.1</v>
      </c>
      <c r="K20" s="34">
        <v>0</v>
      </c>
      <c r="L20" s="23">
        <v>34.450000000000003</v>
      </c>
      <c r="M20" s="20">
        <v>35.43</v>
      </c>
      <c r="N20" s="20">
        <v>36.46</v>
      </c>
      <c r="O20" s="43">
        <v>35.68</v>
      </c>
      <c r="P20" s="497">
        <v>74499.839999999997</v>
      </c>
      <c r="Q20" s="497">
        <v>7450</v>
      </c>
      <c r="R20" s="43">
        <v>0</v>
      </c>
      <c r="S20" s="28">
        <v>81949.84</v>
      </c>
      <c r="U20" s="28">
        <v>5080.8900800000001</v>
      </c>
      <c r="V20" s="28">
        <v>1188.27268</v>
      </c>
      <c r="W20" s="28">
        <v>122.4</v>
      </c>
      <c r="X20" s="28">
        <v>41.999999999999986</v>
      </c>
      <c r="Y20" s="35">
        <v>6433.5627599999998</v>
      </c>
      <c r="Z20" s="115"/>
      <c r="AA20" s="35">
        <v>74499.839999999997</v>
      </c>
      <c r="AB20" s="35">
        <v>81949.84</v>
      </c>
      <c r="AD20" s="46">
        <v>0.04</v>
      </c>
      <c r="AE20" s="434" t="s">
        <v>55</v>
      </c>
      <c r="AF20" s="35">
        <v>3277.9935999999998</v>
      </c>
      <c r="AG20" s="35">
        <v>3911.2415999999998</v>
      </c>
      <c r="AH20" s="35">
        <v>0</v>
      </c>
      <c r="AI20" s="35">
        <v>1117.4975999999999</v>
      </c>
      <c r="AK20" s="35">
        <v>23205.239999999998</v>
      </c>
      <c r="AL20" s="35">
        <v>-3493.44</v>
      </c>
      <c r="AM20" s="35">
        <v>19711.8</v>
      </c>
      <c r="AN20" s="35">
        <v>112000</v>
      </c>
      <c r="AO20" s="35">
        <v>231.16800000000001</v>
      </c>
      <c r="AP20" s="35">
        <v>26.880000000000003</v>
      </c>
      <c r="AQ20" s="35">
        <v>186.24959999999999</v>
      </c>
      <c r="AR20" s="35">
        <v>45.24</v>
      </c>
      <c r="AS20" s="35">
        <v>20201.337599999999</v>
      </c>
      <c r="AU20" s="102">
        <v>1</v>
      </c>
      <c r="AV20" s="102">
        <v>0.99990000000000001</v>
      </c>
      <c r="AX20" s="35">
        <v>74499.839999999997</v>
      </c>
      <c r="AY20" s="35">
        <v>7450</v>
      </c>
      <c r="AZ20" s="35">
        <v>0</v>
      </c>
      <c r="BA20" s="35">
        <v>81949.84</v>
      </c>
      <c r="BC20" s="35">
        <v>7.449983999999179</v>
      </c>
      <c r="BD20" s="35">
        <v>7450</v>
      </c>
      <c r="BE20" s="35">
        <v>0</v>
      </c>
      <c r="BF20" s="35">
        <v>7457.4499839999989</v>
      </c>
      <c r="BH20" s="35">
        <v>5080.8900800000001</v>
      </c>
      <c r="BI20" s="35">
        <v>1188.27268</v>
      </c>
      <c r="BJ20" s="35">
        <v>122.4</v>
      </c>
      <c r="BK20" s="35">
        <v>41.999999999999986</v>
      </c>
      <c r="BL20" s="35">
        <v>6433.5627599999998</v>
      </c>
      <c r="BN20" s="35">
        <v>0.50808900799994405</v>
      </c>
      <c r="BO20" s="35">
        <v>0.11882726799998691</v>
      </c>
      <c r="BP20" s="35">
        <v>1.2239999999998653E-2</v>
      </c>
      <c r="BQ20" s="35">
        <v>4.1999999999995357E-3</v>
      </c>
      <c r="BR20" s="35">
        <v>0.64335627599992917</v>
      </c>
      <c r="BT20" s="35">
        <v>3277.9935999999998</v>
      </c>
      <c r="BU20" s="35">
        <v>3911.2415999999998</v>
      </c>
      <c r="BV20" s="35">
        <v>0</v>
      </c>
      <c r="BW20" s="35">
        <v>1117.4975999999999</v>
      </c>
      <c r="BY20" s="35">
        <v>0.3277993599999639</v>
      </c>
      <c r="BZ20" s="35">
        <v>0.39112415999995692</v>
      </c>
      <c r="CA20" s="35">
        <v>0</v>
      </c>
      <c r="CB20" s="35">
        <v>1117.4975999999999</v>
      </c>
      <c r="CD20" s="35">
        <v>23205.239999999998</v>
      </c>
      <c r="CE20" s="35">
        <v>-3493.44</v>
      </c>
      <c r="CF20" s="35">
        <v>19711.8</v>
      </c>
      <c r="CG20" s="35">
        <v>231.16800000000001</v>
      </c>
      <c r="CH20" s="35">
        <v>26.880000000000003</v>
      </c>
      <c r="CI20" s="35">
        <v>186.24959999999999</v>
      </c>
      <c r="CJ20" s="35">
        <v>45.24</v>
      </c>
      <c r="CK20" s="35">
        <v>20201.337600000003</v>
      </c>
      <c r="CM20" s="35">
        <v>2.320523999999744</v>
      </c>
      <c r="CN20" s="35">
        <v>-0.34934399999996152</v>
      </c>
      <c r="CO20" s="35">
        <v>1.9711799999997828</v>
      </c>
      <c r="CP20" s="35">
        <v>2.3116799999997453E-2</v>
      </c>
      <c r="CQ20" s="35">
        <v>2.6879999999997041E-3</v>
      </c>
      <c r="CR20" s="35">
        <v>1.8624959999997949E-2</v>
      </c>
      <c r="CS20" s="35">
        <v>4.5239999999995024E-3</v>
      </c>
      <c r="CT20" s="35">
        <v>2.0201337599997777</v>
      </c>
    </row>
    <row r="21" spans="1:98">
      <c r="A21" s="22">
        <v>1</v>
      </c>
      <c r="B21" s="37">
        <v>1</v>
      </c>
      <c r="C21" s="12" t="s">
        <v>226</v>
      </c>
      <c r="D21" s="12" t="s">
        <v>9</v>
      </c>
      <c r="E21" s="701"/>
      <c r="F21" s="701"/>
      <c r="G21" s="703"/>
      <c r="H21" s="720"/>
      <c r="I21" s="516">
        <v>40</v>
      </c>
      <c r="J21" s="34">
        <v>0.15</v>
      </c>
      <c r="K21" s="34">
        <v>0</v>
      </c>
      <c r="L21" s="23">
        <v>51.57</v>
      </c>
      <c r="M21" s="20">
        <v>53.04</v>
      </c>
      <c r="N21" s="20">
        <v>54.58</v>
      </c>
      <c r="O21" s="43">
        <v>53.42</v>
      </c>
      <c r="P21" s="497">
        <v>111540.96</v>
      </c>
      <c r="Q21" s="497">
        <v>16731</v>
      </c>
      <c r="R21" s="43">
        <v>0</v>
      </c>
      <c r="S21" s="28">
        <v>128271.96</v>
      </c>
      <c r="U21" s="28">
        <v>7952.8615200000004</v>
      </c>
      <c r="V21" s="28">
        <v>1859.9434200000003</v>
      </c>
      <c r="W21" s="28">
        <v>122.4</v>
      </c>
      <c r="X21" s="28">
        <v>41.999999999999986</v>
      </c>
      <c r="Y21" s="35">
        <v>9977.2049399999996</v>
      </c>
      <c r="Z21" s="115"/>
      <c r="AA21" s="35">
        <v>111540.96</v>
      </c>
      <c r="AB21" s="35">
        <v>128271.96</v>
      </c>
      <c r="AD21" s="46">
        <v>0.04</v>
      </c>
      <c r="AE21" s="434" t="s">
        <v>55</v>
      </c>
      <c r="AF21" s="35">
        <v>5130.8784000000005</v>
      </c>
      <c r="AG21" s="35">
        <v>5855.9004000000004</v>
      </c>
      <c r="AH21" s="35">
        <v>0</v>
      </c>
      <c r="AI21" s="35">
        <v>669.2457599999999</v>
      </c>
      <c r="AK21" s="35">
        <v>23205.239999999998</v>
      </c>
      <c r="AL21" s="35">
        <v>-3493.44</v>
      </c>
      <c r="AM21" s="35">
        <v>19711.8</v>
      </c>
      <c r="AN21" s="35">
        <v>168000</v>
      </c>
      <c r="AO21" s="35">
        <v>346.75199999999995</v>
      </c>
      <c r="AP21" s="35">
        <v>40.32</v>
      </c>
      <c r="AQ21" s="35">
        <v>278.85239999999999</v>
      </c>
      <c r="AR21" s="35">
        <v>45.24</v>
      </c>
      <c r="AS21" s="35">
        <v>20422.964399999997</v>
      </c>
      <c r="AU21" s="102">
        <v>0.94872388414055076</v>
      </c>
      <c r="AV21" s="102">
        <v>0.99990000000000001</v>
      </c>
      <c r="AX21" s="35">
        <v>105821.57281196582</v>
      </c>
      <c r="AY21" s="35">
        <v>15873.099305555555</v>
      </c>
      <c r="AZ21" s="35">
        <v>0</v>
      </c>
      <c r="BA21" s="35">
        <v>121694.67211752138</v>
      </c>
      <c r="BC21" s="35">
        <v>10.582157281195416</v>
      </c>
      <c r="BD21" s="35">
        <v>15873.099305555555</v>
      </c>
      <c r="BE21" s="35">
        <v>0</v>
      </c>
      <c r="BF21" s="35">
        <v>15883.68146283675</v>
      </c>
      <c r="BH21" s="35">
        <v>7545.0696712863246</v>
      </c>
      <c r="BI21" s="35">
        <v>1764.57274570406</v>
      </c>
      <c r="BJ21" s="35">
        <v>116.12380341880342</v>
      </c>
      <c r="BK21" s="35">
        <v>39.846403133903117</v>
      </c>
      <c r="BL21" s="35">
        <v>9465.6126235430893</v>
      </c>
      <c r="BN21" s="35">
        <v>0.75450696712854937</v>
      </c>
      <c r="BO21" s="35">
        <v>0.17645727457038657</v>
      </c>
      <c r="BP21" s="35">
        <v>1.1612380341879064E-2</v>
      </c>
      <c r="BQ21" s="35">
        <v>3.9846403133898724E-3</v>
      </c>
      <c r="BR21" s="35">
        <v>0.94656126235420479</v>
      </c>
      <c r="BT21" s="35">
        <v>4867.7868847008549</v>
      </c>
      <c r="BU21" s="35">
        <v>5555.6325726282048</v>
      </c>
      <c r="BV21" s="35">
        <v>0</v>
      </c>
      <c r="BW21" s="35">
        <v>634.92943687179479</v>
      </c>
      <c r="BY21" s="35">
        <v>0.48677868847003186</v>
      </c>
      <c r="BZ21" s="35">
        <v>0.55556325726275935</v>
      </c>
      <c r="CA21" s="35">
        <v>0</v>
      </c>
      <c r="CB21" s="35">
        <v>634.92943687179479</v>
      </c>
      <c r="CD21" s="35">
        <v>22015.365425213673</v>
      </c>
      <c r="CE21" s="35">
        <v>-3314.3099658119659</v>
      </c>
      <c r="CF21" s="35">
        <v>18701.055459401709</v>
      </c>
      <c r="CG21" s="35">
        <v>328.97190427350421</v>
      </c>
      <c r="CH21" s="35">
        <v>38.252547008547005</v>
      </c>
      <c r="CI21" s="35">
        <v>264.55393202991451</v>
      </c>
      <c r="CJ21" s="35">
        <v>42.920268518518519</v>
      </c>
      <c r="CK21" s="35">
        <v>19375.754111232192</v>
      </c>
      <c r="CM21" s="35">
        <v>2.2015365425211249</v>
      </c>
      <c r="CN21" s="35">
        <v>-0.3314309965811601</v>
      </c>
      <c r="CO21" s="35">
        <v>1.8701055459399649</v>
      </c>
      <c r="CP21" s="35">
        <v>3.2897190427346797E-2</v>
      </c>
      <c r="CQ21" s="35">
        <v>3.8252547008542793E-3</v>
      </c>
      <c r="CR21" s="35">
        <v>2.6455393202988536E-2</v>
      </c>
      <c r="CS21" s="35">
        <v>4.2920268518513794E-3</v>
      </c>
      <c r="CT21" s="35">
        <v>1.9375754111230059</v>
      </c>
    </row>
    <row r="22" spans="1:98">
      <c r="A22" s="22">
        <v>1</v>
      </c>
      <c r="B22" s="37">
        <v>1</v>
      </c>
      <c r="C22" s="12" t="s">
        <v>246</v>
      </c>
      <c r="D22" s="12" t="s">
        <v>247</v>
      </c>
      <c r="E22" s="701"/>
      <c r="F22" s="701"/>
      <c r="G22" s="703"/>
      <c r="H22" s="720"/>
      <c r="I22" s="516">
        <v>25</v>
      </c>
      <c r="J22" s="34">
        <v>0.05</v>
      </c>
      <c r="K22" s="34">
        <v>0</v>
      </c>
      <c r="L22" s="23">
        <v>27.12</v>
      </c>
      <c r="M22" s="20">
        <v>27.89</v>
      </c>
      <c r="N22" s="20">
        <v>28.7</v>
      </c>
      <c r="O22" s="43">
        <v>28.09</v>
      </c>
      <c r="P22" s="497">
        <v>58651.92</v>
      </c>
      <c r="Q22" s="497">
        <v>2933</v>
      </c>
      <c r="R22" s="43">
        <v>0</v>
      </c>
      <c r="S22" s="28">
        <v>61584.92</v>
      </c>
      <c r="U22" s="28">
        <v>3818.2650399999998</v>
      </c>
      <c r="V22" s="28">
        <v>892.98134000000005</v>
      </c>
      <c r="W22" s="28">
        <v>122.4</v>
      </c>
      <c r="X22" s="28">
        <v>41.999999999999986</v>
      </c>
      <c r="Y22" s="35">
        <v>4875.6463799999992</v>
      </c>
      <c r="Z22" s="115"/>
      <c r="AA22" s="35">
        <v>58651.92</v>
      </c>
      <c r="AB22" s="35">
        <v>61584.92</v>
      </c>
      <c r="AD22" s="46">
        <v>0.04</v>
      </c>
      <c r="AE22" s="434" t="s">
        <v>55</v>
      </c>
      <c r="AF22" s="35">
        <v>2463.3968</v>
      </c>
      <c r="AG22" s="35">
        <v>3079.2257999999997</v>
      </c>
      <c r="AH22" s="35">
        <v>0</v>
      </c>
      <c r="AI22" s="35">
        <v>0</v>
      </c>
      <c r="AK22" s="35">
        <v>8287.56</v>
      </c>
      <c r="AL22" s="35">
        <v>-1247.6399999999999</v>
      </c>
      <c r="AM22" s="35">
        <v>7039.92</v>
      </c>
      <c r="AN22" s="35">
        <v>88000</v>
      </c>
      <c r="AO22" s="35">
        <v>181.63199999999998</v>
      </c>
      <c r="AP22" s="35">
        <v>21.12</v>
      </c>
      <c r="AQ22" s="35">
        <v>146.62979999999999</v>
      </c>
      <c r="AR22" s="35">
        <v>45.24</v>
      </c>
      <c r="AS22" s="35">
        <v>7434.5417999999918</v>
      </c>
      <c r="AU22" s="102">
        <v>0.99787364508894416</v>
      </c>
      <c r="AV22" s="102">
        <v>3.15E-2</v>
      </c>
      <c r="AX22" s="35">
        <v>58527.205201865145</v>
      </c>
      <c r="AY22" s="35">
        <v>2926.7634010458733</v>
      </c>
      <c r="AZ22" s="35">
        <v>0</v>
      </c>
      <c r="BA22" s="35">
        <v>61453.968602911016</v>
      </c>
      <c r="BC22" s="35">
        <v>56683.598238006394</v>
      </c>
      <c r="BD22" s="35">
        <v>2926.7634010458733</v>
      </c>
      <c r="BE22" s="35">
        <v>0</v>
      </c>
      <c r="BF22" s="35">
        <v>59610.361639052266</v>
      </c>
      <c r="BH22" s="35">
        <v>3810.146053380483</v>
      </c>
      <c r="BI22" s="35">
        <v>891.08254474220985</v>
      </c>
      <c r="BJ22" s="35">
        <v>122.13973415888677</v>
      </c>
      <c r="BK22" s="35">
        <v>41.910693093735638</v>
      </c>
      <c r="BL22" s="35">
        <v>4865.2790253753155</v>
      </c>
      <c r="BN22" s="35">
        <v>3690.126452698998</v>
      </c>
      <c r="BO22" s="35">
        <v>863.01344458283029</v>
      </c>
      <c r="BP22" s="35">
        <v>118.29233253288184</v>
      </c>
      <c r="BQ22" s="35">
        <v>40.590506261282968</v>
      </c>
      <c r="BR22" s="35">
        <v>4712.0227360759927</v>
      </c>
      <c r="BT22" s="35">
        <v>2458.1587441164406</v>
      </c>
      <c r="BU22" s="35">
        <v>3072.6782730979198</v>
      </c>
      <c r="BV22" s="35">
        <v>0</v>
      </c>
      <c r="BW22" s="35">
        <v>0</v>
      </c>
      <c r="BY22" s="35">
        <v>2380.7267436767729</v>
      </c>
      <c r="BZ22" s="35">
        <v>2975.8889074953354</v>
      </c>
      <c r="CA22" s="35">
        <v>0</v>
      </c>
      <c r="CB22" s="35">
        <v>0</v>
      </c>
      <c r="CD22" s="35">
        <v>8269.9377060933293</v>
      </c>
      <c r="CE22" s="35">
        <v>-1244.9870745587702</v>
      </c>
      <c r="CF22" s="35">
        <v>7024.9506315345598</v>
      </c>
      <c r="CG22" s="35">
        <v>181.24578590479507</v>
      </c>
      <c r="CH22" s="35">
        <v>21.075091384278501</v>
      </c>
      <c r="CI22" s="35">
        <v>146.31801300466284</v>
      </c>
      <c r="CJ22" s="35">
        <v>45.143803703823835</v>
      </c>
      <c r="CK22" s="35">
        <v>7418.7333255321209</v>
      </c>
      <c r="CM22" s="35">
        <v>8009.4346683513895</v>
      </c>
      <c r="CN22" s="35">
        <v>-1205.7699817101691</v>
      </c>
      <c r="CO22" s="35">
        <v>6803.6646866412211</v>
      </c>
      <c r="CP22" s="35">
        <v>175.53654364879404</v>
      </c>
      <c r="CQ22" s="35">
        <v>20.411226005673729</v>
      </c>
      <c r="CR22" s="35">
        <v>141.70899559501598</v>
      </c>
      <c r="CS22" s="35">
        <v>43.721773887153383</v>
      </c>
      <c r="CT22" s="35">
        <v>7185.0432257778575</v>
      </c>
    </row>
    <row r="23" spans="1:98">
      <c r="A23" s="22">
        <v>1</v>
      </c>
      <c r="B23" s="37">
        <v>1</v>
      </c>
      <c r="C23" s="12" t="s">
        <v>218</v>
      </c>
      <c r="D23" s="12" t="s">
        <v>219</v>
      </c>
      <c r="E23" s="701"/>
      <c r="F23" s="701"/>
      <c r="G23" s="703"/>
      <c r="H23" s="720"/>
      <c r="I23" s="516">
        <v>35</v>
      </c>
      <c r="J23" s="34">
        <v>0.1</v>
      </c>
      <c r="K23" s="34">
        <v>0</v>
      </c>
      <c r="L23" s="23">
        <v>41.32</v>
      </c>
      <c r="M23" s="20">
        <v>42.5</v>
      </c>
      <c r="N23" s="20">
        <v>43.73</v>
      </c>
      <c r="O23" s="43">
        <v>42.8</v>
      </c>
      <c r="P23" s="497">
        <v>89366.399999999994</v>
      </c>
      <c r="Q23" s="497">
        <v>8937</v>
      </c>
      <c r="R23" s="43">
        <v>0</v>
      </c>
      <c r="S23" s="28">
        <v>98303.4</v>
      </c>
      <c r="U23" s="28">
        <v>6094.8107999999993</v>
      </c>
      <c r="V23" s="28">
        <v>1425.3993</v>
      </c>
      <c r="W23" s="28">
        <v>122.4</v>
      </c>
      <c r="X23" s="28">
        <v>41.999999999999986</v>
      </c>
      <c r="Y23" s="35">
        <v>7684.610099999999</v>
      </c>
      <c r="Z23" s="115"/>
      <c r="AA23" s="35">
        <v>89366.399999999994</v>
      </c>
      <c r="AB23" s="35">
        <v>98303.4</v>
      </c>
      <c r="AD23" s="46">
        <v>3.5000000000000003E-2</v>
      </c>
      <c r="AE23" s="434" t="s">
        <v>55</v>
      </c>
      <c r="AF23" s="35">
        <v>3440.6190000000001</v>
      </c>
      <c r="AG23" s="35">
        <v>4691.7359999999999</v>
      </c>
      <c r="AH23" s="35">
        <v>0</v>
      </c>
      <c r="AI23" s="35">
        <v>0</v>
      </c>
      <c r="AK23" s="35">
        <v>8890.3599999999988</v>
      </c>
      <c r="AL23" s="35">
        <v>-1343.8</v>
      </c>
      <c r="AM23" s="35">
        <v>7546.5599999999986</v>
      </c>
      <c r="AN23" s="35">
        <v>135000</v>
      </c>
      <c r="AO23" s="35">
        <v>278.63999999999993</v>
      </c>
      <c r="AP23" s="35">
        <v>32.400000000000006</v>
      </c>
      <c r="AQ23" s="35">
        <v>223.416</v>
      </c>
      <c r="AR23" s="35">
        <v>45.24</v>
      </c>
      <c r="AS23" s="35">
        <v>8126.2559999999939</v>
      </c>
      <c r="AU23" s="102">
        <v>1</v>
      </c>
      <c r="AV23" s="102">
        <v>2.5999999999999999E-2</v>
      </c>
      <c r="AX23" s="35">
        <v>89366.399999999994</v>
      </c>
      <c r="AY23" s="35">
        <v>8937</v>
      </c>
      <c r="AZ23" s="35">
        <v>0</v>
      </c>
      <c r="BA23" s="35">
        <v>98303.4</v>
      </c>
      <c r="BC23" s="35">
        <v>87042.873599999992</v>
      </c>
      <c r="BD23" s="35">
        <v>8937</v>
      </c>
      <c r="BE23" s="35">
        <v>0</v>
      </c>
      <c r="BF23" s="35">
        <v>95979.873599999992</v>
      </c>
      <c r="BH23" s="35">
        <v>6094.8107999999993</v>
      </c>
      <c r="BI23" s="35">
        <v>1425.3993</v>
      </c>
      <c r="BJ23" s="35">
        <v>122.4</v>
      </c>
      <c r="BK23" s="35">
        <v>41.999999999999986</v>
      </c>
      <c r="BL23" s="35">
        <v>7684.610099999999</v>
      </c>
      <c r="BN23" s="35">
        <v>5936.3457191999996</v>
      </c>
      <c r="BO23" s="35">
        <v>1388.3389182000001</v>
      </c>
      <c r="BP23" s="35">
        <v>119.2176</v>
      </c>
      <c r="BQ23" s="35">
        <v>40.907999999999987</v>
      </c>
      <c r="BR23" s="35">
        <v>7484.8102374</v>
      </c>
      <c r="BT23" s="35">
        <v>3440.6190000000001</v>
      </c>
      <c r="BU23" s="35">
        <v>4691.7359999999999</v>
      </c>
      <c r="BV23" s="35">
        <v>0</v>
      </c>
      <c r="BW23" s="35">
        <v>0</v>
      </c>
      <c r="BY23" s="35">
        <v>3351.162906</v>
      </c>
      <c r="BZ23" s="35">
        <v>4569.7508639999996</v>
      </c>
      <c r="CA23" s="35">
        <v>0</v>
      </c>
      <c r="CB23" s="35">
        <v>0</v>
      </c>
      <c r="CD23" s="35">
        <v>8890.3599999999988</v>
      </c>
      <c r="CE23" s="35">
        <v>-1343.8</v>
      </c>
      <c r="CF23" s="35">
        <v>7546.5599999999986</v>
      </c>
      <c r="CG23" s="35">
        <v>278.63999999999993</v>
      </c>
      <c r="CH23" s="35">
        <v>32.400000000000006</v>
      </c>
      <c r="CI23" s="35">
        <v>223.416</v>
      </c>
      <c r="CJ23" s="35">
        <v>45.24</v>
      </c>
      <c r="CK23" s="35">
        <v>8126.2559999999985</v>
      </c>
      <c r="CM23" s="35">
        <v>8659.2106399999993</v>
      </c>
      <c r="CN23" s="35">
        <v>-1308.8611999999998</v>
      </c>
      <c r="CO23" s="35">
        <v>7350.3494399999981</v>
      </c>
      <c r="CP23" s="35">
        <v>271.39535999999993</v>
      </c>
      <c r="CQ23" s="35">
        <v>31.557600000000004</v>
      </c>
      <c r="CR23" s="35">
        <v>217.60718399999999</v>
      </c>
      <c r="CS23" s="35">
        <v>44.063760000000002</v>
      </c>
      <c r="CT23" s="35">
        <v>7914.9733439999982</v>
      </c>
    </row>
    <row r="24" spans="1:98">
      <c r="A24" s="22">
        <v>1</v>
      </c>
      <c r="B24" s="37">
        <v>1</v>
      </c>
      <c r="C24" s="12" t="s">
        <v>246</v>
      </c>
      <c r="D24" s="12" t="s">
        <v>247</v>
      </c>
      <c r="E24" s="701"/>
      <c r="F24" s="701"/>
      <c r="G24" s="703"/>
      <c r="H24" s="720"/>
      <c r="I24" s="516">
        <v>40</v>
      </c>
      <c r="J24" s="34">
        <v>0.15</v>
      </c>
      <c r="K24" s="34">
        <v>0</v>
      </c>
      <c r="L24" s="23">
        <v>44.29</v>
      </c>
      <c r="M24" s="20">
        <v>45.55</v>
      </c>
      <c r="N24" s="20">
        <v>46.87</v>
      </c>
      <c r="O24" s="43">
        <v>45.88</v>
      </c>
      <c r="P24" s="497">
        <v>95797.440000000002</v>
      </c>
      <c r="Q24" s="497">
        <v>14370</v>
      </c>
      <c r="R24" s="43">
        <v>0</v>
      </c>
      <c r="S24" s="28">
        <v>110167.44</v>
      </c>
      <c r="U24" s="28">
        <v>6830.3812800000005</v>
      </c>
      <c r="V24" s="28">
        <v>1597.4278800000002</v>
      </c>
      <c r="W24" s="28">
        <v>122.4</v>
      </c>
      <c r="X24" s="28">
        <v>41.999999999999986</v>
      </c>
      <c r="Y24" s="35">
        <v>8592.2091600000003</v>
      </c>
      <c r="Z24" s="115"/>
      <c r="AA24" s="35">
        <v>95797.440000000002</v>
      </c>
      <c r="AB24" s="35">
        <v>110167.44</v>
      </c>
      <c r="AD24" s="46">
        <v>0.03</v>
      </c>
      <c r="AE24" s="434" t="s">
        <v>55</v>
      </c>
      <c r="AF24" s="35">
        <v>3305.0232000000001</v>
      </c>
      <c r="AG24" s="35">
        <v>5029.3656000000001</v>
      </c>
      <c r="AH24" s="35">
        <v>0</v>
      </c>
      <c r="AI24" s="35">
        <v>287.39231999999998</v>
      </c>
      <c r="AK24" s="35">
        <v>18232.559999999998</v>
      </c>
      <c r="AL24" s="35">
        <v>-2744.76</v>
      </c>
      <c r="AM24" s="35">
        <v>15487.799999999997</v>
      </c>
      <c r="AN24" s="35">
        <v>144000</v>
      </c>
      <c r="AO24" s="35">
        <v>297.21599999999995</v>
      </c>
      <c r="AP24" s="35">
        <v>34.56</v>
      </c>
      <c r="AQ24" s="35">
        <v>239.49360000000001</v>
      </c>
      <c r="AR24" s="35">
        <v>45.24</v>
      </c>
      <c r="AS24" s="35">
        <v>16104.30959999995</v>
      </c>
      <c r="AU24" s="102">
        <v>0.97916666666666663</v>
      </c>
      <c r="AV24" s="102">
        <v>6.7199999999999996E-2</v>
      </c>
      <c r="AX24" s="35">
        <v>93801.66</v>
      </c>
      <c r="AY24" s="35">
        <v>14070.625</v>
      </c>
      <c r="AZ24" s="35">
        <v>0</v>
      </c>
      <c r="BA24" s="35">
        <v>107872.285</v>
      </c>
      <c r="BC24" s="35">
        <v>87498.188448000001</v>
      </c>
      <c r="BD24" s="35">
        <v>14070.625</v>
      </c>
      <c r="BE24" s="35">
        <v>0</v>
      </c>
      <c r="BF24" s="35">
        <v>101568.813448</v>
      </c>
      <c r="BH24" s="35">
        <v>6688.0816700000005</v>
      </c>
      <c r="BI24" s="35">
        <v>1564.1481325000002</v>
      </c>
      <c r="BJ24" s="35">
        <v>119.85</v>
      </c>
      <c r="BK24" s="35">
        <v>41.124999999999986</v>
      </c>
      <c r="BL24" s="35">
        <v>8413.2048025000004</v>
      </c>
      <c r="BN24" s="35">
        <v>6238.642581776</v>
      </c>
      <c r="BO24" s="35">
        <v>1459.037377996</v>
      </c>
      <c r="BP24" s="35">
        <v>111.79607999999999</v>
      </c>
      <c r="BQ24" s="35">
        <v>38.361399999999982</v>
      </c>
      <c r="BR24" s="35">
        <v>7847.8374397719999</v>
      </c>
      <c r="BT24" s="35">
        <v>3236.1685499999999</v>
      </c>
      <c r="BU24" s="35">
        <v>4924.5871500000003</v>
      </c>
      <c r="BV24" s="35">
        <v>0</v>
      </c>
      <c r="BW24" s="35">
        <v>281.40497999999997</v>
      </c>
      <c r="BY24" s="35">
        <v>3018.6980234399998</v>
      </c>
      <c r="BZ24" s="35">
        <v>4593.6548935199999</v>
      </c>
      <c r="CA24" s="35">
        <v>0</v>
      </c>
      <c r="CB24" s="35">
        <v>281.40497999999997</v>
      </c>
      <c r="CD24" s="35">
        <v>17852.714999999997</v>
      </c>
      <c r="CE24" s="35">
        <v>-2687.5775000000003</v>
      </c>
      <c r="CF24" s="35">
        <v>15165.137499999997</v>
      </c>
      <c r="CG24" s="35">
        <v>291.02399999999994</v>
      </c>
      <c r="CH24" s="35">
        <v>33.840000000000003</v>
      </c>
      <c r="CI24" s="35">
        <v>234.50415000000001</v>
      </c>
      <c r="CJ24" s="35">
        <v>44.297499999999999</v>
      </c>
      <c r="CK24" s="35">
        <v>15768.803149999998</v>
      </c>
      <c r="CM24" s="35">
        <v>16653.012551999997</v>
      </c>
      <c r="CN24" s="35">
        <v>-2506.9722920000004</v>
      </c>
      <c r="CO24" s="35">
        <v>14146.040259999996</v>
      </c>
      <c r="CP24" s="35">
        <v>271.46718719999996</v>
      </c>
      <c r="CQ24" s="35">
        <v>31.565952000000003</v>
      </c>
      <c r="CR24" s="35">
        <v>218.74547111999999</v>
      </c>
      <c r="CS24" s="35">
        <v>41.320707999999996</v>
      </c>
      <c r="CT24" s="35">
        <v>14709.139578319997</v>
      </c>
    </row>
    <row r="25" spans="1:98">
      <c r="A25" s="22">
        <v>1</v>
      </c>
      <c r="B25" s="37">
        <v>1</v>
      </c>
      <c r="C25" s="12" t="s">
        <v>246</v>
      </c>
      <c r="D25" s="12" t="s">
        <v>247</v>
      </c>
      <c r="E25" s="701"/>
      <c r="F25" s="701"/>
      <c r="G25" s="703"/>
      <c r="H25" s="720"/>
      <c r="I25" s="516">
        <v>30</v>
      </c>
      <c r="J25" s="34">
        <v>0.1</v>
      </c>
      <c r="K25" s="34">
        <v>0</v>
      </c>
      <c r="L25" s="23">
        <v>29.24</v>
      </c>
      <c r="M25" s="20">
        <v>30.07</v>
      </c>
      <c r="N25" s="20">
        <v>30.94</v>
      </c>
      <c r="O25" s="43">
        <v>30.28</v>
      </c>
      <c r="P25" s="497">
        <v>63224.639999999999</v>
      </c>
      <c r="Q25" s="497">
        <v>6322</v>
      </c>
      <c r="R25" s="43">
        <v>0</v>
      </c>
      <c r="S25" s="28">
        <v>69546.64</v>
      </c>
      <c r="U25" s="28">
        <v>4311.8916799999997</v>
      </c>
      <c r="V25" s="28">
        <v>1008.42628</v>
      </c>
      <c r="W25" s="28">
        <v>122.4</v>
      </c>
      <c r="X25" s="28">
        <v>41.999999999999986</v>
      </c>
      <c r="Y25" s="35">
        <v>5484.717959999999</v>
      </c>
      <c r="Z25" s="115"/>
      <c r="AA25" s="35">
        <v>63224.639999999999</v>
      </c>
      <c r="AB25" s="35">
        <v>69546.64</v>
      </c>
      <c r="AD25" s="46">
        <v>0</v>
      </c>
      <c r="AE25" s="434">
        <v>0</v>
      </c>
      <c r="AF25" s="35">
        <v>0</v>
      </c>
      <c r="AG25" s="35">
        <v>3319.2936</v>
      </c>
      <c r="AH25" s="35">
        <v>0</v>
      </c>
      <c r="AI25" s="35">
        <v>474.1848</v>
      </c>
      <c r="AK25" s="35">
        <v>19061.440000000002</v>
      </c>
      <c r="AL25" s="35">
        <v>-2869.48</v>
      </c>
      <c r="AM25" s="35">
        <v>16191.960000000003</v>
      </c>
      <c r="AN25" s="35">
        <v>95000</v>
      </c>
      <c r="AO25" s="35">
        <v>196.07999999999998</v>
      </c>
      <c r="AP25" s="35">
        <v>22.799999999999997</v>
      </c>
      <c r="AQ25" s="35">
        <v>158.0616</v>
      </c>
      <c r="AR25" s="35">
        <v>45.24</v>
      </c>
      <c r="AS25" s="35">
        <v>16614.141600000017</v>
      </c>
      <c r="AU25" s="102">
        <v>1</v>
      </c>
      <c r="AV25" s="102">
        <v>0.13850000000000001</v>
      </c>
      <c r="AX25" s="35">
        <v>63224.639999999999</v>
      </c>
      <c r="AY25" s="35">
        <v>6322</v>
      </c>
      <c r="AZ25" s="35">
        <v>0</v>
      </c>
      <c r="BA25" s="35">
        <v>69546.64</v>
      </c>
      <c r="BC25" s="35">
        <v>54468.027359999993</v>
      </c>
      <c r="BD25" s="35">
        <v>6322</v>
      </c>
      <c r="BE25" s="35">
        <v>0</v>
      </c>
      <c r="BF25" s="35">
        <v>60790.027359999993</v>
      </c>
      <c r="BH25" s="35">
        <v>4311.8916799999997</v>
      </c>
      <c r="BI25" s="35">
        <v>1008.42628</v>
      </c>
      <c r="BJ25" s="35">
        <v>122.4</v>
      </c>
      <c r="BK25" s="35">
        <v>41.999999999999986</v>
      </c>
      <c r="BL25" s="35">
        <v>5484.717959999999</v>
      </c>
      <c r="BN25" s="35">
        <v>3714.6946823199996</v>
      </c>
      <c r="BO25" s="35">
        <v>868.75924021999992</v>
      </c>
      <c r="BP25" s="35">
        <v>105.44759999999999</v>
      </c>
      <c r="BQ25" s="35">
        <v>36.182999999999986</v>
      </c>
      <c r="BR25" s="35">
        <v>4725.0845225399999</v>
      </c>
      <c r="BT25" s="35">
        <v>0</v>
      </c>
      <c r="BU25" s="35">
        <v>3319.2936</v>
      </c>
      <c r="BV25" s="35">
        <v>0</v>
      </c>
      <c r="BW25" s="35">
        <v>474.1848</v>
      </c>
      <c r="BY25" s="35">
        <v>0</v>
      </c>
      <c r="BZ25" s="35">
        <v>2859.5714363999996</v>
      </c>
      <c r="CA25" s="35">
        <v>0</v>
      </c>
      <c r="CB25" s="35">
        <v>474.1848</v>
      </c>
      <c r="CD25" s="35">
        <v>19061.440000000002</v>
      </c>
      <c r="CE25" s="35">
        <v>-2869.48</v>
      </c>
      <c r="CF25" s="35">
        <v>16191.960000000003</v>
      </c>
      <c r="CG25" s="35">
        <v>196.07999999999998</v>
      </c>
      <c r="CH25" s="35">
        <v>22.799999999999997</v>
      </c>
      <c r="CI25" s="35">
        <v>158.0616</v>
      </c>
      <c r="CJ25" s="35">
        <v>45.24</v>
      </c>
      <c r="CK25" s="35">
        <v>16614.141600000006</v>
      </c>
      <c r="CM25" s="35">
        <v>16421.430560000001</v>
      </c>
      <c r="CN25" s="35">
        <v>-2472.0570199999997</v>
      </c>
      <c r="CO25" s="35">
        <v>13949.373540000001</v>
      </c>
      <c r="CP25" s="35">
        <v>168.92291999999998</v>
      </c>
      <c r="CQ25" s="35">
        <v>19.642199999999995</v>
      </c>
      <c r="CR25" s="35">
        <v>136.17006839999999</v>
      </c>
      <c r="CS25" s="35">
        <v>38.974260000000001</v>
      </c>
      <c r="CT25" s="35">
        <v>14313.082988400003</v>
      </c>
    </row>
    <row r="26" spans="1:98">
      <c r="A26" s="22">
        <v>1</v>
      </c>
      <c r="B26" s="37">
        <v>1</v>
      </c>
      <c r="C26" s="12" t="s">
        <v>204</v>
      </c>
      <c r="D26" s="12" t="s">
        <v>5</v>
      </c>
      <c r="E26" s="701"/>
      <c r="F26" s="701"/>
      <c r="G26" s="703"/>
      <c r="H26" s="720"/>
      <c r="I26" s="516">
        <v>40</v>
      </c>
      <c r="J26" s="34">
        <v>0.15</v>
      </c>
      <c r="K26" s="34">
        <v>0</v>
      </c>
      <c r="L26" s="23">
        <v>43.97</v>
      </c>
      <c r="M26" s="20">
        <v>45.22</v>
      </c>
      <c r="N26" s="20">
        <v>46.53</v>
      </c>
      <c r="O26" s="43">
        <v>45.54</v>
      </c>
      <c r="P26" s="497">
        <v>95087.52</v>
      </c>
      <c r="Q26" s="497">
        <v>14263</v>
      </c>
      <c r="R26" s="43">
        <v>0</v>
      </c>
      <c r="S26" s="28">
        <v>109350.52</v>
      </c>
      <c r="U26" s="28">
        <v>6779.7322400000003</v>
      </c>
      <c r="V26" s="28">
        <v>1585.5825400000001</v>
      </c>
      <c r="W26" s="28">
        <v>122.4</v>
      </c>
      <c r="X26" s="28">
        <v>41.999999999999986</v>
      </c>
      <c r="Y26" s="35">
        <v>8529.7147800000002</v>
      </c>
      <c r="Z26" s="115"/>
      <c r="AA26" s="35">
        <v>95087.52</v>
      </c>
      <c r="AB26" s="35">
        <v>109350.52</v>
      </c>
      <c r="AD26" s="46">
        <v>0.04</v>
      </c>
      <c r="AE26" s="434" t="s">
        <v>55</v>
      </c>
      <c r="AF26" s="35">
        <v>4374.0208000000002</v>
      </c>
      <c r="AG26" s="35">
        <v>4992.0947999999999</v>
      </c>
      <c r="AH26" s="35">
        <v>0</v>
      </c>
      <c r="AI26" s="35">
        <v>0</v>
      </c>
      <c r="AK26" s="35">
        <v>8287.56</v>
      </c>
      <c r="AL26" s="35">
        <v>-1247.6399999999999</v>
      </c>
      <c r="AM26" s="35">
        <v>7039.92</v>
      </c>
      <c r="AN26" s="35">
        <v>143000</v>
      </c>
      <c r="AO26" s="35">
        <v>295.15199999999993</v>
      </c>
      <c r="AP26" s="35">
        <v>34.32</v>
      </c>
      <c r="AQ26" s="35">
        <v>237.71880000000002</v>
      </c>
      <c r="AR26" s="35">
        <v>45.24</v>
      </c>
      <c r="AS26" s="35">
        <v>7652.3508000000147</v>
      </c>
      <c r="AU26" s="102">
        <v>0.99967948717948707</v>
      </c>
      <c r="AV26" s="102">
        <v>1.5800000000000002E-2</v>
      </c>
      <c r="AX26" s="35">
        <v>95057.043230769224</v>
      </c>
      <c r="AY26" s="35">
        <v>14258.428525641024</v>
      </c>
      <c r="AZ26" s="35">
        <v>0</v>
      </c>
      <c r="BA26" s="35">
        <v>109315.47175641025</v>
      </c>
      <c r="BC26" s="35">
        <v>93555.141947723067</v>
      </c>
      <c r="BD26" s="35">
        <v>14258.428525641024</v>
      </c>
      <c r="BE26" s="35">
        <v>0</v>
      </c>
      <c r="BF26" s="35">
        <v>107813.57047336409</v>
      </c>
      <c r="BH26" s="35">
        <v>6777.5592488974353</v>
      </c>
      <c r="BI26" s="35">
        <v>1585.0743404679486</v>
      </c>
      <c r="BJ26" s="35">
        <v>122.36076923076922</v>
      </c>
      <c r="BK26" s="35">
        <v>41.986538461538444</v>
      </c>
      <c r="BL26" s="35">
        <v>8526.9808970576905</v>
      </c>
      <c r="BN26" s="35">
        <v>6670.4738127648552</v>
      </c>
      <c r="BO26" s="35">
        <v>1560.0301658885548</v>
      </c>
      <c r="BP26" s="35">
        <v>120.42746907692306</v>
      </c>
      <c r="BQ26" s="35">
        <v>41.323151153846133</v>
      </c>
      <c r="BR26" s="35">
        <v>8392.2545988841812</v>
      </c>
      <c r="BT26" s="35">
        <v>4372.6188702564104</v>
      </c>
      <c r="BU26" s="35">
        <v>4990.494769615384</v>
      </c>
      <c r="BV26" s="35">
        <v>0</v>
      </c>
      <c r="BW26" s="35">
        <v>0</v>
      </c>
      <c r="BY26" s="35">
        <v>4303.5314921063591</v>
      </c>
      <c r="BZ26" s="35">
        <v>4911.6449522554603</v>
      </c>
      <c r="CA26" s="35">
        <v>0</v>
      </c>
      <c r="CB26" s="35">
        <v>0</v>
      </c>
      <c r="CD26" s="35">
        <v>8284.9037307692288</v>
      </c>
      <c r="CE26" s="35">
        <v>-1247.2401153846151</v>
      </c>
      <c r="CF26" s="35">
        <v>7037.6636153846148</v>
      </c>
      <c r="CG26" s="35">
        <v>295.05739999999992</v>
      </c>
      <c r="CH26" s="35">
        <v>34.308999999999997</v>
      </c>
      <c r="CI26" s="35">
        <v>237.64260807692307</v>
      </c>
      <c r="CJ26" s="35">
        <v>45.225499999999997</v>
      </c>
      <c r="CK26" s="35">
        <v>7649.8981234615376</v>
      </c>
      <c r="CM26" s="35">
        <v>8154.0022518230744</v>
      </c>
      <c r="CN26" s="35">
        <v>-1227.5337215615382</v>
      </c>
      <c r="CO26" s="35">
        <v>6926.468530261538</v>
      </c>
      <c r="CP26" s="35">
        <v>290.39549307999988</v>
      </c>
      <c r="CQ26" s="35">
        <v>33.766917799999995</v>
      </c>
      <c r="CR26" s="35">
        <v>233.88785486930769</v>
      </c>
      <c r="CS26" s="35">
        <v>44.510937099999992</v>
      </c>
      <c r="CT26" s="35">
        <v>7529.029733110845</v>
      </c>
    </row>
    <row r="27" spans="1:98">
      <c r="A27" s="22">
        <v>1</v>
      </c>
      <c r="B27" s="37">
        <v>1</v>
      </c>
      <c r="C27" s="12" t="s">
        <v>246</v>
      </c>
      <c r="D27" s="12" t="s">
        <v>247</v>
      </c>
      <c r="E27" s="701"/>
      <c r="F27" s="701"/>
      <c r="G27" s="703"/>
      <c r="H27" s="720"/>
      <c r="I27" s="516">
        <v>25</v>
      </c>
      <c r="J27" s="34">
        <v>0.05</v>
      </c>
      <c r="K27" s="34">
        <v>0</v>
      </c>
      <c r="L27" s="23">
        <v>24.53</v>
      </c>
      <c r="M27" s="20">
        <v>25.23</v>
      </c>
      <c r="N27" s="20">
        <v>25.96</v>
      </c>
      <c r="O27" s="43">
        <v>25.41</v>
      </c>
      <c r="P27" s="497">
        <v>53056.08</v>
      </c>
      <c r="Q27" s="497">
        <v>2653</v>
      </c>
      <c r="R27" s="43">
        <v>0</v>
      </c>
      <c r="S27" s="28">
        <v>55709.08</v>
      </c>
      <c r="U27" s="28">
        <v>3453.9629600000003</v>
      </c>
      <c r="V27" s="28">
        <v>807.7816600000001</v>
      </c>
      <c r="W27" s="28">
        <v>122.4</v>
      </c>
      <c r="X27" s="28">
        <v>41.999999999999986</v>
      </c>
      <c r="Y27" s="35">
        <v>4426.14462</v>
      </c>
      <c r="Z27" s="115"/>
      <c r="AA27" s="35">
        <v>53056.08</v>
      </c>
      <c r="AB27" s="35">
        <v>55709.08</v>
      </c>
      <c r="AD27" s="46">
        <v>3.5000000000000003E-2</v>
      </c>
      <c r="AE27" s="434" t="s">
        <v>55</v>
      </c>
      <c r="AF27" s="35">
        <v>1949.8178000000003</v>
      </c>
      <c r="AG27" s="35">
        <v>2785.4441999999999</v>
      </c>
      <c r="AH27" s="35">
        <v>0</v>
      </c>
      <c r="AI27" s="35">
        <v>0</v>
      </c>
      <c r="AK27" s="35">
        <v>18232.559999999998</v>
      </c>
      <c r="AL27" s="35">
        <v>-2744.76</v>
      </c>
      <c r="AM27" s="35">
        <v>15487.799999999997</v>
      </c>
      <c r="AN27" s="35">
        <v>80000</v>
      </c>
      <c r="AO27" s="35">
        <v>165.11999999999998</v>
      </c>
      <c r="AP27" s="35">
        <v>19.200000000000003</v>
      </c>
      <c r="AQ27" s="35">
        <v>132.64019999999999</v>
      </c>
      <c r="AR27" s="35">
        <v>45.24</v>
      </c>
      <c r="AS27" s="35">
        <v>15850.000199999995</v>
      </c>
      <c r="AU27" s="102">
        <v>0.99787364508894416</v>
      </c>
      <c r="AV27" s="102">
        <v>3.15E-2</v>
      </c>
      <c r="AX27" s="35">
        <v>52943.263943730628</v>
      </c>
      <c r="AY27" s="35">
        <v>2647.3587804209687</v>
      </c>
      <c r="AZ27" s="35">
        <v>0</v>
      </c>
      <c r="BA27" s="35">
        <v>55590.622724151595</v>
      </c>
      <c r="BC27" s="35">
        <v>51275.551129503117</v>
      </c>
      <c r="BD27" s="35">
        <v>2647.3587804209687</v>
      </c>
      <c r="BE27" s="35">
        <v>0</v>
      </c>
      <c r="BF27" s="35">
        <v>53922.909909924085</v>
      </c>
      <c r="BH27" s="35">
        <v>3446.6186088973996</v>
      </c>
      <c r="BI27" s="35">
        <v>806.06402950019822</v>
      </c>
      <c r="BJ27" s="35">
        <v>122.13973415888677</v>
      </c>
      <c r="BK27" s="35">
        <v>41.910693093735638</v>
      </c>
      <c r="BL27" s="35">
        <v>4416.7330656502199</v>
      </c>
      <c r="BN27" s="35">
        <v>3338.0501227171317</v>
      </c>
      <c r="BO27" s="35">
        <v>780.67301257094198</v>
      </c>
      <c r="BP27" s="35">
        <v>118.29233253288184</v>
      </c>
      <c r="BQ27" s="35">
        <v>40.590506261282968</v>
      </c>
      <c r="BR27" s="35">
        <v>4277.6059740822384</v>
      </c>
      <c r="BT27" s="35">
        <v>1945.6717953453062</v>
      </c>
      <c r="BU27" s="35">
        <v>2779.5213570458577</v>
      </c>
      <c r="BV27" s="35">
        <v>0</v>
      </c>
      <c r="BW27" s="35">
        <v>0</v>
      </c>
      <c r="BY27" s="35">
        <v>1884.3831337919291</v>
      </c>
      <c r="BZ27" s="35">
        <v>2691.9664342989131</v>
      </c>
      <c r="CA27" s="35">
        <v>0</v>
      </c>
      <c r="CB27" s="35">
        <v>0</v>
      </c>
      <c r="CD27" s="35">
        <v>18193.791106502878</v>
      </c>
      <c r="CE27" s="35">
        <v>-2738.9236660943307</v>
      </c>
      <c r="CF27" s="35">
        <v>15454.867440408547</v>
      </c>
      <c r="CG27" s="35">
        <v>164.76889627708644</v>
      </c>
      <c r="CH27" s="35">
        <v>19.159173985707731</v>
      </c>
      <c r="CI27" s="35">
        <v>132.35815985932658</v>
      </c>
      <c r="CJ27" s="35">
        <v>45.143803703823835</v>
      </c>
      <c r="CK27" s="35">
        <v>15816.297474234492</v>
      </c>
      <c r="CM27" s="35">
        <v>17620.686686648038</v>
      </c>
      <c r="CN27" s="35">
        <v>-2652.6475706123592</v>
      </c>
      <c r="CO27" s="35">
        <v>14968.039116035678</v>
      </c>
      <c r="CP27" s="35">
        <v>159.57867604435822</v>
      </c>
      <c r="CQ27" s="35">
        <v>18.555660005157939</v>
      </c>
      <c r="CR27" s="35">
        <v>128.18887782375779</v>
      </c>
      <c r="CS27" s="35">
        <v>43.721773887153383</v>
      </c>
      <c r="CT27" s="35">
        <v>15318.084103796105</v>
      </c>
    </row>
    <row r="28" spans="1:98">
      <c r="A28" s="22">
        <v>1</v>
      </c>
      <c r="B28" s="37">
        <v>1</v>
      </c>
      <c r="C28" s="12" t="s">
        <v>285</v>
      </c>
      <c r="D28" s="12" t="s">
        <v>286</v>
      </c>
      <c r="E28" s="701"/>
      <c r="F28" s="701"/>
      <c r="G28" s="703"/>
      <c r="H28" s="720"/>
      <c r="I28" s="516">
        <v>35</v>
      </c>
      <c r="J28" s="34">
        <v>0.1</v>
      </c>
      <c r="K28" s="34">
        <v>0</v>
      </c>
      <c r="L28" s="23">
        <v>33.65</v>
      </c>
      <c r="M28" s="20">
        <v>34.61</v>
      </c>
      <c r="N28" s="20">
        <v>35.61</v>
      </c>
      <c r="O28" s="43">
        <v>34.86</v>
      </c>
      <c r="P28" s="497">
        <v>72787.679999999993</v>
      </c>
      <c r="Q28" s="497">
        <v>7279</v>
      </c>
      <c r="R28" s="43">
        <v>0</v>
      </c>
      <c r="S28" s="28">
        <v>80066.679999999993</v>
      </c>
      <c r="U28" s="28">
        <v>4964.1341599999996</v>
      </c>
      <c r="V28" s="28">
        <v>1160.96686</v>
      </c>
      <c r="W28" s="28">
        <v>122.4</v>
      </c>
      <c r="X28" s="28">
        <v>41.999999999999986</v>
      </c>
      <c r="Y28" s="35">
        <v>6289.5010199999997</v>
      </c>
      <c r="Z28" s="115"/>
      <c r="AA28" s="35">
        <v>72787.679999999993</v>
      </c>
      <c r="AB28" s="35">
        <v>80066.679999999993</v>
      </c>
      <c r="AD28" s="46">
        <v>0.04</v>
      </c>
      <c r="AE28" s="434" t="s">
        <v>55</v>
      </c>
      <c r="AF28" s="35">
        <v>3202.6671999999999</v>
      </c>
      <c r="AG28" s="35">
        <v>3821.3531999999996</v>
      </c>
      <c r="AH28" s="35">
        <v>0</v>
      </c>
      <c r="AI28" s="35">
        <v>109.18151999999998</v>
      </c>
      <c r="AK28" s="35">
        <v>23205.239999999998</v>
      </c>
      <c r="AL28" s="35">
        <v>-3493.44</v>
      </c>
      <c r="AM28" s="35">
        <v>19711.8</v>
      </c>
      <c r="AN28" s="35">
        <v>110000</v>
      </c>
      <c r="AO28" s="35">
        <v>227.04000000000002</v>
      </c>
      <c r="AP28" s="35">
        <v>26.400000000000002</v>
      </c>
      <c r="AQ28" s="35">
        <v>181.96919999999997</v>
      </c>
      <c r="AR28" s="35">
        <v>45.24</v>
      </c>
      <c r="AS28" s="35">
        <v>20192.449200000003</v>
      </c>
      <c r="AU28" s="102">
        <v>1</v>
      </c>
      <c r="AV28" s="102">
        <v>0.43259999999999998</v>
      </c>
      <c r="AX28" s="35">
        <v>72787.679999999993</v>
      </c>
      <c r="AY28" s="35">
        <v>7279</v>
      </c>
      <c r="AZ28" s="35">
        <v>0</v>
      </c>
      <c r="BA28" s="35">
        <v>80066.679999999993</v>
      </c>
      <c r="BC28" s="35">
        <v>41299.729631999995</v>
      </c>
      <c r="BD28" s="35">
        <v>7279</v>
      </c>
      <c r="BE28" s="35">
        <v>0</v>
      </c>
      <c r="BF28" s="35">
        <v>48578.729631999995</v>
      </c>
      <c r="BH28" s="35">
        <v>4964.1341599999996</v>
      </c>
      <c r="BI28" s="35">
        <v>1160.96686</v>
      </c>
      <c r="BJ28" s="35">
        <v>122.4</v>
      </c>
      <c r="BK28" s="35">
        <v>41.999999999999986</v>
      </c>
      <c r="BL28" s="35">
        <v>6289.5010199999997</v>
      </c>
      <c r="BN28" s="35">
        <v>2816.6497223839997</v>
      </c>
      <c r="BO28" s="35">
        <v>658.73259636399996</v>
      </c>
      <c r="BP28" s="35">
        <v>69.449760000000012</v>
      </c>
      <c r="BQ28" s="35">
        <v>23.830799999999993</v>
      </c>
      <c r="BR28" s="35">
        <v>3568.6628787479999</v>
      </c>
      <c r="BT28" s="35">
        <v>3202.6671999999999</v>
      </c>
      <c r="BU28" s="35">
        <v>3821.3531999999996</v>
      </c>
      <c r="BV28" s="35">
        <v>0</v>
      </c>
      <c r="BW28" s="35">
        <v>109.18151999999998</v>
      </c>
      <c r="BY28" s="35">
        <v>1817.1933692800001</v>
      </c>
      <c r="BZ28" s="35">
        <v>2168.2358056799999</v>
      </c>
      <c r="CA28" s="35">
        <v>0</v>
      </c>
      <c r="CB28" s="35">
        <v>109.18151999999998</v>
      </c>
      <c r="CD28" s="35">
        <v>23205.239999999998</v>
      </c>
      <c r="CE28" s="35">
        <v>-3493.44</v>
      </c>
      <c r="CF28" s="35">
        <v>19711.8</v>
      </c>
      <c r="CG28" s="35">
        <v>227.04000000000002</v>
      </c>
      <c r="CH28" s="35">
        <v>26.400000000000002</v>
      </c>
      <c r="CI28" s="35">
        <v>181.96919999999997</v>
      </c>
      <c r="CJ28" s="35">
        <v>45.24</v>
      </c>
      <c r="CK28" s="35">
        <v>20192.449200000003</v>
      </c>
      <c r="CM28" s="35">
        <v>13166.653176</v>
      </c>
      <c r="CN28" s="35">
        <v>-1982.177856</v>
      </c>
      <c r="CO28" s="35">
        <v>11184.47532</v>
      </c>
      <c r="CP28" s="35">
        <v>128.822496</v>
      </c>
      <c r="CQ28" s="35">
        <v>14.979360000000002</v>
      </c>
      <c r="CR28" s="35">
        <v>103.24932407999999</v>
      </c>
      <c r="CS28" s="35">
        <v>25.669176</v>
      </c>
      <c r="CT28" s="35">
        <v>11457.195676079999</v>
      </c>
    </row>
    <row r="29" spans="1:98">
      <c r="A29" s="22">
        <v>1</v>
      </c>
      <c r="B29" s="37">
        <v>1</v>
      </c>
      <c r="C29" s="12" t="s">
        <v>314</v>
      </c>
      <c r="D29" s="12" t="s">
        <v>315</v>
      </c>
      <c r="E29" s="701"/>
      <c r="F29" s="701"/>
      <c r="G29" s="703"/>
      <c r="H29" s="720"/>
      <c r="I29" s="516">
        <v>30</v>
      </c>
      <c r="J29" s="34">
        <v>0.1</v>
      </c>
      <c r="K29" s="34">
        <v>0</v>
      </c>
      <c r="L29" s="23">
        <v>35.380000000000003</v>
      </c>
      <c r="M29" s="20">
        <v>36.39</v>
      </c>
      <c r="N29" s="20">
        <v>37.450000000000003</v>
      </c>
      <c r="O29" s="43">
        <v>36.65</v>
      </c>
      <c r="P29" s="497">
        <v>76525.2</v>
      </c>
      <c r="Q29" s="497">
        <v>7653</v>
      </c>
      <c r="R29" s="43">
        <v>0</v>
      </c>
      <c r="S29" s="28">
        <v>84178.2</v>
      </c>
      <c r="U29" s="28">
        <v>5219.0483999999997</v>
      </c>
      <c r="V29" s="28">
        <v>1220.5839000000001</v>
      </c>
      <c r="W29" s="28">
        <v>122.4</v>
      </c>
      <c r="X29" s="28">
        <v>41.999999999999986</v>
      </c>
      <c r="Y29" s="35">
        <v>6604.0322999999989</v>
      </c>
      <c r="Z29" s="115"/>
      <c r="AA29" s="35">
        <v>76525.2</v>
      </c>
      <c r="AB29" s="35">
        <v>84178.2</v>
      </c>
      <c r="AD29" s="46">
        <v>0.04</v>
      </c>
      <c r="AE29" s="434" t="s">
        <v>55</v>
      </c>
      <c r="AF29" s="35">
        <v>3367.1280000000002</v>
      </c>
      <c r="AG29" s="35">
        <v>4017.5729999999999</v>
      </c>
      <c r="AH29" s="35">
        <v>0</v>
      </c>
      <c r="AI29" s="35">
        <v>0</v>
      </c>
      <c r="AK29" s="35">
        <v>21906.839999999997</v>
      </c>
      <c r="AL29" s="35">
        <v>-3286.08</v>
      </c>
      <c r="AM29" s="35">
        <v>18620.759999999995</v>
      </c>
      <c r="AN29" s="35">
        <v>115000</v>
      </c>
      <c r="AO29" s="35">
        <v>237.36</v>
      </c>
      <c r="AP29" s="35">
        <v>27.599999999999998</v>
      </c>
      <c r="AQ29" s="35">
        <v>191.31299999999999</v>
      </c>
      <c r="AR29" s="35">
        <v>45.24</v>
      </c>
      <c r="AS29" s="35">
        <v>19122.272999999986</v>
      </c>
      <c r="AU29" s="102">
        <v>0.97924976258309593</v>
      </c>
      <c r="AV29" s="102">
        <v>0.38229999999999997</v>
      </c>
      <c r="AX29" s="35">
        <v>74937.283931623926</v>
      </c>
      <c r="AY29" s="35">
        <v>7494.1984330484329</v>
      </c>
      <c r="AZ29" s="35">
        <v>0</v>
      </c>
      <c r="BA29" s="35">
        <v>82431.482364672353</v>
      </c>
      <c r="BC29" s="35">
        <v>46288.760284564101</v>
      </c>
      <c r="BD29" s="35">
        <v>7494.1984330484329</v>
      </c>
      <c r="BE29" s="35">
        <v>0</v>
      </c>
      <c r="BF29" s="35">
        <v>53782.958717612535</v>
      </c>
      <c r="BH29" s="35">
        <v>5110.7519066096866</v>
      </c>
      <c r="BI29" s="35">
        <v>1195.2564942877493</v>
      </c>
      <c r="BJ29" s="35">
        <v>119.86017094017095</v>
      </c>
      <c r="BK29" s="35">
        <v>41.128490028490013</v>
      </c>
      <c r="BL29" s="35">
        <v>6466.9970618660964</v>
      </c>
      <c r="BN29" s="35">
        <v>3156.9114527128036</v>
      </c>
      <c r="BO29" s="35">
        <v>738.3099365215428</v>
      </c>
      <c r="BP29" s="35">
        <v>74.037627589743593</v>
      </c>
      <c r="BQ29" s="35">
        <v>25.405068290598283</v>
      </c>
      <c r="BR29" s="35">
        <v>3994.6640851146881</v>
      </c>
      <c r="BT29" s="35">
        <v>3297.2592945868946</v>
      </c>
      <c r="BU29" s="35">
        <v>3934.2074064102562</v>
      </c>
      <c r="BV29" s="35">
        <v>0</v>
      </c>
      <c r="BW29" s="35">
        <v>0</v>
      </c>
      <c r="BY29" s="35">
        <v>2036.717066266325</v>
      </c>
      <c r="BZ29" s="35">
        <v>2430.1599149396152</v>
      </c>
      <c r="CA29" s="35">
        <v>0</v>
      </c>
      <c r="CB29" s="35">
        <v>0</v>
      </c>
      <c r="CD29" s="35">
        <v>21452.267868945866</v>
      </c>
      <c r="CE29" s="35">
        <v>-3217.8930598290599</v>
      </c>
      <c r="CF29" s="35">
        <v>18234.374809116805</v>
      </c>
      <c r="CG29" s="35">
        <v>232.43472364672365</v>
      </c>
      <c r="CH29" s="35">
        <v>27.027293447293445</v>
      </c>
      <c r="CI29" s="35">
        <v>187.34320982905982</v>
      </c>
      <c r="CJ29" s="35">
        <v>44.301259259259261</v>
      </c>
      <c r="CK29" s="35">
        <v>18725.481295299141</v>
      </c>
      <c r="CM29" s="35">
        <v>13251.065862647862</v>
      </c>
      <c r="CN29" s="35">
        <v>-1987.6925430564104</v>
      </c>
      <c r="CO29" s="35">
        <v>11263.373319591452</v>
      </c>
      <c r="CP29" s="35">
        <v>143.57492879658122</v>
      </c>
      <c r="CQ29" s="35">
        <v>16.694759162393161</v>
      </c>
      <c r="CR29" s="35">
        <v>115.72190071141026</v>
      </c>
      <c r="CS29" s="35">
        <v>27.364887844444446</v>
      </c>
      <c r="CT29" s="35">
        <v>11566.729796106281</v>
      </c>
    </row>
    <row r="30" spans="1:98">
      <c r="A30" s="22">
        <v>1</v>
      </c>
      <c r="B30" s="37">
        <v>1</v>
      </c>
      <c r="C30" s="12" t="s">
        <v>272</v>
      </c>
      <c r="D30" s="12" t="s">
        <v>273</v>
      </c>
      <c r="E30" s="701"/>
      <c r="F30" s="701"/>
      <c r="G30" s="700"/>
      <c r="H30" s="720"/>
      <c r="I30" s="516">
        <v>30</v>
      </c>
      <c r="J30" s="34">
        <v>0.1</v>
      </c>
      <c r="K30" s="34">
        <v>0</v>
      </c>
      <c r="L30" s="23">
        <v>36.04</v>
      </c>
      <c r="M30" s="20">
        <v>37.07</v>
      </c>
      <c r="N30" s="20">
        <v>38.15</v>
      </c>
      <c r="O30" s="43">
        <v>37.340000000000003</v>
      </c>
      <c r="P30" s="497">
        <v>77965.919999999998</v>
      </c>
      <c r="Q30" s="497">
        <v>7797</v>
      </c>
      <c r="R30" s="43">
        <v>0</v>
      </c>
      <c r="S30" s="28">
        <v>85762.92</v>
      </c>
      <c r="U30" s="28">
        <v>5317.3010400000003</v>
      </c>
      <c r="V30" s="28">
        <v>1243.5623399999999</v>
      </c>
      <c r="W30" s="28">
        <v>122.4</v>
      </c>
      <c r="X30" s="28">
        <v>41.999999999999986</v>
      </c>
      <c r="Y30" s="35">
        <v>6725.2633800000003</v>
      </c>
      <c r="Z30" s="115"/>
      <c r="AA30" s="35">
        <v>77965.919999999998</v>
      </c>
      <c r="AB30" s="35">
        <v>85762.92</v>
      </c>
      <c r="AD30" s="46">
        <v>0</v>
      </c>
      <c r="AE30" s="434">
        <v>0</v>
      </c>
      <c r="AF30" s="35">
        <v>0</v>
      </c>
      <c r="AG30" s="35">
        <v>4093.2107999999998</v>
      </c>
      <c r="AH30" s="35">
        <v>0</v>
      </c>
      <c r="AI30" s="35">
        <v>0</v>
      </c>
      <c r="AK30" s="35">
        <v>8287.56</v>
      </c>
      <c r="AL30" s="35">
        <v>-1247.6399999999999</v>
      </c>
      <c r="AM30" s="35">
        <v>7039.92</v>
      </c>
      <c r="AN30" s="35">
        <v>117000</v>
      </c>
      <c r="AO30" s="35">
        <v>241.488</v>
      </c>
      <c r="AP30" s="35">
        <v>28.08</v>
      </c>
      <c r="AQ30" s="35">
        <v>194.91479999999999</v>
      </c>
      <c r="AR30" s="35">
        <v>45.24</v>
      </c>
      <c r="AS30" s="35">
        <v>7549.6428000000014</v>
      </c>
      <c r="AU30" s="102">
        <v>0.97950196172631909</v>
      </c>
      <c r="AV30" s="102">
        <v>0.1082</v>
      </c>
      <c r="AX30" s="35">
        <v>76367.771587797251</v>
      </c>
      <c r="AY30" s="35">
        <v>7637.1767955801097</v>
      </c>
      <c r="AZ30" s="35">
        <v>0</v>
      </c>
      <c r="BA30" s="35">
        <v>84004.948383377356</v>
      </c>
      <c r="BC30" s="35">
        <v>68104.778701997595</v>
      </c>
      <c r="BD30" s="35">
        <v>7637.1767955801097</v>
      </c>
      <c r="BE30" s="35">
        <v>0</v>
      </c>
      <c r="BF30" s="35">
        <v>75741.955497577699</v>
      </c>
      <c r="BH30" s="35">
        <v>5208.306799769397</v>
      </c>
      <c r="BI30" s="35">
        <v>1218.0717515589718</v>
      </c>
      <c r="BJ30" s="35">
        <v>119.89104011530146</v>
      </c>
      <c r="BK30" s="35">
        <v>41.139082392505387</v>
      </c>
      <c r="BL30" s="35">
        <v>6587.4086738361766</v>
      </c>
      <c r="BN30" s="35">
        <v>4644.7680040343485</v>
      </c>
      <c r="BO30" s="35">
        <v>1086.2763880402911</v>
      </c>
      <c r="BP30" s="35">
        <v>106.91882957482585</v>
      </c>
      <c r="BQ30" s="35">
        <v>36.687833677636306</v>
      </c>
      <c r="BR30" s="35">
        <v>5874.6510553271009</v>
      </c>
      <c r="BT30" s="35">
        <v>0</v>
      </c>
      <c r="BU30" s="35">
        <v>4009.3080083593559</v>
      </c>
      <c r="BV30" s="35">
        <v>0</v>
      </c>
      <c r="BW30" s="35">
        <v>0</v>
      </c>
      <c r="BY30" s="35">
        <v>0</v>
      </c>
      <c r="BZ30" s="35">
        <v>3575.5008818548736</v>
      </c>
      <c r="CA30" s="35">
        <v>0</v>
      </c>
      <c r="CB30" s="35">
        <v>0</v>
      </c>
      <c r="CD30" s="35">
        <v>8117.6812779245729</v>
      </c>
      <c r="CE30" s="35">
        <v>-1222.0658275282246</v>
      </c>
      <c r="CF30" s="35">
        <v>6895.615450396348</v>
      </c>
      <c r="CG30" s="35">
        <v>236.53796973336534</v>
      </c>
      <c r="CH30" s="35">
        <v>27.504415085275038</v>
      </c>
      <c r="CI30" s="35">
        <v>190.91942896949314</v>
      </c>
      <c r="CJ30" s="35">
        <v>44.31266874849868</v>
      </c>
      <c r="CK30" s="35">
        <v>7394.8899329329806</v>
      </c>
      <c r="CM30" s="35">
        <v>7239.3481636531342</v>
      </c>
      <c r="CN30" s="35">
        <v>-1089.8383049896709</v>
      </c>
      <c r="CO30" s="35">
        <v>6149.5098586634631</v>
      </c>
      <c r="CP30" s="35">
        <v>210.94456140821524</v>
      </c>
      <c r="CQ30" s="35">
        <v>24.528437373048281</v>
      </c>
      <c r="CR30" s="35">
        <v>170.261946754994</v>
      </c>
      <c r="CS30" s="35">
        <v>39.518037989911122</v>
      </c>
      <c r="CT30" s="35">
        <v>6594.7628421896316</v>
      </c>
    </row>
    <row r="31" spans="1:98">
      <c r="A31" s="22">
        <v>1</v>
      </c>
      <c r="B31" s="37">
        <v>1</v>
      </c>
      <c r="C31" s="12" t="s">
        <v>204</v>
      </c>
      <c r="D31" s="12" t="s">
        <v>5</v>
      </c>
      <c r="E31" s="701"/>
      <c r="F31" s="701"/>
      <c r="G31" s="700"/>
      <c r="H31" s="720"/>
      <c r="I31" s="516">
        <v>45</v>
      </c>
      <c r="J31" s="34">
        <v>0.2</v>
      </c>
      <c r="K31" s="34">
        <v>0</v>
      </c>
      <c r="L31" s="23">
        <v>58.16</v>
      </c>
      <c r="M31" s="20">
        <v>59.82</v>
      </c>
      <c r="N31" s="20">
        <v>61.55</v>
      </c>
      <c r="O31" s="43">
        <v>60.25</v>
      </c>
      <c r="P31" s="497">
        <v>125802</v>
      </c>
      <c r="Q31" s="497">
        <v>25160</v>
      </c>
      <c r="R31" s="43">
        <v>0</v>
      </c>
      <c r="S31" s="28">
        <v>150962</v>
      </c>
      <c r="U31" s="28">
        <v>7960.8</v>
      </c>
      <c r="V31" s="28">
        <v>2188.9490000000001</v>
      </c>
      <c r="W31" s="28">
        <v>122.4</v>
      </c>
      <c r="X31" s="28">
        <v>41.999999999999986</v>
      </c>
      <c r="Y31" s="35">
        <v>10314.148999999999</v>
      </c>
      <c r="Z31" s="115"/>
      <c r="AA31" s="35">
        <v>125802</v>
      </c>
      <c r="AB31" s="35">
        <v>150962</v>
      </c>
      <c r="AD31" s="46">
        <v>0.04</v>
      </c>
      <c r="AE31" s="434" t="s">
        <v>55</v>
      </c>
      <c r="AF31" s="35">
        <v>6038.4800000000005</v>
      </c>
      <c r="AG31" s="35">
        <v>6604.6049999999996</v>
      </c>
      <c r="AH31" s="35">
        <v>0</v>
      </c>
      <c r="AI31" s="35">
        <v>0</v>
      </c>
      <c r="AK31" s="35">
        <v>18232.559999999998</v>
      </c>
      <c r="AL31" s="35">
        <v>-2744.76</v>
      </c>
      <c r="AM31" s="35">
        <v>15487.799999999997</v>
      </c>
      <c r="AN31" s="35">
        <v>189000</v>
      </c>
      <c r="AO31" s="35">
        <v>390.09599999999995</v>
      </c>
      <c r="AP31" s="35">
        <v>45.36</v>
      </c>
      <c r="AQ31" s="35">
        <v>314.505</v>
      </c>
      <c r="AR31" s="35">
        <v>45.24</v>
      </c>
      <c r="AS31" s="35">
        <v>16283.00099999996</v>
      </c>
      <c r="AU31" s="102">
        <v>1</v>
      </c>
      <c r="AV31" s="102">
        <v>9.1000000000000004E-3</v>
      </c>
      <c r="AX31" s="35">
        <v>125802</v>
      </c>
      <c r="AY31" s="35">
        <v>25160</v>
      </c>
      <c r="AZ31" s="35">
        <v>0</v>
      </c>
      <c r="BA31" s="35">
        <v>150962</v>
      </c>
      <c r="BC31" s="35">
        <v>124657.2018</v>
      </c>
      <c r="BD31" s="35">
        <v>25160</v>
      </c>
      <c r="BE31" s="35">
        <v>0</v>
      </c>
      <c r="BF31" s="35">
        <v>149817.20179999998</v>
      </c>
      <c r="BH31" s="35">
        <v>7960.8</v>
      </c>
      <c r="BI31" s="35">
        <v>2188.9490000000001</v>
      </c>
      <c r="BJ31" s="35">
        <v>122.4</v>
      </c>
      <c r="BK31" s="35">
        <v>41.999999999999986</v>
      </c>
      <c r="BL31" s="35">
        <v>10314.148999999999</v>
      </c>
      <c r="BN31" s="35">
        <v>7888.3567199999998</v>
      </c>
      <c r="BO31" s="35">
        <v>2169.0295641000002</v>
      </c>
      <c r="BP31" s="35">
        <v>121.28616000000001</v>
      </c>
      <c r="BQ31" s="35">
        <v>41.617799999999988</v>
      </c>
      <c r="BR31" s="35">
        <v>10220.290244100001</v>
      </c>
      <c r="BT31" s="35">
        <v>6038.4800000000005</v>
      </c>
      <c r="BU31" s="35">
        <v>6604.6049999999996</v>
      </c>
      <c r="BV31" s="35">
        <v>0</v>
      </c>
      <c r="BW31" s="35">
        <v>0</v>
      </c>
      <c r="BY31" s="35">
        <v>5983.5298320000002</v>
      </c>
      <c r="BZ31" s="35">
        <v>6544.5030944999999</v>
      </c>
      <c r="CA31" s="35">
        <v>0</v>
      </c>
      <c r="CB31" s="35">
        <v>0</v>
      </c>
      <c r="CD31" s="35">
        <v>18232.559999999998</v>
      </c>
      <c r="CE31" s="35">
        <v>-2744.76</v>
      </c>
      <c r="CF31" s="35">
        <v>15487.799999999997</v>
      </c>
      <c r="CG31" s="35">
        <v>390.09599999999995</v>
      </c>
      <c r="CH31" s="35">
        <v>45.36</v>
      </c>
      <c r="CI31" s="35">
        <v>314.505</v>
      </c>
      <c r="CJ31" s="35">
        <v>45.24</v>
      </c>
      <c r="CK31" s="35">
        <v>16283.000999999997</v>
      </c>
      <c r="CM31" s="35">
        <v>18066.643703999998</v>
      </c>
      <c r="CN31" s="35">
        <v>-2719.7826840000002</v>
      </c>
      <c r="CO31" s="35">
        <v>15346.861019999997</v>
      </c>
      <c r="CP31" s="35">
        <v>386.54612639999993</v>
      </c>
      <c r="CQ31" s="35">
        <v>44.947223999999999</v>
      </c>
      <c r="CR31" s="35">
        <v>311.64300450000002</v>
      </c>
      <c r="CS31" s="35">
        <v>44.828316000000001</v>
      </c>
      <c r="CT31" s="35">
        <v>16134.825690899996</v>
      </c>
    </row>
    <row r="32" spans="1:98">
      <c r="A32" s="22">
        <v>1</v>
      </c>
      <c r="B32" s="37">
        <v>1</v>
      </c>
      <c r="C32" s="12" t="s">
        <v>226</v>
      </c>
      <c r="D32" s="12" t="s">
        <v>9</v>
      </c>
      <c r="E32" s="701"/>
      <c r="F32" s="701"/>
      <c r="G32" s="700"/>
      <c r="H32" s="720"/>
      <c r="I32" s="516">
        <v>35</v>
      </c>
      <c r="J32" s="34">
        <v>0.1</v>
      </c>
      <c r="K32" s="34">
        <v>0</v>
      </c>
      <c r="L32" s="23">
        <v>36</v>
      </c>
      <c r="M32" s="20">
        <v>37.03</v>
      </c>
      <c r="N32" s="20">
        <v>38.1</v>
      </c>
      <c r="O32" s="43">
        <v>37.29</v>
      </c>
      <c r="P32" s="497">
        <v>77861.52</v>
      </c>
      <c r="Q32" s="497">
        <v>7786</v>
      </c>
      <c r="R32" s="43">
        <v>0</v>
      </c>
      <c r="S32" s="28">
        <v>85647.52</v>
      </c>
      <c r="U32" s="28">
        <v>5310.14624</v>
      </c>
      <c r="V32" s="28">
        <v>1241.88904</v>
      </c>
      <c r="W32" s="28">
        <v>122.4</v>
      </c>
      <c r="X32" s="28">
        <v>41.999999999999986</v>
      </c>
      <c r="Y32" s="35">
        <v>6716.4352799999997</v>
      </c>
      <c r="Z32" s="115"/>
      <c r="AA32" s="35">
        <v>77861.52</v>
      </c>
      <c r="AB32" s="35">
        <v>85647.52</v>
      </c>
      <c r="AD32" s="46">
        <v>0.04</v>
      </c>
      <c r="AE32" s="434" t="s">
        <v>55</v>
      </c>
      <c r="AF32" s="35">
        <v>3425.9008000000003</v>
      </c>
      <c r="AG32" s="35">
        <v>4087.7298000000001</v>
      </c>
      <c r="AH32" s="35">
        <v>0</v>
      </c>
      <c r="AI32" s="35">
        <v>0</v>
      </c>
      <c r="AK32" s="35">
        <v>8590.5600000000013</v>
      </c>
      <c r="AL32" s="35">
        <v>-800.64</v>
      </c>
      <c r="AM32" s="35">
        <v>7789.920000000001</v>
      </c>
      <c r="AN32" s="35">
        <v>117000</v>
      </c>
      <c r="AO32" s="35">
        <v>241.488</v>
      </c>
      <c r="AP32" s="35">
        <v>28.08</v>
      </c>
      <c r="AQ32" s="35">
        <v>194.65380000000002</v>
      </c>
      <c r="AR32" s="35">
        <v>45.24</v>
      </c>
      <c r="AS32" s="35">
        <v>8299.3818000000028</v>
      </c>
      <c r="AU32" s="102">
        <v>1</v>
      </c>
      <c r="AV32" s="102">
        <v>0.99990000000000001</v>
      </c>
      <c r="AX32" s="35">
        <v>77861.52</v>
      </c>
      <c r="AY32" s="35">
        <v>7786</v>
      </c>
      <c r="AZ32" s="35">
        <v>0</v>
      </c>
      <c r="BA32" s="35">
        <v>85647.52</v>
      </c>
      <c r="BC32" s="35">
        <v>7.7861519999991433</v>
      </c>
      <c r="BD32" s="35">
        <v>7786</v>
      </c>
      <c r="BE32" s="35">
        <v>0</v>
      </c>
      <c r="BF32" s="35">
        <v>7793.7861519999988</v>
      </c>
      <c r="BH32" s="35">
        <v>5310.14624</v>
      </c>
      <c r="BI32" s="35">
        <v>1241.88904</v>
      </c>
      <c r="BJ32" s="35">
        <v>122.4</v>
      </c>
      <c r="BK32" s="35">
        <v>41.999999999999986</v>
      </c>
      <c r="BL32" s="35">
        <v>6716.4352799999997</v>
      </c>
      <c r="BN32" s="35">
        <v>0.53101462399994148</v>
      </c>
      <c r="BO32" s="35">
        <v>0.12418890399998632</v>
      </c>
      <c r="BP32" s="35">
        <v>1.2239999999998653E-2</v>
      </c>
      <c r="BQ32" s="35">
        <v>4.1999999999995357E-3</v>
      </c>
      <c r="BR32" s="35">
        <v>0.67164352799992599</v>
      </c>
      <c r="BT32" s="35">
        <v>3425.9008000000003</v>
      </c>
      <c r="BU32" s="35">
        <v>4087.7298000000001</v>
      </c>
      <c r="BV32" s="35">
        <v>0</v>
      </c>
      <c r="BW32" s="35">
        <v>0</v>
      </c>
      <c r="BY32" s="35">
        <v>0.34259007999996233</v>
      </c>
      <c r="BZ32" s="35">
        <v>0.40877297999995499</v>
      </c>
      <c r="CA32" s="35">
        <v>0</v>
      </c>
      <c r="CB32" s="35">
        <v>0</v>
      </c>
      <c r="CD32" s="35">
        <v>8590.5600000000013</v>
      </c>
      <c r="CE32" s="35">
        <v>-800.64</v>
      </c>
      <c r="CF32" s="35">
        <v>7789.920000000001</v>
      </c>
      <c r="CG32" s="35">
        <v>241.488</v>
      </c>
      <c r="CH32" s="35">
        <v>28.08</v>
      </c>
      <c r="CI32" s="35">
        <v>194.65380000000002</v>
      </c>
      <c r="CJ32" s="35">
        <v>45.24</v>
      </c>
      <c r="CK32" s="35">
        <v>8299.381800000001</v>
      </c>
      <c r="CM32" s="35">
        <v>0.85905599999990556</v>
      </c>
      <c r="CN32" s="35">
        <v>-8.0063999999991184E-2</v>
      </c>
      <c r="CO32" s="35">
        <v>0.77899199999991431</v>
      </c>
      <c r="CP32" s="35">
        <v>2.414879999999734E-2</v>
      </c>
      <c r="CQ32" s="35">
        <v>2.8079999999996905E-3</v>
      </c>
      <c r="CR32" s="35">
        <v>1.9465379999997857E-2</v>
      </c>
      <c r="CS32" s="35">
        <v>4.5239999999995024E-3</v>
      </c>
      <c r="CT32" s="35">
        <v>0.82993817999990871</v>
      </c>
    </row>
    <row r="33" spans="1:98">
      <c r="A33" s="22">
        <v>1</v>
      </c>
      <c r="B33" s="37">
        <v>1</v>
      </c>
      <c r="C33" s="12" t="s">
        <v>356</v>
      </c>
      <c r="D33" s="12" t="s">
        <v>357</v>
      </c>
      <c r="E33" s="701"/>
      <c r="F33" s="701"/>
      <c r="G33" s="700"/>
      <c r="H33" s="720"/>
      <c r="I33" s="516">
        <v>30</v>
      </c>
      <c r="J33" s="34">
        <v>0.1</v>
      </c>
      <c r="K33" s="34">
        <v>0</v>
      </c>
      <c r="L33" s="23">
        <v>34.619999999999997</v>
      </c>
      <c r="M33" s="20">
        <v>35.61</v>
      </c>
      <c r="N33" s="20">
        <v>36.64</v>
      </c>
      <c r="O33" s="43">
        <v>35.86</v>
      </c>
      <c r="P33" s="497">
        <v>74875.679999999993</v>
      </c>
      <c r="Q33" s="497">
        <v>7488</v>
      </c>
      <c r="R33" s="43">
        <v>0</v>
      </c>
      <c r="S33" s="28">
        <v>82363.679999999993</v>
      </c>
      <c r="U33" s="28">
        <v>5106.5481599999994</v>
      </c>
      <c r="V33" s="28">
        <v>1194.2733599999999</v>
      </c>
      <c r="W33" s="28">
        <v>122.4</v>
      </c>
      <c r="X33" s="28">
        <v>41.999999999999986</v>
      </c>
      <c r="Y33" s="35">
        <v>6465.2215199999991</v>
      </c>
      <c r="Z33" s="115"/>
      <c r="AA33" s="35">
        <v>74875.679999999993</v>
      </c>
      <c r="AB33" s="35">
        <v>82363.679999999993</v>
      </c>
      <c r="AD33" s="46">
        <v>0</v>
      </c>
      <c r="AE33" s="434">
        <v>0</v>
      </c>
      <c r="AF33" s="35">
        <v>0</v>
      </c>
      <c r="AG33" s="35">
        <v>3930.9731999999995</v>
      </c>
      <c r="AH33" s="35">
        <v>0</v>
      </c>
      <c r="AI33" s="35">
        <v>0</v>
      </c>
      <c r="AK33" s="35">
        <v>19061.440000000002</v>
      </c>
      <c r="AL33" s="35">
        <v>-2869.48</v>
      </c>
      <c r="AM33" s="35">
        <v>16191.960000000003</v>
      </c>
      <c r="AN33" s="35">
        <v>113000</v>
      </c>
      <c r="AO33" s="35">
        <v>233.232</v>
      </c>
      <c r="AP33" s="35">
        <v>27.119999999999997</v>
      </c>
      <c r="AQ33" s="35">
        <v>187.18919999999997</v>
      </c>
      <c r="AR33" s="35">
        <v>45.24</v>
      </c>
      <c r="AS33" s="35">
        <v>16684.741200000004</v>
      </c>
      <c r="AU33" s="102">
        <v>1</v>
      </c>
      <c r="AV33" s="102">
        <v>0.1082</v>
      </c>
      <c r="AX33" s="35">
        <v>74875.679999999993</v>
      </c>
      <c r="AY33" s="35">
        <v>7488</v>
      </c>
      <c r="AZ33" s="35">
        <v>0</v>
      </c>
      <c r="BA33" s="35">
        <v>82363.679999999993</v>
      </c>
      <c r="BC33" s="35">
        <v>66774.131423999992</v>
      </c>
      <c r="BD33" s="35">
        <v>7488</v>
      </c>
      <c r="BE33" s="35">
        <v>0</v>
      </c>
      <c r="BF33" s="35">
        <v>74262.131423999992</v>
      </c>
      <c r="BH33" s="35">
        <v>5106.5481599999994</v>
      </c>
      <c r="BI33" s="35">
        <v>1194.2733599999999</v>
      </c>
      <c r="BJ33" s="35">
        <v>122.4</v>
      </c>
      <c r="BK33" s="35">
        <v>41.999999999999986</v>
      </c>
      <c r="BL33" s="35">
        <v>6465.2215199999991</v>
      </c>
      <c r="BN33" s="35">
        <v>4554.0196490879998</v>
      </c>
      <c r="BO33" s="35">
        <v>1065.052982448</v>
      </c>
      <c r="BP33" s="35">
        <v>109.15632000000001</v>
      </c>
      <c r="BQ33" s="35">
        <v>37.45559999999999</v>
      </c>
      <c r="BR33" s="35">
        <v>5765.6845515360001</v>
      </c>
      <c r="BT33" s="35">
        <v>0</v>
      </c>
      <c r="BU33" s="35">
        <v>3930.9731999999995</v>
      </c>
      <c r="BV33" s="35">
        <v>0</v>
      </c>
      <c r="BW33" s="35">
        <v>0</v>
      </c>
      <c r="BY33" s="35">
        <v>0</v>
      </c>
      <c r="BZ33" s="35">
        <v>3505.6418997599994</v>
      </c>
      <c r="CA33" s="35">
        <v>0</v>
      </c>
      <c r="CB33" s="35">
        <v>0</v>
      </c>
      <c r="CD33" s="35">
        <v>19061.440000000002</v>
      </c>
      <c r="CE33" s="35">
        <v>-2869.48</v>
      </c>
      <c r="CF33" s="35">
        <v>16191.960000000003</v>
      </c>
      <c r="CG33" s="35">
        <v>233.232</v>
      </c>
      <c r="CH33" s="35">
        <v>27.119999999999997</v>
      </c>
      <c r="CI33" s="35">
        <v>187.18919999999997</v>
      </c>
      <c r="CJ33" s="35">
        <v>45.24</v>
      </c>
      <c r="CK33" s="35">
        <v>16684.741200000004</v>
      </c>
      <c r="CM33" s="35">
        <v>16998.992192000002</v>
      </c>
      <c r="CN33" s="35">
        <v>-2559.0022640000002</v>
      </c>
      <c r="CO33" s="35">
        <v>14439.989928000003</v>
      </c>
      <c r="CP33" s="35">
        <v>207.99629760000002</v>
      </c>
      <c r="CQ33" s="35">
        <v>24.185616</v>
      </c>
      <c r="CR33" s="35">
        <v>166.93532855999999</v>
      </c>
      <c r="CS33" s="35">
        <v>40.345032000000003</v>
      </c>
      <c r="CT33" s="35">
        <v>14879.452202160002</v>
      </c>
    </row>
    <row r="34" spans="1:98">
      <c r="B34" s="12"/>
      <c r="P34" s="28"/>
      <c r="Q34" s="28"/>
      <c r="R34" s="28"/>
      <c r="S34" s="28"/>
      <c r="U34" s="28"/>
      <c r="V34" s="28"/>
      <c r="W34" s="28"/>
      <c r="X34" s="28"/>
      <c r="Y34" s="35"/>
      <c r="Z34" s="115"/>
      <c r="AA34" s="35"/>
      <c r="AB34" s="35"/>
      <c r="AD34" s="46"/>
      <c r="AE34" s="434"/>
      <c r="AF34" s="35"/>
      <c r="AG34" s="35"/>
      <c r="AH34" s="35"/>
      <c r="AI34" s="35"/>
      <c r="AK34" s="35"/>
      <c r="AL34" s="35"/>
      <c r="AM34" s="35"/>
      <c r="AN34" s="35"/>
      <c r="AO34" s="35"/>
      <c r="AP34" s="35"/>
      <c r="AQ34" s="35"/>
      <c r="AR34" s="35"/>
      <c r="AS34" s="35"/>
      <c r="AU34" s="102"/>
      <c r="AV34" s="102"/>
      <c r="AX34" s="35"/>
      <c r="AY34" s="35"/>
      <c r="AZ34" s="35"/>
      <c r="BA34" s="35"/>
      <c r="BC34" s="35"/>
      <c r="BD34" s="35"/>
      <c r="BE34" s="35"/>
      <c r="BF34" s="35"/>
      <c r="BH34" s="35"/>
      <c r="BI34" s="35"/>
      <c r="BJ34" s="35"/>
      <c r="BK34" s="35"/>
      <c r="BL34" s="35"/>
      <c r="BN34" s="35"/>
      <c r="BO34" s="35"/>
      <c r="BP34" s="35"/>
      <c r="BQ34" s="35"/>
      <c r="BR34" s="35"/>
      <c r="BT34" s="35"/>
      <c r="BU34" s="35"/>
      <c r="BV34" s="35"/>
      <c r="BW34" s="35"/>
      <c r="BY34" s="35"/>
      <c r="BZ34" s="35"/>
      <c r="CA34" s="35"/>
      <c r="CB34" s="35"/>
      <c r="CD34" s="35"/>
      <c r="CE34" s="35"/>
      <c r="CF34" s="35"/>
      <c r="CG34" s="35"/>
      <c r="CH34" s="35"/>
      <c r="CI34" s="35"/>
      <c r="CJ34" s="35"/>
      <c r="CK34" s="35"/>
      <c r="CM34" s="35"/>
      <c r="CN34" s="35"/>
      <c r="CO34" s="35"/>
      <c r="CP34" s="35"/>
      <c r="CQ34" s="35"/>
      <c r="CR34" s="35"/>
      <c r="CS34" s="35"/>
      <c r="CT34" s="35"/>
    </row>
    <row r="35" spans="1:98">
      <c r="P35" s="28"/>
      <c r="Q35" s="28"/>
      <c r="R35" s="28"/>
      <c r="S35" s="28"/>
      <c r="U35" s="28"/>
      <c r="V35" s="28"/>
      <c r="W35" s="28"/>
      <c r="X35" s="28"/>
      <c r="Y35" s="35"/>
      <c r="Z35" s="115"/>
      <c r="AA35" s="35"/>
      <c r="AB35" s="35"/>
      <c r="AD35" s="46"/>
      <c r="AE35" s="434"/>
      <c r="AF35" s="35"/>
      <c r="AG35" s="35"/>
      <c r="AH35" s="35"/>
      <c r="AI35" s="35"/>
      <c r="AK35" s="35"/>
      <c r="AL35" s="35"/>
      <c r="AM35" s="35"/>
      <c r="AN35" s="35"/>
      <c r="AO35" s="35"/>
      <c r="AP35" s="35"/>
      <c r="AQ35" s="35"/>
      <c r="AR35" s="35"/>
      <c r="AS35" s="35"/>
      <c r="AU35" s="102"/>
      <c r="AV35" s="102"/>
      <c r="AX35" s="35"/>
      <c r="AY35" s="35"/>
      <c r="AZ35" s="35"/>
      <c r="BA35" s="35"/>
      <c r="BC35" s="35"/>
      <c r="BD35" s="35"/>
      <c r="BE35" s="35"/>
      <c r="BF35" s="35"/>
      <c r="BH35" s="35"/>
      <c r="BI35" s="35"/>
      <c r="BJ35" s="35"/>
      <c r="BK35" s="35"/>
      <c r="BL35" s="35"/>
      <c r="BN35" s="35"/>
      <c r="BO35" s="35"/>
      <c r="BP35" s="35"/>
      <c r="BQ35" s="35"/>
      <c r="BR35" s="35"/>
      <c r="BT35" s="35"/>
      <c r="BU35" s="35"/>
      <c r="BV35" s="35"/>
      <c r="BW35" s="35"/>
      <c r="BY35" s="35"/>
      <c r="BZ35" s="35"/>
      <c r="CA35" s="35"/>
      <c r="CB35" s="35"/>
      <c r="CD35" s="35"/>
      <c r="CE35" s="35"/>
      <c r="CF35" s="35"/>
      <c r="CG35" s="35"/>
      <c r="CH35" s="35"/>
      <c r="CI35" s="35"/>
      <c r="CJ35" s="35"/>
      <c r="CK35" s="35"/>
      <c r="CM35" s="35"/>
      <c r="CN35" s="35"/>
      <c r="CO35" s="35"/>
      <c r="CP35" s="35"/>
      <c r="CQ35" s="35"/>
      <c r="CR35" s="35"/>
      <c r="CS35" s="35"/>
      <c r="CT35" s="35"/>
    </row>
    <row r="36" spans="1:98">
      <c r="B36" s="12"/>
      <c r="P36" s="28"/>
      <c r="Q36" s="28"/>
      <c r="R36" s="28"/>
      <c r="S36" s="28"/>
      <c r="U36" s="28"/>
      <c r="V36" s="28"/>
      <c r="W36" s="28"/>
      <c r="X36" s="28"/>
      <c r="Y36" s="35"/>
      <c r="Z36" s="115"/>
      <c r="AA36" s="35"/>
      <c r="AB36" s="35"/>
      <c r="AD36" s="46"/>
      <c r="AE36" s="434"/>
      <c r="AF36" s="35"/>
      <c r="AG36" s="35"/>
      <c r="AH36" s="35"/>
      <c r="AI36" s="35"/>
      <c r="AK36" s="35"/>
      <c r="AL36" s="35"/>
      <c r="AM36" s="35"/>
      <c r="AN36" s="35"/>
      <c r="AO36" s="35"/>
      <c r="AP36" s="35"/>
      <c r="AQ36" s="35"/>
      <c r="AR36" s="35"/>
      <c r="AS36" s="35"/>
      <c r="AU36" s="102"/>
      <c r="AV36" s="102"/>
      <c r="AX36" s="35"/>
      <c r="AY36" s="35"/>
      <c r="AZ36" s="35"/>
      <c r="BA36" s="35"/>
      <c r="BC36" s="35"/>
      <c r="BD36" s="35"/>
      <c r="BE36" s="35"/>
      <c r="BF36" s="35"/>
      <c r="BH36" s="35"/>
      <c r="BI36" s="35"/>
      <c r="BJ36" s="35"/>
      <c r="BK36" s="35"/>
      <c r="BL36" s="35"/>
      <c r="BN36" s="35"/>
      <c r="BO36" s="35"/>
      <c r="BP36" s="35"/>
      <c r="BQ36" s="35"/>
      <c r="BR36" s="35"/>
      <c r="BT36" s="35"/>
      <c r="BU36" s="35"/>
      <c r="BV36" s="35"/>
      <c r="BW36" s="35"/>
      <c r="BY36" s="35"/>
      <c r="BZ36" s="35"/>
      <c r="CA36" s="35"/>
      <c r="CB36" s="35"/>
      <c r="CD36" s="35"/>
      <c r="CE36" s="35"/>
      <c r="CF36" s="35"/>
      <c r="CG36" s="35"/>
      <c r="CH36" s="35"/>
      <c r="CI36" s="35"/>
      <c r="CJ36" s="35"/>
      <c r="CK36" s="35"/>
      <c r="CM36" s="35"/>
      <c r="CN36" s="35"/>
      <c r="CO36" s="35"/>
      <c r="CP36" s="35"/>
      <c r="CQ36" s="35"/>
      <c r="CR36" s="35"/>
      <c r="CS36" s="35"/>
      <c r="CT36" s="35"/>
    </row>
    <row r="37" spans="1:98">
      <c r="P37" s="28"/>
      <c r="Q37" s="28"/>
      <c r="R37" s="28"/>
      <c r="S37" s="28"/>
      <c r="U37" s="28"/>
      <c r="V37" s="28"/>
      <c r="W37" s="28"/>
      <c r="X37" s="28"/>
      <c r="Y37" s="35"/>
      <c r="Z37" s="115"/>
      <c r="AA37" s="35"/>
      <c r="AB37" s="35"/>
      <c r="AD37" s="46"/>
      <c r="AE37" s="434"/>
      <c r="AF37" s="35"/>
      <c r="AG37" s="35"/>
      <c r="AH37" s="35"/>
      <c r="AI37" s="35"/>
      <c r="AK37" s="35"/>
      <c r="AL37" s="35"/>
      <c r="AM37" s="35"/>
      <c r="AN37" s="35"/>
      <c r="AO37" s="35"/>
      <c r="AP37" s="35"/>
      <c r="AQ37" s="35"/>
      <c r="AR37" s="35"/>
      <c r="AS37" s="35"/>
      <c r="AU37" s="102"/>
      <c r="AV37" s="102"/>
      <c r="AX37" s="35"/>
      <c r="AY37" s="35"/>
      <c r="AZ37" s="35"/>
      <c r="BA37" s="35"/>
      <c r="BC37" s="35"/>
      <c r="BD37" s="35"/>
      <c r="BE37" s="35"/>
      <c r="BF37" s="35"/>
      <c r="BH37" s="35"/>
      <c r="BI37" s="35"/>
      <c r="BJ37" s="35"/>
      <c r="BK37" s="35"/>
      <c r="BL37" s="35"/>
      <c r="BN37" s="35"/>
      <c r="BO37" s="35"/>
      <c r="BP37" s="35"/>
      <c r="BQ37" s="35"/>
      <c r="BR37" s="35"/>
      <c r="BT37" s="35"/>
      <c r="BU37" s="35"/>
      <c r="BV37" s="35"/>
      <c r="BW37" s="35"/>
      <c r="BY37" s="35"/>
      <c r="BZ37" s="35"/>
      <c r="CA37" s="35"/>
      <c r="CB37" s="35"/>
      <c r="CD37" s="35"/>
      <c r="CE37" s="35"/>
      <c r="CF37" s="35"/>
      <c r="CG37" s="35"/>
      <c r="CH37" s="35"/>
      <c r="CI37" s="35"/>
      <c r="CJ37" s="35"/>
      <c r="CK37" s="35"/>
      <c r="CM37" s="35"/>
      <c r="CN37" s="35"/>
      <c r="CO37" s="35"/>
      <c r="CP37" s="35"/>
      <c r="CQ37" s="35"/>
      <c r="CR37" s="35"/>
      <c r="CS37" s="35"/>
      <c r="CT37" s="35"/>
    </row>
    <row r="38" spans="1:98">
      <c r="B38" s="38">
        <v>28</v>
      </c>
      <c r="P38" s="31">
        <v>2490858.7199999997</v>
      </c>
      <c r="Q38" s="31">
        <v>320425</v>
      </c>
      <c r="R38" s="31">
        <v>16105</v>
      </c>
      <c r="S38" s="31">
        <v>2827388.72</v>
      </c>
      <c r="U38" s="31">
        <v>168106.45775999996</v>
      </c>
      <c r="V38" s="31">
        <v>40997.136439999995</v>
      </c>
      <c r="W38" s="31">
        <v>3427.2000000000016</v>
      </c>
      <c r="X38" s="31">
        <v>1175.9999999999998</v>
      </c>
      <c r="Y38" s="31">
        <v>213706.79419999997</v>
      </c>
      <c r="Z38" s="113"/>
      <c r="AA38" s="31">
        <v>2490858.7199999997</v>
      </c>
      <c r="AB38" s="31">
        <v>2811283.72</v>
      </c>
      <c r="AF38" s="31">
        <v>84658.895200000014</v>
      </c>
      <c r="AG38" s="31">
        <v>91567.778399999981</v>
      </c>
      <c r="AH38" s="31">
        <v>0</v>
      </c>
      <c r="AI38" s="31">
        <v>6672.7260000000006</v>
      </c>
      <c r="AK38" s="31">
        <v>496861.67999999993</v>
      </c>
      <c r="AL38" s="31">
        <v>-74300.400000000009</v>
      </c>
      <c r="AM38" s="31">
        <v>422561.27999999991</v>
      </c>
      <c r="AN38" s="31">
        <v>3706000</v>
      </c>
      <c r="AO38" s="31">
        <v>7649.1839999999993</v>
      </c>
      <c r="AP38" s="31">
        <v>889.44000000000017</v>
      </c>
      <c r="AQ38" s="31">
        <v>6227.1467999999986</v>
      </c>
      <c r="AR38" s="31">
        <v>1266.72</v>
      </c>
      <c r="AS38" s="31">
        <v>438593.77079999965</v>
      </c>
      <c r="AX38" s="31">
        <v>2478990.7947575226</v>
      </c>
      <c r="AY38" s="31">
        <v>318842.44763078023</v>
      </c>
      <c r="AZ38" s="31">
        <v>16105</v>
      </c>
      <c r="BA38" s="31">
        <v>2813938.2423883029</v>
      </c>
      <c r="BB38" s="31"/>
      <c r="BC38" s="31">
        <v>1706767.2029658784</v>
      </c>
      <c r="BD38" s="31">
        <v>318842.44763078023</v>
      </c>
      <c r="BE38" s="31">
        <v>16105</v>
      </c>
      <c r="BF38" s="31">
        <v>2041714.6505966585</v>
      </c>
      <c r="BG38" s="31"/>
      <c r="BH38" s="31">
        <v>167272.55744422291</v>
      </c>
      <c r="BI38" s="31">
        <v>40802.104514630395</v>
      </c>
      <c r="BJ38" s="31">
        <v>3411.8489605406808</v>
      </c>
      <c r="BK38" s="31">
        <v>1170.7324864600369</v>
      </c>
      <c r="BL38" s="31">
        <v>212657.24340585401</v>
      </c>
      <c r="BM38" s="31"/>
      <c r="BN38" s="31">
        <v>114678.2855530282</v>
      </c>
      <c r="BO38" s="31">
        <v>28096.804275299528</v>
      </c>
      <c r="BP38" s="31">
        <v>2352.2861353871463</v>
      </c>
      <c r="BQ38" s="31">
        <v>807.15700724068722</v>
      </c>
      <c r="BR38" s="31">
        <v>145934.5329709556</v>
      </c>
      <c r="BS38" s="31"/>
      <c r="BT38" s="31">
        <v>84218.013555378377</v>
      </c>
      <c r="BU38" s="31">
        <v>90954.359358695408</v>
      </c>
      <c r="BV38" s="31">
        <v>0</v>
      </c>
      <c r="BW38" s="31">
        <v>6632.4223368717958</v>
      </c>
      <c r="BX38" s="31"/>
      <c r="BY38" s="31">
        <v>55472.967303085272</v>
      </c>
      <c r="BZ38" s="31">
        <v>63261.417968273461</v>
      </c>
      <c r="CA38" s="31">
        <v>0</v>
      </c>
      <c r="CB38" s="31">
        <v>6632.4223368717958</v>
      </c>
      <c r="CC38" s="31"/>
      <c r="CD38" s="31">
        <v>494466.46700744011</v>
      </c>
      <c r="CE38" s="31">
        <v>-73940.060540175982</v>
      </c>
      <c r="CF38" s="31">
        <v>420526.40646726434</v>
      </c>
      <c r="CG38" s="31">
        <v>7612.3365021447626</v>
      </c>
      <c r="CH38" s="31">
        <v>885.15540722613525</v>
      </c>
      <c r="CI38" s="31">
        <v>6197.4769868938065</v>
      </c>
      <c r="CJ38" s="31">
        <v>1261.0461354155259</v>
      </c>
      <c r="CK38" s="31">
        <v>436482.42149894446</v>
      </c>
      <c r="CL38" s="31"/>
      <c r="CM38" s="31">
        <v>330551.70756355906</v>
      </c>
      <c r="CN38" s="31">
        <v>-49760.482668970231</v>
      </c>
      <c r="CO38" s="31">
        <v>280791.22489458881</v>
      </c>
      <c r="CP38" s="31">
        <v>5243.0409638615865</v>
      </c>
      <c r="CQ38" s="31">
        <v>609.65592603041728</v>
      </c>
      <c r="CR38" s="31">
        <v>4266.9180074146952</v>
      </c>
      <c r="CS38" s="31">
        <v>869.4234049421118</v>
      </c>
      <c r="CT38" s="31">
        <v>291780.26319683768</v>
      </c>
    </row>
    <row r="39" spans="1:98">
      <c r="B39" s="12"/>
    </row>
    <row r="40" spans="1:98">
      <c r="B40" s="12"/>
      <c r="D40" s="82" t="s">
        <v>664</v>
      </c>
      <c r="E40" s="82"/>
      <c r="P40" s="113">
        <v>13197.509891999998</v>
      </c>
      <c r="Q40" s="272"/>
      <c r="R40" s="272"/>
      <c r="S40" s="113">
        <v>13197.509891999998</v>
      </c>
      <c r="AK40" s="44"/>
      <c r="AL40" s="44"/>
      <c r="AM40" s="44"/>
      <c r="AX40" s="113">
        <v>13084.512625611596</v>
      </c>
      <c r="BA40" s="113">
        <v>13084.512625611596</v>
      </c>
      <c r="BC40" s="113">
        <v>10158.864636864526</v>
      </c>
      <c r="BF40" s="113">
        <v>10158.864636864526</v>
      </c>
      <c r="CS40" s="44"/>
    </row>
    <row r="41" spans="1:98">
      <c r="B41" s="12"/>
      <c r="Q41" s="26"/>
    </row>
    <row r="42" spans="1:98">
      <c r="B42" s="12"/>
      <c r="P42" s="31">
        <v>2477661.2101079999</v>
      </c>
      <c r="Q42" s="31">
        <v>320425</v>
      </c>
      <c r="R42" s="31">
        <v>16105</v>
      </c>
      <c r="S42" s="31">
        <v>2814191.2101080003</v>
      </c>
      <c r="AX42" s="31">
        <v>2465906.2821319113</v>
      </c>
      <c r="AY42" s="31">
        <v>318842.44763078023</v>
      </c>
      <c r="AZ42" s="31">
        <v>16105</v>
      </c>
      <c r="BA42" s="31">
        <v>2800853.7297626915</v>
      </c>
      <c r="BC42" s="31">
        <v>1696608.3383290139</v>
      </c>
      <c r="BD42" s="31">
        <v>318842.44763078023</v>
      </c>
      <c r="BE42" s="31">
        <v>16105</v>
      </c>
      <c r="BF42" s="31">
        <v>2031555.785959794</v>
      </c>
      <c r="CS42" s="44"/>
    </row>
    <row r="43" spans="1:98">
      <c r="B43" s="12"/>
    </row>
    <row r="44" spans="1:98">
      <c r="B44" s="12"/>
      <c r="P44" s="44"/>
      <c r="S44" s="44"/>
    </row>
    <row r="45" spans="1:98">
      <c r="AX45" s="621"/>
    </row>
    <row r="46" spans="1:98">
      <c r="AX46" s="619"/>
      <c r="AY46" s="44"/>
      <c r="AZ46" s="44"/>
    </row>
    <row r="47" spans="1:98">
      <c r="S47" s="272"/>
      <c r="AX47" s="617"/>
      <c r="AY47" s="44"/>
      <c r="AZ47" s="44"/>
    </row>
    <row r="48" spans="1:98">
      <c r="S48" s="272"/>
      <c r="AU48" s="102"/>
      <c r="AV48" s="34"/>
      <c r="AX48" s="617"/>
    </row>
    <row r="49" spans="19:53">
      <c r="S49" s="272"/>
      <c r="AU49" s="102"/>
      <c r="AV49" s="34"/>
      <c r="AX49" s="617"/>
    </row>
    <row r="50" spans="19:53">
      <c r="S50" s="272"/>
      <c r="AU50" s="102"/>
      <c r="AV50" s="34"/>
      <c r="AX50" s="276"/>
    </row>
    <row r="51" spans="19:53">
      <c r="S51" s="272"/>
      <c r="AU51" s="102"/>
      <c r="AV51" s="34"/>
      <c r="AX51" s="276"/>
      <c r="BA51" s="332"/>
    </row>
    <row r="52" spans="19:53">
      <c r="S52" s="272"/>
      <c r="AU52" s="102"/>
      <c r="AV52" s="34"/>
      <c r="AX52" s="276"/>
    </row>
    <row r="53" spans="19:53">
      <c r="AU53" s="102"/>
      <c r="AV53" s="34"/>
      <c r="AX53" s="276"/>
    </row>
    <row r="54" spans="19:53">
      <c r="AU54" s="102"/>
      <c r="AV54" s="34"/>
      <c r="AX54" s="276"/>
    </row>
    <row r="55" spans="19:53">
      <c r="AU55" s="102"/>
      <c r="AV55" s="34"/>
      <c r="AX55" s="276"/>
    </row>
    <row r="56" spans="19:53">
      <c r="AU56" s="102"/>
      <c r="AV56" s="34"/>
      <c r="AX56" s="276"/>
    </row>
    <row r="57" spans="19:53">
      <c r="AU57" s="102"/>
      <c r="AV57" s="34"/>
      <c r="AX57" s="276"/>
    </row>
  </sheetData>
  <sortState ref="L40:L58">
    <sortCondition ref="L40:L58"/>
  </sortState>
  <mergeCells count="12">
    <mergeCell ref="L4:S4"/>
    <mergeCell ref="BY4:CB4"/>
    <mergeCell ref="CD4:CK4"/>
    <mergeCell ref="CM4:CT4"/>
    <mergeCell ref="U4:Y4"/>
    <mergeCell ref="AD4:AI4"/>
    <mergeCell ref="AK4:AS4"/>
    <mergeCell ref="AX4:BA4"/>
    <mergeCell ref="BC4:BF4"/>
    <mergeCell ref="BH4:BL4"/>
    <mergeCell ref="BN4:BR4"/>
    <mergeCell ref="BT4:BW4"/>
  </mergeCells>
  <pageMargins left="0.25" right="0.25" top="1" bottom="0.25" header="0.25" footer="0.3"/>
  <pageSetup scale="70" fitToWidth="2" orientation="landscape" r:id="rId1"/>
  <colBreaks count="8" manualBreakCount="8">
    <brk id="20" max="41" man="1"/>
    <brk id="29" max="41" man="1"/>
    <brk id="36" max="41" man="1"/>
    <brk id="46" max="41" man="1"/>
    <brk id="58" max="41" man="1"/>
    <brk id="70" max="41" man="1"/>
    <brk id="81" max="41" man="1"/>
    <brk id="90" max="41" man="1"/>
  </colBreaks>
  <customProperties>
    <customPr name="_pios_id" r:id="rId2"/>
  </customProperties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zoomScale="80" zoomScaleNormal="80" workbookViewId="0"/>
  </sheetViews>
  <sheetFormatPr defaultColWidth="8.88671875" defaultRowHeight="14.4"/>
  <cols>
    <col min="1" max="1" width="38.33203125" style="547" customWidth="1"/>
    <col min="2" max="7" width="11.6640625" style="547" customWidth="1"/>
    <col min="8" max="8" width="0.6640625" style="547" customWidth="1"/>
    <col min="9" max="9" width="12.33203125" style="547" customWidth="1"/>
    <col min="10" max="10" width="12.5546875" style="547" customWidth="1"/>
    <col min="11" max="11" width="15.88671875" style="547" customWidth="1"/>
    <col min="12" max="12" width="10.6640625" style="547" bestFit="1" customWidth="1"/>
    <col min="13" max="13" width="8.88671875" style="547"/>
    <col min="14" max="14" width="8.88671875" style="548"/>
    <col min="15" max="16384" width="8.88671875" style="547"/>
  </cols>
  <sheetData>
    <row r="1" spans="1:12">
      <c r="A1" s="2" t="s">
        <v>1034</v>
      </c>
      <c r="K1" s="607"/>
      <c r="L1" s="608"/>
    </row>
    <row r="2" spans="1:12" ht="28.95" customHeight="1">
      <c r="A2" s="214" t="s">
        <v>1035</v>
      </c>
      <c r="B2" s="748" t="s">
        <v>970</v>
      </c>
      <c r="C2" s="748"/>
      <c r="D2" s="749" t="s">
        <v>971</v>
      </c>
      <c r="E2" s="750"/>
      <c r="F2" s="748" t="s">
        <v>972</v>
      </c>
      <c r="G2" s="748"/>
      <c r="H2" s="559"/>
      <c r="I2" s="751" t="s">
        <v>1036</v>
      </c>
      <c r="J2" s="751"/>
      <c r="K2" s="751"/>
      <c r="L2" s="559"/>
    </row>
    <row r="3" spans="1:12">
      <c r="A3" s="560" t="s">
        <v>475</v>
      </c>
      <c r="B3" s="561" t="s">
        <v>1031</v>
      </c>
      <c r="C3" s="561" t="s">
        <v>1032</v>
      </c>
      <c r="D3" s="562" t="s">
        <v>1031</v>
      </c>
      <c r="E3" s="563" t="s">
        <v>1032</v>
      </c>
      <c r="F3" s="561" t="s">
        <v>1031</v>
      </c>
      <c r="G3" s="561" t="s">
        <v>1032</v>
      </c>
      <c r="H3" s="559"/>
      <c r="I3" s="564" t="s">
        <v>1037</v>
      </c>
      <c r="J3" s="564" t="s">
        <v>1038</v>
      </c>
      <c r="K3" s="564" t="s">
        <v>1039</v>
      </c>
      <c r="L3" s="564" t="s">
        <v>1040</v>
      </c>
    </row>
    <row r="4" spans="1:12">
      <c r="A4" s="547" t="s">
        <v>1004</v>
      </c>
      <c r="B4" s="555">
        <v>0</v>
      </c>
      <c r="C4" s="555">
        <v>0</v>
      </c>
      <c r="D4" s="555">
        <v>806.10876000000019</v>
      </c>
      <c r="E4" s="555">
        <v>116172.29123999993</v>
      </c>
      <c r="F4" s="555">
        <v>1396.4100799999999</v>
      </c>
      <c r="G4" s="555">
        <v>122693.18992000005</v>
      </c>
      <c r="H4" s="555"/>
      <c r="I4" s="555">
        <f>+B4+D4+F4</f>
        <v>2202.5188400000002</v>
      </c>
      <c r="J4" s="555">
        <f>+C4+E4+G4</f>
        <v>238865.48115999997</v>
      </c>
      <c r="K4" s="555">
        <f>+I4+J4</f>
        <v>241067.99999999997</v>
      </c>
      <c r="L4" s="548">
        <f>ROUND(+I4/K4,4)</f>
        <v>9.1000000000000004E-3</v>
      </c>
    </row>
    <row r="5" spans="1:12">
      <c r="A5" s="547" t="s">
        <v>498</v>
      </c>
      <c r="B5" s="556">
        <v>1288.6115200000002</v>
      </c>
      <c r="C5" s="556">
        <v>68021.158480000013</v>
      </c>
      <c r="D5" s="556">
        <v>1251.2701599999996</v>
      </c>
      <c r="E5" s="556">
        <v>68643.929840000026</v>
      </c>
      <c r="F5" s="556">
        <v>2486</v>
      </c>
      <c r="G5" s="556">
        <v>77968</v>
      </c>
      <c r="H5" s="556"/>
      <c r="I5" s="556">
        <f t="shared" ref="I5:I68" si="0">+B5+D5+F5</f>
        <v>5025.8816799999995</v>
      </c>
      <c r="J5" s="556">
        <f t="shared" ref="J5:J68" si="1">+C5+E5+G5</f>
        <v>214633.08832000004</v>
      </c>
      <c r="K5" s="556">
        <f t="shared" ref="K5:K68" si="2">+I5+J5</f>
        <v>219658.97000000003</v>
      </c>
      <c r="L5" s="548">
        <f>ROUND(+I5/K5,4)</f>
        <v>2.29E-2</v>
      </c>
    </row>
    <row r="6" spans="1:12">
      <c r="A6" s="547" t="s">
        <v>977</v>
      </c>
      <c r="B6" s="556">
        <v>13474.16972</v>
      </c>
      <c r="C6" s="556">
        <v>154773.03028000001</v>
      </c>
      <c r="D6" s="556">
        <v>15888.635280000004</v>
      </c>
      <c r="E6" s="556">
        <v>101613.36471999998</v>
      </c>
      <c r="F6" s="556">
        <v>1449.6306000000004</v>
      </c>
      <c r="G6" s="556">
        <v>87038.369399999996</v>
      </c>
      <c r="H6" s="556"/>
      <c r="I6" s="556">
        <f t="shared" si="0"/>
        <v>30812.435600000004</v>
      </c>
      <c r="J6" s="556">
        <f t="shared" si="1"/>
        <v>343424.76439999999</v>
      </c>
      <c r="K6" s="556">
        <f t="shared" si="2"/>
        <v>374237.2</v>
      </c>
      <c r="L6" s="548">
        <f t="shared" ref="L6:L68" si="3">ROUND(+I6/K6,4)</f>
        <v>8.2299999999999998E-2</v>
      </c>
    </row>
    <row r="7" spans="1:12">
      <c r="A7" s="547" t="s">
        <v>1005</v>
      </c>
      <c r="B7" s="556">
        <v>1082.6914000000002</v>
      </c>
      <c r="C7" s="556">
        <v>72609.508600000001</v>
      </c>
      <c r="D7" s="556">
        <v>1008.1020000000001</v>
      </c>
      <c r="E7" s="556">
        <v>78311.898000000001</v>
      </c>
      <c r="F7" s="556">
        <v>1782.0282149999998</v>
      </c>
      <c r="G7" s="556">
        <v>90037.191785000003</v>
      </c>
      <c r="H7" s="556"/>
      <c r="I7" s="556">
        <f t="shared" si="0"/>
        <v>3872.8216150000003</v>
      </c>
      <c r="J7" s="556">
        <f t="shared" si="1"/>
        <v>240958.59838499999</v>
      </c>
      <c r="K7" s="556">
        <f t="shared" si="2"/>
        <v>244831.41999999998</v>
      </c>
      <c r="L7" s="548">
        <f t="shared" si="3"/>
        <v>1.5800000000000002E-2</v>
      </c>
    </row>
    <row r="8" spans="1:12">
      <c r="A8" s="547" t="s">
        <v>1025</v>
      </c>
      <c r="B8" s="556">
        <v>2934.7189600000006</v>
      </c>
      <c r="C8" s="556">
        <v>48687.681039999996</v>
      </c>
      <c r="D8" s="556">
        <v>0</v>
      </c>
      <c r="E8" s="556">
        <v>0</v>
      </c>
      <c r="F8" s="556">
        <v>0</v>
      </c>
      <c r="G8" s="556">
        <v>0</v>
      </c>
      <c r="H8" s="556"/>
      <c r="I8" s="556">
        <f t="shared" si="0"/>
        <v>2934.7189600000006</v>
      </c>
      <c r="J8" s="556">
        <f t="shared" si="1"/>
        <v>48687.681039999996</v>
      </c>
      <c r="K8" s="556">
        <f t="shared" si="2"/>
        <v>51622.399999999994</v>
      </c>
      <c r="L8" s="548">
        <f t="shared" si="3"/>
        <v>5.6800000000000003E-2</v>
      </c>
    </row>
    <row r="9" spans="1:12">
      <c r="A9" s="547" t="s">
        <v>1006</v>
      </c>
      <c r="B9" s="556">
        <v>26313.94124</v>
      </c>
      <c r="C9" s="556">
        <v>82919.658760000006</v>
      </c>
      <c r="D9" s="556">
        <v>51612.595260000024</v>
      </c>
      <c r="E9" s="556">
        <v>94719.404739999998</v>
      </c>
      <c r="F9" s="556">
        <v>59261.002979999983</v>
      </c>
      <c r="G9" s="556">
        <v>98560.597019999972</v>
      </c>
      <c r="H9" s="556"/>
      <c r="I9" s="556">
        <f t="shared" si="0"/>
        <v>137187.53948000001</v>
      </c>
      <c r="J9" s="556">
        <f t="shared" si="1"/>
        <v>276199.66051999998</v>
      </c>
      <c r="K9" s="556">
        <f t="shared" si="2"/>
        <v>413387.19999999995</v>
      </c>
      <c r="L9" s="548">
        <f t="shared" si="3"/>
        <v>0.33189999999999997</v>
      </c>
    </row>
    <row r="10" spans="1:12">
      <c r="A10" s="547" t="s">
        <v>1026</v>
      </c>
      <c r="B10" s="556">
        <v>4248.7957600000009</v>
      </c>
      <c r="C10" s="556">
        <v>35531.92424</v>
      </c>
      <c r="D10" s="556">
        <v>0</v>
      </c>
      <c r="E10" s="556">
        <v>0</v>
      </c>
      <c r="F10" s="556">
        <v>0</v>
      </c>
      <c r="G10" s="556">
        <v>0</v>
      </c>
      <c r="H10" s="556"/>
      <c r="I10" s="556">
        <f t="shared" si="0"/>
        <v>4248.7957600000009</v>
      </c>
      <c r="J10" s="556">
        <f t="shared" si="1"/>
        <v>35531.92424</v>
      </c>
      <c r="K10" s="556">
        <f t="shared" si="2"/>
        <v>39780.720000000001</v>
      </c>
      <c r="L10" s="548">
        <f t="shared" si="3"/>
        <v>0.10680000000000001</v>
      </c>
    </row>
    <row r="11" spans="1:12">
      <c r="A11" s="547" t="s">
        <v>1007</v>
      </c>
      <c r="B11" s="556">
        <v>11523.055259999999</v>
      </c>
      <c r="C11" s="556">
        <v>63024.944740000028</v>
      </c>
      <c r="D11" s="556">
        <v>76034.45827199996</v>
      </c>
      <c r="E11" s="556">
        <v>7.941727999999995</v>
      </c>
      <c r="F11" s="556">
        <v>80749.634111999985</v>
      </c>
      <c r="G11" s="556">
        <v>10.365887999999996</v>
      </c>
      <c r="H11" s="556"/>
      <c r="I11" s="556">
        <f t="shared" si="0"/>
        <v>168307.14764399995</v>
      </c>
      <c r="J11" s="556">
        <f t="shared" si="1"/>
        <v>63043.252356000026</v>
      </c>
      <c r="K11" s="556">
        <f t="shared" si="2"/>
        <v>231350.39999999997</v>
      </c>
      <c r="L11" s="548">
        <f t="shared" si="3"/>
        <v>0.72750000000000004</v>
      </c>
    </row>
    <row r="12" spans="1:12">
      <c r="A12" s="547" t="s">
        <v>1008</v>
      </c>
      <c r="B12" s="556">
        <v>58298.461728000002</v>
      </c>
      <c r="C12" s="556">
        <v>4.3382719999999999</v>
      </c>
      <c r="D12" s="556">
        <v>97542.496447999947</v>
      </c>
      <c r="E12" s="556">
        <v>12.703551999999997</v>
      </c>
      <c r="F12" s="556">
        <v>148727.75187199994</v>
      </c>
      <c r="G12" s="556">
        <v>12.248127999999999</v>
      </c>
      <c r="H12" s="556"/>
      <c r="I12" s="556">
        <f t="shared" si="0"/>
        <v>304568.71004799986</v>
      </c>
      <c r="J12" s="556">
        <f t="shared" si="1"/>
        <v>29.289952</v>
      </c>
      <c r="K12" s="556">
        <f t="shared" si="2"/>
        <v>304597.99999999988</v>
      </c>
      <c r="L12" s="548">
        <f t="shared" si="3"/>
        <v>0.99990000000000001</v>
      </c>
    </row>
    <row r="13" spans="1:12">
      <c r="A13" s="547" t="s">
        <v>951</v>
      </c>
      <c r="B13" s="556">
        <v>92720.054719999956</v>
      </c>
      <c r="C13" s="556">
        <v>35933.865280000005</v>
      </c>
      <c r="D13" s="556">
        <v>107885.17197399994</v>
      </c>
      <c r="E13" s="556">
        <v>21885.378025999991</v>
      </c>
      <c r="F13" s="556">
        <v>107943.90370999997</v>
      </c>
      <c r="G13" s="556">
        <v>29667.536289999985</v>
      </c>
      <c r="H13" s="556"/>
      <c r="I13" s="556">
        <f t="shared" si="0"/>
        <v>308549.13040399988</v>
      </c>
      <c r="J13" s="556">
        <f t="shared" si="1"/>
        <v>87486.779595999978</v>
      </c>
      <c r="K13" s="556">
        <f t="shared" si="2"/>
        <v>396035.90999999986</v>
      </c>
      <c r="L13" s="548">
        <f t="shared" si="3"/>
        <v>0.77910000000000001</v>
      </c>
    </row>
    <row r="14" spans="1:12">
      <c r="A14" s="547" t="s">
        <v>952</v>
      </c>
      <c r="B14" s="556">
        <v>105770.43904799999</v>
      </c>
      <c r="C14" s="556">
        <v>11.500951999999996</v>
      </c>
      <c r="D14" s="556">
        <v>148417.21583199978</v>
      </c>
      <c r="E14" s="556">
        <v>18.444167999999998</v>
      </c>
      <c r="F14" s="556">
        <v>231253.09939999998</v>
      </c>
      <c r="G14" s="556">
        <v>25.740600000000004</v>
      </c>
      <c r="H14" s="556"/>
      <c r="I14" s="556">
        <f t="shared" si="0"/>
        <v>485440.75427999976</v>
      </c>
      <c r="J14" s="556">
        <f t="shared" si="1"/>
        <v>55.685720000000003</v>
      </c>
      <c r="K14" s="556">
        <f t="shared" si="2"/>
        <v>485496.43999999977</v>
      </c>
      <c r="L14" s="548">
        <f t="shared" si="3"/>
        <v>0.99990000000000001</v>
      </c>
    </row>
    <row r="15" spans="1:12">
      <c r="A15" s="547" t="s">
        <v>1009</v>
      </c>
      <c r="B15" s="556">
        <v>56116.037287999985</v>
      </c>
      <c r="C15" s="556">
        <v>9.5627119999999994</v>
      </c>
      <c r="D15" s="556">
        <v>57361.231295999976</v>
      </c>
      <c r="E15" s="556">
        <v>228.36870400000004</v>
      </c>
      <c r="F15" s="556">
        <v>61400.235967999892</v>
      </c>
      <c r="G15" s="556">
        <v>10.964031999999998</v>
      </c>
      <c r="H15" s="556"/>
      <c r="I15" s="556">
        <f t="shared" si="0"/>
        <v>174877.50455199985</v>
      </c>
      <c r="J15" s="556">
        <f t="shared" si="1"/>
        <v>248.89544800000004</v>
      </c>
      <c r="K15" s="556">
        <f t="shared" si="2"/>
        <v>175126.39999999985</v>
      </c>
      <c r="L15" s="548">
        <f t="shared" si="3"/>
        <v>0.99860000000000004</v>
      </c>
    </row>
    <row r="16" spans="1:12">
      <c r="A16" s="547" t="s">
        <v>1027</v>
      </c>
      <c r="B16" s="556">
        <v>67733.745375999963</v>
      </c>
      <c r="C16" s="556">
        <v>5.4546240000000008</v>
      </c>
      <c r="D16" s="556">
        <v>0</v>
      </c>
      <c r="E16" s="556">
        <v>0</v>
      </c>
      <c r="F16" s="556">
        <v>0</v>
      </c>
      <c r="G16" s="556">
        <v>0</v>
      </c>
      <c r="H16" s="556"/>
      <c r="I16" s="556">
        <f t="shared" si="0"/>
        <v>67733.745375999963</v>
      </c>
      <c r="J16" s="556">
        <f t="shared" si="1"/>
        <v>5.4546240000000008</v>
      </c>
      <c r="K16" s="556">
        <f t="shared" si="2"/>
        <v>67739.199999999968</v>
      </c>
      <c r="L16" s="548">
        <f t="shared" si="3"/>
        <v>0.99990000000000001</v>
      </c>
    </row>
    <row r="17" spans="1:15">
      <c r="A17" s="547" t="s">
        <v>499</v>
      </c>
      <c r="B17" s="556">
        <v>179053.29977599997</v>
      </c>
      <c r="C17" s="556">
        <v>2495.8402240000023</v>
      </c>
      <c r="D17" s="556">
        <v>137907.55205600001</v>
      </c>
      <c r="E17" s="556">
        <v>850.26794400000006</v>
      </c>
      <c r="F17" s="556">
        <v>60952.189472000013</v>
      </c>
      <c r="G17" s="556">
        <v>20.450528000000002</v>
      </c>
      <c r="H17" s="556"/>
      <c r="I17" s="556">
        <f t="shared" si="0"/>
        <v>377913.04130399995</v>
      </c>
      <c r="J17" s="556">
        <f t="shared" si="1"/>
        <v>3366.5586960000023</v>
      </c>
      <c r="K17" s="556">
        <f t="shared" si="2"/>
        <v>381279.6</v>
      </c>
      <c r="L17" s="548">
        <f t="shared" si="3"/>
        <v>0.99119999999999997</v>
      </c>
    </row>
    <row r="18" spans="1:15">
      <c r="A18" s="547" t="s">
        <v>1010</v>
      </c>
      <c r="B18" s="556">
        <v>94714.599311999933</v>
      </c>
      <c r="C18" s="556">
        <v>8.930688</v>
      </c>
      <c r="D18" s="556">
        <v>100721.98767999989</v>
      </c>
      <c r="E18" s="556">
        <v>10.352320000000001</v>
      </c>
      <c r="F18" s="556">
        <v>103214.61172800005</v>
      </c>
      <c r="G18" s="556">
        <v>11.668272</v>
      </c>
      <c r="H18" s="556"/>
      <c r="I18" s="556">
        <f t="shared" si="0"/>
        <v>298651.19871999987</v>
      </c>
      <c r="J18" s="556">
        <f t="shared" si="1"/>
        <v>30.951280000000004</v>
      </c>
      <c r="K18" s="556">
        <f t="shared" si="2"/>
        <v>298682.14999999985</v>
      </c>
      <c r="L18" s="548">
        <f t="shared" si="3"/>
        <v>0.99990000000000001</v>
      </c>
    </row>
    <row r="19" spans="1:15">
      <c r="A19" s="547" t="s">
        <v>500</v>
      </c>
      <c r="B19" s="556">
        <v>0</v>
      </c>
      <c r="C19" s="556">
        <v>52164.339999999982</v>
      </c>
      <c r="D19" s="556">
        <v>0</v>
      </c>
      <c r="E19" s="556">
        <v>53532.680000000008</v>
      </c>
      <c r="F19" s="556">
        <v>0</v>
      </c>
      <c r="G19" s="556">
        <v>57323.429999999986</v>
      </c>
      <c r="H19" s="556"/>
      <c r="I19" s="556">
        <f t="shared" si="0"/>
        <v>0</v>
      </c>
      <c r="J19" s="556">
        <f t="shared" si="1"/>
        <v>163020.44999999998</v>
      </c>
      <c r="K19" s="556">
        <f t="shared" si="2"/>
        <v>163020.44999999998</v>
      </c>
      <c r="L19" s="548">
        <f t="shared" si="3"/>
        <v>0</v>
      </c>
    </row>
    <row r="20" spans="1:15">
      <c r="A20" s="547" t="s">
        <v>1011</v>
      </c>
      <c r="B20" s="556">
        <v>0</v>
      </c>
      <c r="C20" s="556">
        <v>109170.39999999992</v>
      </c>
      <c r="D20" s="556">
        <v>0</v>
      </c>
      <c r="E20" s="556">
        <v>111659.99999999997</v>
      </c>
      <c r="F20" s="556">
        <v>0</v>
      </c>
      <c r="G20" s="556">
        <v>118593.60000000003</v>
      </c>
      <c r="H20" s="556"/>
      <c r="I20" s="556">
        <f t="shared" si="0"/>
        <v>0</v>
      </c>
      <c r="J20" s="556">
        <f t="shared" si="1"/>
        <v>339423.99999999994</v>
      </c>
      <c r="K20" s="556">
        <f t="shared" si="2"/>
        <v>339423.99999999994</v>
      </c>
      <c r="L20" s="548">
        <f t="shared" si="3"/>
        <v>0</v>
      </c>
    </row>
    <row r="21" spans="1:15">
      <c r="A21" s="547" t="s">
        <v>1012</v>
      </c>
      <c r="B21" s="556">
        <v>0</v>
      </c>
      <c r="C21" s="556">
        <v>59585.960000000065</v>
      </c>
      <c r="D21" s="556">
        <v>0</v>
      </c>
      <c r="E21" s="556">
        <v>61871.199999999975</v>
      </c>
      <c r="F21" s="556">
        <v>0</v>
      </c>
      <c r="G21" s="556">
        <v>66007.200000000012</v>
      </c>
      <c r="H21" s="556"/>
      <c r="I21" s="556">
        <f t="shared" si="0"/>
        <v>0</v>
      </c>
      <c r="J21" s="556">
        <f t="shared" si="1"/>
        <v>187464.36000000004</v>
      </c>
      <c r="K21" s="556">
        <f t="shared" si="2"/>
        <v>187464.36000000004</v>
      </c>
      <c r="L21" s="548">
        <f t="shared" si="3"/>
        <v>0</v>
      </c>
    </row>
    <row r="22" spans="1:15">
      <c r="A22" s="547" t="s">
        <v>501</v>
      </c>
      <c r="B22" s="556">
        <v>7482.8743959999993</v>
      </c>
      <c r="C22" s="556">
        <v>51034.755604000042</v>
      </c>
      <c r="D22" s="556">
        <v>11634.314221999997</v>
      </c>
      <c r="E22" s="556">
        <v>47063.415777999995</v>
      </c>
      <c r="F22" s="556">
        <v>12484.981962000005</v>
      </c>
      <c r="G22" s="556">
        <v>50330.948037999966</v>
      </c>
      <c r="H22" s="556"/>
      <c r="I22" s="556">
        <f t="shared" si="0"/>
        <v>31602.170580000002</v>
      </c>
      <c r="J22" s="556">
        <f t="shared" si="1"/>
        <v>148429.11942</v>
      </c>
      <c r="K22" s="556">
        <f t="shared" si="2"/>
        <v>180031.29</v>
      </c>
      <c r="L22" s="548">
        <f t="shared" si="3"/>
        <v>0.17549999999999999</v>
      </c>
    </row>
    <row r="23" spans="1:15">
      <c r="A23" s="547" t="s">
        <v>978</v>
      </c>
      <c r="B23" s="556">
        <v>8653.8000000000011</v>
      </c>
      <c r="C23" s="556">
        <v>8846.1999999999989</v>
      </c>
      <c r="D23" s="556">
        <v>4189.82</v>
      </c>
      <c r="E23" s="556">
        <v>16122.779999999999</v>
      </c>
      <c r="F23" s="556">
        <v>0</v>
      </c>
      <c r="G23" s="556">
        <v>0</v>
      </c>
      <c r="H23" s="556"/>
      <c r="I23" s="556">
        <f t="shared" si="0"/>
        <v>12843.62</v>
      </c>
      <c r="J23" s="556">
        <f t="shared" si="1"/>
        <v>24968.979999999996</v>
      </c>
      <c r="K23" s="556">
        <f t="shared" si="2"/>
        <v>37812.6</v>
      </c>
      <c r="L23" s="548">
        <f t="shared" si="3"/>
        <v>0.3397</v>
      </c>
    </row>
    <row r="24" spans="1:15">
      <c r="A24" s="547" t="s">
        <v>943</v>
      </c>
      <c r="B24" s="556">
        <v>892.98</v>
      </c>
      <c r="C24" s="556">
        <v>17900.22</v>
      </c>
      <c r="D24" s="556">
        <v>16341.959375999993</v>
      </c>
      <c r="E24" s="556">
        <v>81612.030623999948</v>
      </c>
      <c r="F24" s="556">
        <v>6681.0570119999984</v>
      </c>
      <c r="G24" s="556">
        <v>149539.2129879999</v>
      </c>
      <c r="H24" s="556"/>
      <c r="I24" s="556">
        <f t="shared" si="0"/>
        <v>23915.996387999992</v>
      </c>
      <c r="J24" s="556">
        <f t="shared" si="1"/>
        <v>249051.46361199985</v>
      </c>
      <c r="K24" s="556">
        <f t="shared" si="2"/>
        <v>272967.45999999985</v>
      </c>
      <c r="L24" s="548">
        <f t="shared" si="3"/>
        <v>8.7599999999999997E-2</v>
      </c>
    </row>
    <row r="25" spans="1:15">
      <c r="A25" s="547" t="s">
        <v>502</v>
      </c>
      <c r="B25" s="556">
        <v>11058.699685999993</v>
      </c>
      <c r="C25" s="556">
        <v>136726.87031400006</v>
      </c>
      <c r="D25" s="556">
        <v>18298.390920000009</v>
      </c>
      <c r="E25" s="556">
        <v>119349.98907999994</v>
      </c>
      <c r="F25" s="556">
        <v>17307.555000000015</v>
      </c>
      <c r="G25" s="556">
        <v>128096.14500000009</v>
      </c>
      <c r="H25" s="556"/>
      <c r="I25" s="556">
        <f t="shared" si="0"/>
        <v>46664.64560600002</v>
      </c>
      <c r="J25" s="556">
        <f t="shared" si="1"/>
        <v>384173.00439400011</v>
      </c>
      <c r="K25" s="556">
        <f t="shared" si="2"/>
        <v>430837.65000000014</v>
      </c>
      <c r="L25" s="548">
        <f t="shared" si="3"/>
        <v>0.10829999999999999</v>
      </c>
    </row>
    <row r="26" spans="1:15">
      <c r="A26" s="547" t="s">
        <v>1013</v>
      </c>
      <c r="B26" s="556">
        <v>28238.652841999996</v>
      </c>
      <c r="C26" s="556">
        <v>87393.747157999984</v>
      </c>
      <c r="D26" s="556">
        <v>35783.448744000001</v>
      </c>
      <c r="E26" s="556">
        <v>54970.631256000022</v>
      </c>
      <c r="F26" s="556">
        <v>33290.128705999989</v>
      </c>
      <c r="G26" s="556">
        <v>65534.671294000007</v>
      </c>
      <c r="H26" s="556"/>
      <c r="I26" s="556">
        <f t="shared" si="0"/>
        <v>97312.230291999993</v>
      </c>
      <c r="J26" s="556">
        <f t="shared" si="1"/>
        <v>207899.04970800001</v>
      </c>
      <c r="K26" s="556">
        <f t="shared" si="2"/>
        <v>305211.28000000003</v>
      </c>
      <c r="L26" s="548">
        <f t="shared" si="3"/>
        <v>0.31879999999999997</v>
      </c>
    </row>
    <row r="27" spans="1:15">
      <c r="A27" s="547" t="s">
        <v>967</v>
      </c>
      <c r="B27" s="556">
        <v>14171.010713999998</v>
      </c>
      <c r="C27" s="556">
        <v>41713.119286000008</v>
      </c>
      <c r="D27" s="556">
        <v>17866.622447000005</v>
      </c>
      <c r="E27" s="556">
        <v>36811.777553000007</v>
      </c>
      <c r="F27" s="556">
        <v>15073.616555000001</v>
      </c>
      <c r="G27" s="556">
        <v>42534.643444999994</v>
      </c>
      <c r="H27" s="556"/>
      <c r="I27" s="556">
        <f t="shared" si="0"/>
        <v>47111.249716000006</v>
      </c>
      <c r="J27" s="556">
        <f t="shared" si="1"/>
        <v>121059.54028400002</v>
      </c>
      <c r="K27" s="556">
        <f t="shared" si="2"/>
        <v>168170.79000000004</v>
      </c>
      <c r="L27" s="548">
        <f t="shared" si="3"/>
        <v>0.28010000000000002</v>
      </c>
    </row>
    <row r="28" spans="1:15">
      <c r="A28" s="547" t="s">
        <v>953</v>
      </c>
      <c r="B28" s="556">
        <v>2111.8257180000005</v>
      </c>
      <c r="C28" s="556">
        <v>47594.334282000011</v>
      </c>
      <c r="D28" s="556">
        <v>1559.6347519999995</v>
      </c>
      <c r="E28" s="556">
        <v>55187.045247999995</v>
      </c>
      <c r="F28" s="556">
        <v>1307.5888919999998</v>
      </c>
      <c r="G28" s="556">
        <v>66772.001107999997</v>
      </c>
      <c r="H28" s="556"/>
      <c r="I28" s="556">
        <f t="shared" si="0"/>
        <v>4979.0493619999997</v>
      </c>
      <c r="J28" s="556">
        <f t="shared" si="1"/>
        <v>169553.380638</v>
      </c>
      <c r="K28" s="556">
        <f t="shared" si="2"/>
        <v>174532.43</v>
      </c>
      <c r="L28" s="548">
        <f t="shared" si="3"/>
        <v>2.8500000000000001E-2</v>
      </c>
    </row>
    <row r="29" spans="1:15">
      <c r="A29" s="547" t="s">
        <v>954</v>
      </c>
      <c r="B29" s="556">
        <v>0</v>
      </c>
      <c r="C29" s="556">
        <v>0</v>
      </c>
      <c r="D29" s="556">
        <v>13797.475343999997</v>
      </c>
      <c r="E29" s="556">
        <v>21998.164655999997</v>
      </c>
      <c r="F29" s="556">
        <v>12986.378819999996</v>
      </c>
      <c r="G29" s="556">
        <v>64696.431180000007</v>
      </c>
      <c r="H29" s="556"/>
      <c r="I29" s="556">
        <f t="shared" si="0"/>
        <v>26783.854163999993</v>
      </c>
      <c r="J29" s="556">
        <f t="shared" si="1"/>
        <v>86694.595836000008</v>
      </c>
      <c r="K29" s="556">
        <f t="shared" si="2"/>
        <v>113478.45</v>
      </c>
      <c r="L29" s="548">
        <f t="shared" si="3"/>
        <v>0.23599999999999999</v>
      </c>
    </row>
    <row r="30" spans="1:15">
      <c r="A30" s="547" t="s">
        <v>1014</v>
      </c>
      <c r="B30" s="556">
        <v>28236.685855999993</v>
      </c>
      <c r="C30" s="556">
        <v>45020.914144000009</v>
      </c>
      <c r="D30" s="556">
        <v>27674.940847999984</v>
      </c>
      <c r="E30" s="556">
        <v>47693.059151999994</v>
      </c>
      <c r="F30" s="556">
        <v>19208.701307999971</v>
      </c>
      <c r="G30" s="556">
        <v>61258.498692000008</v>
      </c>
      <c r="H30" s="556"/>
      <c r="I30" s="556">
        <f t="shared" si="0"/>
        <v>75120.328011999954</v>
      </c>
      <c r="J30" s="556">
        <f t="shared" si="1"/>
        <v>153972.47198800003</v>
      </c>
      <c r="K30" s="556">
        <f t="shared" si="2"/>
        <v>229092.8</v>
      </c>
      <c r="L30" s="548">
        <f t="shared" si="3"/>
        <v>0.32790000000000002</v>
      </c>
      <c r="O30" s="549"/>
    </row>
    <row r="31" spans="1:15">
      <c r="A31" s="547" t="s">
        <v>518</v>
      </c>
      <c r="B31" s="556">
        <v>925.98616600000014</v>
      </c>
      <c r="C31" s="556">
        <v>4827.3238339999998</v>
      </c>
      <c r="D31" s="556">
        <v>2896.224267999999</v>
      </c>
      <c r="E31" s="556">
        <v>8279.975731999999</v>
      </c>
      <c r="F31" s="556">
        <v>1241.139142</v>
      </c>
      <c r="G31" s="556">
        <v>6018.1908579999999</v>
      </c>
      <c r="H31" s="556"/>
      <c r="I31" s="556">
        <f t="shared" si="0"/>
        <v>5063.3495759999987</v>
      </c>
      <c r="J31" s="556">
        <f t="shared" si="1"/>
        <v>19125.490423999996</v>
      </c>
      <c r="K31" s="556">
        <f t="shared" si="2"/>
        <v>24188.839999999997</v>
      </c>
      <c r="L31" s="548">
        <f t="shared" si="3"/>
        <v>0.20930000000000001</v>
      </c>
    </row>
    <row r="32" spans="1:15">
      <c r="A32" s="547" t="s">
        <v>503</v>
      </c>
      <c r="B32" s="556">
        <v>70413.270750999975</v>
      </c>
      <c r="C32" s="556">
        <v>19862.159249000004</v>
      </c>
      <c r="D32" s="556">
        <v>76847.958491000027</v>
      </c>
      <c r="E32" s="556">
        <v>9641.4015089999957</v>
      </c>
      <c r="F32" s="556">
        <v>55439.696485999993</v>
      </c>
      <c r="G32" s="556">
        <v>8077.1335140000019</v>
      </c>
      <c r="H32" s="556"/>
      <c r="I32" s="556">
        <f t="shared" si="0"/>
        <v>202700.925728</v>
      </c>
      <c r="J32" s="556">
        <f t="shared" si="1"/>
        <v>37580.694272000001</v>
      </c>
      <c r="K32" s="556">
        <f t="shared" si="2"/>
        <v>240281.62</v>
      </c>
      <c r="L32" s="548">
        <f t="shared" si="3"/>
        <v>0.84360000000000002</v>
      </c>
    </row>
    <row r="33" spans="1:12">
      <c r="A33" s="547" t="s">
        <v>504</v>
      </c>
      <c r="B33" s="556">
        <v>9360.5297440000013</v>
      </c>
      <c r="C33" s="556">
        <v>137686.37025600002</v>
      </c>
      <c r="D33" s="556">
        <v>8175.8952600000002</v>
      </c>
      <c r="E33" s="556">
        <v>132808.41474000012</v>
      </c>
      <c r="F33" s="556">
        <v>2279.4777440000003</v>
      </c>
      <c r="G33" s="556">
        <v>5536.8422559999999</v>
      </c>
      <c r="H33" s="556"/>
      <c r="I33" s="556">
        <f t="shared" si="0"/>
        <v>19815.902748</v>
      </c>
      <c r="J33" s="556">
        <f t="shared" si="1"/>
        <v>276031.62725200009</v>
      </c>
      <c r="K33" s="556">
        <f t="shared" si="2"/>
        <v>295847.53000000009</v>
      </c>
      <c r="L33" s="548">
        <f t="shared" si="3"/>
        <v>6.7000000000000004E-2</v>
      </c>
    </row>
    <row r="34" spans="1:12">
      <c r="A34" s="547" t="s">
        <v>505</v>
      </c>
      <c r="B34" s="556">
        <v>7846.1724599999989</v>
      </c>
      <c r="C34" s="556">
        <v>33482.167540000009</v>
      </c>
      <c r="D34" s="556">
        <v>8130.5393400000012</v>
      </c>
      <c r="E34" s="556">
        <v>17787.660659999998</v>
      </c>
      <c r="F34" s="556">
        <v>60.341760000000015</v>
      </c>
      <c r="G34" s="556">
        <v>147.01824000000002</v>
      </c>
      <c r="H34" s="556"/>
      <c r="I34" s="556">
        <f t="shared" si="0"/>
        <v>16037.05356</v>
      </c>
      <c r="J34" s="556">
        <f t="shared" si="1"/>
        <v>51416.846440000001</v>
      </c>
      <c r="K34" s="556">
        <f t="shared" si="2"/>
        <v>67453.899999999994</v>
      </c>
      <c r="L34" s="548">
        <f t="shared" si="3"/>
        <v>0.23769999999999999</v>
      </c>
    </row>
    <row r="35" spans="1:12">
      <c r="A35" s="547" t="s">
        <v>955</v>
      </c>
      <c r="B35" s="556">
        <v>55975.951554000014</v>
      </c>
      <c r="C35" s="556">
        <v>9781.8084460000027</v>
      </c>
      <c r="D35" s="556">
        <v>57664.544439999983</v>
      </c>
      <c r="E35" s="556">
        <v>8168.595559999997</v>
      </c>
      <c r="F35" s="556">
        <v>64103.389184000007</v>
      </c>
      <c r="G35" s="556">
        <v>8674.6208159999969</v>
      </c>
      <c r="H35" s="556"/>
      <c r="I35" s="556">
        <f t="shared" si="0"/>
        <v>177743.885178</v>
      </c>
      <c r="J35" s="556">
        <f t="shared" si="1"/>
        <v>26625.024821999999</v>
      </c>
      <c r="K35" s="556">
        <f t="shared" si="2"/>
        <v>204368.91</v>
      </c>
      <c r="L35" s="548">
        <f t="shared" si="3"/>
        <v>0.86970000000000003</v>
      </c>
    </row>
    <row r="36" spans="1:12">
      <c r="A36" s="547" t="s">
        <v>956</v>
      </c>
      <c r="B36" s="556">
        <v>5600.3706600000014</v>
      </c>
      <c r="C36" s="556">
        <v>131380.42934000006</v>
      </c>
      <c r="D36" s="556">
        <v>6483.2210099999993</v>
      </c>
      <c r="E36" s="556">
        <v>133291.91899000001</v>
      </c>
      <c r="F36" s="556">
        <v>7378.2637199999954</v>
      </c>
      <c r="G36" s="556">
        <v>177860.43628000002</v>
      </c>
      <c r="H36" s="556"/>
      <c r="I36" s="556">
        <f t="shared" si="0"/>
        <v>19461.855389999997</v>
      </c>
      <c r="J36" s="556">
        <f t="shared" si="1"/>
        <v>442532.78461000009</v>
      </c>
      <c r="K36" s="556">
        <f t="shared" si="2"/>
        <v>461994.64000000007</v>
      </c>
      <c r="L36" s="548">
        <f t="shared" si="3"/>
        <v>4.2099999999999999E-2</v>
      </c>
    </row>
    <row r="37" spans="1:12">
      <c r="A37" s="547" t="s">
        <v>1015</v>
      </c>
      <c r="B37" s="556">
        <v>0</v>
      </c>
      <c r="C37" s="556">
        <v>0</v>
      </c>
      <c r="D37" s="556">
        <v>0</v>
      </c>
      <c r="E37" s="556">
        <v>3212.8</v>
      </c>
      <c r="F37" s="556">
        <v>2371.0679999999998</v>
      </c>
      <c r="G37" s="556">
        <v>85488.131999999983</v>
      </c>
      <c r="H37" s="556"/>
      <c r="I37" s="556">
        <f t="shared" si="0"/>
        <v>2371.0679999999998</v>
      </c>
      <c r="J37" s="556">
        <f t="shared" si="1"/>
        <v>88700.931999999986</v>
      </c>
      <c r="K37" s="556">
        <f t="shared" si="2"/>
        <v>91071.999999999985</v>
      </c>
      <c r="L37" s="548">
        <f t="shared" si="3"/>
        <v>2.5999999999999999E-2</v>
      </c>
    </row>
    <row r="38" spans="1:12">
      <c r="A38" s="547" t="s">
        <v>1028</v>
      </c>
      <c r="B38" s="556">
        <v>8012.4240000000036</v>
      </c>
      <c r="C38" s="556">
        <v>67942.775999999969</v>
      </c>
      <c r="D38" s="556">
        <v>12410.898359999999</v>
      </c>
      <c r="E38" s="556">
        <v>44991.341639999999</v>
      </c>
      <c r="F38" s="556">
        <v>0</v>
      </c>
      <c r="G38" s="556">
        <v>0</v>
      </c>
      <c r="H38" s="556"/>
      <c r="I38" s="556">
        <f t="shared" si="0"/>
        <v>20423.322360000002</v>
      </c>
      <c r="J38" s="556">
        <f t="shared" si="1"/>
        <v>112934.11763999997</v>
      </c>
      <c r="K38" s="556">
        <f t="shared" si="2"/>
        <v>133357.43999999997</v>
      </c>
      <c r="L38" s="548">
        <f t="shared" si="3"/>
        <v>0.15310000000000001</v>
      </c>
    </row>
    <row r="39" spans="1:12">
      <c r="A39" s="547" t="s">
        <v>506</v>
      </c>
      <c r="B39" s="556">
        <v>89740.222351000033</v>
      </c>
      <c r="C39" s="556">
        <v>51914.677648999983</v>
      </c>
      <c r="D39" s="556">
        <v>98061.881362000029</v>
      </c>
      <c r="E39" s="556">
        <v>34873.138637999997</v>
      </c>
      <c r="F39" s="556">
        <v>99608.671314999941</v>
      </c>
      <c r="G39" s="556">
        <v>38339.668684999953</v>
      </c>
      <c r="H39" s="556"/>
      <c r="I39" s="556">
        <f t="shared" si="0"/>
        <v>287410.775028</v>
      </c>
      <c r="J39" s="556">
        <f t="shared" si="1"/>
        <v>125127.48497199993</v>
      </c>
      <c r="K39" s="556">
        <f t="shared" si="2"/>
        <v>412538.25999999995</v>
      </c>
      <c r="L39" s="548">
        <f t="shared" si="3"/>
        <v>0.69669999999999999</v>
      </c>
    </row>
    <row r="40" spans="1:12">
      <c r="A40" s="547" t="s">
        <v>507</v>
      </c>
      <c r="B40" s="556">
        <v>22361.421550999999</v>
      </c>
      <c r="C40" s="556">
        <v>70878.678448999999</v>
      </c>
      <c r="D40" s="556">
        <v>24783.435178999989</v>
      </c>
      <c r="E40" s="556">
        <v>69406.024821000043</v>
      </c>
      <c r="F40" s="556">
        <v>48569.10601299999</v>
      </c>
      <c r="G40" s="556">
        <v>59434.793986999946</v>
      </c>
      <c r="H40" s="556"/>
      <c r="I40" s="556">
        <f t="shared" si="0"/>
        <v>95713.962742999982</v>
      </c>
      <c r="J40" s="556">
        <f t="shared" si="1"/>
        <v>199719.49725700001</v>
      </c>
      <c r="K40" s="556">
        <f t="shared" si="2"/>
        <v>295433.45999999996</v>
      </c>
      <c r="L40" s="548">
        <f t="shared" si="3"/>
        <v>0.32400000000000001</v>
      </c>
    </row>
    <row r="41" spans="1:12">
      <c r="A41" s="547" t="s">
        <v>508</v>
      </c>
      <c r="B41" s="556">
        <v>176789.13819999987</v>
      </c>
      <c r="C41" s="556">
        <v>268793.02179999975</v>
      </c>
      <c r="D41" s="556">
        <v>192618.86719299978</v>
      </c>
      <c r="E41" s="556">
        <v>266240.65280699957</v>
      </c>
      <c r="F41" s="556">
        <v>260586.65284300054</v>
      </c>
      <c r="G41" s="556">
        <v>332945.26715700008</v>
      </c>
      <c r="H41" s="556"/>
      <c r="I41" s="556">
        <f t="shared" si="0"/>
        <v>629994.65823600022</v>
      </c>
      <c r="J41" s="556">
        <f t="shared" si="1"/>
        <v>867978.94176399941</v>
      </c>
      <c r="K41" s="556">
        <f t="shared" si="2"/>
        <v>1497973.5999999996</v>
      </c>
      <c r="L41" s="548">
        <f t="shared" si="3"/>
        <v>0.42059999999999997</v>
      </c>
    </row>
    <row r="42" spans="1:12">
      <c r="A42" s="547" t="s">
        <v>944</v>
      </c>
      <c r="B42" s="556">
        <v>101615.58942400009</v>
      </c>
      <c r="C42" s="556">
        <v>828472.00057600264</v>
      </c>
      <c r="D42" s="556">
        <v>135808.59516500015</v>
      </c>
      <c r="E42" s="556">
        <v>826540.16483499459</v>
      </c>
      <c r="F42" s="556">
        <v>158798.66001399964</v>
      </c>
      <c r="G42" s="556">
        <v>912776.72998599918</v>
      </c>
      <c r="H42" s="556"/>
      <c r="I42" s="556">
        <f t="shared" si="0"/>
        <v>396222.84460299986</v>
      </c>
      <c r="J42" s="556">
        <f t="shared" si="1"/>
        <v>2567788.8953969963</v>
      </c>
      <c r="K42" s="556">
        <f t="shared" si="2"/>
        <v>2964011.739999996</v>
      </c>
      <c r="L42" s="548">
        <f t="shared" si="3"/>
        <v>0.13370000000000001</v>
      </c>
    </row>
    <row r="43" spans="1:12">
      <c r="A43" s="547" t="s">
        <v>945</v>
      </c>
      <c r="B43" s="556">
        <v>38421.938646000061</v>
      </c>
      <c r="C43" s="556">
        <v>81394.55135400001</v>
      </c>
      <c r="D43" s="556">
        <v>62242.803680000026</v>
      </c>
      <c r="E43" s="556">
        <v>66744.546320000023</v>
      </c>
      <c r="F43" s="556">
        <v>67419.623047999994</v>
      </c>
      <c r="G43" s="556">
        <v>20045.346951999996</v>
      </c>
      <c r="H43" s="556"/>
      <c r="I43" s="556">
        <f t="shared" si="0"/>
        <v>168084.3653740001</v>
      </c>
      <c r="J43" s="556">
        <f t="shared" si="1"/>
        <v>168184.44462600001</v>
      </c>
      <c r="K43" s="556">
        <f t="shared" si="2"/>
        <v>336268.81000000011</v>
      </c>
      <c r="L43" s="548">
        <f t="shared" si="3"/>
        <v>0.49990000000000001</v>
      </c>
    </row>
    <row r="44" spans="1:12">
      <c r="A44" s="547" t="s">
        <v>517</v>
      </c>
      <c r="B44" s="556">
        <v>30700.560084999994</v>
      </c>
      <c r="C44" s="556">
        <v>268164.96991499991</v>
      </c>
      <c r="D44" s="556">
        <v>35268.768636000059</v>
      </c>
      <c r="E44" s="556">
        <v>257136.74136399964</v>
      </c>
      <c r="F44" s="556">
        <v>66211.362026000046</v>
      </c>
      <c r="G44" s="556">
        <v>264407.16797400021</v>
      </c>
      <c r="H44" s="556"/>
      <c r="I44" s="556">
        <f t="shared" si="0"/>
        <v>132180.6907470001</v>
      </c>
      <c r="J44" s="556">
        <f t="shared" si="1"/>
        <v>789708.87925299979</v>
      </c>
      <c r="K44" s="556">
        <f t="shared" si="2"/>
        <v>921889.56999999983</v>
      </c>
      <c r="L44" s="548">
        <f t="shared" si="3"/>
        <v>0.1434</v>
      </c>
    </row>
    <row r="45" spans="1:12">
      <c r="A45" s="547" t="s">
        <v>509</v>
      </c>
      <c r="B45" s="556">
        <v>10964.188180000001</v>
      </c>
      <c r="C45" s="556">
        <v>84644.25182000002</v>
      </c>
      <c r="D45" s="556">
        <v>16524.47868</v>
      </c>
      <c r="E45" s="556">
        <v>57667.021320000014</v>
      </c>
      <c r="F45" s="556">
        <v>30766.606800000005</v>
      </c>
      <c r="G45" s="556">
        <v>56729.233200000002</v>
      </c>
      <c r="H45" s="556"/>
      <c r="I45" s="556">
        <f t="shared" si="0"/>
        <v>58255.273660000006</v>
      </c>
      <c r="J45" s="556">
        <f t="shared" si="1"/>
        <v>199040.50634000002</v>
      </c>
      <c r="K45" s="556">
        <f t="shared" si="2"/>
        <v>257295.78000000003</v>
      </c>
      <c r="L45" s="548">
        <f t="shared" si="3"/>
        <v>0.22639999999999999</v>
      </c>
    </row>
    <row r="46" spans="1:12">
      <c r="A46" s="547" t="s">
        <v>957</v>
      </c>
      <c r="B46" s="556">
        <v>69841.208390000014</v>
      </c>
      <c r="C46" s="556">
        <v>167921.16160999975</v>
      </c>
      <c r="D46" s="556">
        <v>108408.26887599996</v>
      </c>
      <c r="E46" s="556">
        <v>149977.15112400017</v>
      </c>
      <c r="F46" s="556">
        <v>176169.34774899989</v>
      </c>
      <c r="G46" s="556">
        <v>93711.812250999967</v>
      </c>
      <c r="H46" s="556"/>
      <c r="I46" s="556">
        <f t="shared" si="0"/>
        <v>354418.82501499983</v>
      </c>
      <c r="J46" s="556">
        <f t="shared" si="1"/>
        <v>411610.12498499989</v>
      </c>
      <c r="K46" s="556">
        <f t="shared" si="2"/>
        <v>766028.94999999972</v>
      </c>
      <c r="L46" s="548">
        <f t="shared" si="3"/>
        <v>0.4627</v>
      </c>
    </row>
    <row r="47" spans="1:12">
      <c r="A47" s="547" t="s">
        <v>1016</v>
      </c>
      <c r="B47" s="556">
        <v>0</v>
      </c>
      <c r="C47" s="556">
        <v>0</v>
      </c>
      <c r="D47" s="556">
        <v>10576.187079999998</v>
      </c>
      <c r="E47" s="556">
        <v>24732.61292</v>
      </c>
      <c r="F47" s="556">
        <v>37644.482844000006</v>
      </c>
      <c r="G47" s="556">
        <v>69402.857156000056</v>
      </c>
      <c r="H47" s="556"/>
      <c r="I47" s="556">
        <f t="shared" si="0"/>
        <v>48220.669924000002</v>
      </c>
      <c r="J47" s="556">
        <f t="shared" si="1"/>
        <v>94135.470076000056</v>
      </c>
      <c r="K47" s="556">
        <f t="shared" si="2"/>
        <v>142356.14000000007</v>
      </c>
      <c r="L47" s="548">
        <f t="shared" si="3"/>
        <v>0.3387</v>
      </c>
    </row>
    <row r="48" spans="1:12">
      <c r="A48" s="547" t="s">
        <v>1017</v>
      </c>
      <c r="B48" s="556">
        <v>49056.723123999989</v>
      </c>
      <c r="C48" s="556">
        <v>51126.476876000059</v>
      </c>
      <c r="D48" s="556">
        <v>59031.533732000054</v>
      </c>
      <c r="E48" s="556">
        <v>58525.266267999956</v>
      </c>
      <c r="F48" s="556">
        <v>78861.691511000055</v>
      </c>
      <c r="G48" s="556">
        <v>129271.20848899995</v>
      </c>
      <c r="H48" s="556"/>
      <c r="I48" s="556">
        <f t="shared" si="0"/>
        <v>186949.94836700009</v>
      </c>
      <c r="J48" s="556">
        <f t="shared" si="1"/>
        <v>238922.95163299996</v>
      </c>
      <c r="K48" s="556">
        <f t="shared" si="2"/>
        <v>425872.9</v>
      </c>
      <c r="L48" s="548">
        <f t="shared" si="3"/>
        <v>0.439</v>
      </c>
    </row>
    <row r="49" spans="1:12">
      <c r="A49" s="547" t="s">
        <v>1018</v>
      </c>
      <c r="B49" s="556">
        <v>0</v>
      </c>
      <c r="C49" s="556">
        <v>0</v>
      </c>
      <c r="D49" s="556">
        <v>0</v>
      </c>
      <c r="E49" s="556">
        <v>0</v>
      </c>
      <c r="F49" s="556">
        <v>10482.166805000001</v>
      </c>
      <c r="G49" s="556">
        <v>13745.833194999999</v>
      </c>
      <c r="H49" s="556"/>
      <c r="I49" s="556">
        <f t="shared" si="0"/>
        <v>10482.166805000001</v>
      </c>
      <c r="J49" s="556">
        <f t="shared" si="1"/>
        <v>13745.833194999999</v>
      </c>
      <c r="K49" s="556">
        <f t="shared" si="2"/>
        <v>24228</v>
      </c>
      <c r="L49" s="548">
        <f t="shared" si="3"/>
        <v>0.43259999999999998</v>
      </c>
    </row>
    <row r="50" spans="1:12">
      <c r="A50" s="547" t="s">
        <v>974</v>
      </c>
      <c r="B50" s="556">
        <v>59469.058455000042</v>
      </c>
      <c r="C50" s="556">
        <v>17791.811545000008</v>
      </c>
      <c r="D50" s="556">
        <v>67223.771836999993</v>
      </c>
      <c r="E50" s="556">
        <v>8325.8481630000006</v>
      </c>
      <c r="F50" s="556">
        <v>63777.319760000028</v>
      </c>
      <c r="G50" s="556">
        <v>6170.6802399999988</v>
      </c>
      <c r="H50" s="556"/>
      <c r="I50" s="556">
        <f t="shared" si="0"/>
        <v>190470.15005200007</v>
      </c>
      <c r="J50" s="556">
        <f t="shared" si="1"/>
        <v>32288.339948000004</v>
      </c>
      <c r="K50" s="556">
        <f t="shared" si="2"/>
        <v>222758.49000000008</v>
      </c>
      <c r="L50" s="548">
        <f t="shared" si="3"/>
        <v>0.85509999999999997</v>
      </c>
    </row>
    <row r="51" spans="1:12">
      <c r="A51" s="547" t="s">
        <v>979</v>
      </c>
      <c r="B51" s="556">
        <v>80371.721667999984</v>
      </c>
      <c r="C51" s="556">
        <v>85642.10833199996</v>
      </c>
      <c r="D51" s="556">
        <v>35006.718128000015</v>
      </c>
      <c r="E51" s="556">
        <v>45613.761871999981</v>
      </c>
      <c r="F51" s="556">
        <v>0</v>
      </c>
      <c r="G51" s="556">
        <v>0</v>
      </c>
      <c r="H51" s="556"/>
      <c r="I51" s="556">
        <f t="shared" si="0"/>
        <v>115378.43979599999</v>
      </c>
      <c r="J51" s="556">
        <f t="shared" si="1"/>
        <v>131255.87020399995</v>
      </c>
      <c r="K51" s="556">
        <f t="shared" si="2"/>
        <v>246634.30999999994</v>
      </c>
      <c r="L51" s="548">
        <f t="shared" si="3"/>
        <v>0.46779999999999999</v>
      </c>
    </row>
    <row r="52" spans="1:12">
      <c r="A52" s="547" t="s">
        <v>510</v>
      </c>
      <c r="B52" s="556">
        <v>242929.90291200011</v>
      </c>
      <c r="C52" s="556">
        <v>304858.96708799992</v>
      </c>
      <c r="D52" s="556">
        <v>244859.04150299955</v>
      </c>
      <c r="E52" s="556">
        <v>358398.71849699965</v>
      </c>
      <c r="F52" s="556">
        <v>282260.08026200009</v>
      </c>
      <c r="G52" s="556">
        <v>529756.43973800028</v>
      </c>
      <c r="H52" s="556"/>
      <c r="I52" s="556">
        <f t="shared" si="0"/>
        <v>770049.02467699978</v>
      </c>
      <c r="J52" s="556">
        <f t="shared" si="1"/>
        <v>1193014.1253229999</v>
      </c>
      <c r="K52" s="556">
        <f t="shared" si="2"/>
        <v>1963063.1499999997</v>
      </c>
      <c r="L52" s="548">
        <f t="shared" si="3"/>
        <v>0.39229999999999998</v>
      </c>
    </row>
    <row r="53" spans="1:12">
      <c r="A53" s="547" t="s">
        <v>1019</v>
      </c>
      <c r="B53" s="556">
        <v>0</v>
      </c>
      <c r="C53" s="556">
        <v>0</v>
      </c>
      <c r="D53" s="556">
        <v>8784</v>
      </c>
      <c r="E53" s="556">
        <v>0</v>
      </c>
      <c r="F53" s="556">
        <v>15642</v>
      </c>
      <c r="G53" s="556">
        <v>0</v>
      </c>
      <c r="H53" s="556"/>
      <c r="I53" s="556">
        <f t="shared" si="0"/>
        <v>24426</v>
      </c>
      <c r="J53" s="556">
        <f t="shared" si="1"/>
        <v>0</v>
      </c>
      <c r="K53" s="556">
        <f t="shared" si="2"/>
        <v>24426</v>
      </c>
      <c r="L53" s="548">
        <f t="shared" si="3"/>
        <v>1</v>
      </c>
    </row>
    <row r="54" spans="1:12">
      <c r="A54" s="547" t="s">
        <v>958</v>
      </c>
      <c r="B54" s="556">
        <v>0</v>
      </c>
      <c r="C54" s="556">
        <v>71219.739999999991</v>
      </c>
      <c r="D54" s="556">
        <v>585</v>
      </c>
      <c r="E54" s="556">
        <v>74518.460000000006</v>
      </c>
      <c r="F54" s="556">
        <v>60</v>
      </c>
      <c r="G54" s="556">
        <v>73330.340000000026</v>
      </c>
      <c r="H54" s="556"/>
      <c r="I54" s="556">
        <f t="shared" si="0"/>
        <v>645</v>
      </c>
      <c r="J54" s="556">
        <f t="shared" si="1"/>
        <v>219068.54000000004</v>
      </c>
      <c r="K54" s="556">
        <f t="shared" si="2"/>
        <v>219713.54000000004</v>
      </c>
      <c r="L54" s="548">
        <f t="shared" si="3"/>
        <v>2.8999999999999998E-3</v>
      </c>
    </row>
    <row r="55" spans="1:12">
      <c r="A55" s="547" t="s">
        <v>1020</v>
      </c>
      <c r="B55" s="556">
        <v>0</v>
      </c>
      <c r="C55" s="556">
        <v>0</v>
      </c>
      <c r="D55" s="556">
        <v>0</v>
      </c>
      <c r="E55" s="556">
        <v>0</v>
      </c>
      <c r="F55" s="556">
        <v>6199.2372880000003</v>
      </c>
      <c r="G55" s="556">
        <v>86106.112712000002</v>
      </c>
      <c r="H55" s="556"/>
      <c r="I55" s="556">
        <f t="shared" si="0"/>
        <v>6199.2372880000003</v>
      </c>
      <c r="J55" s="556">
        <f t="shared" si="1"/>
        <v>86106.112712000002</v>
      </c>
      <c r="K55" s="556">
        <f t="shared" si="2"/>
        <v>92305.35</v>
      </c>
      <c r="L55" s="548">
        <f t="shared" si="3"/>
        <v>6.7199999999999996E-2</v>
      </c>
    </row>
    <row r="56" spans="1:12">
      <c r="A56" s="547" t="s">
        <v>975</v>
      </c>
      <c r="B56" s="556">
        <v>4509.0171220000011</v>
      </c>
      <c r="C56" s="556">
        <v>154449.782878</v>
      </c>
      <c r="D56" s="556">
        <v>4128.0757859999985</v>
      </c>
      <c r="E56" s="556">
        <v>163785.13421400005</v>
      </c>
      <c r="F56" s="556">
        <v>7399.5935999999965</v>
      </c>
      <c r="G56" s="556">
        <v>175426.71639999995</v>
      </c>
      <c r="H56" s="556"/>
      <c r="I56" s="556">
        <f t="shared" si="0"/>
        <v>16036.686507999995</v>
      </c>
      <c r="J56" s="556">
        <f t="shared" si="1"/>
        <v>493661.63349199994</v>
      </c>
      <c r="K56" s="556">
        <f t="shared" si="2"/>
        <v>509698.31999999995</v>
      </c>
      <c r="L56" s="548">
        <f t="shared" si="3"/>
        <v>3.15E-2</v>
      </c>
    </row>
    <row r="57" spans="1:12">
      <c r="A57" s="547" t="s">
        <v>511</v>
      </c>
      <c r="B57" s="556">
        <v>966.763372</v>
      </c>
      <c r="C57" s="556">
        <v>65713.466628000009</v>
      </c>
      <c r="D57" s="556">
        <v>4341.1298859999988</v>
      </c>
      <c r="E57" s="556">
        <v>61019.130114000021</v>
      </c>
      <c r="F57" s="556">
        <v>2900.3845640000004</v>
      </c>
      <c r="G57" s="556">
        <v>33412.185435999992</v>
      </c>
      <c r="H57" s="556"/>
      <c r="I57" s="556">
        <f t="shared" si="0"/>
        <v>8208.277822</v>
      </c>
      <c r="J57" s="556">
        <f t="shared" si="1"/>
        <v>160144.78217800002</v>
      </c>
      <c r="K57" s="556">
        <f t="shared" si="2"/>
        <v>168353.06000000003</v>
      </c>
      <c r="L57" s="548">
        <f t="shared" si="3"/>
        <v>4.8800000000000003E-2</v>
      </c>
    </row>
    <row r="58" spans="1:12">
      <c r="A58" s="547" t="s">
        <v>1029</v>
      </c>
      <c r="B58" s="556">
        <v>5027.0592959999994</v>
      </c>
      <c r="C58" s="556">
        <v>80380.78070399999</v>
      </c>
      <c r="D58" s="556">
        <v>1937.9804760000004</v>
      </c>
      <c r="E58" s="556">
        <v>83249.079524000001</v>
      </c>
      <c r="F58" s="556">
        <v>305.37486000000001</v>
      </c>
      <c r="G58" s="556">
        <v>15357.80514</v>
      </c>
      <c r="H58" s="556"/>
      <c r="I58" s="556">
        <f t="shared" si="0"/>
        <v>7270.414632</v>
      </c>
      <c r="J58" s="556">
        <f t="shared" si="1"/>
        <v>178987.66536799999</v>
      </c>
      <c r="K58" s="556">
        <f t="shared" si="2"/>
        <v>186258.08</v>
      </c>
      <c r="L58" s="548">
        <f t="shared" si="3"/>
        <v>3.9E-2</v>
      </c>
    </row>
    <row r="59" spans="1:12">
      <c r="A59" s="547" t="s">
        <v>1021</v>
      </c>
      <c r="B59" s="556">
        <v>0</v>
      </c>
      <c r="C59" s="556">
        <v>0</v>
      </c>
      <c r="D59" s="556">
        <v>0</v>
      </c>
      <c r="E59" s="556">
        <v>0</v>
      </c>
      <c r="F59" s="556">
        <v>3888.6159040000007</v>
      </c>
      <c r="G59" s="556">
        <v>24181.784095999996</v>
      </c>
      <c r="H59" s="556"/>
      <c r="I59" s="556">
        <f t="shared" si="0"/>
        <v>3888.6159040000007</v>
      </c>
      <c r="J59" s="556">
        <f t="shared" si="1"/>
        <v>24181.784095999996</v>
      </c>
      <c r="K59" s="556">
        <f t="shared" si="2"/>
        <v>28070.399999999998</v>
      </c>
      <c r="L59" s="548">
        <f t="shared" si="3"/>
        <v>0.13850000000000001</v>
      </c>
    </row>
    <row r="60" spans="1:12">
      <c r="A60" s="547" t="s">
        <v>1022</v>
      </c>
      <c r="B60" s="556">
        <v>9554.5100000000057</v>
      </c>
      <c r="C60" s="556">
        <v>70911.889999999985</v>
      </c>
      <c r="D60" s="556">
        <v>37976.84248800006</v>
      </c>
      <c r="E60" s="556">
        <v>43932.757512000026</v>
      </c>
      <c r="F60" s="556">
        <v>33227.089373999974</v>
      </c>
      <c r="G60" s="556">
        <v>53518.510625999988</v>
      </c>
      <c r="H60" s="556"/>
      <c r="I60" s="556">
        <f t="shared" si="0"/>
        <v>80758.441862000036</v>
      </c>
      <c r="J60" s="556">
        <f t="shared" si="1"/>
        <v>168363.158138</v>
      </c>
      <c r="K60" s="556">
        <f t="shared" si="2"/>
        <v>249121.60000000003</v>
      </c>
      <c r="L60" s="548">
        <f t="shared" si="3"/>
        <v>0.32419999999999999</v>
      </c>
    </row>
    <row r="61" spans="1:12">
      <c r="A61" s="547" t="s">
        <v>946</v>
      </c>
      <c r="B61" s="556">
        <v>0</v>
      </c>
      <c r="C61" s="556">
        <v>0</v>
      </c>
      <c r="D61" s="556">
        <v>947.32</v>
      </c>
      <c r="E61" s="556">
        <v>44555.560000000012</v>
      </c>
      <c r="F61" s="556">
        <v>0</v>
      </c>
      <c r="G61" s="556">
        <v>71095.61000000003</v>
      </c>
      <c r="H61" s="556"/>
      <c r="I61" s="556">
        <f t="shared" si="0"/>
        <v>947.32</v>
      </c>
      <c r="J61" s="556">
        <f t="shared" si="1"/>
        <v>115651.17000000004</v>
      </c>
      <c r="K61" s="556">
        <f t="shared" si="2"/>
        <v>116598.49000000005</v>
      </c>
      <c r="L61" s="548">
        <f t="shared" si="3"/>
        <v>8.0999999999999996E-3</v>
      </c>
    </row>
    <row r="62" spans="1:12">
      <c r="A62" s="547" t="s">
        <v>947</v>
      </c>
      <c r="B62" s="556">
        <v>22454.040112000017</v>
      </c>
      <c r="C62" s="556">
        <v>28657.479887999994</v>
      </c>
      <c r="D62" s="556">
        <v>12385.940785999999</v>
      </c>
      <c r="E62" s="556">
        <v>40283.439214000005</v>
      </c>
      <c r="F62" s="556">
        <v>7983.1476760000005</v>
      </c>
      <c r="G62" s="556">
        <v>54870.812323999991</v>
      </c>
      <c r="H62" s="556"/>
      <c r="I62" s="556">
        <f t="shared" si="0"/>
        <v>42823.128574000017</v>
      </c>
      <c r="J62" s="556">
        <f t="shared" si="1"/>
        <v>123811.73142599998</v>
      </c>
      <c r="K62" s="556">
        <f t="shared" si="2"/>
        <v>166634.85999999999</v>
      </c>
      <c r="L62" s="548">
        <f t="shared" si="3"/>
        <v>0.25700000000000001</v>
      </c>
    </row>
    <row r="63" spans="1:12">
      <c r="A63" s="547" t="s">
        <v>948</v>
      </c>
      <c r="B63" s="556">
        <v>637.43999999999994</v>
      </c>
      <c r="C63" s="556">
        <v>67374.690000000031</v>
      </c>
      <c r="D63" s="556">
        <v>758.52</v>
      </c>
      <c r="E63" s="556">
        <v>68151.470000000016</v>
      </c>
      <c r="F63" s="556">
        <v>90.242208000000005</v>
      </c>
      <c r="G63" s="556">
        <v>68063.657791999954</v>
      </c>
      <c r="H63" s="556"/>
      <c r="I63" s="556">
        <f t="shared" si="0"/>
        <v>1486.2022080000002</v>
      </c>
      <c r="J63" s="556">
        <f t="shared" si="1"/>
        <v>203589.81779199999</v>
      </c>
      <c r="K63" s="556">
        <f t="shared" si="2"/>
        <v>205076.02</v>
      </c>
      <c r="L63" s="548">
        <f t="shared" si="3"/>
        <v>7.1999999999999998E-3</v>
      </c>
    </row>
    <row r="64" spans="1:12">
      <c r="A64" s="547" t="s">
        <v>980</v>
      </c>
      <c r="B64" s="556">
        <v>0</v>
      </c>
      <c r="C64" s="556">
        <v>63460.409999999996</v>
      </c>
      <c r="D64" s="556">
        <v>646.08000000000004</v>
      </c>
      <c r="E64" s="556">
        <v>62763.740000000013</v>
      </c>
      <c r="F64" s="556">
        <v>18.136996</v>
      </c>
      <c r="G64" s="556">
        <v>11764.023004000001</v>
      </c>
      <c r="H64" s="556"/>
      <c r="I64" s="556">
        <f t="shared" si="0"/>
        <v>664.21699599999999</v>
      </c>
      <c r="J64" s="556">
        <f t="shared" si="1"/>
        <v>137988.17300400001</v>
      </c>
      <c r="K64" s="556">
        <f t="shared" si="2"/>
        <v>138652.39000000001</v>
      </c>
      <c r="L64" s="548">
        <f t="shared" si="3"/>
        <v>4.7999999999999996E-3</v>
      </c>
    </row>
    <row r="65" spans="1:12">
      <c r="A65" s="547" t="s">
        <v>512</v>
      </c>
      <c r="B65" s="556">
        <v>3105.14</v>
      </c>
      <c r="C65" s="556">
        <v>213304.02000000005</v>
      </c>
      <c r="D65" s="556">
        <v>2090.7200000000003</v>
      </c>
      <c r="E65" s="556">
        <v>216291.07999999984</v>
      </c>
      <c r="F65" s="556">
        <v>0</v>
      </c>
      <c r="G65" s="556">
        <v>223009.63000000006</v>
      </c>
      <c r="H65" s="556"/>
      <c r="I65" s="556">
        <f t="shared" si="0"/>
        <v>5195.8600000000006</v>
      </c>
      <c r="J65" s="556">
        <f t="shared" si="1"/>
        <v>652604.73</v>
      </c>
      <c r="K65" s="556">
        <f t="shared" si="2"/>
        <v>657800.59</v>
      </c>
      <c r="L65" s="548">
        <f t="shared" si="3"/>
        <v>7.9000000000000008E-3</v>
      </c>
    </row>
    <row r="66" spans="1:12">
      <c r="A66" s="547" t="s">
        <v>513</v>
      </c>
      <c r="B66" s="556">
        <v>888.75</v>
      </c>
      <c r="C66" s="556">
        <v>26808.160000000003</v>
      </c>
      <c r="D66" s="556">
        <v>183.6</v>
      </c>
      <c r="E66" s="556">
        <v>56994.429999999993</v>
      </c>
      <c r="F66" s="556">
        <v>0</v>
      </c>
      <c r="G66" s="556">
        <v>69432.02</v>
      </c>
      <c r="H66" s="556"/>
      <c r="I66" s="556">
        <f t="shared" si="0"/>
        <v>1072.3499999999999</v>
      </c>
      <c r="J66" s="556">
        <f t="shared" si="1"/>
        <v>153234.60999999999</v>
      </c>
      <c r="K66" s="556">
        <f t="shared" si="2"/>
        <v>154306.96</v>
      </c>
      <c r="L66" s="548">
        <f t="shared" si="3"/>
        <v>6.8999999999999999E-3</v>
      </c>
    </row>
    <row r="67" spans="1:12">
      <c r="A67" s="547" t="s">
        <v>514</v>
      </c>
      <c r="B67" s="556">
        <v>1791.9</v>
      </c>
      <c r="C67" s="556">
        <v>64195.889999999978</v>
      </c>
      <c r="D67" s="556">
        <v>2229.12</v>
      </c>
      <c r="E67" s="556">
        <v>60184.650000000009</v>
      </c>
      <c r="F67" s="556">
        <v>0</v>
      </c>
      <c r="G67" s="556">
        <v>68097.590000000055</v>
      </c>
      <c r="H67" s="556"/>
      <c r="I67" s="556">
        <f t="shared" si="0"/>
        <v>4021.02</v>
      </c>
      <c r="J67" s="556">
        <f t="shared" si="1"/>
        <v>192478.13000000003</v>
      </c>
      <c r="K67" s="556">
        <f t="shared" si="2"/>
        <v>196499.15000000002</v>
      </c>
      <c r="L67" s="548">
        <f t="shared" si="3"/>
        <v>2.0500000000000001E-2</v>
      </c>
    </row>
    <row r="68" spans="1:12">
      <c r="A68" s="547" t="s">
        <v>981</v>
      </c>
      <c r="B68" s="556">
        <v>4044.5682959999995</v>
      </c>
      <c r="C68" s="556">
        <v>62676.971704000018</v>
      </c>
      <c r="D68" s="556">
        <v>3776.1741599999991</v>
      </c>
      <c r="E68" s="556">
        <v>33186.70584000001</v>
      </c>
      <c r="F68" s="556">
        <v>0</v>
      </c>
      <c r="G68" s="556">
        <v>0</v>
      </c>
      <c r="H68" s="556"/>
      <c r="I68" s="556">
        <f t="shared" si="0"/>
        <v>7820.7424559999981</v>
      </c>
      <c r="J68" s="556">
        <f t="shared" si="1"/>
        <v>95863.677544000035</v>
      </c>
      <c r="K68" s="556">
        <f t="shared" si="2"/>
        <v>103684.42000000003</v>
      </c>
      <c r="L68" s="548">
        <f t="shared" si="3"/>
        <v>7.5399999999999995E-2</v>
      </c>
    </row>
    <row r="69" spans="1:12">
      <c r="A69" s="547" t="s">
        <v>976</v>
      </c>
      <c r="B69" s="556">
        <v>2515.9901999999993</v>
      </c>
      <c r="C69" s="556">
        <v>59197.049800000008</v>
      </c>
      <c r="D69" s="556">
        <v>5944.5866860000006</v>
      </c>
      <c r="E69" s="556">
        <v>62591.013314000018</v>
      </c>
      <c r="F69" s="556">
        <v>13939.679999999995</v>
      </c>
      <c r="G69" s="556">
        <v>62778.719999999994</v>
      </c>
      <c r="H69" s="556"/>
      <c r="I69" s="556">
        <f t="shared" ref="I69:I87" si="4">+B69+D69+F69</f>
        <v>22400.256885999996</v>
      </c>
      <c r="J69" s="556">
        <f t="shared" ref="J69:J87" si="5">+C69+E69+G69</f>
        <v>184566.78311400002</v>
      </c>
      <c r="K69" s="556">
        <f t="shared" ref="K69:K87" si="6">+I69+J69</f>
        <v>206967.04000000001</v>
      </c>
      <c r="L69" s="548">
        <f t="shared" ref="L69:L87" si="7">ROUND(+I69/K69,4)</f>
        <v>0.1082</v>
      </c>
    </row>
    <row r="70" spans="1:12">
      <c r="A70" s="547" t="s">
        <v>949</v>
      </c>
      <c r="B70" s="556">
        <v>2151</v>
      </c>
      <c r="C70" s="556">
        <v>37570.799999999996</v>
      </c>
      <c r="D70" s="556">
        <v>175.52</v>
      </c>
      <c r="E70" s="556">
        <v>65857.440000000002</v>
      </c>
      <c r="F70" s="556">
        <v>0</v>
      </c>
      <c r="G70" s="556">
        <v>72470.280000000072</v>
      </c>
      <c r="H70" s="556"/>
      <c r="I70" s="556">
        <f t="shared" si="4"/>
        <v>2326.52</v>
      </c>
      <c r="J70" s="556">
        <f t="shared" si="5"/>
        <v>175898.52000000008</v>
      </c>
      <c r="K70" s="556">
        <f t="shared" si="6"/>
        <v>178225.04000000007</v>
      </c>
      <c r="L70" s="548">
        <f t="shared" si="7"/>
        <v>1.3100000000000001E-2</v>
      </c>
    </row>
    <row r="71" spans="1:12">
      <c r="A71" s="547" t="s">
        <v>950</v>
      </c>
      <c r="B71" s="556">
        <v>1978.92</v>
      </c>
      <c r="C71" s="556">
        <v>84169.410000000033</v>
      </c>
      <c r="D71" s="556">
        <v>155.61000000000001</v>
      </c>
      <c r="E71" s="556">
        <v>68039.790000000023</v>
      </c>
      <c r="F71" s="556">
        <v>0</v>
      </c>
      <c r="G71" s="556">
        <v>76103.970000000088</v>
      </c>
      <c r="H71" s="556"/>
      <c r="I71" s="556">
        <f t="shared" si="4"/>
        <v>2134.5300000000002</v>
      </c>
      <c r="J71" s="556">
        <f t="shared" si="5"/>
        <v>228313.17000000016</v>
      </c>
      <c r="K71" s="556">
        <f t="shared" si="6"/>
        <v>230447.70000000016</v>
      </c>
      <c r="L71" s="548">
        <f t="shared" si="7"/>
        <v>9.2999999999999992E-3</v>
      </c>
    </row>
    <row r="72" spans="1:12">
      <c r="A72" s="547" t="s">
        <v>515</v>
      </c>
      <c r="B72" s="556">
        <v>9915.2536</v>
      </c>
      <c r="C72" s="556">
        <v>394678.62639999995</v>
      </c>
      <c r="D72" s="556">
        <v>847.63</v>
      </c>
      <c r="E72" s="556">
        <v>374966.00999999966</v>
      </c>
      <c r="F72" s="556">
        <v>507.36999999999995</v>
      </c>
      <c r="G72" s="556">
        <v>377153.51999999961</v>
      </c>
      <c r="H72" s="556"/>
      <c r="I72" s="556">
        <f t="shared" si="4"/>
        <v>11270.2536</v>
      </c>
      <c r="J72" s="556">
        <f t="shared" si="5"/>
        <v>1146798.1563999993</v>
      </c>
      <c r="K72" s="556">
        <f t="shared" si="6"/>
        <v>1158068.4099999992</v>
      </c>
      <c r="L72" s="548">
        <f t="shared" si="7"/>
        <v>9.7000000000000003E-3</v>
      </c>
    </row>
    <row r="73" spans="1:12">
      <c r="A73" s="547" t="s">
        <v>959</v>
      </c>
      <c r="B73" s="556">
        <v>2711.48</v>
      </c>
      <c r="C73" s="556">
        <v>63511.140000000029</v>
      </c>
      <c r="D73" s="556">
        <v>191.886258</v>
      </c>
      <c r="E73" s="556">
        <v>69734.443742000032</v>
      </c>
      <c r="F73" s="556">
        <v>0</v>
      </c>
      <c r="G73" s="556">
        <v>68082.740000000005</v>
      </c>
      <c r="H73" s="556"/>
      <c r="I73" s="556">
        <f t="shared" si="4"/>
        <v>2903.366258</v>
      </c>
      <c r="J73" s="556">
        <f t="shared" si="5"/>
        <v>201328.32374200004</v>
      </c>
      <c r="K73" s="556">
        <f t="shared" si="6"/>
        <v>204231.69000000003</v>
      </c>
      <c r="L73" s="548">
        <f t="shared" si="7"/>
        <v>1.4200000000000001E-2</v>
      </c>
    </row>
    <row r="74" spans="1:12">
      <c r="A74" s="547" t="s">
        <v>960</v>
      </c>
      <c r="B74" s="556">
        <v>10197.772672999996</v>
      </c>
      <c r="C74" s="556">
        <v>41586.567327000026</v>
      </c>
      <c r="D74" s="556">
        <v>3907.87</v>
      </c>
      <c r="E74" s="556">
        <v>52375.019999999982</v>
      </c>
      <c r="F74" s="556">
        <v>5418.38</v>
      </c>
      <c r="G74" s="556">
        <v>57543.490000000013</v>
      </c>
      <c r="H74" s="556"/>
      <c r="I74" s="556">
        <f t="shared" si="4"/>
        <v>19524.022672999996</v>
      </c>
      <c r="J74" s="556">
        <f t="shared" si="5"/>
        <v>151505.07732700004</v>
      </c>
      <c r="K74" s="556">
        <f t="shared" si="6"/>
        <v>171029.10000000003</v>
      </c>
      <c r="L74" s="548">
        <f t="shared" si="7"/>
        <v>0.1142</v>
      </c>
    </row>
    <row r="75" spans="1:12">
      <c r="A75" s="547" t="s">
        <v>961</v>
      </c>
      <c r="B75" s="556">
        <v>722.57999999999993</v>
      </c>
      <c r="C75" s="556">
        <v>209529.51</v>
      </c>
      <c r="D75" s="556">
        <v>22.541952000000002</v>
      </c>
      <c r="E75" s="556">
        <v>224231.36804800003</v>
      </c>
      <c r="F75" s="556">
        <v>6.9794999999999998</v>
      </c>
      <c r="G75" s="556">
        <v>310378.30050000013</v>
      </c>
      <c r="H75" s="556"/>
      <c r="I75" s="556">
        <f t="shared" si="4"/>
        <v>752.10145199999999</v>
      </c>
      <c r="J75" s="556">
        <f t="shared" si="5"/>
        <v>744139.17854800017</v>
      </c>
      <c r="K75" s="556">
        <f t="shared" si="6"/>
        <v>744891.28000000014</v>
      </c>
      <c r="L75" s="548">
        <f t="shared" si="7"/>
        <v>1E-3</v>
      </c>
    </row>
    <row r="76" spans="1:12">
      <c r="A76" s="547" t="s">
        <v>982</v>
      </c>
      <c r="B76" s="556">
        <v>301.84000000000003</v>
      </c>
      <c r="C76" s="556">
        <v>97391.840000000011</v>
      </c>
      <c r="D76" s="556">
        <v>0</v>
      </c>
      <c r="E76" s="556">
        <v>30734.399999999998</v>
      </c>
      <c r="F76" s="556">
        <v>0</v>
      </c>
      <c r="G76" s="556">
        <v>0</v>
      </c>
      <c r="H76" s="556"/>
      <c r="I76" s="556">
        <f t="shared" si="4"/>
        <v>301.84000000000003</v>
      </c>
      <c r="J76" s="556">
        <f t="shared" si="5"/>
        <v>128126.24</v>
      </c>
      <c r="K76" s="556">
        <f t="shared" si="6"/>
        <v>128428.08</v>
      </c>
      <c r="L76" s="548">
        <f t="shared" si="7"/>
        <v>2.3999999999999998E-3</v>
      </c>
    </row>
    <row r="77" spans="1:12">
      <c r="A77" s="547" t="s">
        <v>962</v>
      </c>
      <c r="B77" s="556">
        <v>0</v>
      </c>
      <c r="C77" s="556">
        <v>0</v>
      </c>
      <c r="D77" s="556">
        <v>0</v>
      </c>
      <c r="E77" s="556">
        <v>0</v>
      </c>
      <c r="F77" s="556">
        <v>0</v>
      </c>
      <c r="G77" s="556">
        <v>22544.959999999999</v>
      </c>
      <c r="H77" s="556"/>
      <c r="I77" s="556">
        <f t="shared" si="4"/>
        <v>0</v>
      </c>
      <c r="J77" s="556">
        <f t="shared" si="5"/>
        <v>22544.959999999999</v>
      </c>
      <c r="K77" s="556">
        <f t="shared" si="6"/>
        <v>22544.959999999999</v>
      </c>
      <c r="L77" s="548">
        <f t="shared" si="7"/>
        <v>0</v>
      </c>
    </row>
    <row r="78" spans="1:12">
      <c r="A78" s="547" t="s">
        <v>963</v>
      </c>
      <c r="B78" s="556">
        <v>0</v>
      </c>
      <c r="C78" s="556">
        <v>0</v>
      </c>
      <c r="D78" s="556">
        <v>0</v>
      </c>
      <c r="E78" s="556">
        <v>0</v>
      </c>
      <c r="F78" s="556">
        <v>2472</v>
      </c>
      <c r="G78" s="556">
        <v>34770.269999999997</v>
      </c>
      <c r="H78" s="556"/>
      <c r="I78" s="556">
        <f t="shared" si="4"/>
        <v>2472</v>
      </c>
      <c r="J78" s="556">
        <f t="shared" si="5"/>
        <v>34770.269999999997</v>
      </c>
      <c r="K78" s="556">
        <f t="shared" si="6"/>
        <v>37242.269999999997</v>
      </c>
      <c r="L78" s="548">
        <f t="shared" si="7"/>
        <v>6.6400000000000001E-2</v>
      </c>
    </row>
    <row r="79" spans="1:12">
      <c r="A79" s="547" t="s">
        <v>964</v>
      </c>
      <c r="B79" s="556">
        <v>2137.4229399999999</v>
      </c>
      <c r="C79" s="556">
        <v>54491.267059999976</v>
      </c>
      <c r="D79" s="556">
        <v>382.86442799999992</v>
      </c>
      <c r="E79" s="556">
        <v>46326.055571999997</v>
      </c>
      <c r="F79" s="556">
        <v>45.724932000000017</v>
      </c>
      <c r="G79" s="556">
        <v>44002.325067999991</v>
      </c>
      <c r="H79" s="556"/>
      <c r="I79" s="556">
        <f t="shared" si="4"/>
        <v>2566.0122999999999</v>
      </c>
      <c r="J79" s="556">
        <f t="shared" si="5"/>
        <v>144819.64769999997</v>
      </c>
      <c r="K79" s="556">
        <f t="shared" si="6"/>
        <v>147385.65999999997</v>
      </c>
      <c r="L79" s="548">
        <f t="shared" si="7"/>
        <v>1.7399999999999999E-2</v>
      </c>
    </row>
    <row r="80" spans="1:12">
      <c r="A80" s="547" t="s">
        <v>516</v>
      </c>
      <c r="B80" s="556">
        <v>5648.5424480000001</v>
      </c>
      <c r="C80" s="556">
        <v>73612.297552000004</v>
      </c>
      <c r="D80" s="556">
        <v>12510.904949999996</v>
      </c>
      <c r="E80" s="556">
        <v>69411.145050000006</v>
      </c>
      <c r="F80" s="556">
        <v>10115.923481999998</v>
      </c>
      <c r="G80" s="556">
        <v>77454.836517999967</v>
      </c>
      <c r="H80" s="556"/>
      <c r="I80" s="556">
        <f t="shared" si="4"/>
        <v>28275.370879999995</v>
      </c>
      <c r="J80" s="556">
        <f t="shared" si="5"/>
        <v>220478.27911999999</v>
      </c>
      <c r="K80" s="556">
        <f t="shared" si="6"/>
        <v>248753.65</v>
      </c>
      <c r="L80" s="548">
        <f t="shared" si="7"/>
        <v>0.1137</v>
      </c>
    </row>
    <row r="81" spans="1:12">
      <c r="A81" s="547" t="s">
        <v>1023</v>
      </c>
      <c r="B81" s="556">
        <v>13916.120000000003</v>
      </c>
      <c r="C81" s="556">
        <v>52906.280000000013</v>
      </c>
      <c r="D81" s="556">
        <v>6690.8130720000008</v>
      </c>
      <c r="E81" s="556">
        <v>64680.386928</v>
      </c>
      <c r="F81" s="556">
        <v>13536.581716000001</v>
      </c>
      <c r="G81" s="556">
        <v>68853.818283999994</v>
      </c>
      <c r="H81" s="556"/>
      <c r="I81" s="556">
        <f t="shared" si="4"/>
        <v>34143.514788</v>
      </c>
      <c r="J81" s="556">
        <f t="shared" si="5"/>
        <v>186440.48521200003</v>
      </c>
      <c r="K81" s="556">
        <f t="shared" si="6"/>
        <v>220584.00000000003</v>
      </c>
      <c r="L81" s="548">
        <f t="shared" si="7"/>
        <v>0.15479999999999999</v>
      </c>
    </row>
    <row r="82" spans="1:12">
      <c r="A82" s="547" t="s">
        <v>1030</v>
      </c>
      <c r="B82" s="556">
        <v>6301.6502399999999</v>
      </c>
      <c r="C82" s="556">
        <v>32237.549759999998</v>
      </c>
      <c r="D82" s="556">
        <v>4264.6079999999984</v>
      </c>
      <c r="E82" s="556">
        <v>28768.991999999991</v>
      </c>
      <c r="F82" s="556">
        <v>0</v>
      </c>
      <c r="G82" s="556">
        <v>0</v>
      </c>
      <c r="H82" s="556"/>
      <c r="I82" s="556">
        <f t="shared" si="4"/>
        <v>10566.258239999999</v>
      </c>
      <c r="J82" s="556">
        <f t="shared" si="5"/>
        <v>61006.541759999993</v>
      </c>
      <c r="K82" s="556">
        <f t="shared" si="6"/>
        <v>71572.799999999988</v>
      </c>
      <c r="L82" s="548">
        <f t="shared" si="7"/>
        <v>0.14760000000000001</v>
      </c>
    </row>
    <row r="83" spans="1:12">
      <c r="A83" s="547" t="s">
        <v>983</v>
      </c>
      <c r="B83" s="556">
        <v>7406.1</v>
      </c>
      <c r="C83" s="556">
        <v>63197.110000000022</v>
      </c>
      <c r="D83" s="556">
        <v>2557.4</v>
      </c>
      <c r="E83" s="556">
        <v>67565.01999999999</v>
      </c>
      <c r="F83" s="556">
        <v>0</v>
      </c>
      <c r="G83" s="556">
        <v>5161.5</v>
      </c>
      <c r="H83" s="556"/>
      <c r="I83" s="556">
        <f t="shared" si="4"/>
        <v>9963.5</v>
      </c>
      <c r="J83" s="556">
        <f t="shared" si="5"/>
        <v>135923.63</v>
      </c>
      <c r="K83" s="556">
        <f t="shared" si="6"/>
        <v>145887.13</v>
      </c>
      <c r="L83" s="548">
        <f t="shared" si="7"/>
        <v>6.83E-2</v>
      </c>
    </row>
    <row r="84" spans="1:12">
      <c r="A84" s="547" t="s">
        <v>968</v>
      </c>
      <c r="B84" s="556">
        <v>219.52</v>
      </c>
      <c r="C84" s="556">
        <v>56950.719999999994</v>
      </c>
      <c r="D84" s="556">
        <v>0</v>
      </c>
      <c r="E84" s="556">
        <v>53946.850000000006</v>
      </c>
      <c r="F84" s="556">
        <v>63.509783999999996</v>
      </c>
      <c r="G84" s="556">
        <v>74340.920215999984</v>
      </c>
      <c r="H84" s="556"/>
      <c r="I84" s="556">
        <f t="shared" si="4"/>
        <v>283.02978400000001</v>
      </c>
      <c r="J84" s="556">
        <f t="shared" si="5"/>
        <v>185238.49021600001</v>
      </c>
      <c r="K84" s="556">
        <f t="shared" si="6"/>
        <v>185521.52000000002</v>
      </c>
      <c r="L84" s="548">
        <f t="shared" si="7"/>
        <v>1.5E-3</v>
      </c>
    </row>
    <row r="85" spans="1:12">
      <c r="A85" s="547" t="s">
        <v>965</v>
      </c>
      <c r="B85" s="556">
        <v>18737.314202999998</v>
      </c>
      <c r="C85" s="556">
        <v>87848.415796999936</v>
      </c>
      <c r="D85" s="556">
        <v>35546.427799999998</v>
      </c>
      <c r="E85" s="556">
        <v>114661.55220000006</v>
      </c>
      <c r="F85" s="556">
        <v>50103.404312999963</v>
      </c>
      <c r="G85" s="556">
        <v>140489.60568700015</v>
      </c>
      <c r="H85" s="556"/>
      <c r="I85" s="556">
        <f t="shared" si="4"/>
        <v>104387.14631599995</v>
      </c>
      <c r="J85" s="556">
        <f t="shared" si="5"/>
        <v>342999.57368400018</v>
      </c>
      <c r="K85" s="556">
        <f t="shared" si="6"/>
        <v>447386.72000000015</v>
      </c>
      <c r="L85" s="548">
        <f t="shared" si="7"/>
        <v>0.23330000000000001</v>
      </c>
    </row>
    <row r="86" spans="1:12">
      <c r="A86" s="547" t="s">
        <v>1024</v>
      </c>
      <c r="B86" s="556">
        <v>18247.716424000006</v>
      </c>
      <c r="C86" s="556">
        <v>49141.143576000009</v>
      </c>
      <c r="D86" s="556">
        <v>30028.156397999977</v>
      </c>
      <c r="E86" s="556">
        <v>40146.723601999984</v>
      </c>
      <c r="F86" s="556">
        <v>32251.406423999983</v>
      </c>
      <c r="G86" s="556">
        <v>40837.693575999998</v>
      </c>
      <c r="H86" s="556"/>
      <c r="I86" s="556">
        <f t="shared" si="4"/>
        <v>80527.279245999962</v>
      </c>
      <c r="J86" s="556">
        <f t="shared" si="5"/>
        <v>130125.56075399998</v>
      </c>
      <c r="K86" s="556">
        <f t="shared" si="6"/>
        <v>210652.83999999994</v>
      </c>
      <c r="L86" s="548">
        <f t="shared" si="7"/>
        <v>0.38229999999999997</v>
      </c>
    </row>
    <row r="87" spans="1:12">
      <c r="A87" s="547" t="s">
        <v>966</v>
      </c>
      <c r="B87" s="556">
        <v>200.55657599999998</v>
      </c>
      <c r="C87" s="556">
        <v>201.82342400000002</v>
      </c>
      <c r="D87" s="556">
        <v>0</v>
      </c>
      <c r="E87" s="556">
        <v>80.22</v>
      </c>
      <c r="F87" s="556">
        <v>0</v>
      </c>
      <c r="G87" s="556">
        <v>87</v>
      </c>
      <c r="H87" s="556"/>
      <c r="I87" s="556">
        <f t="shared" si="4"/>
        <v>200.55657599999998</v>
      </c>
      <c r="J87" s="556">
        <f t="shared" si="5"/>
        <v>369.04342400000002</v>
      </c>
      <c r="K87" s="556">
        <f t="shared" si="6"/>
        <v>569.6</v>
      </c>
      <c r="L87" s="548">
        <f t="shared" si="7"/>
        <v>0.35210000000000002</v>
      </c>
    </row>
    <row r="88" spans="1:12" ht="15" thickBot="1">
      <c r="A88" s="557" t="s">
        <v>1033</v>
      </c>
      <c r="B88" s="558">
        <f t="shared" ref="B88:G88" si="8">SUM(B4:B87)</f>
        <v>2102804.4961430002</v>
      </c>
      <c r="C88" s="558">
        <f t="shared" si="8"/>
        <v>6335128.8038570005</v>
      </c>
      <c r="D88" s="558">
        <f t="shared" si="8"/>
        <v>2390604.387017</v>
      </c>
      <c r="E88" s="558">
        <f t="shared" si="8"/>
        <v>6215742.9429829922</v>
      </c>
      <c r="F88" s="558">
        <f t="shared" si="8"/>
        <v>2699160.4360389998</v>
      </c>
      <c r="G88" s="558">
        <f t="shared" si="8"/>
        <v>6756003.2639609976</v>
      </c>
      <c r="H88" s="558"/>
      <c r="I88" s="558">
        <f>SUM(I4:I87)</f>
        <v>7192569.3191990005</v>
      </c>
      <c r="J88" s="558">
        <f>SUM(J4:J87)</f>
        <v>19306875.010800991</v>
      </c>
      <c r="K88" s="558">
        <f>SUM(K4:K87)</f>
        <v>26499444.329999994</v>
      </c>
      <c r="L88" s="557"/>
    </row>
    <row r="89" spans="1:12">
      <c r="C89" s="596"/>
      <c r="E89" s="596"/>
      <c r="G89" s="596"/>
    </row>
    <row r="90" spans="1:12">
      <c r="A90" s="14"/>
      <c r="C90" s="597"/>
      <c r="E90" s="597"/>
      <c r="G90" s="597"/>
    </row>
    <row r="91" spans="1:12">
      <c r="A91" s="547" t="s">
        <v>988</v>
      </c>
      <c r="B91" s="547" t="s">
        <v>1115</v>
      </c>
      <c r="L91" s="549">
        <f>+L24</f>
        <v>8.7599999999999997E-2</v>
      </c>
    </row>
    <row r="92" spans="1:12">
      <c r="A92" s="12" t="s">
        <v>990</v>
      </c>
      <c r="B92" s="547" t="s">
        <v>1116</v>
      </c>
      <c r="L92" s="549">
        <f>+L27</f>
        <v>0.28010000000000002</v>
      </c>
    </row>
    <row r="93" spans="1:12">
      <c r="A93" s="12" t="s">
        <v>992</v>
      </c>
      <c r="B93" s="547" t="s">
        <v>1118</v>
      </c>
      <c r="L93" s="549">
        <f>+L28</f>
        <v>2.8500000000000001E-2</v>
      </c>
    </row>
    <row r="94" spans="1:12">
      <c r="A94" s="82" t="s">
        <v>984</v>
      </c>
      <c r="B94" s="547" t="s">
        <v>1117</v>
      </c>
      <c r="L94" s="549">
        <f>+L69</f>
        <v>0.1082</v>
      </c>
    </row>
    <row r="95" spans="1:12">
      <c r="A95" s="547" t="s">
        <v>1119</v>
      </c>
      <c r="B95" s="547" t="s">
        <v>1120</v>
      </c>
      <c r="L95" s="609">
        <v>1</v>
      </c>
    </row>
  </sheetData>
  <autoFilter ref="A3:L88"/>
  <mergeCells count="4">
    <mergeCell ref="B2:C2"/>
    <mergeCell ref="D2:E2"/>
    <mergeCell ref="F2:G2"/>
    <mergeCell ref="I2:K2"/>
  </mergeCells>
  <pageMargins left="0.7" right="0.7" top="0.75" bottom="0.75" header="0.3" footer="0.3"/>
  <pageSetup scale="63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4"/>
  <sheetViews>
    <sheetView tabSelected="1" zoomScale="80" zoomScaleNormal="80" workbookViewId="0"/>
  </sheetViews>
  <sheetFormatPr defaultColWidth="9.109375" defaultRowHeight="14.4"/>
  <cols>
    <col min="1" max="1" width="24.109375" style="280" customWidth="1"/>
    <col min="2" max="2" width="1.6640625" style="280" customWidth="1"/>
    <col min="3" max="3" width="24.33203125" style="280" customWidth="1"/>
    <col min="4" max="4" width="1.6640625" style="280" customWidth="1"/>
    <col min="5" max="5" width="18.6640625" style="280" customWidth="1"/>
    <col min="6" max="6" width="1.6640625" style="280" customWidth="1"/>
    <col min="7" max="7" width="18.6640625" style="280" customWidth="1"/>
    <col min="8" max="8" width="1.6640625" style="280" customWidth="1"/>
    <col min="9" max="9" width="18.6640625" style="280" customWidth="1"/>
    <col min="10" max="10" width="1.6640625" style="280" customWidth="1"/>
    <col min="11" max="11" width="18.6640625" style="280" customWidth="1"/>
    <col min="12" max="12" width="4.33203125" style="280" customWidth="1"/>
    <col min="13" max="13" width="13.88671875" style="280" bestFit="1" customWidth="1"/>
    <col min="14" max="14" width="11.109375" style="280" customWidth="1"/>
    <col min="15" max="15" width="17.109375" style="280" customWidth="1"/>
    <col min="16" max="16" width="58.88671875" style="280" bestFit="1" customWidth="1"/>
    <col min="17" max="17" width="1.6640625" style="280" customWidth="1"/>
    <col min="18" max="18" width="13.5546875" style="280" bestFit="1" customWidth="1"/>
    <col min="19" max="19" width="1.6640625" style="280" customWidth="1"/>
    <col min="20" max="20" width="14.109375" style="280" bestFit="1" customWidth="1"/>
    <col min="21" max="21" width="1.6640625" style="280" customWidth="1"/>
    <col min="22" max="22" width="19.44140625" style="280" bestFit="1" customWidth="1"/>
    <col min="23" max="23" width="1.6640625" style="280" customWidth="1"/>
    <col min="24" max="24" width="11.33203125" style="280" bestFit="1" customWidth="1"/>
    <col min="25" max="26" width="9.109375" style="280"/>
    <col min="27" max="27" width="1.6640625" style="280" customWidth="1"/>
    <col min="28" max="28" width="9.109375" style="280"/>
    <col min="29" max="29" width="1.6640625" style="280" customWidth="1"/>
    <col min="30" max="30" width="9.109375" style="280"/>
    <col min="31" max="31" width="1.6640625" style="280" customWidth="1"/>
    <col min="32" max="16384" width="9.109375" style="280"/>
  </cols>
  <sheetData>
    <row r="1" spans="1:16" ht="43.2">
      <c r="A1" s="134" t="s">
        <v>595</v>
      </c>
      <c r="B1" s="217"/>
      <c r="C1" s="134" t="s">
        <v>596</v>
      </c>
      <c r="D1" s="217"/>
      <c r="E1" s="134" t="s">
        <v>597</v>
      </c>
      <c r="F1" s="279"/>
      <c r="G1" s="218" t="s">
        <v>995</v>
      </c>
      <c r="H1" s="279"/>
      <c r="I1" s="219" t="s">
        <v>598</v>
      </c>
      <c r="J1" s="220"/>
      <c r="K1" s="219" t="s">
        <v>599</v>
      </c>
      <c r="M1" s="219" t="s">
        <v>996</v>
      </c>
      <c r="N1" s="219" t="s">
        <v>650</v>
      </c>
      <c r="O1" s="134" t="s">
        <v>651</v>
      </c>
      <c r="P1" s="134" t="s">
        <v>652</v>
      </c>
    </row>
    <row r="2" spans="1:16">
      <c r="A2" s="281"/>
    </row>
    <row r="3" spans="1:16">
      <c r="A3" s="281" t="str">
        <f>'Link In'!A35</f>
        <v>P17</v>
      </c>
      <c r="C3" s="280" t="str">
        <f>'Link In'!B25</f>
        <v>Labor</v>
      </c>
      <c r="E3" s="280" t="str">
        <f>'Labor Exhibit'!M22</f>
        <v>Schedule D-2.3</v>
      </c>
      <c r="G3" s="282">
        <f>'Labor Exhibit'!E15</f>
        <v>7184124</v>
      </c>
      <c r="H3" s="283"/>
      <c r="I3" s="282">
        <f>'Labor Exhibit'!K22</f>
        <v>618326</v>
      </c>
      <c r="J3" s="283"/>
      <c r="K3" s="282">
        <f>'Labor Exhibit'!K25</f>
        <v>7802450</v>
      </c>
      <c r="M3" s="282">
        <f>SUM('Link In'!AN35:AN40)</f>
        <v>7843409</v>
      </c>
      <c r="N3" s="282">
        <f>K3-M3</f>
        <v>-40959</v>
      </c>
      <c r="O3" s="280" t="str">
        <f>'[2]Link Out WP'!$F$42</f>
        <v>W/P - 3-1</v>
      </c>
      <c r="P3" s="280" t="str">
        <f ca="1">'Labor Exhibit'!M2</f>
        <v>O&amp;M\[KAWC 2018 Rate Case - Labor and Labor Related Exhibit.xlsx]Labor Exhibit</v>
      </c>
    </row>
    <row r="4" spans="1:16">
      <c r="A4" s="281" t="str">
        <f>'Link In'!A93</f>
        <v>P19</v>
      </c>
      <c r="C4" s="280" t="s">
        <v>1107</v>
      </c>
      <c r="E4" s="280" t="str">
        <f>'Group Ins Exhibit'!M24</f>
        <v>Schedule D-2.3</v>
      </c>
      <c r="G4" s="284">
        <f>'Group Ins Exhibit'!E15</f>
        <v>1415517</v>
      </c>
      <c r="H4" s="284"/>
      <c r="I4" s="284">
        <f>'Group Ins Exhibit'!G21</f>
        <v>304797</v>
      </c>
      <c r="J4" s="284"/>
      <c r="K4" s="284">
        <f>'Group Ins Exhibit'!K27</f>
        <v>1720314</v>
      </c>
      <c r="M4" s="284">
        <f>SUM('Link In'!AN47:AN48)</f>
        <v>1530966</v>
      </c>
      <c r="N4" s="284">
        <f>K4-M4</f>
        <v>189348</v>
      </c>
      <c r="O4" s="280" t="str">
        <f>'[2]Link Out WP'!$F$43</f>
        <v>W/P - 3-1a</v>
      </c>
      <c r="P4" s="280" t="str">
        <f ca="1">'Group Ins Exhibit'!M2</f>
        <v>O&amp;M\[KAWC 2018 Rate Case - Labor and Labor Related Exhibit.xlsx]Group Ins Exhibit</v>
      </c>
    </row>
    <row r="5" spans="1:16">
      <c r="A5" s="281" t="str">
        <f>'Link In'!A99</f>
        <v>P21</v>
      </c>
      <c r="C5" s="280" t="str">
        <f>'Link In'!B27</f>
        <v>Other Benefits</v>
      </c>
      <c r="E5" s="280" t="str">
        <f>'Other Benefits Exhibit'!M40</f>
        <v>Schedule D-2.3</v>
      </c>
      <c r="G5" s="284">
        <f>'Other Benefits Exhibit'!E26</f>
        <v>578137</v>
      </c>
      <c r="H5" s="284"/>
      <c r="I5" s="284">
        <f>'Other Benefits Exhibit'!K40</f>
        <v>70626</v>
      </c>
      <c r="J5" s="284"/>
      <c r="K5" s="284">
        <f>'Other Benefits Exhibit'!K53</f>
        <v>648763</v>
      </c>
      <c r="M5" s="284">
        <f>SUM('Link In'!AN51:AN63)</f>
        <v>588336</v>
      </c>
      <c r="N5" s="284">
        <f t="shared" ref="N5:N8" si="0">K5-M5</f>
        <v>60427</v>
      </c>
      <c r="O5" s="280" t="str">
        <f>'[2]Link Out WP'!$F$44</f>
        <v>W/P - 3-1b</v>
      </c>
      <c r="P5" s="280" t="str">
        <f ca="1">'Other Benefits Exhibit'!M2</f>
        <v>O&amp;M\[KAWC 2018 Rate Case - Labor and Labor Related Exhibit.xlsx]Other Benefits Exhibit</v>
      </c>
    </row>
    <row r="6" spans="1:16">
      <c r="A6" s="281" t="str">
        <f>'Link In'!A90</f>
        <v>P18</v>
      </c>
      <c r="C6" s="280" t="str">
        <f>'Link In'!B28</f>
        <v>Pension</v>
      </c>
      <c r="E6" s="280" t="str">
        <f>'Pension Exhibit'!M22</f>
        <v>Schedule D-2.3</v>
      </c>
      <c r="G6" s="284">
        <f>'Pension Exhibit'!E15</f>
        <v>439161</v>
      </c>
      <c r="H6" s="284"/>
      <c r="I6" s="284">
        <f>'Pension Exhibit'!K22</f>
        <v>-39642</v>
      </c>
      <c r="J6" s="284"/>
      <c r="K6" s="284">
        <f>'Pension Exhibit'!K25</f>
        <v>399519</v>
      </c>
      <c r="M6" s="284">
        <f>SUM('Link In'!AN42:AN43)</f>
        <v>366930</v>
      </c>
      <c r="N6" s="284">
        <f t="shared" si="0"/>
        <v>32589</v>
      </c>
      <c r="O6" s="280" t="str">
        <f>'[2]Link Out WP'!$F$45</f>
        <v>W/P - 3-1c</v>
      </c>
      <c r="P6" s="280" t="str">
        <f ca="1">'Pension Exhibit'!M2</f>
        <v>O&amp;M\[KAWC 2018 Rate Case - Labor and Labor Related Exhibit.xlsx]Pension Exhibit</v>
      </c>
    </row>
    <row r="7" spans="1:16">
      <c r="A7" s="281" t="str">
        <f>'Link In'!A118</f>
        <v>P48</v>
      </c>
      <c r="C7" s="285" t="str">
        <f>'Link In'!B118</f>
        <v>General taxes</v>
      </c>
      <c r="E7" s="280" t="str">
        <f>'Payroll Tax Exhibit'!M24</f>
        <v>Schedule D-2.3</v>
      </c>
      <c r="G7" s="284">
        <f>'Payroll Tax Exhibit'!E18</f>
        <v>566558</v>
      </c>
      <c r="H7" s="284"/>
      <c r="I7" s="284">
        <f>'Payroll Tax Exhibit'!K24</f>
        <v>29452</v>
      </c>
      <c r="J7" s="284"/>
      <c r="K7" s="284">
        <f>'Payroll Tax Exhibit'!K29</f>
        <v>596010</v>
      </c>
      <c r="M7" s="284">
        <f>SUM('Link In'!AN65:AN70)</f>
        <v>293351</v>
      </c>
      <c r="N7" s="284">
        <f t="shared" si="0"/>
        <v>302659</v>
      </c>
      <c r="O7" s="280" t="str">
        <f>'[2]Link Out WP'!$F$75</f>
        <v>W/P - 5-3</v>
      </c>
      <c r="P7" s="280" t="str">
        <f ca="1">'Payroll Tax Exhibit'!M2</f>
        <v>O&amp;M\[KAWC 2018 Rate Case - Labor and Labor Related Exhibit.xlsx]Payroll Tax Exhibit</v>
      </c>
    </row>
    <row r="8" spans="1:16">
      <c r="A8" s="281" t="str">
        <f>'Link In'!A93</f>
        <v>P19</v>
      </c>
      <c r="C8" s="280" t="s">
        <v>1108</v>
      </c>
      <c r="E8" s="280" t="str">
        <f>'Group Ins Exhibit'!M24</f>
        <v>Schedule D-2.3</v>
      </c>
      <c r="G8" s="284">
        <f>'Group Ins Exhibit'!E16</f>
        <v>114601</v>
      </c>
      <c r="I8" s="284">
        <f>'Group Ins Exhibit'!G22</f>
        <v>-40568</v>
      </c>
      <c r="K8" s="284">
        <f>'Group Ins Exhibit'!K28</f>
        <v>74033</v>
      </c>
      <c r="M8" s="284">
        <f>SUM('Link In'!AN45:AN46)</f>
        <v>69936</v>
      </c>
      <c r="N8" s="284">
        <f t="shared" si="0"/>
        <v>4097</v>
      </c>
      <c r="O8" s="280" t="str">
        <f>'[2]Link Out WP'!$F$43</f>
        <v>W/P - 3-1a</v>
      </c>
      <c r="P8" s="280" t="str">
        <f ca="1">'Group Ins Exhibit'!M2</f>
        <v>O&amp;M\[KAWC 2018 Rate Case - Labor and Labor Related Exhibit.xlsx]Group Ins Exhibit</v>
      </c>
    </row>
    <row r="9" spans="1:16">
      <c r="A9" s="246"/>
      <c r="G9" s="278"/>
      <c r="N9" s="280" t="s">
        <v>1109</v>
      </c>
    </row>
    <row r="10" spans="1:16">
      <c r="A10" s="286"/>
      <c r="B10" s="281"/>
      <c r="C10" s="287"/>
      <c r="D10" s="281"/>
      <c r="E10" s="281"/>
      <c r="F10" s="281"/>
      <c r="G10" s="282"/>
    </row>
    <row r="11" spans="1:16">
      <c r="A11" s="246" t="s">
        <v>600</v>
      </c>
      <c r="G11" s="278" t="s">
        <v>601</v>
      </c>
    </row>
    <row r="12" spans="1:16">
      <c r="A12" s="286"/>
      <c r="B12" s="281"/>
      <c r="C12" s="287"/>
      <c r="D12" s="281"/>
      <c r="E12" s="281"/>
      <c r="F12" s="281"/>
      <c r="G12" s="288"/>
    </row>
    <row r="13" spans="1:16">
      <c r="A13" s="286"/>
      <c r="B13" s="281"/>
      <c r="C13" s="287"/>
      <c r="D13" s="281"/>
      <c r="E13" s="281"/>
      <c r="F13" s="281"/>
      <c r="G13" s="288"/>
    </row>
    <row r="14" spans="1:16">
      <c r="A14" s="286"/>
      <c r="B14" s="281"/>
      <c r="C14" s="287"/>
      <c r="D14" s="281"/>
      <c r="E14" s="281"/>
      <c r="F14" s="281"/>
      <c r="G14" s="288"/>
    </row>
    <row r="15" spans="1:16">
      <c r="A15" s="286"/>
      <c r="B15" s="281"/>
      <c r="C15" s="287"/>
      <c r="D15" s="281"/>
      <c r="E15" s="281"/>
      <c r="F15" s="281"/>
      <c r="G15" s="288"/>
    </row>
    <row r="16" spans="1:16">
      <c r="A16" s="286"/>
      <c r="B16" s="281"/>
      <c r="C16" s="287"/>
      <c r="D16" s="281"/>
      <c r="E16" s="281"/>
      <c r="F16" s="281"/>
      <c r="G16" s="288"/>
    </row>
    <row r="17" spans="1:13">
      <c r="A17" s="286"/>
      <c r="B17" s="281"/>
      <c r="C17" s="287"/>
      <c r="D17" s="281"/>
      <c r="E17" s="281"/>
      <c r="F17" s="281"/>
      <c r="G17" s="288"/>
    </row>
    <row r="18" spans="1:13">
      <c r="A18" s="286"/>
      <c r="B18" s="281"/>
      <c r="C18" s="287"/>
      <c r="D18" s="281"/>
      <c r="E18" s="281"/>
      <c r="F18" s="281"/>
      <c r="G18" s="288"/>
    </row>
    <row r="19" spans="1:13">
      <c r="A19" s="286"/>
      <c r="B19" s="281"/>
      <c r="C19" s="287"/>
      <c r="D19" s="281"/>
      <c r="E19" s="281"/>
      <c r="F19" s="281"/>
      <c r="G19" s="288"/>
    </row>
    <row r="20" spans="1:13" ht="15" thickBot="1">
      <c r="A20" s="281"/>
      <c r="B20" s="281"/>
      <c r="C20" s="289"/>
      <c r="D20" s="281"/>
      <c r="E20" s="281"/>
      <c r="F20" s="281"/>
      <c r="G20" s="290">
        <f>SUM(G10:G19)</f>
        <v>0</v>
      </c>
    </row>
    <row r="21" spans="1:13" ht="15" thickTop="1">
      <c r="A21" s="281"/>
      <c r="B21" s="281"/>
      <c r="C21" s="281"/>
      <c r="D21" s="281"/>
      <c r="E21" s="281"/>
      <c r="F21" s="281"/>
      <c r="G21" s="281"/>
    </row>
    <row r="22" spans="1:13">
      <c r="A22" s="33" t="s">
        <v>602</v>
      </c>
      <c r="B22" s="281"/>
      <c r="C22" s="281"/>
      <c r="D22" s="281"/>
      <c r="E22" s="281"/>
      <c r="F22" s="281"/>
      <c r="G22" s="506"/>
    </row>
    <row r="23" spans="1:13">
      <c r="G23" s="281"/>
    </row>
    <row r="24" spans="1:13">
      <c r="A24" s="280" t="s">
        <v>653</v>
      </c>
      <c r="G24" s="281"/>
    </row>
    <row r="25" spans="1:13">
      <c r="A25" s="280" t="s">
        <v>655</v>
      </c>
    </row>
    <row r="27" spans="1:13">
      <c r="A27" s="33" t="s">
        <v>613</v>
      </c>
    </row>
    <row r="28" spans="1:13" ht="28.8">
      <c r="A28" s="33"/>
      <c r="C28" s="291" t="s">
        <v>614</v>
      </c>
      <c r="D28" s="292"/>
      <c r="E28" s="291" t="s">
        <v>615</v>
      </c>
      <c r="G28" s="291"/>
    </row>
    <row r="29" spans="1:13">
      <c r="A29" s="280" t="s">
        <v>68</v>
      </c>
      <c r="C29" s="293">
        <f>Union!BB84-Union!BA84</f>
        <v>4690205.6075476427</v>
      </c>
      <c r="E29" s="293">
        <f>Union!BH84-Union!BG84</f>
        <v>3658623.5163885704</v>
      </c>
      <c r="G29" s="618"/>
      <c r="I29" s="294"/>
      <c r="K29" s="620"/>
    </row>
    <row r="30" spans="1:13">
      <c r="A30" s="280" t="s">
        <v>611</v>
      </c>
      <c r="C30" s="293">
        <f>ROUND('NU Hrly'!BC54-'NU Hrly'!BB54+Acquisitions!BC7-Acquisitions!BB7,0)</f>
        <v>2843723</v>
      </c>
      <c r="E30" s="293">
        <f>ROUND('NU Hrly'!BH54-'NU Hrly'!BG54+Acquisitions!BH7-Acquisitions!BG7,0)</f>
        <v>1854091</v>
      </c>
      <c r="G30" s="618"/>
      <c r="I30" s="294"/>
    </row>
    <row r="31" spans="1:13">
      <c r="A31" s="280" t="s">
        <v>612</v>
      </c>
      <c r="C31" s="293">
        <f>'NU Slry'!AX38</f>
        <v>2478990.7947575226</v>
      </c>
      <c r="E31" s="293">
        <f>'NU Slry'!BC38</f>
        <v>1706767.2029658784</v>
      </c>
      <c r="G31" s="618"/>
      <c r="I31" s="294"/>
    </row>
    <row r="32" spans="1:13">
      <c r="A32" s="280" t="s">
        <v>476</v>
      </c>
      <c r="C32" s="293">
        <f>SUM(C29:C31)</f>
        <v>10012919.402305165</v>
      </c>
      <c r="E32" s="293">
        <f>SUM(E29:E31)</f>
        <v>7219481.7193544488</v>
      </c>
      <c r="G32" s="618"/>
      <c r="M32" s="416"/>
    </row>
    <row r="33" spans="1:33">
      <c r="A33" s="280" t="s">
        <v>616</v>
      </c>
      <c r="E33" s="294">
        <f>ROUND(E32/C32,4)</f>
        <v>0.72099999999999997</v>
      </c>
      <c r="G33" s="294"/>
      <c r="I33" s="416"/>
    </row>
    <row r="34" spans="1:33">
      <c r="A34" s="280" t="s">
        <v>485</v>
      </c>
      <c r="E34" s="416">
        <f>1-E33</f>
        <v>0.27900000000000003</v>
      </c>
      <c r="F34" s="416"/>
      <c r="G34" s="416"/>
    </row>
    <row r="35" spans="1:33">
      <c r="E35" s="294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</row>
    <row r="36" spans="1:33">
      <c r="A36" s="214" t="s">
        <v>639</v>
      </c>
      <c r="B36" s="285"/>
      <c r="C36" s="285"/>
      <c r="D36" s="285"/>
      <c r="E36" s="633"/>
      <c r="F36" s="285"/>
      <c r="G36" s="285"/>
      <c r="H36" s="285"/>
      <c r="I36" s="285"/>
      <c r="P36" s="265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19"/>
      <c r="AF36" s="419"/>
      <c r="AG36" s="419"/>
    </row>
    <row r="37" spans="1:33">
      <c r="A37" s="295"/>
      <c r="B37" s="285"/>
      <c r="C37" s="277" t="s">
        <v>640</v>
      </c>
      <c r="D37" s="285"/>
      <c r="E37" s="277" t="s">
        <v>641</v>
      </c>
      <c r="F37" s="285"/>
      <c r="G37" s="277" t="s">
        <v>642</v>
      </c>
      <c r="H37" s="285"/>
      <c r="I37" s="277" t="s">
        <v>643</v>
      </c>
      <c r="P37" s="419"/>
      <c r="Q37" s="419"/>
      <c r="R37" s="420"/>
      <c r="S37" s="419"/>
      <c r="T37" s="420"/>
      <c r="U37" s="419"/>
      <c r="V37" s="420"/>
      <c r="W37" s="419"/>
      <c r="X37" s="420"/>
      <c r="Y37" s="419"/>
      <c r="Z37" s="419"/>
      <c r="AA37" s="419"/>
      <c r="AB37" s="419"/>
      <c r="AC37" s="419"/>
      <c r="AD37" s="419"/>
      <c r="AE37" s="419"/>
      <c r="AF37" s="419"/>
      <c r="AG37" s="419"/>
    </row>
    <row r="38" spans="1:33">
      <c r="A38" s="285" t="s">
        <v>644</v>
      </c>
      <c r="B38" s="285"/>
      <c r="C38" s="296">
        <f>ROUND(Union!S84-Union!R84+'NU Hrly'!U54-'NU Hrly'!S54+'NU Slry'!P38+Acquisitions!U7-Acquisitions!S7,0)</f>
        <v>10208873</v>
      </c>
      <c r="D38" s="285"/>
      <c r="E38" s="296">
        <f>ROUND(Union!AX84+Union!AY84+Union!AZ84+'NU Hrly'!AZ54+'NU Hrly'!BA54+'NU Slry'!AX42+Acquisitions!AZ7+Acquisitions!BA7,0)</f>
        <v>9999834</v>
      </c>
      <c r="F38" s="285"/>
      <c r="G38" s="296">
        <f>ROUND(Union!BD84+Union!BE84+Union!BF84+'NU Hrly'!BE54+'NU Hrly'!BF54+'NU Slry'!BC38-'NU Slry'!BC40+Acquisitions!BE7+Acquisitions!BF7,0)</f>
        <v>7209323</v>
      </c>
      <c r="H38" s="285"/>
      <c r="I38" s="296">
        <f>G38-E38</f>
        <v>-2790511</v>
      </c>
      <c r="K38" s="294">
        <f>-I38/E38</f>
        <v>0.27905573232515662</v>
      </c>
      <c r="P38" s="419"/>
      <c r="Q38" s="419"/>
      <c r="R38" s="421"/>
      <c r="S38" s="419"/>
      <c r="T38" s="421"/>
      <c r="U38" s="419"/>
      <c r="V38" s="421"/>
      <c r="W38" s="419"/>
      <c r="X38" s="421"/>
      <c r="Y38" s="419"/>
      <c r="Z38" s="422"/>
      <c r="AA38" s="419"/>
      <c r="AB38" s="422"/>
      <c r="AC38" s="419"/>
      <c r="AD38" s="422"/>
      <c r="AE38" s="419"/>
      <c r="AF38" s="422"/>
      <c r="AG38" s="419"/>
    </row>
    <row r="39" spans="1:33">
      <c r="A39" s="285" t="s">
        <v>677</v>
      </c>
      <c r="B39" s="285"/>
      <c r="C39" s="296">
        <f>ROUND('NU Slry'!Q38+'NU Hrly'!S54+Union!R84+Acquisitions!S7,0)</f>
        <v>586385</v>
      </c>
      <c r="D39" s="285"/>
      <c r="E39" s="296">
        <f>ROUND('NU Slry'!AY38+'NU Hrly'!BB54+Union!BA84+Acquisitions!BB7,0)</f>
        <v>577022</v>
      </c>
      <c r="F39" s="285"/>
      <c r="G39" s="296">
        <f>ROUND('NU Slry'!BD38+'NU Hrly'!BG54+Union!BG84+Acquisitions!BG7,0)</f>
        <v>577022</v>
      </c>
      <c r="H39" s="285"/>
      <c r="I39" s="296">
        <f>G39-E39</f>
        <v>0</v>
      </c>
      <c r="K39" s="294">
        <f>-I39/E39</f>
        <v>0</v>
      </c>
      <c r="P39" s="419"/>
      <c r="Q39" s="419"/>
      <c r="R39" s="421"/>
      <c r="S39" s="419"/>
      <c r="T39" s="421"/>
      <c r="U39" s="419"/>
      <c r="V39" s="421"/>
      <c r="W39" s="419"/>
      <c r="X39" s="421"/>
      <c r="Y39" s="419"/>
      <c r="Z39" s="422"/>
      <c r="AA39" s="419"/>
      <c r="AB39" s="422"/>
      <c r="AC39" s="419"/>
      <c r="AD39" s="422"/>
      <c r="AE39" s="419"/>
      <c r="AF39" s="422"/>
      <c r="AG39" s="419"/>
    </row>
    <row r="40" spans="1:33">
      <c r="A40" s="285" t="s">
        <v>678</v>
      </c>
      <c r="B40" s="285"/>
      <c r="C40" s="296">
        <f>'NU Slry'!R38</f>
        <v>16105</v>
      </c>
      <c r="D40" s="285"/>
      <c r="E40" s="296">
        <f>'NU Slry'!AZ38</f>
        <v>16105</v>
      </c>
      <c r="F40" s="285"/>
      <c r="G40" s="296">
        <f>'NU Slry'!BE38</f>
        <v>16105</v>
      </c>
      <c r="H40" s="285"/>
      <c r="I40" s="296">
        <f>G40-E40</f>
        <v>0</v>
      </c>
      <c r="K40" s="294">
        <f>-I40/E40</f>
        <v>0</v>
      </c>
      <c r="P40" s="419"/>
      <c r="Q40" s="419"/>
      <c r="R40" s="421"/>
      <c r="S40" s="419"/>
      <c r="T40" s="421"/>
      <c r="U40" s="419"/>
      <c r="V40" s="421"/>
      <c r="W40" s="419"/>
      <c r="X40" s="421"/>
      <c r="Y40" s="419"/>
      <c r="Z40" s="422"/>
      <c r="AA40" s="419"/>
      <c r="AB40" s="422"/>
      <c r="AC40" s="419"/>
      <c r="AD40" s="422"/>
      <c r="AE40" s="419"/>
      <c r="AF40" s="422"/>
      <c r="AG40" s="419"/>
    </row>
    <row r="41" spans="1:33">
      <c r="A41" s="285"/>
      <c r="B41" s="285"/>
      <c r="C41" s="297">
        <f>SUM(C38:C40)</f>
        <v>10811363</v>
      </c>
      <c r="D41" s="296"/>
      <c r="E41" s="297">
        <f>SUM(E38:E40)</f>
        <v>10592961</v>
      </c>
      <c r="F41" s="296"/>
      <c r="G41" s="297">
        <f>SUM(G38:G40)</f>
        <v>7802450</v>
      </c>
      <c r="H41" s="296"/>
      <c r="I41" s="297">
        <f>SUM(I38:I40)</f>
        <v>-2790511</v>
      </c>
      <c r="K41" s="294">
        <f>-I41/E41</f>
        <v>0.26343068760472166</v>
      </c>
      <c r="M41" s="294">
        <f>E41/C41</f>
        <v>0.97979884682440133</v>
      </c>
      <c r="N41" s="294"/>
      <c r="P41" s="419"/>
      <c r="Q41" s="419"/>
      <c r="R41" s="421"/>
      <c r="S41" s="421"/>
      <c r="T41" s="421"/>
      <c r="U41" s="421"/>
      <c r="V41" s="421"/>
      <c r="W41" s="421"/>
      <c r="X41" s="421"/>
      <c r="Y41" s="419"/>
      <c r="Z41" s="422"/>
      <c r="AA41" s="419"/>
      <c r="AB41" s="422"/>
      <c r="AC41" s="419"/>
      <c r="AD41" s="422"/>
      <c r="AE41" s="419"/>
      <c r="AF41" s="422"/>
      <c r="AG41" s="419"/>
    </row>
    <row r="42" spans="1:33">
      <c r="A42" s="285" t="s">
        <v>560</v>
      </c>
      <c r="B42" s="285"/>
      <c r="C42" s="296">
        <f>ROUND(Union!U84+Union!V84+'NU Hrly'!W54+'NU Hrly'!X54+'NU Slry'!U38+'NU Slry'!V38+Acquisitions!W7+Acquisitions!X7,0)</f>
        <v>819877</v>
      </c>
      <c r="D42" s="296"/>
      <c r="E42" s="296">
        <f>ROUND(Union!BJ84+Union!BK84+'NU Hrly'!BJ54+'NU Hrly'!BK54+'NU Slry'!BH38+'NU Slry'!BI38+Acquisitions!BJ7+Acquisitions!BK7,0)</f>
        <v>804171</v>
      </c>
      <c r="F42" s="296"/>
      <c r="G42" s="296">
        <f>ROUND(Union!BP84+Union!BQ84+'NU Hrly'!BP54+'NU Hrly'!BQ54+'NU Slry'!BN38+'NU Slry'!BO38+Acquisitions!BP7+Acquisitions!BQ7,0)</f>
        <v>578496</v>
      </c>
      <c r="H42" s="296"/>
      <c r="I42" s="296">
        <f t="shared" ref="I42:I44" si="1">G42-E42</f>
        <v>-225675</v>
      </c>
      <c r="K42" s="294">
        <f t="shared" ref="K42:K44" si="2">-I42/E42</f>
        <v>0.28063061214592416</v>
      </c>
      <c r="N42" s="293"/>
      <c r="P42" s="419"/>
      <c r="Q42" s="419"/>
      <c r="R42" s="421"/>
      <c r="S42" s="421"/>
      <c r="T42" s="421"/>
      <c r="U42" s="421"/>
      <c r="V42" s="421"/>
      <c r="W42" s="421"/>
      <c r="X42" s="421"/>
      <c r="Y42" s="419"/>
      <c r="Z42" s="422"/>
      <c r="AA42" s="419"/>
      <c r="AB42" s="422"/>
      <c r="AC42" s="419"/>
      <c r="AD42" s="422"/>
      <c r="AE42" s="419"/>
      <c r="AF42" s="422"/>
      <c r="AG42" s="419"/>
    </row>
    <row r="43" spans="1:33">
      <c r="A43" s="285" t="s">
        <v>90</v>
      </c>
      <c r="B43" s="285"/>
      <c r="C43" s="296">
        <f>ROUND(Union!W84+'NU Hrly'!Y54+'NU Slry'!W38+Acquisitions!Y7,0)</f>
        <v>18574</v>
      </c>
      <c r="D43" s="296"/>
      <c r="E43" s="296">
        <f>ROUND(Union!BL84+'NU Hrly'!BL54+'NU Slry'!BJ38+Acquisitions!BL7,0)</f>
        <v>18263</v>
      </c>
      <c r="F43" s="296"/>
      <c r="G43" s="296">
        <f>ROUND(Union!BR84+'NU Hrly'!BR54+'NU Slry'!BP38+Acquisitions!BR7,0)</f>
        <v>13034</v>
      </c>
      <c r="H43" s="296"/>
      <c r="I43" s="296">
        <f t="shared" si="1"/>
        <v>-5229</v>
      </c>
      <c r="K43" s="294">
        <f t="shared" si="2"/>
        <v>0.28631659639708701</v>
      </c>
      <c r="P43" s="419"/>
      <c r="Q43" s="419"/>
      <c r="R43" s="421"/>
      <c r="S43" s="421"/>
      <c r="T43" s="421"/>
      <c r="U43" s="421"/>
      <c r="V43" s="421"/>
      <c r="W43" s="421"/>
      <c r="X43" s="421"/>
      <c r="Y43" s="419"/>
      <c r="Z43" s="422"/>
      <c r="AA43" s="419"/>
      <c r="AB43" s="422"/>
      <c r="AC43" s="419"/>
      <c r="AD43" s="422"/>
      <c r="AE43" s="419"/>
      <c r="AF43" s="422"/>
      <c r="AG43" s="419"/>
    </row>
    <row r="44" spans="1:33">
      <c r="A44" s="285" t="s">
        <v>91</v>
      </c>
      <c r="B44" s="285"/>
      <c r="C44" s="296">
        <f>ROUND(Union!X84+'NU Hrly'!Z54+'NU Slry'!X38+Acquisitions!Z7,0)</f>
        <v>6384</v>
      </c>
      <c r="D44" s="296"/>
      <c r="E44" s="296">
        <f>ROUND(Union!BM84+'NU Hrly'!BM54+'NU Slry'!BK38+Acquisitions!BM7,0)</f>
        <v>6277</v>
      </c>
      <c r="F44" s="296"/>
      <c r="G44" s="296">
        <f>ROUND(Union!BS84+'NU Hrly'!BS54+'NU Slry'!BQ38+Acquisitions!BS7,0)</f>
        <v>4480</v>
      </c>
      <c r="H44" s="296"/>
      <c r="I44" s="296">
        <f t="shared" si="1"/>
        <v>-1797</v>
      </c>
      <c r="K44" s="294">
        <f t="shared" si="2"/>
        <v>0.28628325633264295</v>
      </c>
      <c r="P44" s="419"/>
      <c r="Q44" s="419"/>
      <c r="R44" s="421"/>
      <c r="S44" s="421"/>
      <c r="T44" s="421"/>
      <c r="U44" s="421"/>
      <c r="V44" s="421"/>
      <c r="W44" s="421"/>
      <c r="X44" s="421"/>
      <c r="Y44" s="419"/>
      <c r="Z44" s="422"/>
      <c r="AA44" s="419"/>
      <c r="AB44" s="422"/>
      <c r="AC44" s="419"/>
      <c r="AD44" s="422"/>
      <c r="AE44" s="419"/>
      <c r="AF44" s="422"/>
      <c r="AG44" s="419"/>
    </row>
    <row r="45" spans="1:33">
      <c r="A45" s="285"/>
      <c r="B45" s="285"/>
      <c r="C45" s="296"/>
      <c r="D45" s="296"/>
      <c r="E45" s="296"/>
      <c r="F45" s="296"/>
      <c r="G45" s="296"/>
      <c r="H45" s="296"/>
      <c r="I45" s="296"/>
      <c r="K45" s="294"/>
      <c r="P45" s="419"/>
      <c r="Q45" s="419"/>
      <c r="R45" s="421"/>
      <c r="S45" s="421"/>
      <c r="T45" s="421"/>
      <c r="U45" s="421"/>
      <c r="V45" s="421"/>
      <c r="W45" s="421"/>
      <c r="X45" s="421"/>
      <c r="Y45" s="419"/>
      <c r="Z45" s="419"/>
      <c r="AA45" s="419"/>
      <c r="AB45" s="419"/>
      <c r="AC45" s="419"/>
      <c r="AD45" s="419"/>
      <c r="AE45" s="419"/>
      <c r="AF45" s="419"/>
      <c r="AG45" s="419"/>
    </row>
    <row r="46" spans="1:33">
      <c r="A46" s="285" t="s">
        <v>645</v>
      </c>
      <c r="B46" s="285"/>
      <c r="C46" s="296">
        <f>'OPEB WP'!C11</f>
        <v>102681</v>
      </c>
      <c r="D46" s="296"/>
      <c r="E46" s="296">
        <f>'OPEB WP'!C11</f>
        <v>102681</v>
      </c>
      <c r="F46" s="296"/>
      <c r="G46" s="296">
        <f>'OPEB WP'!C13</f>
        <v>74033</v>
      </c>
      <c r="H46" s="296"/>
      <c r="I46" s="296">
        <f t="shared" ref="I46:I47" si="3">G46-E46</f>
        <v>-28648</v>
      </c>
      <c r="K46" s="294">
        <f t="shared" ref="K46:K47" si="4">-I46/E46</f>
        <v>0.2790000097389001</v>
      </c>
      <c r="P46" s="419"/>
      <c r="Q46" s="419"/>
      <c r="R46" s="421"/>
      <c r="S46" s="421"/>
      <c r="T46" s="421"/>
      <c r="U46" s="421"/>
      <c r="V46" s="421"/>
      <c r="W46" s="421"/>
      <c r="X46" s="421"/>
      <c r="Y46" s="419"/>
      <c r="Z46" s="422"/>
      <c r="AA46" s="419"/>
      <c r="AB46" s="422"/>
      <c r="AC46" s="419"/>
      <c r="AD46" s="422"/>
      <c r="AE46" s="419"/>
      <c r="AF46" s="422"/>
      <c r="AG46" s="419"/>
    </row>
    <row r="47" spans="1:33">
      <c r="A47" s="285" t="s">
        <v>542</v>
      </c>
      <c r="B47" s="285"/>
      <c r="C47" s="296">
        <f>ROUND(Union!AS84+'NU Hrly'!AU54+'NU Slry'!AS38+Acquisitions!AU7,0)</f>
        <v>2449657</v>
      </c>
      <c r="D47" s="296"/>
      <c r="E47" s="296">
        <f>ROUND(Union!CM84+'NU Hrly'!CM54+'NU Slry'!CK38+Acquisitions!CM7,0)</f>
        <v>2400522</v>
      </c>
      <c r="F47" s="296"/>
      <c r="G47" s="296">
        <f>ROUND(Union!CV84+'NU Hrly'!CV54+'NU Slry'!CT38+Acquisitions!CV7,0)</f>
        <v>1720314</v>
      </c>
      <c r="H47" s="296"/>
      <c r="I47" s="296">
        <f t="shared" si="3"/>
        <v>-680208</v>
      </c>
      <c r="K47" s="294">
        <f t="shared" si="4"/>
        <v>0.28335836955462185</v>
      </c>
      <c r="P47" s="419"/>
      <c r="Q47" s="419"/>
      <c r="R47" s="421"/>
      <c r="S47" s="421"/>
      <c r="T47" s="421"/>
      <c r="U47" s="421"/>
      <c r="V47" s="421"/>
      <c r="W47" s="421"/>
      <c r="X47" s="421"/>
      <c r="Y47" s="419"/>
      <c r="Z47" s="422"/>
      <c r="AA47" s="419"/>
      <c r="AB47" s="422"/>
      <c r="AC47" s="419"/>
      <c r="AD47" s="422"/>
      <c r="AE47" s="419"/>
      <c r="AF47" s="422"/>
      <c r="AG47" s="419"/>
    </row>
    <row r="48" spans="1:33">
      <c r="A48" s="285"/>
      <c r="B48" s="285"/>
      <c r="C48" s="296"/>
      <c r="D48" s="296"/>
      <c r="E48" s="296"/>
      <c r="F48" s="296"/>
      <c r="G48" s="296"/>
      <c r="H48" s="296"/>
      <c r="I48" s="296"/>
      <c r="K48" s="294"/>
      <c r="P48" s="419"/>
      <c r="Q48" s="419"/>
      <c r="R48" s="421"/>
      <c r="S48" s="421"/>
      <c r="T48" s="421"/>
      <c r="U48" s="421"/>
      <c r="V48" s="421"/>
      <c r="W48" s="421"/>
      <c r="X48" s="421"/>
      <c r="Y48" s="419"/>
      <c r="Z48" s="419"/>
      <c r="AA48" s="419"/>
      <c r="AB48" s="419"/>
      <c r="AC48" s="419"/>
      <c r="AD48" s="419"/>
      <c r="AE48" s="419"/>
      <c r="AF48" s="419"/>
      <c r="AG48" s="419"/>
    </row>
    <row r="49" spans="1:33">
      <c r="A49" s="285" t="s">
        <v>646</v>
      </c>
      <c r="B49" s="285"/>
      <c r="C49" s="296">
        <f>ROUND(Union!M84+Union!N84+'NU Hrly'!O54+'NU Slry'!P38+Acquisitions!O7,0)</f>
        <v>9489182</v>
      </c>
      <c r="D49" s="296"/>
      <c r="E49" s="296">
        <f>ROUND(Union!AX84+Union!AY84+'NU Hrly'!AZ54+'NU Slry'!AX42+Acquisitions!AZ7,0)</f>
        <v>9308359</v>
      </c>
      <c r="F49" s="296"/>
      <c r="G49" s="296">
        <f>ROUND(Union!BD84+Union!BE84+'NU Hrly'!BE54+'NU Slry'!BC42+Acquisitions!BE7,0)</f>
        <v>6661397</v>
      </c>
      <c r="H49" s="296"/>
      <c r="I49" s="296">
        <f t="shared" ref="I49:I50" si="5">G49-E49</f>
        <v>-2646962</v>
      </c>
      <c r="K49" s="294">
        <f t="shared" ref="K49:K50" si="6">-I49/E49</f>
        <v>0.28436397865617347</v>
      </c>
      <c r="M49" s="293"/>
      <c r="P49" s="419"/>
      <c r="Q49" s="419"/>
      <c r="R49" s="421"/>
      <c r="S49" s="421"/>
      <c r="T49" s="421"/>
      <c r="U49" s="421"/>
      <c r="V49" s="421"/>
      <c r="W49" s="421"/>
      <c r="X49" s="421"/>
      <c r="Y49" s="419"/>
      <c r="Z49" s="422"/>
      <c r="AA49" s="419"/>
      <c r="AB49" s="422"/>
      <c r="AC49" s="419"/>
      <c r="AD49" s="422"/>
      <c r="AE49" s="419"/>
      <c r="AF49" s="422"/>
      <c r="AG49" s="419"/>
    </row>
    <row r="50" spans="1:33">
      <c r="A50" s="285" t="s">
        <v>656</v>
      </c>
      <c r="B50" s="285"/>
      <c r="C50" s="296">
        <f>ROUND(Union!Q84+'NU Hrly'!R54+Acquisitions!R7,0)</f>
        <v>719681</v>
      </c>
      <c r="D50" s="296"/>
      <c r="E50" s="296">
        <f>ROUND(Union!AZ84+'NU Hrly'!BA54+Acquisitions!BA7,0)</f>
        <v>691476</v>
      </c>
      <c r="F50" s="296"/>
      <c r="G50" s="296">
        <f>ROUND(Union!BF84+'NU Hrly'!BF54+Acquisitions!BF7,0)</f>
        <v>547925</v>
      </c>
      <c r="H50" s="296"/>
      <c r="I50" s="296">
        <f t="shared" si="5"/>
        <v>-143551</v>
      </c>
      <c r="K50" s="294">
        <f t="shared" si="6"/>
        <v>0.20760084225627498</v>
      </c>
      <c r="P50" s="419"/>
      <c r="Q50" s="419"/>
      <c r="R50" s="421"/>
      <c r="S50" s="421"/>
      <c r="T50" s="421"/>
      <c r="U50" s="421"/>
      <c r="V50" s="421"/>
      <c r="W50" s="421"/>
      <c r="X50" s="421"/>
      <c r="Y50" s="419"/>
      <c r="Z50" s="422"/>
      <c r="AA50" s="419"/>
      <c r="AB50" s="422"/>
      <c r="AC50" s="419"/>
      <c r="AD50" s="422"/>
      <c r="AE50" s="419"/>
      <c r="AF50" s="422"/>
      <c r="AG50" s="419"/>
    </row>
    <row r="51" spans="1:33">
      <c r="A51" s="285"/>
      <c r="B51" s="285"/>
      <c r="C51" s="296"/>
      <c r="D51" s="296"/>
      <c r="E51" s="296"/>
      <c r="F51" s="296"/>
      <c r="G51" s="296"/>
      <c r="H51" s="296"/>
      <c r="I51" s="296"/>
      <c r="K51" s="294"/>
      <c r="M51" s="293"/>
      <c r="P51" s="419"/>
      <c r="Q51" s="419"/>
      <c r="R51" s="421"/>
      <c r="S51" s="421"/>
      <c r="T51" s="421"/>
      <c r="U51" s="421"/>
      <c r="V51" s="421"/>
      <c r="W51" s="421"/>
      <c r="X51" s="421"/>
      <c r="Y51" s="419"/>
      <c r="Z51" s="419"/>
      <c r="AA51" s="419"/>
      <c r="AB51" s="419"/>
      <c r="AC51" s="419"/>
      <c r="AD51" s="419"/>
      <c r="AE51" s="419"/>
      <c r="AF51" s="419"/>
      <c r="AG51" s="419"/>
    </row>
    <row r="52" spans="1:33">
      <c r="A52" s="285" t="s">
        <v>647</v>
      </c>
      <c r="B52" s="285"/>
      <c r="C52" s="296">
        <f>'Pension WP'!C11</f>
        <v>554118</v>
      </c>
      <c r="D52" s="296"/>
      <c r="E52" s="296">
        <f>'Pension WP'!C11</f>
        <v>554118</v>
      </c>
      <c r="F52" s="296"/>
      <c r="G52" s="296">
        <f>'Pension WP'!C13</f>
        <v>399519</v>
      </c>
      <c r="H52" s="296"/>
      <c r="I52" s="296">
        <f>G52-E52</f>
        <v>-154599</v>
      </c>
      <c r="K52" s="294">
        <f>-I52/E52</f>
        <v>0.27900014076424157</v>
      </c>
      <c r="M52" s="293"/>
      <c r="P52" s="419"/>
      <c r="Q52" s="419"/>
      <c r="R52" s="421"/>
      <c r="S52" s="421"/>
      <c r="T52" s="421"/>
      <c r="U52" s="421"/>
      <c r="V52" s="421"/>
      <c r="W52" s="421"/>
      <c r="X52" s="421"/>
      <c r="Y52" s="419"/>
      <c r="Z52" s="422"/>
      <c r="AA52" s="419"/>
      <c r="AB52" s="422"/>
      <c r="AC52" s="419"/>
      <c r="AD52" s="422"/>
      <c r="AE52" s="419"/>
      <c r="AF52" s="422"/>
      <c r="AG52" s="419"/>
    </row>
    <row r="53" spans="1:33">
      <c r="A53" s="285"/>
      <c r="B53" s="285"/>
      <c r="C53" s="296"/>
      <c r="D53" s="296"/>
      <c r="E53" s="296"/>
      <c r="F53" s="296"/>
      <c r="G53" s="296"/>
      <c r="H53" s="296"/>
      <c r="I53" s="296"/>
      <c r="K53" s="294"/>
      <c r="P53" s="419"/>
      <c r="Q53" s="419"/>
      <c r="R53" s="421"/>
      <c r="S53" s="421"/>
      <c r="T53" s="421"/>
      <c r="U53" s="421"/>
      <c r="V53" s="421"/>
      <c r="W53" s="421"/>
      <c r="X53" s="421"/>
      <c r="Y53" s="419"/>
      <c r="Z53" s="419"/>
      <c r="AA53" s="419"/>
      <c r="AB53" s="419"/>
      <c r="AC53" s="419"/>
      <c r="AD53" s="419"/>
      <c r="AE53" s="419"/>
      <c r="AF53" s="419"/>
      <c r="AG53" s="419"/>
    </row>
    <row r="54" spans="1:33">
      <c r="A54" s="285" t="s">
        <v>648</v>
      </c>
      <c r="B54" s="285"/>
      <c r="C54" s="296">
        <f>ROUND(Union!AF84+'NU Hrly'!AH54+'NU Slry'!AF38+Acquisitions!AH7,0)</f>
        <v>312751</v>
      </c>
      <c r="D54" s="296"/>
      <c r="E54" s="296">
        <f>ROUND(Union!BV84+'NU Hrly'!BV54+'NU Slry'!BT38+Acquisitions!BV7,0)</f>
        <v>306173</v>
      </c>
      <c r="F54" s="296"/>
      <c r="G54" s="296">
        <f>ROUND(Union!CA84+'NU Hrly'!CA54+'NU Slry'!BY38+Acquisitions!CA7,0)</f>
        <v>219120</v>
      </c>
      <c r="H54" s="296"/>
      <c r="I54" s="296">
        <f t="shared" ref="I54:I55" si="7">G54-E54</f>
        <v>-87053</v>
      </c>
      <c r="K54" s="294">
        <f t="shared" ref="K54:K55" si="8">-I54/E54</f>
        <v>0.28432618160321127</v>
      </c>
      <c r="P54" s="419"/>
      <c r="Q54" s="419"/>
      <c r="R54" s="421"/>
      <c r="S54" s="421"/>
      <c r="T54" s="421"/>
      <c r="U54" s="421"/>
      <c r="V54" s="421"/>
      <c r="W54" s="421"/>
      <c r="X54" s="421"/>
      <c r="Y54" s="419"/>
      <c r="Z54" s="422"/>
      <c r="AA54" s="419"/>
      <c r="AB54" s="422"/>
      <c r="AC54" s="419"/>
      <c r="AD54" s="422"/>
      <c r="AE54" s="419"/>
      <c r="AF54" s="422"/>
      <c r="AG54" s="419"/>
    </row>
    <row r="55" spans="1:33">
      <c r="A55" s="285" t="s">
        <v>546</v>
      </c>
      <c r="B55" s="285"/>
      <c r="C55" s="296">
        <f>ROUND(Union!AG84+'NU Hrly'!AI54+'NU Slry'!AG38+Acquisitions!AI7,0)</f>
        <v>366890</v>
      </c>
      <c r="D55" s="296"/>
      <c r="E55" s="296">
        <f>ROUND(Union!BW84+'NU Hrly'!BW54+'NU Slry'!BU38+Acquisitions!BW7,0)</f>
        <v>361522</v>
      </c>
      <c r="F55" s="296"/>
      <c r="G55" s="296">
        <f>ROUND(Union!CB84+'NU Hrly'!CB54+'NU Slry'!BZ38+Acquisitions!CB7,0)</f>
        <v>262375</v>
      </c>
      <c r="H55" s="296"/>
      <c r="I55" s="296">
        <f t="shared" si="7"/>
        <v>-99147</v>
      </c>
      <c r="K55" s="294">
        <f t="shared" si="8"/>
        <v>0.27424887005493442</v>
      </c>
      <c r="P55" s="419"/>
      <c r="Q55" s="419"/>
      <c r="R55" s="421"/>
      <c r="S55" s="421"/>
      <c r="T55" s="421"/>
      <c r="U55" s="421"/>
      <c r="V55" s="421"/>
      <c r="W55" s="421"/>
      <c r="X55" s="421"/>
      <c r="Y55" s="419"/>
      <c r="Z55" s="422"/>
      <c r="AA55" s="419"/>
      <c r="AB55" s="422"/>
      <c r="AC55" s="419"/>
      <c r="AD55" s="422"/>
      <c r="AE55" s="419"/>
      <c r="AF55" s="422"/>
      <c r="AG55" s="419"/>
    </row>
    <row r="56" spans="1:33">
      <c r="A56" s="285" t="s">
        <v>658</v>
      </c>
      <c r="B56" s="285"/>
      <c r="C56" s="296">
        <f>Union!AH84</f>
        <v>33600</v>
      </c>
      <c r="D56" s="296"/>
      <c r="E56" s="296">
        <f>Union!BX84</f>
        <v>33593.699976088894</v>
      </c>
      <c r="F56" s="296"/>
      <c r="G56" s="296">
        <f>Union!CC84</f>
        <v>23955.537308476982</v>
      </c>
      <c r="H56" s="296"/>
      <c r="I56" s="296">
        <f t="shared" ref="I56" si="9">G56-E56</f>
        <v>-9638.1626676119122</v>
      </c>
      <c r="K56" s="294">
        <f t="shared" ref="K56" si="10">-I56/E56</f>
        <v>0.28690387407377277</v>
      </c>
      <c r="P56" s="419"/>
      <c r="Q56" s="419"/>
      <c r="R56" s="421"/>
      <c r="S56" s="421"/>
      <c r="T56" s="421"/>
      <c r="U56" s="421"/>
      <c r="V56" s="421"/>
      <c r="W56" s="421"/>
      <c r="X56" s="421"/>
      <c r="Y56" s="419"/>
      <c r="Z56" s="422"/>
      <c r="AA56" s="419"/>
      <c r="AB56" s="422"/>
      <c r="AC56" s="419"/>
      <c r="AD56" s="422"/>
      <c r="AE56" s="419"/>
      <c r="AF56" s="422"/>
      <c r="AG56" s="419"/>
    </row>
    <row r="57" spans="1:33">
      <c r="A57" s="285"/>
      <c r="B57" s="285"/>
      <c r="C57" s="296"/>
      <c r="D57" s="296"/>
      <c r="E57" s="296"/>
      <c r="F57" s="296"/>
      <c r="G57" s="296"/>
      <c r="H57" s="296"/>
      <c r="I57" s="296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/>
      <c r="AE57" s="419"/>
      <c r="AF57" s="419"/>
      <c r="AG57" s="419"/>
    </row>
    <row r="58" spans="1:33">
      <c r="A58"/>
      <c r="B58"/>
      <c r="C58" s="277" t="s">
        <v>657</v>
      </c>
      <c r="E58" s="277" t="s">
        <v>1106</v>
      </c>
      <c r="G58" s="277" t="s">
        <v>642</v>
      </c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  <c r="AA58" s="419"/>
      <c r="AB58" s="419"/>
      <c r="AC58" s="419"/>
      <c r="AD58" s="419"/>
      <c r="AE58" s="419"/>
      <c r="AF58" s="419"/>
      <c r="AG58" s="419"/>
    </row>
    <row r="59" spans="1:33">
      <c r="A59" s="285" t="str">
        <f>'Other Benefits Exhibit'!C31</f>
        <v>ESPP Expense</v>
      </c>
      <c r="B59" s="298"/>
      <c r="C59" s="296">
        <f>'Other Benefits Exhibit'!G31</f>
        <v>2712</v>
      </c>
      <c r="E59" s="284">
        <f>'Other Benefits Exhibit'!E17</f>
        <v>14837</v>
      </c>
      <c r="G59" s="293">
        <f>+Summary!D86</f>
        <v>17549</v>
      </c>
      <c r="P59" s="419"/>
      <c r="Q59" s="419"/>
      <c r="R59" s="419"/>
      <c r="S59" s="419"/>
      <c r="T59" s="419"/>
      <c r="U59" s="419"/>
      <c r="V59" s="419"/>
      <c r="W59" s="419"/>
      <c r="X59" s="419"/>
      <c r="Y59" s="419"/>
      <c r="Z59" s="419"/>
      <c r="AA59" s="419"/>
      <c r="AB59" s="419"/>
      <c r="AC59" s="419"/>
      <c r="AD59" s="419"/>
      <c r="AE59" s="419"/>
      <c r="AF59" s="419"/>
      <c r="AG59" s="419"/>
    </row>
    <row r="60" spans="1:33">
      <c r="A60" s="285" t="str">
        <f>'Other Benefits Exhibit'!C33</f>
        <v>Other Welfare</v>
      </c>
      <c r="B60" s="298"/>
      <c r="C60" s="296">
        <f>'Other Benefits Exhibit'!G33</f>
        <v>621</v>
      </c>
      <c r="E60" s="284">
        <f>'Other Benefits Exhibit'!E19</f>
        <v>35179</v>
      </c>
      <c r="G60" s="284">
        <f>'Other Benefits Exhibit'!K46</f>
        <v>35800</v>
      </c>
    </row>
    <row r="61" spans="1:33">
      <c r="A61" s="285" t="str">
        <f>'Other Benefits Exhibit'!C34</f>
        <v>Employee Awards</v>
      </c>
      <c r="B61" s="298"/>
      <c r="C61" s="296">
        <f>'Other Benefits Exhibit'!G34</f>
        <v>230</v>
      </c>
      <c r="E61" s="284">
        <f>'Other Benefits Exhibit'!E20</f>
        <v>13063</v>
      </c>
      <c r="G61" s="284">
        <f>'Other Benefits Exhibit'!K47</f>
        <v>13293</v>
      </c>
    </row>
    <row r="62" spans="1:33">
      <c r="A62" s="285" t="str">
        <f>'Other Benefits Exhibit'!C35</f>
        <v>Emp Physical Exams</v>
      </c>
      <c r="B62" s="298"/>
      <c r="C62" s="296">
        <f>'Other Benefits Exhibit'!G35</f>
        <v>142</v>
      </c>
      <c r="E62" s="284">
        <f>'Other Benefits Exhibit'!E21</f>
        <v>8057</v>
      </c>
      <c r="G62" s="284">
        <f>'Other Benefits Exhibit'!K48</f>
        <v>8199</v>
      </c>
    </row>
    <row r="63" spans="1:33">
      <c r="A63" s="285" t="str">
        <f>'Other Benefits Exhibit'!C36</f>
        <v>Safety Incentive Awards</v>
      </c>
      <c r="B63" s="298"/>
      <c r="C63" s="296">
        <f>'Other Benefits Exhibit'!G36</f>
        <v>1</v>
      </c>
      <c r="E63" s="284">
        <f>'Other Benefits Exhibit'!E22</f>
        <v>39</v>
      </c>
      <c r="G63" s="284">
        <f>'Other Benefits Exhibit'!K49</f>
        <v>40</v>
      </c>
    </row>
    <row r="64" spans="1:33">
      <c r="A64" s="285" t="str">
        <f>'Other Benefits Exhibit'!C37</f>
        <v>Tuition Aid</v>
      </c>
      <c r="B64" s="298"/>
      <c r="C64" s="296">
        <f>'Other Benefits Exhibit'!G37</f>
        <v>460</v>
      </c>
      <c r="E64" s="284">
        <f>'Other Benefits Exhibit'!E23</f>
        <v>26053</v>
      </c>
      <c r="G64" s="284">
        <f>'Other Benefits Exhibit'!K50</f>
        <v>26513</v>
      </c>
    </row>
    <row r="65" spans="1:7">
      <c r="A65" s="285" t="str">
        <f>'Other Benefits Exhibit'!C38</f>
        <v>Training</v>
      </c>
      <c r="B65" s="298"/>
      <c r="C65" s="296">
        <f>'Other Benefits Exhibit'!G38</f>
        <v>704</v>
      </c>
      <c r="E65" s="284">
        <f>'Other Benefits Exhibit'!E24</f>
        <v>39890</v>
      </c>
      <c r="G65" s="284">
        <f>'Other Benefits Exhibit'!K51</f>
        <v>40594</v>
      </c>
    </row>
    <row r="66" spans="1:7">
      <c r="A66" s="285" t="str">
        <f>'Other Benefits Exhibit'!C39</f>
        <v>Referral Bonus</v>
      </c>
      <c r="C66" s="296">
        <f>'Other Benefits Exhibit'!G39</f>
        <v>23</v>
      </c>
      <c r="E66" s="284">
        <f>'Other Benefits Exhibit'!E25</f>
        <v>1301</v>
      </c>
      <c r="G66" s="284">
        <f>'Other Benefits Exhibit'!K52</f>
        <v>1324</v>
      </c>
    </row>
    <row r="69" spans="1:7">
      <c r="A69" s="280" t="s">
        <v>1121</v>
      </c>
      <c r="C69" s="280" t="s">
        <v>1124</v>
      </c>
      <c r="E69" s="280" t="s">
        <v>1125</v>
      </c>
      <c r="G69" s="280" t="s">
        <v>476</v>
      </c>
    </row>
    <row r="70" spans="1:7">
      <c r="A70" s="280" t="s">
        <v>1122</v>
      </c>
      <c r="C70" s="293">
        <f>+Acquisitions!BH6</f>
        <v>48381.048000000003</v>
      </c>
      <c r="E70" s="293">
        <f>+Acquisitions!BH7-'Link Out'!C70</f>
        <v>0</v>
      </c>
      <c r="G70" s="293">
        <f>+C70+E70</f>
        <v>48381.048000000003</v>
      </c>
    </row>
    <row r="71" spans="1:7">
      <c r="A71" s="280" t="s">
        <v>1123</v>
      </c>
      <c r="C71" s="293">
        <f>+Acquisitions!CV6</f>
        <v>11954.993185352121</v>
      </c>
      <c r="E71" s="293">
        <f>+Acquisitions!CV7-'Link Out'!C71</f>
        <v>0</v>
      </c>
      <c r="G71" s="293">
        <f t="shared" ref="G71:G74" si="11">+C71+E71</f>
        <v>11954.993185352121</v>
      </c>
    </row>
    <row r="72" spans="1:7">
      <c r="A72" s="280" t="s">
        <v>619</v>
      </c>
      <c r="C72" s="293">
        <f>+Acquisitions!CA6+Acquisitions!CB6+Acquisitions!CC6+Acquisitions!CD6</f>
        <v>3951.7226050909094</v>
      </c>
      <c r="E72" s="293">
        <f>+Acquisitions!CA7+Acquisitions!CB7+Acquisitions!CC7+Acquisitions!CD7-'Link Out'!C72</f>
        <v>0</v>
      </c>
      <c r="G72" s="293">
        <f t="shared" si="11"/>
        <v>3951.7226050909094</v>
      </c>
    </row>
    <row r="73" spans="1:7">
      <c r="A73" s="280" t="s">
        <v>540</v>
      </c>
      <c r="C73" s="293">
        <f>+Acquisitions!BT6</f>
        <v>3789.1272288000005</v>
      </c>
      <c r="E73" s="293">
        <f>+Acquisitions!BT7-'Link Out'!C73</f>
        <v>0</v>
      </c>
      <c r="G73" s="293">
        <f t="shared" si="11"/>
        <v>3789.1272288000005</v>
      </c>
    </row>
    <row r="74" spans="1:7">
      <c r="C74" s="293">
        <f>SUM(C70:C73)</f>
        <v>68076.891019243034</v>
      </c>
      <c r="E74" s="293">
        <f>SUM(E70:E73)</f>
        <v>0</v>
      </c>
      <c r="G74" s="293">
        <f t="shared" si="11"/>
        <v>68076.891019243034</v>
      </c>
    </row>
  </sheetData>
  <pageMargins left="0.7" right="0.7" top="0.75" bottom="0.75" header="0.3" footer="0.3"/>
  <pageSetup scale="76" fitToHeight="0" orientation="landscape" r:id="rId1"/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zoomScale="80" zoomScaleNormal="80" workbookViewId="0"/>
  </sheetViews>
  <sheetFormatPr defaultColWidth="8.88671875" defaultRowHeight="13.8"/>
  <cols>
    <col min="1" max="1" width="46.5546875" style="499" bestFit="1" customWidth="1"/>
    <col min="2" max="2" width="14.109375" style="501" customWidth="1"/>
    <col min="3" max="3" width="17.109375" style="499" customWidth="1"/>
    <col min="4" max="4" width="10" style="499" bestFit="1" customWidth="1"/>
    <col min="5" max="17" width="8.88671875" style="499"/>
    <col min="18" max="18" width="10.109375" style="499" bestFit="1" customWidth="1"/>
    <col min="19" max="16384" width="8.88671875" style="499"/>
  </cols>
  <sheetData>
    <row r="1" spans="1:4" ht="14.4">
      <c r="A1" s="611" t="s">
        <v>431</v>
      </c>
    </row>
    <row r="2" spans="1:4" ht="14.4">
      <c r="A2" s="611" t="s">
        <v>1068</v>
      </c>
      <c r="B2" s="702" t="s">
        <v>1134</v>
      </c>
      <c r="C2" s="501"/>
    </row>
    <row r="3" spans="1:4" ht="41.4">
      <c r="A3" s="612" t="s">
        <v>475</v>
      </c>
      <c r="B3" s="612" t="s">
        <v>1047</v>
      </c>
      <c r="C3" s="612" t="s">
        <v>1048</v>
      </c>
    </row>
    <row r="4" spans="1:4">
      <c r="A4" s="500" t="s">
        <v>944</v>
      </c>
      <c r="B4" s="716"/>
      <c r="C4" s="613">
        <v>72.965788800000013</v>
      </c>
    </row>
    <row r="5" spans="1:4">
      <c r="A5" s="500" t="s">
        <v>944</v>
      </c>
      <c r="B5" s="716"/>
      <c r="C5" s="613">
        <v>72.965788800000013</v>
      </c>
      <c r="D5" s="613"/>
    </row>
    <row r="6" spans="1:4">
      <c r="A6" s="500" t="s">
        <v>944</v>
      </c>
      <c r="B6" s="716"/>
      <c r="C6" s="613">
        <v>72.965788800000013</v>
      </c>
      <c r="D6" s="613"/>
    </row>
    <row r="7" spans="1:4">
      <c r="A7" s="500" t="s">
        <v>944</v>
      </c>
      <c r="B7" s="716"/>
      <c r="C7" s="613">
        <v>72.965788800000013</v>
      </c>
      <c r="D7" s="613"/>
    </row>
    <row r="8" spans="1:4">
      <c r="A8" s="500" t="s">
        <v>944</v>
      </c>
      <c r="B8" s="716"/>
      <c r="C8" s="613">
        <v>378.82778879999995</v>
      </c>
      <c r="D8" s="613"/>
    </row>
    <row r="9" spans="1:4">
      <c r="A9" s="500" t="s">
        <v>509</v>
      </c>
      <c r="B9" s="716"/>
      <c r="C9" s="613">
        <v>72.965788800000013</v>
      </c>
      <c r="D9" s="613"/>
    </row>
    <row r="10" spans="1:4">
      <c r="A10" s="500" t="s">
        <v>1056</v>
      </c>
      <c r="B10" s="716"/>
      <c r="C10" s="613">
        <v>180.00000000000003</v>
      </c>
      <c r="D10" s="613"/>
    </row>
    <row r="11" spans="1:4">
      <c r="A11" s="500" t="s">
        <v>507</v>
      </c>
      <c r="B11" s="716"/>
      <c r="C11" s="613">
        <v>84</v>
      </c>
      <c r="D11" s="613"/>
    </row>
    <row r="12" spans="1:4">
      <c r="A12" s="500" t="s">
        <v>1059</v>
      </c>
      <c r="B12" s="716"/>
      <c r="C12" s="613">
        <v>0</v>
      </c>
      <c r="D12" s="613"/>
    </row>
    <row r="13" spans="1:4">
      <c r="A13" s="500" t="s">
        <v>944</v>
      </c>
      <c r="B13" s="716"/>
      <c r="C13" s="613">
        <v>378.82778879999995</v>
      </c>
      <c r="D13" s="613"/>
    </row>
    <row r="14" spans="1:4">
      <c r="A14" s="500" t="s">
        <v>944</v>
      </c>
      <c r="B14" s="716"/>
      <c r="C14" s="613">
        <v>282.61178880000006</v>
      </c>
      <c r="D14" s="613"/>
    </row>
    <row r="15" spans="1:4">
      <c r="A15" s="500" t="s">
        <v>1056</v>
      </c>
      <c r="B15" s="716"/>
      <c r="C15" s="613">
        <v>23.999999999999996</v>
      </c>
      <c r="D15" s="613"/>
    </row>
    <row r="16" spans="1:4">
      <c r="A16" s="500" t="s">
        <v>944</v>
      </c>
      <c r="B16" s="716"/>
      <c r="C16" s="613">
        <v>90</v>
      </c>
      <c r="D16" s="613"/>
    </row>
    <row r="17" spans="1:4">
      <c r="A17" s="500" t="s">
        <v>944</v>
      </c>
      <c r="B17" s="716"/>
      <c r="C17" s="613">
        <v>72.965788800000013</v>
      </c>
      <c r="D17" s="613"/>
    </row>
    <row r="18" spans="1:4">
      <c r="A18" s="500" t="s">
        <v>944</v>
      </c>
      <c r="B18" s="716"/>
      <c r="C18" s="613">
        <v>72.965788800000013</v>
      </c>
      <c r="D18" s="613"/>
    </row>
    <row r="19" spans="1:4">
      <c r="A19" s="500" t="s">
        <v>1057</v>
      </c>
      <c r="B19" s="716"/>
      <c r="C19" s="613">
        <v>0</v>
      </c>
      <c r="D19" s="613"/>
    </row>
    <row r="20" spans="1:4">
      <c r="A20" s="500" t="s">
        <v>944</v>
      </c>
      <c r="B20" s="716"/>
      <c r="C20" s="613">
        <v>179.99999999999991</v>
      </c>
      <c r="D20" s="613"/>
    </row>
    <row r="21" spans="1:4">
      <c r="A21" s="500" t="s">
        <v>517</v>
      </c>
      <c r="B21" s="716"/>
      <c r="C21" s="613">
        <v>90</v>
      </c>
      <c r="D21" s="613"/>
    </row>
    <row r="22" spans="1:4">
      <c r="A22" s="500" t="s">
        <v>944</v>
      </c>
      <c r="B22" s="716"/>
      <c r="C22" s="613">
        <v>90</v>
      </c>
      <c r="D22" s="613"/>
    </row>
    <row r="23" spans="1:4">
      <c r="A23" s="500" t="s">
        <v>517</v>
      </c>
      <c r="B23" s="716"/>
      <c r="C23" s="613">
        <v>240</v>
      </c>
      <c r="D23" s="613"/>
    </row>
    <row r="24" spans="1:4">
      <c r="A24" s="500" t="s">
        <v>506</v>
      </c>
      <c r="B24" s="716"/>
      <c r="C24" s="613">
        <v>264</v>
      </c>
      <c r="D24" s="613"/>
    </row>
    <row r="25" spans="1:4">
      <c r="A25" s="500" t="s">
        <v>944</v>
      </c>
      <c r="B25" s="716"/>
      <c r="C25" s="613">
        <v>240</v>
      </c>
      <c r="D25" s="613"/>
    </row>
    <row r="26" spans="1:4">
      <c r="A26" s="500" t="s">
        <v>517</v>
      </c>
      <c r="B26" s="716"/>
      <c r="C26" s="613">
        <v>240.00000000000009</v>
      </c>
      <c r="D26" s="613"/>
    </row>
    <row r="27" spans="1:4">
      <c r="A27" s="500" t="s">
        <v>508</v>
      </c>
      <c r="B27" s="716"/>
      <c r="C27" s="613">
        <v>0</v>
      </c>
      <c r="D27" s="613"/>
    </row>
    <row r="28" spans="1:4">
      <c r="A28" s="500" t="s">
        <v>503</v>
      </c>
      <c r="B28" s="716"/>
      <c r="C28" s="613">
        <v>144</v>
      </c>
      <c r="D28" s="613"/>
    </row>
    <row r="29" spans="1:4">
      <c r="A29" s="500" t="s">
        <v>506</v>
      </c>
      <c r="B29" s="716"/>
      <c r="C29" s="613">
        <v>300</v>
      </c>
      <c r="D29" s="613"/>
    </row>
    <row r="30" spans="1:4">
      <c r="A30" s="500" t="s">
        <v>1059</v>
      </c>
      <c r="B30" s="716"/>
      <c r="C30" s="613">
        <v>0</v>
      </c>
      <c r="D30" s="613"/>
    </row>
    <row r="31" spans="1:4">
      <c r="A31" s="500" t="s">
        <v>517</v>
      </c>
      <c r="B31" s="716"/>
      <c r="C31" s="613">
        <v>300</v>
      </c>
      <c r="D31" s="613"/>
    </row>
    <row r="32" spans="1:4">
      <c r="A32" s="500" t="s">
        <v>508</v>
      </c>
      <c r="B32" s="716"/>
      <c r="C32" s="613">
        <v>240</v>
      </c>
      <c r="D32" s="613"/>
    </row>
    <row r="33" spans="1:4">
      <c r="A33" s="500" t="s">
        <v>508</v>
      </c>
      <c r="B33" s="716"/>
      <c r="C33" s="613">
        <v>240.00000000000006</v>
      </c>
      <c r="D33" s="613"/>
    </row>
    <row r="34" spans="1:4">
      <c r="A34" s="500" t="s">
        <v>1056</v>
      </c>
      <c r="B34" s="716"/>
      <c r="C34" s="613">
        <v>180.00000000000003</v>
      </c>
      <c r="D34" s="613"/>
    </row>
    <row r="35" spans="1:4">
      <c r="A35" s="500" t="s">
        <v>510</v>
      </c>
      <c r="B35" s="716"/>
      <c r="C35" s="613">
        <v>180</v>
      </c>
      <c r="D35" s="613"/>
    </row>
    <row r="36" spans="1:4">
      <c r="A36" s="500" t="s">
        <v>945</v>
      </c>
      <c r="B36" s="716"/>
      <c r="C36" s="613">
        <v>240</v>
      </c>
      <c r="D36" s="613"/>
    </row>
    <row r="37" spans="1:4">
      <c r="A37" s="500" t="s">
        <v>508</v>
      </c>
      <c r="B37" s="716"/>
      <c r="C37" s="613">
        <v>300</v>
      </c>
      <c r="D37" s="613"/>
    </row>
    <row r="38" spans="1:4">
      <c r="A38" s="500" t="s">
        <v>944</v>
      </c>
      <c r="B38" s="716"/>
      <c r="C38" s="613">
        <v>180</v>
      </c>
      <c r="D38" s="613"/>
    </row>
    <row r="39" spans="1:4">
      <c r="A39" s="500" t="s">
        <v>508</v>
      </c>
      <c r="B39" s="716"/>
      <c r="C39" s="613">
        <v>240</v>
      </c>
      <c r="D39" s="613"/>
    </row>
    <row r="40" spans="1:4">
      <c r="A40" s="500" t="s">
        <v>508</v>
      </c>
      <c r="B40" s="716"/>
      <c r="C40" s="613">
        <v>300</v>
      </c>
      <c r="D40" s="613"/>
    </row>
    <row r="41" spans="1:4">
      <c r="A41" s="500" t="s">
        <v>944</v>
      </c>
      <c r="B41" s="716"/>
      <c r="C41" s="613">
        <v>119.99999999999997</v>
      </c>
      <c r="D41" s="613"/>
    </row>
    <row r="42" spans="1:4">
      <c r="A42" s="500" t="s">
        <v>510</v>
      </c>
      <c r="B42" s="716"/>
      <c r="C42" s="613">
        <v>240</v>
      </c>
      <c r="D42" s="613"/>
    </row>
    <row r="43" spans="1:4">
      <c r="A43" s="500" t="s">
        <v>1056</v>
      </c>
      <c r="B43" s="716"/>
      <c r="C43" s="613">
        <v>180</v>
      </c>
      <c r="D43" s="613"/>
    </row>
    <row r="44" spans="1:4">
      <c r="A44" s="500" t="s">
        <v>508</v>
      </c>
      <c r="B44" s="716"/>
      <c r="C44" s="613">
        <v>264</v>
      </c>
      <c r="D44" s="613"/>
    </row>
    <row r="45" spans="1:4">
      <c r="A45" s="500" t="s">
        <v>510</v>
      </c>
      <c r="B45" s="716"/>
      <c r="C45" s="613">
        <v>180</v>
      </c>
      <c r="D45" s="613"/>
    </row>
    <row r="46" spans="1:4">
      <c r="A46" s="500" t="s">
        <v>508</v>
      </c>
      <c r="B46" s="716"/>
      <c r="C46" s="613">
        <v>264</v>
      </c>
      <c r="D46" s="613"/>
    </row>
    <row r="47" spans="1:4">
      <c r="A47" s="500" t="s">
        <v>510</v>
      </c>
      <c r="B47" s="716"/>
      <c r="C47" s="613">
        <v>0</v>
      </c>
      <c r="D47" s="613"/>
    </row>
    <row r="48" spans="1:4">
      <c r="A48" s="500" t="s">
        <v>510</v>
      </c>
      <c r="B48" s="716"/>
      <c r="C48" s="613">
        <v>0</v>
      </c>
      <c r="D48" s="613"/>
    </row>
    <row r="49" spans="1:4">
      <c r="A49" s="500" t="s">
        <v>510</v>
      </c>
      <c r="B49" s="716"/>
      <c r="C49" s="613">
        <v>0</v>
      </c>
      <c r="D49" s="613"/>
    </row>
    <row r="50" spans="1:4">
      <c r="A50" s="500" t="s">
        <v>510</v>
      </c>
      <c r="B50" s="716"/>
      <c r="C50" s="613">
        <v>0</v>
      </c>
      <c r="D50" s="613"/>
    </row>
    <row r="51" spans="1:4">
      <c r="A51" s="500" t="s">
        <v>510</v>
      </c>
      <c r="B51" s="716"/>
      <c r="C51" s="613">
        <v>0</v>
      </c>
      <c r="D51" s="613"/>
    </row>
    <row r="52" spans="1:4">
      <c r="A52" s="500" t="s">
        <v>510</v>
      </c>
      <c r="B52" s="716"/>
      <c r="C52" s="613">
        <v>0</v>
      </c>
      <c r="D52" s="613"/>
    </row>
    <row r="53" spans="1:4">
      <c r="A53" s="500" t="s">
        <v>508</v>
      </c>
      <c r="B53" s="716"/>
      <c r="C53" s="613">
        <v>0</v>
      </c>
      <c r="D53" s="613"/>
    </row>
    <row r="54" spans="1:4">
      <c r="A54" s="500" t="s">
        <v>510</v>
      </c>
      <c r="B54" s="716"/>
      <c r="C54" s="613">
        <v>0</v>
      </c>
      <c r="D54" s="613"/>
    </row>
    <row r="55" spans="1:4">
      <c r="A55" s="500" t="s">
        <v>510</v>
      </c>
      <c r="B55" s="716"/>
      <c r="C55" s="613">
        <v>0</v>
      </c>
      <c r="D55" s="613"/>
    </row>
    <row r="56" spans="1:4">
      <c r="A56" s="500" t="s">
        <v>510</v>
      </c>
      <c r="B56" s="716"/>
      <c r="C56" s="613">
        <v>0</v>
      </c>
      <c r="D56" s="613"/>
    </row>
    <row r="57" spans="1:4">
      <c r="A57" s="500" t="s">
        <v>510</v>
      </c>
      <c r="B57" s="716"/>
      <c r="C57" s="613">
        <v>0</v>
      </c>
      <c r="D57" s="613"/>
    </row>
    <row r="58" spans="1:4">
      <c r="A58" s="500" t="s">
        <v>510</v>
      </c>
      <c r="B58" s="716"/>
      <c r="C58" s="613">
        <v>0</v>
      </c>
      <c r="D58" s="613"/>
    </row>
    <row r="59" spans="1:4">
      <c r="A59" s="500" t="s">
        <v>510</v>
      </c>
      <c r="B59" s="716"/>
      <c r="C59" s="613">
        <v>90</v>
      </c>
      <c r="D59" s="613"/>
    </row>
    <row r="60" spans="1:4">
      <c r="A60" s="500" t="s">
        <v>510</v>
      </c>
      <c r="B60" s="716"/>
      <c r="C60" s="613">
        <v>0</v>
      </c>
      <c r="D60" s="613"/>
    </row>
    <row r="61" spans="1:4">
      <c r="A61" s="500" t="s">
        <v>510</v>
      </c>
      <c r="B61" s="716"/>
      <c r="C61" s="613">
        <v>0</v>
      </c>
      <c r="D61" s="613"/>
    </row>
    <row r="62" spans="1:4">
      <c r="A62" s="500" t="s">
        <v>1058</v>
      </c>
      <c r="B62" s="716"/>
      <c r="C62" s="613">
        <v>0</v>
      </c>
      <c r="D62" s="613"/>
    </row>
    <row r="63" spans="1:4">
      <c r="A63" s="500" t="s">
        <v>1055</v>
      </c>
      <c r="B63" s="716"/>
      <c r="C63" s="613">
        <v>95.999999999999986</v>
      </c>
      <c r="D63" s="613"/>
    </row>
    <row r="64" spans="1:4">
      <c r="A64" s="500" t="s">
        <v>979</v>
      </c>
      <c r="B64" s="716"/>
      <c r="C64" s="613"/>
      <c r="D64" s="613"/>
    </row>
    <row r="65" spans="1:4">
      <c r="A65" s="500" t="s">
        <v>517</v>
      </c>
      <c r="B65" s="716"/>
      <c r="C65" s="613">
        <v>240.00000000000009</v>
      </c>
      <c r="D65" s="613"/>
    </row>
    <row r="66" spans="1:4">
      <c r="A66" s="500" t="s">
        <v>956</v>
      </c>
      <c r="B66" s="716"/>
      <c r="C66" s="613">
        <v>0</v>
      </c>
    </row>
    <row r="67" spans="1:4">
      <c r="A67" s="500" t="s">
        <v>503</v>
      </c>
      <c r="B67" s="716"/>
      <c r="C67" s="613">
        <v>0</v>
      </c>
    </row>
    <row r="68" spans="1:4">
      <c r="A68" s="500" t="s">
        <v>956</v>
      </c>
      <c r="B68" s="716"/>
      <c r="C68" s="613">
        <v>0</v>
      </c>
    </row>
    <row r="69" spans="1:4">
      <c r="A69" s="500" t="s">
        <v>1028</v>
      </c>
      <c r="B69" s="716"/>
      <c r="C69" s="613">
        <v>0</v>
      </c>
    </row>
    <row r="70" spans="1:4">
      <c r="A70" s="499" t="s">
        <v>956</v>
      </c>
      <c r="B70" s="716"/>
      <c r="C70" s="499">
        <v>0</v>
      </c>
    </row>
    <row r="71" spans="1:4">
      <c r="A71" s="499" t="s">
        <v>956</v>
      </c>
      <c r="B71" s="717"/>
      <c r="C71" s="499">
        <v>0</v>
      </c>
    </row>
    <row r="72" spans="1:4">
      <c r="A72" s="499" t="s">
        <v>962</v>
      </c>
      <c r="B72" s="716"/>
      <c r="C72" s="499">
        <v>0</v>
      </c>
    </row>
    <row r="73" spans="1:4">
      <c r="A73" s="499" t="s">
        <v>1063</v>
      </c>
      <c r="B73" s="716"/>
      <c r="C73" s="499">
        <v>0</v>
      </c>
    </row>
    <row r="74" spans="1:4">
      <c r="A74" s="499" t="s">
        <v>501</v>
      </c>
      <c r="B74" s="716"/>
      <c r="C74" s="499">
        <v>96</v>
      </c>
    </row>
    <row r="75" spans="1:4">
      <c r="A75" s="499" t="s">
        <v>992</v>
      </c>
      <c r="B75" s="716"/>
      <c r="C75" s="499">
        <v>60</v>
      </c>
    </row>
    <row r="76" spans="1:4">
      <c r="A76" s="499" t="s">
        <v>1054</v>
      </c>
      <c r="B76" s="716"/>
      <c r="C76" s="499">
        <v>0</v>
      </c>
    </row>
    <row r="77" spans="1:4">
      <c r="A77" s="499" t="s">
        <v>502</v>
      </c>
      <c r="B77" s="716"/>
      <c r="C77" s="499">
        <v>240</v>
      </c>
    </row>
    <row r="78" spans="1:4">
      <c r="A78" s="499" t="s">
        <v>518</v>
      </c>
      <c r="B78" s="716"/>
      <c r="C78" s="499">
        <v>300</v>
      </c>
    </row>
    <row r="79" spans="1:4">
      <c r="A79" s="499" t="s">
        <v>1013</v>
      </c>
      <c r="B79" s="716"/>
      <c r="C79" s="499">
        <v>0</v>
      </c>
    </row>
    <row r="80" spans="1:4">
      <c r="A80" s="499" t="s">
        <v>502</v>
      </c>
      <c r="B80" s="716"/>
      <c r="C80" s="499">
        <v>240</v>
      </c>
    </row>
    <row r="81" spans="1:3">
      <c r="A81" s="499" t="s">
        <v>943</v>
      </c>
      <c r="B81" s="716"/>
      <c r="C81" s="499">
        <v>240</v>
      </c>
    </row>
    <row r="82" spans="1:3">
      <c r="A82" s="499" t="s">
        <v>978</v>
      </c>
      <c r="B82" s="716"/>
      <c r="C82" s="499">
        <v>0</v>
      </c>
    </row>
    <row r="83" spans="1:3">
      <c r="A83" s="499" t="s">
        <v>943</v>
      </c>
      <c r="B83" s="716"/>
      <c r="C83" s="499">
        <v>240</v>
      </c>
    </row>
    <row r="84" spans="1:3">
      <c r="A84" s="499" t="s">
        <v>512</v>
      </c>
      <c r="B84" s="716"/>
      <c r="C84" s="499">
        <v>192</v>
      </c>
    </row>
    <row r="85" spans="1:3">
      <c r="A85" s="499" t="s">
        <v>512</v>
      </c>
      <c r="B85" s="716"/>
      <c r="C85" s="499">
        <v>192</v>
      </c>
    </row>
    <row r="86" spans="1:3">
      <c r="A86" s="499" t="s">
        <v>514</v>
      </c>
      <c r="B86" s="716"/>
      <c r="C86" s="499">
        <v>192</v>
      </c>
    </row>
    <row r="87" spans="1:3">
      <c r="A87" s="499" t="s">
        <v>1022</v>
      </c>
      <c r="B87" s="716"/>
      <c r="C87" s="499">
        <v>0</v>
      </c>
    </row>
    <row r="88" spans="1:3">
      <c r="A88" s="499" t="s">
        <v>512</v>
      </c>
      <c r="B88" s="716"/>
      <c r="C88" s="499">
        <v>192</v>
      </c>
    </row>
    <row r="89" spans="1:3">
      <c r="A89" s="499" t="s">
        <v>948</v>
      </c>
      <c r="B89" s="716"/>
      <c r="C89" s="499">
        <v>192</v>
      </c>
    </row>
    <row r="90" spans="1:3">
      <c r="A90" s="499" t="s">
        <v>980</v>
      </c>
      <c r="B90" s="716"/>
      <c r="C90" s="499">
        <v>192</v>
      </c>
    </row>
    <row r="91" spans="1:3">
      <c r="A91" s="499" t="s">
        <v>947</v>
      </c>
      <c r="B91" s="716"/>
      <c r="C91" s="499">
        <v>192</v>
      </c>
    </row>
    <row r="92" spans="1:3">
      <c r="A92" s="499" t="s">
        <v>513</v>
      </c>
      <c r="B92" s="716"/>
      <c r="C92" s="499">
        <v>192</v>
      </c>
    </row>
    <row r="93" spans="1:3">
      <c r="A93" s="499" t="s">
        <v>946</v>
      </c>
      <c r="B93" s="716"/>
      <c r="C93" s="499">
        <v>192</v>
      </c>
    </row>
    <row r="94" spans="1:3">
      <c r="A94" s="499" t="s">
        <v>515</v>
      </c>
      <c r="B94" s="716"/>
      <c r="C94" s="499">
        <v>192</v>
      </c>
    </row>
    <row r="95" spans="1:3">
      <c r="A95" s="499" t="s">
        <v>515</v>
      </c>
      <c r="B95" s="716"/>
      <c r="C95" s="499">
        <v>192</v>
      </c>
    </row>
    <row r="96" spans="1:3">
      <c r="A96" s="499" t="s">
        <v>515</v>
      </c>
      <c r="B96" s="716"/>
      <c r="C96" s="499">
        <v>192</v>
      </c>
    </row>
    <row r="97" spans="1:3">
      <c r="A97" s="499" t="s">
        <v>515</v>
      </c>
      <c r="B97" s="716"/>
      <c r="C97" s="499">
        <v>192</v>
      </c>
    </row>
    <row r="98" spans="1:3">
      <c r="A98" s="499" t="s">
        <v>950</v>
      </c>
      <c r="B98" s="716"/>
      <c r="C98" s="499">
        <v>192</v>
      </c>
    </row>
    <row r="99" spans="1:3">
      <c r="A99" s="499" t="s">
        <v>515</v>
      </c>
      <c r="B99" s="716"/>
      <c r="C99" s="499">
        <v>192</v>
      </c>
    </row>
    <row r="100" spans="1:3">
      <c r="A100" s="499" t="s">
        <v>976</v>
      </c>
      <c r="B100" s="716"/>
      <c r="C100" s="499">
        <v>0</v>
      </c>
    </row>
    <row r="101" spans="1:3">
      <c r="A101" s="499" t="s">
        <v>949</v>
      </c>
      <c r="B101" s="716"/>
      <c r="C101" s="499">
        <v>192</v>
      </c>
    </row>
    <row r="102" spans="1:3">
      <c r="A102" s="499" t="s">
        <v>992</v>
      </c>
      <c r="B102" s="717"/>
      <c r="C102" s="499">
        <v>60</v>
      </c>
    </row>
    <row r="103" spans="1:3">
      <c r="A103" s="499" t="s">
        <v>988</v>
      </c>
      <c r="B103" s="717"/>
      <c r="C103" s="614">
        <v>240</v>
      </c>
    </row>
    <row r="104" spans="1:3">
      <c r="A104" s="499" t="s">
        <v>982</v>
      </c>
      <c r="B104" s="716"/>
      <c r="C104" s="499">
        <v>96</v>
      </c>
    </row>
    <row r="105" spans="1:3">
      <c r="A105" s="499" t="s">
        <v>982</v>
      </c>
      <c r="B105" s="717"/>
      <c r="C105" s="499">
        <v>96</v>
      </c>
    </row>
    <row r="106" spans="1:3">
      <c r="A106" s="499" t="s">
        <v>982</v>
      </c>
      <c r="B106" s="716"/>
      <c r="C106" s="499">
        <v>192</v>
      </c>
    </row>
    <row r="107" spans="1:3">
      <c r="A107" s="499" t="s">
        <v>1061</v>
      </c>
      <c r="B107" s="716"/>
      <c r="C107" s="499">
        <v>348</v>
      </c>
    </row>
    <row r="108" spans="1:3">
      <c r="A108" s="499" t="s">
        <v>982</v>
      </c>
      <c r="B108" s="716"/>
      <c r="C108" s="499">
        <v>96</v>
      </c>
    </row>
    <row r="109" spans="1:3">
      <c r="A109" s="499" t="s">
        <v>1064</v>
      </c>
      <c r="B109" s="716"/>
      <c r="C109" s="499">
        <v>348</v>
      </c>
    </row>
    <row r="110" spans="1:3">
      <c r="A110" s="499" t="s">
        <v>516</v>
      </c>
      <c r="B110" s="716"/>
      <c r="C110" s="499">
        <v>96</v>
      </c>
    </row>
    <row r="111" spans="1:3">
      <c r="A111" s="499" t="s">
        <v>1065</v>
      </c>
      <c r="B111" s="716"/>
      <c r="C111" s="499">
        <v>0</v>
      </c>
    </row>
    <row r="112" spans="1:3">
      <c r="A112" s="499" t="s">
        <v>516</v>
      </c>
      <c r="B112" s="716"/>
      <c r="C112" s="499">
        <v>96</v>
      </c>
    </row>
    <row r="113" spans="1:3">
      <c r="A113" s="499" t="s">
        <v>990</v>
      </c>
      <c r="B113" s="717"/>
      <c r="C113" s="499">
        <v>351</v>
      </c>
    </row>
    <row r="114" spans="1:3">
      <c r="A114" s="499" t="s">
        <v>990</v>
      </c>
      <c r="B114" s="716"/>
      <c r="C114" s="499">
        <v>351</v>
      </c>
    </row>
    <row r="115" spans="1:3">
      <c r="A115" s="499" t="s">
        <v>990</v>
      </c>
      <c r="B115" s="716"/>
      <c r="C115" s="499">
        <v>351</v>
      </c>
    </row>
    <row r="116" spans="1:3">
      <c r="A116" s="499" t="s">
        <v>1024</v>
      </c>
      <c r="B116" s="716"/>
      <c r="C116" s="499">
        <v>0</v>
      </c>
    </row>
    <row r="117" spans="1:3">
      <c r="A117" s="499" t="s">
        <v>990</v>
      </c>
      <c r="B117" s="716"/>
      <c r="C117" s="499">
        <v>351</v>
      </c>
    </row>
    <row r="118" spans="1:3">
      <c r="A118" s="499" t="s">
        <v>1066</v>
      </c>
      <c r="B118" s="716"/>
      <c r="C118" s="499">
        <v>180</v>
      </c>
    </row>
    <row r="119" spans="1:3">
      <c r="A119" s="499" t="s">
        <v>982</v>
      </c>
      <c r="B119" s="716"/>
      <c r="C119" s="499">
        <v>96</v>
      </c>
    </row>
    <row r="120" spans="1:3">
      <c r="A120" s="499" t="s">
        <v>982</v>
      </c>
      <c r="B120" s="716"/>
      <c r="C120" s="499">
        <v>96</v>
      </c>
    </row>
    <row r="121" spans="1:3">
      <c r="A121" s="499" t="s">
        <v>982</v>
      </c>
      <c r="B121" s="716"/>
      <c r="C121" s="499">
        <v>96</v>
      </c>
    </row>
    <row r="122" spans="1:3">
      <c r="A122" s="499" t="s">
        <v>1011</v>
      </c>
      <c r="B122" s="716"/>
      <c r="C122" s="499">
        <v>0</v>
      </c>
    </row>
    <row r="123" spans="1:3">
      <c r="A123" s="499" t="s">
        <v>500</v>
      </c>
      <c r="B123" s="716"/>
      <c r="C123" s="499">
        <v>10</v>
      </c>
    </row>
    <row r="124" spans="1:3">
      <c r="A124" s="499" t="s">
        <v>1053</v>
      </c>
      <c r="B124" s="716"/>
      <c r="C124" s="499">
        <v>0</v>
      </c>
    </row>
    <row r="125" spans="1:3">
      <c r="A125" s="499" t="s">
        <v>975</v>
      </c>
      <c r="B125" s="716"/>
      <c r="C125" s="499">
        <v>0</v>
      </c>
    </row>
    <row r="126" spans="1:3">
      <c r="A126" s="499" t="s">
        <v>975</v>
      </c>
      <c r="B126" s="716"/>
      <c r="C126" s="499">
        <v>0</v>
      </c>
    </row>
    <row r="127" spans="1:3">
      <c r="A127" s="499" t="s">
        <v>1060</v>
      </c>
      <c r="B127" s="716"/>
      <c r="C127" s="499">
        <v>0</v>
      </c>
    </row>
    <row r="128" spans="1:3">
      <c r="A128" s="499" t="s">
        <v>1021</v>
      </c>
      <c r="B128" s="716"/>
      <c r="C128" s="499">
        <v>0</v>
      </c>
    </row>
    <row r="129" spans="1:3">
      <c r="A129" s="499" t="s">
        <v>975</v>
      </c>
      <c r="B129" s="716"/>
      <c r="C129" s="499">
        <v>0</v>
      </c>
    </row>
    <row r="130" spans="1:3">
      <c r="A130" s="499" t="s">
        <v>1051</v>
      </c>
      <c r="B130" s="716"/>
      <c r="C130" s="499">
        <v>0</v>
      </c>
    </row>
    <row r="131" spans="1:3">
      <c r="A131" s="499" t="s">
        <v>499</v>
      </c>
      <c r="B131" s="716"/>
      <c r="C131" s="499">
        <v>40</v>
      </c>
    </row>
    <row r="132" spans="1:3">
      <c r="A132" s="499" t="s">
        <v>1050</v>
      </c>
      <c r="B132" s="716"/>
      <c r="C132" s="499">
        <v>0</v>
      </c>
    </row>
    <row r="133" spans="1:3">
      <c r="A133" s="499" t="s">
        <v>499</v>
      </c>
      <c r="B133" s="716"/>
      <c r="C133" s="499">
        <v>45</v>
      </c>
    </row>
    <row r="134" spans="1:3">
      <c r="A134" s="499" t="s">
        <v>1049</v>
      </c>
      <c r="B134" s="716"/>
      <c r="C134" s="499">
        <v>0</v>
      </c>
    </row>
    <row r="135" spans="1:3">
      <c r="A135" s="499" t="s">
        <v>1049</v>
      </c>
      <c r="B135" s="716"/>
      <c r="C135" s="499">
        <v>0</v>
      </c>
    </row>
    <row r="136" spans="1:3">
      <c r="A136" s="499" t="s">
        <v>1027</v>
      </c>
      <c r="B136" s="716"/>
      <c r="C136" s="499">
        <v>0</v>
      </c>
    </row>
    <row r="137" spans="1:3">
      <c r="A137" s="499" t="s">
        <v>499</v>
      </c>
      <c r="B137" s="716"/>
      <c r="C137" s="499">
        <v>40</v>
      </c>
    </row>
    <row r="138" spans="1:3">
      <c r="A138" s="499" t="s">
        <v>1052</v>
      </c>
      <c r="B138" s="716"/>
      <c r="C138" s="499">
        <v>0</v>
      </c>
    </row>
    <row r="139" spans="1:3">
      <c r="A139" s="499" t="s">
        <v>1049</v>
      </c>
      <c r="B139" s="716"/>
      <c r="C139" s="499">
        <v>40</v>
      </c>
    </row>
    <row r="140" spans="1:3">
      <c r="A140" s="499" t="s">
        <v>1027</v>
      </c>
      <c r="B140" s="716"/>
      <c r="C140" s="499">
        <v>0</v>
      </c>
    </row>
    <row r="141" spans="1:3">
      <c r="A141" s="499" t="s">
        <v>1049</v>
      </c>
      <c r="B141" s="716"/>
      <c r="C141" s="499">
        <v>40</v>
      </c>
    </row>
    <row r="142" spans="1:3">
      <c r="A142" s="499" t="s">
        <v>1019</v>
      </c>
      <c r="B142" s="716"/>
      <c r="C142" s="499">
        <v>0</v>
      </c>
    </row>
    <row r="143" spans="1:3">
      <c r="A143" s="499" t="s">
        <v>977</v>
      </c>
      <c r="B143" s="716"/>
      <c r="C143" s="499">
        <v>0</v>
      </c>
    </row>
    <row r="144" spans="1:3">
      <c r="A144" s="499" t="s">
        <v>1006</v>
      </c>
      <c r="B144" s="716"/>
      <c r="C144" s="499">
        <v>0</v>
      </c>
    </row>
    <row r="145" spans="1:3">
      <c r="A145" s="499" t="s">
        <v>1005</v>
      </c>
      <c r="B145" s="716"/>
      <c r="C145" s="499">
        <v>0</v>
      </c>
    </row>
    <row r="146" spans="1:3">
      <c r="A146" s="499" t="s">
        <v>498</v>
      </c>
      <c r="B146" s="716"/>
      <c r="C146" s="499">
        <v>0</v>
      </c>
    </row>
    <row r="147" spans="1:3">
      <c r="A147" s="499" t="s">
        <v>1004</v>
      </c>
      <c r="B147" s="716"/>
      <c r="C147" s="499">
        <v>0</v>
      </c>
    </row>
    <row r="148" spans="1:3">
      <c r="A148" s="499" t="s">
        <v>1062</v>
      </c>
      <c r="B148" s="716"/>
      <c r="C148" s="499">
        <v>0</v>
      </c>
    </row>
    <row r="149" spans="1:3">
      <c r="A149" s="499" t="s">
        <v>510</v>
      </c>
      <c r="B149" s="716"/>
      <c r="C149" s="499">
        <v>0</v>
      </c>
    </row>
    <row r="150" spans="1:3">
      <c r="A150" s="499" t="s">
        <v>510</v>
      </c>
      <c r="B150" s="716"/>
      <c r="C150" s="499">
        <v>0</v>
      </c>
    </row>
    <row r="151" spans="1:3">
      <c r="A151" s="499" t="s">
        <v>510</v>
      </c>
      <c r="B151" s="716"/>
      <c r="C151" s="499">
        <v>0</v>
      </c>
    </row>
    <row r="152" spans="1:3">
      <c r="A152" s="499" t="s">
        <v>510</v>
      </c>
      <c r="B152" s="716"/>
      <c r="C152" s="499">
        <v>0</v>
      </c>
    </row>
    <row r="153" spans="1:3">
      <c r="A153" s="499" t="s">
        <v>510</v>
      </c>
      <c r="B153" s="716"/>
      <c r="C153" s="615">
        <v>0</v>
      </c>
    </row>
    <row r="154" spans="1:3">
      <c r="C154" s="616">
        <f>SUM(C4:C153)</f>
        <v>16034.027888000001</v>
      </c>
    </row>
  </sheetData>
  <pageMargins left="0.7" right="0.7" top="0.75" bottom="0.75" header="0.3" footer="0.3"/>
  <pageSetup scale="64" orientation="portrait" horizontalDpi="1200" verticalDpi="1200" r:id="rId1"/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zoomScale="80" zoomScaleNormal="80" workbookViewId="0"/>
  </sheetViews>
  <sheetFormatPr defaultRowHeight="13.8"/>
  <cols>
    <col min="1" max="1" width="24.109375" customWidth="1"/>
    <col min="2" max="2" width="18.109375" customWidth="1"/>
    <col min="3" max="3" width="13" bestFit="1" customWidth="1"/>
    <col min="4" max="4" width="13.6640625" bestFit="1" customWidth="1"/>
    <col min="5" max="5" width="17.33203125" customWidth="1"/>
    <col min="6" max="6" width="13" bestFit="1" customWidth="1"/>
    <col min="7" max="7" width="10.44140625" customWidth="1"/>
    <col min="8" max="8" width="18.33203125" customWidth="1"/>
    <col min="9" max="9" width="13.5546875" customWidth="1"/>
    <col min="10" max="10" width="28.44140625" bestFit="1" customWidth="1"/>
    <col min="11" max="11" width="19.33203125" bestFit="1" customWidth="1"/>
  </cols>
  <sheetData>
    <row r="1" spans="1:10" ht="14.4">
      <c r="A1" s="2" t="s">
        <v>431</v>
      </c>
    </row>
    <row r="2" spans="1:10" ht="14.4">
      <c r="A2" s="2" t="s">
        <v>533</v>
      </c>
    </row>
    <row r="3" spans="1:10" ht="14.4">
      <c r="A3" s="2" t="s">
        <v>923</v>
      </c>
    </row>
    <row r="4" spans="1:10" ht="14.4">
      <c r="A4" s="27"/>
    </row>
    <row r="6" spans="1:10">
      <c r="A6" s="104"/>
      <c r="B6" s="104"/>
      <c r="C6" s="104"/>
      <c r="D6" s="104"/>
      <c r="E6" s="104"/>
      <c r="F6" s="104"/>
      <c r="G6" s="104"/>
      <c r="H6" s="104"/>
      <c r="I6" s="104"/>
      <c r="J6" s="104"/>
    </row>
    <row r="7" spans="1:10">
      <c r="A7" s="104"/>
      <c r="B7" s="753" t="s">
        <v>520</v>
      </c>
      <c r="C7" s="754"/>
      <c r="D7" s="755"/>
      <c r="E7" s="104"/>
      <c r="F7" s="104"/>
      <c r="G7" s="104"/>
      <c r="H7" s="104"/>
      <c r="I7" s="104"/>
      <c r="J7" s="104"/>
    </row>
    <row r="8" spans="1:10">
      <c r="A8" s="240" t="s">
        <v>521</v>
      </c>
      <c r="B8" s="240" t="s">
        <v>920</v>
      </c>
      <c r="C8" s="240" t="s">
        <v>921</v>
      </c>
      <c r="D8" s="240" t="s">
        <v>922</v>
      </c>
      <c r="E8" s="104"/>
      <c r="F8" s="104"/>
      <c r="G8" s="104"/>
      <c r="H8" s="104"/>
      <c r="I8" s="104"/>
      <c r="J8" s="104"/>
    </row>
    <row r="9" spans="1:10">
      <c r="A9" s="106" t="s">
        <v>522</v>
      </c>
      <c r="B9" s="324">
        <v>764385.3300000024</v>
      </c>
      <c r="C9" s="324">
        <v>749168.54000000108</v>
      </c>
      <c r="D9" s="324">
        <v>1019456.149999998</v>
      </c>
      <c r="E9" s="104"/>
      <c r="F9" s="104"/>
      <c r="G9" s="104"/>
      <c r="H9" s="104"/>
      <c r="I9" s="104"/>
      <c r="J9" s="104"/>
    </row>
    <row r="10" spans="1:10">
      <c r="A10" s="106" t="s">
        <v>523</v>
      </c>
      <c r="B10" s="324">
        <v>191157.25999999995</v>
      </c>
      <c r="C10" s="324">
        <v>173960.83999999991</v>
      </c>
      <c r="D10" s="324">
        <v>242519.56000000023</v>
      </c>
      <c r="E10" s="104"/>
      <c r="F10" s="104"/>
      <c r="G10" s="104"/>
      <c r="H10" s="104"/>
      <c r="I10" s="104"/>
      <c r="J10" s="104"/>
    </row>
    <row r="11" spans="1:10">
      <c r="A11" s="106" t="s">
        <v>524</v>
      </c>
      <c r="B11" s="324">
        <v>9062.2199999999993</v>
      </c>
      <c r="C11" s="324">
        <v>8597.4199999999983</v>
      </c>
      <c r="D11" s="324">
        <v>10165.57</v>
      </c>
      <c r="E11" s="104"/>
      <c r="F11" s="104"/>
      <c r="G11" s="104"/>
      <c r="H11" s="104"/>
      <c r="I11" s="104"/>
      <c r="J11" s="104"/>
    </row>
    <row r="12" spans="1:10">
      <c r="A12" s="106" t="s">
        <v>969</v>
      </c>
      <c r="B12" s="324"/>
      <c r="C12" s="324">
        <v>7197.41</v>
      </c>
      <c r="D12" s="324"/>
      <c r="E12" s="104"/>
      <c r="F12" s="104"/>
      <c r="G12" s="104"/>
      <c r="H12" s="104"/>
      <c r="I12" s="104"/>
      <c r="J12" s="104"/>
    </row>
    <row r="13" spans="1:10">
      <c r="A13" s="106" t="s">
        <v>525</v>
      </c>
      <c r="B13" s="485">
        <v>-7.91</v>
      </c>
      <c r="C13" s="485">
        <v>4515.13</v>
      </c>
      <c r="D13" s="485">
        <v>2847.17</v>
      </c>
      <c r="E13" s="104"/>
      <c r="F13" s="104"/>
      <c r="G13" s="104"/>
      <c r="H13" s="104"/>
      <c r="I13" s="104"/>
      <c r="J13" s="104"/>
    </row>
    <row r="14" spans="1:10">
      <c r="A14" s="106" t="s">
        <v>526</v>
      </c>
      <c r="B14" s="484"/>
      <c r="C14" s="484">
        <v>1000.32</v>
      </c>
      <c r="D14" s="484">
        <v>217.12</v>
      </c>
      <c r="E14" s="104"/>
      <c r="F14" s="104"/>
      <c r="G14" s="104"/>
      <c r="H14" s="104"/>
      <c r="I14" s="104"/>
      <c r="J14" s="104"/>
    </row>
    <row r="15" spans="1:10">
      <c r="A15" s="486" t="s">
        <v>942</v>
      </c>
      <c r="B15" s="325">
        <f>SUM(B9:B14)</f>
        <v>964596.90000000235</v>
      </c>
      <c r="C15" s="325">
        <f>SUM(C9:C14)</f>
        <v>944439.66000000108</v>
      </c>
      <c r="D15" s="325">
        <f>SUM(D9:D14)</f>
        <v>1275205.5699999984</v>
      </c>
      <c r="E15" s="104"/>
      <c r="F15" s="104"/>
      <c r="G15" s="104"/>
      <c r="H15" s="104"/>
      <c r="I15" s="104"/>
      <c r="J15" s="104"/>
    </row>
    <row r="16" spans="1:10">
      <c r="A16" s="104"/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ht="14.4">
      <c r="A17" s="487"/>
      <c r="B17" s="752" t="s">
        <v>970</v>
      </c>
      <c r="C17" s="752"/>
      <c r="D17" s="487"/>
      <c r="E17" s="752" t="s">
        <v>971</v>
      </c>
      <c r="F17" s="752"/>
      <c r="G17" s="487"/>
      <c r="H17" s="752" t="s">
        <v>972</v>
      </c>
      <c r="I17" s="752"/>
    </row>
    <row r="18" spans="1:10" ht="14.4">
      <c r="A18" s="471" t="s">
        <v>527</v>
      </c>
      <c r="B18" s="471" t="s">
        <v>528</v>
      </c>
      <c r="C18" s="471" t="s">
        <v>529</v>
      </c>
      <c r="D18" s="326"/>
      <c r="E18" s="471" t="s">
        <v>528</v>
      </c>
      <c r="F18" s="471" t="s">
        <v>529</v>
      </c>
      <c r="G18" s="326"/>
      <c r="H18" s="471" t="s">
        <v>528</v>
      </c>
      <c r="I18" s="471" t="s">
        <v>529</v>
      </c>
      <c r="J18" s="104"/>
    </row>
    <row r="19" spans="1:10">
      <c r="A19" s="221">
        <v>1.5</v>
      </c>
      <c r="B19" s="327">
        <v>764385.3300000024</v>
      </c>
      <c r="C19" s="327">
        <v>509590.2200000016</v>
      </c>
      <c r="D19" s="328"/>
      <c r="E19" s="327">
        <v>749168.54000000108</v>
      </c>
      <c r="F19" s="327">
        <v>499445.69333333406</v>
      </c>
      <c r="G19" s="328"/>
      <c r="H19" s="327">
        <v>1019456.149999998</v>
      </c>
      <c r="I19" s="327">
        <v>679637.43333333207</v>
      </c>
      <c r="J19" s="104"/>
    </row>
    <row r="20" spans="1:10">
      <c r="A20" s="221">
        <v>2</v>
      </c>
      <c r="B20" s="329">
        <v>191157.25999999995</v>
      </c>
      <c r="C20" s="329">
        <v>95578.629999999976</v>
      </c>
      <c r="D20" s="330"/>
      <c r="E20" s="329">
        <v>173960.83999999991</v>
      </c>
      <c r="F20" s="329">
        <v>86980.419999999955</v>
      </c>
      <c r="G20" s="330"/>
      <c r="H20" s="329">
        <v>242519.56000000023</v>
      </c>
      <c r="I20" s="329">
        <v>121259.78000000012</v>
      </c>
      <c r="J20" s="104"/>
    </row>
    <row r="21" spans="1:10">
      <c r="A21" s="221">
        <v>2.5</v>
      </c>
      <c r="B21" s="331">
        <v>9062.2199999999993</v>
      </c>
      <c r="C21" s="331">
        <v>3624.8879999999999</v>
      </c>
      <c r="D21" s="330"/>
      <c r="E21" s="331">
        <v>8597.4199999999983</v>
      </c>
      <c r="F21" s="331">
        <v>3438.9679999999994</v>
      </c>
      <c r="G21" s="330"/>
      <c r="H21" s="331">
        <v>10165.57</v>
      </c>
      <c r="I21" s="331">
        <v>4066.2280000000001</v>
      </c>
      <c r="J21" s="104"/>
    </row>
    <row r="22" spans="1:10" ht="14.4">
      <c r="A22" s="12" t="s">
        <v>476</v>
      </c>
      <c r="B22" s="332">
        <f>SUM(B19:B21)</f>
        <v>964604.81000000238</v>
      </c>
      <c r="C22" s="332">
        <f>SUM(C19:C21)</f>
        <v>608793.73800000164</v>
      </c>
      <c r="D22" s="333"/>
      <c r="E22" s="332">
        <f>SUM(E19:E21)</f>
        <v>931726.80000000109</v>
      </c>
      <c r="F22" s="332">
        <f>SUM(F19:F21)</f>
        <v>589865.08133333398</v>
      </c>
      <c r="G22" s="333"/>
      <c r="H22" s="332">
        <f>SUM(H19:H21)</f>
        <v>1272141.2799999984</v>
      </c>
      <c r="I22" s="332">
        <f>SUM(I19:I21)</f>
        <v>804963.44133333222</v>
      </c>
      <c r="J22" s="104"/>
    </row>
    <row r="23" spans="1:10">
      <c r="A23" s="104"/>
      <c r="B23" s="104"/>
      <c r="C23" s="104"/>
      <c r="D23" s="109"/>
      <c r="E23" s="104"/>
      <c r="F23" s="104"/>
      <c r="G23" s="109"/>
      <c r="H23" s="104"/>
      <c r="I23" s="104"/>
      <c r="J23" s="104"/>
    </row>
    <row r="24" spans="1:10" ht="14.4">
      <c r="A24" s="104"/>
      <c r="B24" s="12" t="s">
        <v>530</v>
      </c>
      <c r="C24" s="334">
        <f>B22/C22</f>
        <v>1.5844525818693618</v>
      </c>
      <c r="D24" s="109"/>
      <c r="E24" s="12" t="s">
        <v>530</v>
      </c>
      <c r="F24" s="334">
        <f>E22/F22</f>
        <v>1.5795591729110683</v>
      </c>
      <c r="G24" s="109"/>
      <c r="H24" s="12" t="s">
        <v>530</v>
      </c>
      <c r="I24" s="334">
        <f>H22/I22</f>
        <v>1.5803714984780404</v>
      </c>
      <c r="J24" s="104"/>
    </row>
    <row r="25" spans="1:10" ht="14.4" thickBot="1">
      <c r="A25" s="104"/>
      <c r="B25" s="104" t="s">
        <v>531</v>
      </c>
      <c r="C25" s="104"/>
      <c r="D25" s="109"/>
      <c r="E25" s="104" t="s">
        <v>531</v>
      </c>
      <c r="F25" s="104"/>
      <c r="G25" s="109"/>
      <c r="H25" s="104" t="s">
        <v>531</v>
      </c>
      <c r="I25" s="104"/>
      <c r="J25" s="104"/>
    </row>
    <row r="26" spans="1:10" ht="15" thickBot="1">
      <c r="A26" s="104"/>
      <c r="B26" s="104"/>
      <c r="C26" s="104"/>
      <c r="D26" s="109"/>
      <c r="E26" s="104"/>
      <c r="F26" s="104"/>
      <c r="G26" s="109"/>
      <c r="H26" s="335" t="s">
        <v>532</v>
      </c>
      <c r="I26" s="336">
        <f>AVERAGE(C24,F24,I24)</f>
        <v>1.5814610844194901</v>
      </c>
      <c r="J26" s="104"/>
    </row>
    <row r="29" spans="1:10">
      <c r="E29" s="108"/>
      <c r="F29" s="108"/>
    </row>
  </sheetData>
  <mergeCells count="4">
    <mergeCell ref="B17:C17"/>
    <mergeCell ref="E17:F17"/>
    <mergeCell ref="H17:I17"/>
    <mergeCell ref="B7:D7"/>
  </mergeCells>
  <pageMargins left="0.7" right="0.7" top="0.75" bottom="0.75" header="0.3" footer="0.3"/>
  <pageSetup scale="96" orientation="landscape" horizontalDpi="1200" verticalDpi="1200" r:id="rId1"/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9"/>
  <sheetViews>
    <sheetView zoomScale="80" zoomScaleNormal="80" workbookViewId="0"/>
  </sheetViews>
  <sheetFormatPr defaultColWidth="8.88671875" defaultRowHeight="14.4" outlineLevelCol="1"/>
  <cols>
    <col min="1" max="1" width="8.88671875" style="582"/>
    <col min="2" max="2" width="12.6640625" style="594" bestFit="1" customWidth="1"/>
    <col min="3" max="3" width="8.88671875" style="582"/>
    <col min="4" max="4" width="0" style="582" hidden="1" customWidth="1"/>
    <col min="5" max="6" width="8.88671875" style="582"/>
    <col min="7" max="7" width="24.109375" style="582" hidden="1" customWidth="1"/>
    <col min="8" max="8" width="21.5546875" style="582" customWidth="1"/>
    <col min="9" max="9" width="8.88671875" style="582"/>
    <col min="10" max="10" width="46.6640625" style="582" bestFit="1" customWidth="1"/>
    <col min="11" max="11" width="54" style="582" bestFit="1" customWidth="1"/>
    <col min="12" max="12" width="8.88671875" style="582"/>
    <col min="13" max="24" width="10.33203125" style="582" hidden="1" customWidth="1" outlineLevel="1"/>
    <col min="25" max="25" width="13.44140625" style="582" customWidth="1" collapsed="1"/>
    <col min="26" max="16384" width="8.88671875" style="582"/>
  </cols>
  <sheetData>
    <row r="1" spans="1:27">
      <c r="A1" s="2" t="s">
        <v>484</v>
      </c>
      <c r="L1" s="583"/>
    </row>
    <row r="2" spans="1:27">
      <c r="A2" s="2" t="s">
        <v>1069</v>
      </c>
      <c r="G2" s="584"/>
      <c r="L2" s="583"/>
    </row>
    <row r="3" spans="1:27">
      <c r="A3" s="2" t="s">
        <v>1070</v>
      </c>
      <c r="L3" s="583"/>
    </row>
    <row r="4" spans="1:27">
      <c r="L4" s="583"/>
    </row>
    <row r="5" spans="1:27" ht="15" thickBot="1">
      <c r="B5" s="702" t="s">
        <v>1134</v>
      </c>
      <c r="L5" s="583"/>
    </row>
    <row r="6" spans="1:27" ht="15" thickBot="1">
      <c r="D6" s="583"/>
      <c r="E6" s="585"/>
      <c r="F6" s="585"/>
      <c r="G6" s="445"/>
      <c r="H6" s="445"/>
      <c r="I6" s="585"/>
      <c r="J6" s="586"/>
      <c r="K6" s="586"/>
      <c r="L6" s="587"/>
      <c r="M6" s="588">
        <f>SUM(M8:M161)</f>
        <v>1348.252324</v>
      </c>
      <c r="N6" s="588">
        <f t="shared" ref="N6:X6" si="0">SUM(N8:N161)</f>
        <v>1333.252324</v>
      </c>
      <c r="O6" s="588">
        <f t="shared" si="0"/>
        <v>1328.252324</v>
      </c>
      <c r="P6" s="588">
        <f t="shared" si="0"/>
        <v>1348.252324</v>
      </c>
      <c r="Q6" s="588">
        <f t="shared" si="0"/>
        <v>1328.252324</v>
      </c>
      <c r="R6" s="588">
        <f t="shared" si="0"/>
        <v>1328.252324</v>
      </c>
      <c r="S6" s="588">
        <f t="shared" si="0"/>
        <v>1348.252324</v>
      </c>
      <c r="T6" s="588">
        <f t="shared" si="0"/>
        <v>1333.252324</v>
      </c>
      <c r="U6" s="588">
        <f t="shared" si="0"/>
        <v>1328.252324</v>
      </c>
      <c r="V6" s="588">
        <f t="shared" si="0"/>
        <v>1348.252324</v>
      </c>
      <c r="W6" s="588">
        <f t="shared" si="0"/>
        <v>1328.252324</v>
      </c>
      <c r="X6" s="588">
        <f t="shared" si="0"/>
        <v>1333.252324</v>
      </c>
      <c r="Y6" s="588">
        <f>SUM(M6:X6)</f>
        <v>16034.027888000004</v>
      </c>
    </row>
    <row r="7" spans="1:27" ht="72.599999999999994" thickBot="1">
      <c r="A7" s="589" t="s">
        <v>1071</v>
      </c>
      <c r="B7" s="595" t="s">
        <v>927</v>
      </c>
      <c r="C7" s="590" t="s">
        <v>486</v>
      </c>
      <c r="D7" s="590" t="s">
        <v>928</v>
      </c>
      <c r="E7" s="590" t="s">
        <v>487</v>
      </c>
      <c r="F7" s="589" t="s">
        <v>929</v>
      </c>
      <c r="G7" s="589" t="s">
        <v>488</v>
      </c>
      <c r="H7" s="589" t="s">
        <v>930</v>
      </c>
      <c r="I7" s="589" t="s">
        <v>931</v>
      </c>
      <c r="J7" s="589" t="s">
        <v>489</v>
      </c>
      <c r="K7" s="589" t="s">
        <v>475</v>
      </c>
      <c r="L7" s="589" t="s">
        <v>490</v>
      </c>
      <c r="M7" s="591" t="s">
        <v>1072</v>
      </c>
      <c r="N7" s="591" t="s">
        <v>1073</v>
      </c>
      <c r="O7" s="591" t="s">
        <v>1074</v>
      </c>
      <c r="P7" s="591" t="s">
        <v>1075</v>
      </c>
      <c r="Q7" s="591" t="s">
        <v>1076</v>
      </c>
      <c r="R7" s="591" t="s">
        <v>1077</v>
      </c>
      <c r="S7" s="591" t="s">
        <v>1078</v>
      </c>
      <c r="T7" s="591" t="s">
        <v>1079</v>
      </c>
      <c r="U7" s="591" t="s">
        <v>1080</v>
      </c>
      <c r="V7" s="591" t="s">
        <v>1081</v>
      </c>
      <c r="W7" s="591" t="s">
        <v>1082</v>
      </c>
      <c r="X7" s="591" t="s">
        <v>1083</v>
      </c>
      <c r="Y7" s="589" t="s">
        <v>1084</v>
      </c>
      <c r="Z7" s="592"/>
      <c r="AA7" s="592"/>
    </row>
    <row r="8" spans="1:27">
      <c r="A8" s="582" t="s">
        <v>1085</v>
      </c>
      <c r="B8" s="704"/>
      <c r="C8" s="582" t="s">
        <v>495</v>
      </c>
      <c r="E8" s="582" t="s">
        <v>492</v>
      </c>
      <c r="F8" s="582" t="s">
        <v>493</v>
      </c>
      <c r="G8" s="582" t="s">
        <v>767</v>
      </c>
      <c r="H8" s="582" t="s">
        <v>286</v>
      </c>
      <c r="I8" s="582" t="s">
        <v>285</v>
      </c>
      <c r="J8" s="582" t="s">
        <v>221</v>
      </c>
      <c r="K8" s="582" t="str">
        <f t="shared" ref="K8:K39" si="1">CONCATENATE(I8,".",J8)</f>
        <v>120206.Field Service Rep F320O</v>
      </c>
      <c r="L8" s="583" t="s">
        <v>491</v>
      </c>
      <c r="M8" s="593">
        <v>6.0804824000000002</v>
      </c>
      <c r="N8" s="593">
        <v>6.0804824000000002</v>
      </c>
      <c r="O8" s="593">
        <v>6.0804824000000002</v>
      </c>
      <c r="P8" s="593">
        <v>6.0804824000000002</v>
      </c>
      <c r="Q8" s="593">
        <v>6.0804824000000002</v>
      </c>
      <c r="R8" s="593">
        <v>6.0804824000000002</v>
      </c>
      <c r="S8" s="593">
        <v>6.0804824000000002</v>
      </c>
      <c r="T8" s="593">
        <v>6.0804824000000002</v>
      </c>
      <c r="U8" s="593">
        <v>6.0804824000000002</v>
      </c>
      <c r="V8" s="593">
        <v>6.0804824000000002</v>
      </c>
      <c r="W8" s="593">
        <v>6.0804824000000002</v>
      </c>
      <c r="X8" s="593">
        <v>6.0804824000000002</v>
      </c>
      <c r="Y8" s="593">
        <f>SUM(M8:X8)</f>
        <v>72.965788799999999</v>
      </c>
    </row>
    <row r="9" spans="1:27">
      <c r="A9" s="582" t="s">
        <v>1085</v>
      </c>
      <c r="B9" s="704"/>
      <c r="C9" s="582" t="s">
        <v>495</v>
      </c>
      <c r="E9" s="582" t="s">
        <v>492</v>
      </c>
      <c r="F9" s="582" t="s">
        <v>493</v>
      </c>
      <c r="G9" s="582" t="s">
        <v>767</v>
      </c>
      <c r="H9" s="582" t="s">
        <v>286</v>
      </c>
      <c r="I9" s="582" t="s">
        <v>285</v>
      </c>
      <c r="J9" s="582" t="s">
        <v>221</v>
      </c>
      <c r="K9" s="582" t="str">
        <f t="shared" si="1"/>
        <v>120206.Field Service Rep F320O</v>
      </c>
      <c r="L9" s="583" t="s">
        <v>491</v>
      </c>
      <c r="M9" s="593">
        <v>6.0804824000000002</v>
      </c>
      <c r="N9" s="593">
        <v>6.0804824000000002</v>
      </c>
      <c r="O9" s="593">
        <v>6.0804824000000002</v>
      </c>
      <c r="P9" s="593">
        <v>6.0804824000000002</v>
      </c>
      <c r="Q9" s="593">
        <v>6.0804824000000002</v>
      </c>
      <c r="R9" s="593">
        <v>6.0804824000000002</v>
      </c>
      <c r="S9" s="593">
        <v>6.0804824000000002</v>
      </c>
      <c r="T9" s="593">
        <v>6.0804824000000002</v>
      </c>
      <c r="U9" s="593">
        <v>6.0804824000000002</v>
      </c>
      <c r="V9" s="593">
        <v>6.0804824000000002</v>
      </c>
      <c r="W9" s="593">
        <v>6.0804824000000002</v>
      </c>
      <c r="X9" s="593">
        <v>6.0804824000000002</v>
      </c>
      <c r="Y9" s="593">
        <f>SUM(M9:X9)</f>
        <v>72.965788799999999</v>
      </c>
    </row>
    <row r="10" spans="1:27">
      <c r="A10" s="582" t="s">
        <v>1085</v>
      </c>
      <c r="B10" s="704"/>
      <c r="C10" s="582" t="s">
        <v>495</v>
      </c>
      <c r="E10" s="582" t="s">
        <v>492</v>
      </c>
      <c r="F10" s="582" t="s">
        <v>493</v>
      </c>
      <c r="G10" s="582" t="s">
        <v>767</v>
      </c>
      <c r="H10" s="582" t="s">
        <v>286</v>
      </c>
      <c r="I10" s="582" t="s">
        <v>285</v>
      </c>
      <c r="J10" s="582" t="s">
        <v>221</v>
      </c>
      <c r="K10" s="582" t="str">
        <f t="shared" si="1"/>
        <v>120206.Field Service Rep F320O</v>
      </c>
      <c r="L10" s="583" t="s">
        <v>491</v>
      </c>
      <c r="M10" s="593">
        <v>6.0804824000000002</v>
      </c>
      <c r="N10" s="593">
        <v>6.0804824000000002</v>
      </c>
      <c r="O10" s="593">
        <v>6.0804824000000002</v>
      </c>
      <c r="P10" s="593">
        <v>6.0804824000000002</v>
      </c>
      <c r="Q10" s="593">
        <v>6.0804824000000002</v>
      </c>
      <c r="R10" s="593">
        <v>6.0804824000000002</v>
      </c>
      <c r="S10" s="593">
        <v>6.0804824000000002</v>
      </c>
      <c r="T10" s="593">
        <v>6.0804824000000002</v>
      </c>
      <c r="U10" s="593">
        <v>6.0804824000000002</v>
      </c>
      <c r="V10" s="593">
        <v>6.0804824000000002</v>
      </c>
      <c r="W10" s="593">
        <v>6.0804824000000002</v>
      </c>
      <c r="X10" s="593">
        <v>6.0804824000000002</v>
      </c>
      <c r="Y10" s="593">
        <f t="shared" ref="Y10:Y73" si="2">SUM(M10:X10)</f>
        <v>72.965788799999999</v>
      </c>
    </row>
    <row r="11" spans="1:27">
      <c r="A11" s="582" t="s">
        <v>1085</v>
      </c>
      <c r="B11" s="704"/>
      <c r="C11" s="582" t="s">
        <v>495</v>
      </c>
      <c r="E11" s="582" t="s">
        <v>492</v>
      </c>
      <c r="F11" s="582" t="s">
        <v>493</v>
      </c>
      <c r="G11" s="582" t="s">
        <v>767</v>
      </c>
      <c r="H11" s="582" t="s">
        <v>286</v>
      </c>
      <c r="I11" s="582" t="s">
        <v>285</v>
      </c>
      <c r="J11" s="582" t="s">
        <v>221</v>
      </c>
      <c r="K11" s="582" t="str">
        <f t="shared" si="1"/>
        <v>120206.Field Service Rep F320O</v>
      </c>
      <c r="L11" s="583" t="s">
        <v>491</v>
      </c>
      <c r="M11" s="593">
        <v>6.0804824000000002</v>
      </c>
      <c r="N11" s="593">
        <v>6.0804824000000002</v>
      </c>
      <c r="O11" s="593">
        <v>6.0804824000000002</v>
      </c>
      <c r="P11" s="593">
        <v>6.0804824000000002</v>
      </c>
      <c r="Q11" s="593">
        <v>6.0804824000000002</v>
      </c>
      <c r="R11" s="593">
        <v>6.0804824000000002</v>
      </c>
      <c r="S11" s="593">
        <v>6.0804824000000002</v>
      </c>
      <c r="T11" s="593">
        <v>6.0804824000000002</v>
      </c>
      <c r="U11" s="593">
        <v>6.0804824000000002</v>
      </c>
      <c r="V11" s="593">
        <v>6.0804824000000002</v>
      </c>
      <c r="W11" s="593">
        <v>6.0804824000000002</v>
      </c>
      <c r="X11" s="593">
        <v>6.0804824000000002</v>
      </c>
      <c r="Y11" s="593">
        <f t="shared" si="2"/>
        <v>72.965788799999999</v>
      </c>
    </row>
    <row r="12" spans="1:27">
      <c r="A12" s="582" t="s">
        <v>1085</v>
      </c>
      <c r="B12" s="704"/>
      <c r="C12" s="582" t="s">
        <v>495</v>
      </c>
      <c r="E12" s="582" t="s">
        <v>492</v>
      </c>
      <c r="F12" s="582" t="s">
        <v>493</v>
      </c>
      <c r="G12" s="582" t="s">
        <v>767</v>
      </c>
      <c r="H12" s="582" t="s">
        <v>286</v>
      </c>
      <c r="I12" s="582" t="s">
        <v>285</v>
      </c>
      <c r="J12" s="582" t="s">
        <v>221</v>
      </c>
      <c r="K12" s="582" t="str">
        <f t="shared" si="1"/>
        <v>120206.Field Service Rep F320O</v>
      </c>
      <c r="L12" s="583" t="s">
        <v>491</v>
      </c>
      <c r="M12" s="593">
        <v>31.568982400000003</v>
      </c>
      <c r="N12" s="593">
        <v>31.568982400000003</v>
      </c>
      <c r="O12" s="593">
        <v>31.568982400000003</v>
      </c>
      <c r="P12" s="593">
        <v>31.568982400000003</v>
      </c>
      <c r="Q12" s="593">
        <v>31.568982400000003</v>
      </c>
      <c r="R12" s="593">
        <v>31.568982400000003</v>
      </c>
      <c r="S12" s="593">
        <v>31.568982400000003</v>
      </c>
      <c r="T12" s="593">
        <v>31.568982400000003</v>
      </c>
      <c r="U12" s="593">
        <v>31.568982400000003</v>
      </c>
      <c r="V12" s="593">
        <v>31.568982400000003</v>
      </c>
      <c r="W12" s="593">
        <v>31.568982400000003</v>
      </c>
      <c r="X12" s="593">
        <v>31.568982400000003</v>
      </c>
      <c r="Y12" s="593">
        <f t="shared" si="2"/>
        <v>378.82778880000001</v>
      </c>
    </row>
    <row r="13" spans="1:27">
      <c r="A13" s="582" t="s">
        <v>1085</v>
      </c>
      <c r="B13" s="704"/>
      <c r="C13" s="582" t="s">
        <v>495</v>
      </c>
      <c r="E13" s="582" t="s">
        <v>492</v>
      </c>
      <c r="F13" s="582" t="s">
        <v>493</v>
      </c>
      <c r="G13" s="582" t="s">
        <v>767</v>
      </c>
      <c r="H13" s="582" t="s">
        <v>286</v>
      </c>
      <c r="I13" s="582" t="s">
        <v>285</v>
      </c>
      <c r="J13" s="582" t="s">
        <v>289</v>
      </c>
      <c r="K13" s="582" t="str">
        <f t="shared" si="1"/>
        <v>120206.Meter Technician F320O</v>
      </c>
      <c r="L13" s="583" t="s">
        <v>491</v>
      </c>
      <c r="M13" s="593">
        <v>6.0804824000000002</v>
      </c>
      <c r="N13" s="593">
        <v>6.0804824000000002</v>
      </c>
      <c r="O13" s="593">
        <v>6.0804824000000002</v>
      </c>
      <c r="P13" s="593">
        <v>6.0804824000000002</v>
      </c>
      <c r="Q13" s="593">
        <v>6.0804824000000002</v>
      </c>
      <c r="R13" s="593">
        <v>6.0804824000000002</v>
      </c>
      <c r="S13" s="593">
        <v>6.0804824000000002</v>
      </c>
      <c r="T13" s="593">
        <v>6.0804824000000002</v>
      </c>
      <c r="U13" s="593">
        <v>6.0804824000000002</v>
      </c>
      <c r="V13" s="593">
        <v>6.0804824000000002</v>
      </c>
      <c r="W13" s="593">
        <v>6.0804824000000002</v>
      </c>
      <c r="X13" s="593">
        <v>6.0804824000000002</v>
      </c>
      <c r="Y13" s="593">
        <f t="shared" si="2"/>
        <v>72.965788799999999</v>
      </c>
    </row>
    <row r="14" spans="1:27">
      <c r="A14" s="582" t="s">
        <v>1085</v>
      </c>
      <c r="B14" s="704"/>
      <c r="C14" s="582" t="s">
        <v>491</v>
      </c>
      <c r="E14" s="582" t="s">
        <v>492</v>
      </c>
      <c r="F14" s="582" t="s">
        <v>493</v>
      </c>
      <c r="G14" s="582" t="s">
        <v>770</v>
      </c>
      <c r="H14" s="582" t="s">
        <v>286</v>
      </c>
      <c r="I14" s="582" t="s">
        <v>285</v>
      </c>
      <c r="J14" s="582" t="s">
        <v>14</v>
      </c>
      <c r="K14" s="582" t="str">
        <f t="shared" si="1"/>
        <v>120206.Specialist Operations (N)</v>
      </c>
      <c r="L14" s="583" t="s">
        <v>1086</v>
      </c>
      <c r="M14" s="593">
        <v>14.999999999999998</v>
      </c>
      <c r="N14" s="593">
        <v>14.999999999999998</v>
      </c>
      <c r="O14" s="593">
        <v>14.999999999999998</v>
      </c>
      <c r="P14" s="593">
        <v>14.999999999999998</v>
      </c>
      <c r="Q14" s="593">
        <v>14.999999999999998</v>
      </c>
      <c r="R14" s="593">
        <v>14.999999999999998</v>
      </c>
      <c r="S14" s="593">
        <v>14.999999999999998</v>
      </c>
      <c r="T14" s="593">
        <v>14.999999999999998</v>
      </c>
      <c r="U14" s="593">
        <v>14.999999999999998</v>
      </c>
      <c r="V14" s="593">
        <v>14.999999999999998</v>
      </c>
      <c r="W14" s="593">
        <v>14.999999999999998</v>
      </c>
      <c r="X14" s="593">
        <v>14.999999999999998</v>
      </c>
      <c r="Y14" s="593">
        <f t="shared" si="2"/>
        <v>179.99999999999997</v>
      </c>
    </row>
    <row r="15" spans="1:27">
      <c r="A15" s="582" t="s">
        <v>1085</v>
      </c>
      <c r="B15" s="704"/>
      <c r="C15" s="582" t="s">
        <v>491</v>
      </c>
      <c r="E15" s="582" t="s">
        <v>492</v>
      </c>
      <c r="F15" s="582" t="s">
        <v>493</v>
      </c>
      <c r="G15" s="582" t="s">
        <v>308</v>
      </c>
      <c r="H15" s="582" t="s">
        <v>286</v>
      </c>
      <c r="I15" s="582" t="s">
        <v>285</v>
      </c>
      <c r="J15" s="582" t="s">
        <v>301</v>
      </c>
      <c r="K15" s="582" t="str">
        <f t="shared" si="1"/>
        <v>120206.Clerk Opns (N)</v>
      </c>
      <c r="L15" s="583" t="s">
        <v>1087</v>
      </c>
      <c r="M15" s="593">
        <v>7</v>
      </c>
      <c r="N15" s="593">
        <v>7</v>
      </c>
      <c r="O15" s="593">
        <v>7</v>
      </c>
      <c r="P15" s="593">
        <v>7</v>
      </c>
      <c r="Q15" s="593">
        <v>7</v>
      </c>
      <c r="R15" s="593">
        <v>7</v>
      </c>
      <c r="S15" s="593">
        <v>7</v>
      </c>
      <c r="T15" s="593">
        <v>7</v>
      </c>
      <c r="U15" s="593">
        <v>7</v>
      </c>
      <c r="V15" s="593">
        <v>7</v>
      </c>
      <c r="W15" s="593">
        <v>7</v>
      </c>
      <c r="X15" s="593">
        <v>7</v>
      </c>
      <c r="Y15" s="593">
        <f t="shared" si="2"/>
        <v>84</v>
      </c>
    </row>
    <row r="16" spans="1:27">
      <c r="A16" s="582" t="s">
        <v>1085</v>
      </c>
      <c r="B16" s="704"/>
      <c r="C16" s="582" t="s">
        <v>495</v>
      </c>
      <c r="E16" s="582" t="s">
        <v>492</v>
      </c>
      <c r="F16" s="582" t="s">
        <v>493</v>
      </c>
      <c r="G16" s="582" t="s">
        <v>767</v>
      </c>
      <c r="H16" s="582" t="s">
        <v>286</v>
      </c>
      <c r="I16" s="582" t="s">
        <v>285</v>
      </c>
      <c r="J16" s="582" t="s">
        <v>306</v>
      </c>
      <c r="K16" s="582" t="str">
        <f t="shared" si="1"/>
        <v>120206.Meter Reader F320O</v>
      </c>
      <c r="L16" s="583" t="s">
        <v>491</v>
      </c>
      <c r="M16" s="593">
        <v>7.5</v>
      </c>
      <c r="N16" s="593">
        <v>7.5</v>
      </c>
      <c r="O16" s="593">
        <v>7.5</v>
      </c>
      <c r="P16" s="593">
        <v>7.5</v>
      </c>
      <c r="Q16" s="593">
        <v>7.5</v>
      </c>
      <c r="R16" s="593">
        <v>7.5</v>
      </c>
      <c r="S16" s="593">
        <v>7.5</v>
      </c>
      <c r="T16" s="593">
        <v>7.5</v>
      </c>
      <c r="U16" s="593">
        <v>7.5</v>
      </c>
      <c r="V16" s="593">
        <v>7.5</v>
      </c>
      <c r="W16" s="593">
        <v>7.5</v>
      </c>
      <c r="X16" s="593">
        <v>7.5</v>
      </c>
      <c r="Y16" s="593">
        <f t="shared" si="2"/>
        <v>90</v>
      </c>
    </row>
    <row r="17" spans="1:25">
      <c r="A17" s="582" t="s">
        <v>1085</v>
      </c>
      <c r="B17" s="704"/>
      <c r="C17" s="582" t="s">
        <v>491</v>
      </c>
      <c r="E17" s="582" t="s">
        <v>168</v>
      </c>
      <c r="F17" s="582" t="s">
        <v>494</v>
      </c>
      <c r="G17" s="582" t="s">
        <v>767</v>
      </c>
      <c r="H17" s="582" t="s">
        <v>286</v>
      </c>
      <c r="I17" s="582" t="s">
        <v>285</v>
      </c>
      <c r="J17" s="582" t="s">
        <v>1088</v>
      </c>
      <c r="K17" s="582" t="str">
        <f t="shared" si="1"/>
        <v>120206.Supt Opns I</v>
      </c>
      <c r="L17" s="583" t="s">
        <v>1089</v>
      </c>
      <c r="M17" s="593">
        <v>0</v>
      </c>
      <c r="N17" s="593">
        <v>0</v>
      </c>
      <c r="O17" s="593">
        <v>0</v>
      </c>
      <c r="P17" s="593">
        <v>0</v>
      </c>
      <c r="Q17" s="593">
        <v>0</v>
      </c>
      <c r="R17" s="593">
        <v>0</v>
      </c>
      <c r="S17" s="593">
        <v>0</v>
      </c>
      <c r="T17" s="593">
        <v>0</v>
      </c>
      <c r="U17" s="593">
        <v>0</v>
      </c>
      <c r="V17" s="593">
        <v>0</v>
      </c>
      <c r="W17" s="593">
        <v>0</v>
      </c>
      <c r="X17" s="593">
        <v>0</v>
      </c>
      <c r="Y17" s="593">
        <f t="shared" si="2"/>
        <v>0</v>
      </c>
    </row>
    <row r="18" spans="1:25">
      <c r="A18" s="582" t="s">
        <v>1085</v>
      </c>
      <c r="B18" s="704"/>
      <c r="C18" s="582" t="s">
        <v>495</v>
      </c>
      <c r="E18" s="582" t="s">
        <v>492</v>
      </c>
      <c r="F18" s="582" t="s">
        <v>493</v>
      </c>
      <c r="G18" s="582" t="s">
        <v>767</v>
      </c>
      <c r="H18" s="582" t="s">
        <v>286</v>
      </c>
      <c r="I18" s="582" t="s">
        <v>285</v>
      </c>
      <c r="J18" s="582" t="s">
        <v>221</v>
      </c>
      <c r="K18" s="582" t="str">
        <f t="shared" si="1"/>
        <v>120206.Field Service Rep F320O</v>
      </c>
      <c r="L18" s="583" t="s">
        <v>491</v>
      </c>
      <c r="M18" s="593">
        <v>31.568982400000003</v>
      </c>
      <c r="N18" s="593">
        <v>31.568982400000003</v>
      </c>
      <c r="O18" s="593">
        <v>31.568982400000003</v>
      </c>
      <c r="P18" s="593">
        <v>31.568982400000003</v>
      </c>
      <c r="Q18" s="593">
        <v>31.568982400000003</v>
      </c>
      <c r="R18" s="593">
        <v>31.568982400000003</v>
      </c>
      <c r="S18" s="593">
        <v>31.568982400000003</v>
      </c>
      <c r="T18" s="593">
        <v>31.568982400000003</v>
      </c>
      <c r="U18" s="593">
        <v>31.568982400000003</v>
      </c>
      <c r="V18" s="593">
        <v>31.568982400000003</v>
      </c>
      <c r="W18" s="593">
        <v>31.568982400000003</v>
      </c>
      <c r="X18" s="593">
        <v>31.568982400000003</v>
      </c>
      <c r="Y18" s="593">
        <f t="shared" si="2"/>
        <v>378.82778880000001</v>
      </c>
    </row>
    <row r="19" spans="1:25">
      <c r="A19" s="582" t="s">
        <v>1085</v>
      </c>
      <c r="B19" s="704"/>
      <c r="C19" s="582" t="s">
        <v>495</v>
      </c>
      <c r="E19" s="582" t="s">
        <v>492</v>
      </c>
      <c r="F19" s="582" t="s">
        <v>493</v>
      </c>
      <c r="G19" s="582" t="s">
        <v>767</v>
      </c>
      <c r="H19" s="582" t="s">
        <v>286</v>
      </c>
      <c r="I19" s="582" t="s">
        <v>285</v>
      </c>
      <c r="J19" s="582" t="s">
        <v>221</v>
      </c>
      <c r="K19" s="582" t="str">
        <f t="shared" si="1"/>
        <v>120206.Field Service Rep F320O</v>
      </c>
      <c r="L19" s="583" t="s">
        <v>491</v>
      </c>
      <c r="M19" s="593">
        <v>23.550982400000002</v>
      </c>
      <c r="N19" s="593">
        <v>23.550982400000002</v>
      </c>
      <c r="O19" s="593">
        <v>23.550982400000002</v>
      </c>
      <c r="P19" s="593">
        <v>23.550982400000002</v>
      </c>
      <c r="Q19" s="593">
        <v>23.550982400000002</v>
      </c>
      <c r="R19" s="593">
        <v>23.550982400000002</v>
      </c>
      <c r="S19" s="593">
        <v>23.550982400000002</v>
      </c>
      <c r="T19" s="593">
        <v>23.550982400000002</v>
      </c>
      <c r="U19" s="593">
        <v>23.550982400000002</v>
      </c>
      <c r="V19" s="593">
        <v>23.550982400000002</v>
      </c>
      <c r="W19" s="593">
        <v>23.550982400000002</v>
      </c>
      <c r="X19" s="593">
        <v>23.550982400000002</v>
      </c>
      <c r="Y19" s="593">
        <f t="shared" si="2"/>
        <v>282.61178880000006</v>
      </c>
    </row>
    <row r="20" spans="1:25">
      <c r="A20" s="582" t="s">
        <v>1085</v>
      </c>
      <c r="B20" s="704"/>
      <c r="C20" s="582" t="s">
        <v>491</v>
      </c>
      <c r="E20" s="582" t="s">
        <v>492</v>
      </c>
      <c r="F20" s="582" t="s">
        <v>493</v>
      </c>
      <c r="G20" s="582" t="s">
        <v>785</v>
      </c>
      <c r="H20" s="582" t="s">
        <v>286</v>
      </c>
      <c r="I20" s="582" t="s">
        <v>285</v>
      </c>
      <c r="J20" s="582" t="s">
        <v>14</v>
      </c>
      <c r="K20" s="582" t="str">
        <f t="shared" si="1"/>
        <v>120206.Specialist Operations (N)</v>
      </c>
      <c r="L20" s="583" t="s">
        <v>1086</v>
      </c>
      <c r="M20" s="593">
        <v>2</v>
      </c>
      <c r="N20" s="593">
        <v>2</v>
      </c>
      <c r="O20" s="593">
        <v>2</v>
      </c>
      <c r="P20" s="593">
        <v>2</v>
      </c>
      <c r="Q20" s="593">
        <v>2</v>
      </c>
      <c r="R20" s="593">
        <v>2</v>
      </c>
      <c r="S20" s="593">
        <v>2</v>
      </c>
      <c r="T20" s="593">
        <v>2</v>
      </c>
      <c r="U20" s="593">
        <v>2</v>
      </c>
      <c r="V20" s="593">
        <v>2</v>
      </c>
      <c r="W20" s="593">
        <v>2</v>
      </c>
      <c r="X20" s="593">
        <v>2</v>
      </c>
      <c r="Y20" s="593">
        <f t="shared" si="2"/>
        <v>24</v>
      </c>
    </row>
    <row r="21" spans="1:25">
      <c r="A21" s="582" t="s">
        <v>1085</v>
      </c>
      <c r="B21" s="704"/>
      <c r="C21" s="582" t="s">
        <v>495</v>
      </c>
      <c r="E21" s="582" t="s">
        <v>492</v>
      </c>
      <c r="F21" s="582" t="s">
        <v>493</v>
      </c>
      <c r="G21" s="582" t="s">
        <v>767</v>
      </c>
      <c r="H21" s="582" t="s">
        <v>286</v>
      </c>
      <c r="I21" s="582" t="s">
        <v>285</v>
      </c>
      <c r="J21" s="582" t="s">
        <v>221</v>
      </c>
      <c r="K21" s="582" t="str">
        <f t="shared" si="1"/>
        <v>120206.Field Service Rep F320O</v>
      </c>
      <c r="L21" s="583" t="s">
        <v>491</v>
      </c>
      <c r="M21" s="593">
        <v>7.5</v>
      </c>
      <c r="N21" s="593">
        <v>7.5</v>
      </c>
      <c r="O21" s="593">
        <v>7.5</v>
      </c>
      <c r="P21" s="593">
        <v>7.5</v>
      </c>
      <c r="Q21" s="593">
        <v>7.5</v>
      </c>
      <c r="R21" s="593">
        <v>7.5</v>
      </c>
      <c r="S21" s="593">
        <v>7.5</v>
      </c>
      <c r="T21" s="593">
        <v>7.5</v>
      </c>
      <c r="U21" s="593">
        <v>7.5</v>
      </c>
      <c r="V21" s="593">
        <v>7.5</v>
      </c>
      <c r="W21" s="593">
        <v>7.5</v>
      </c>
      <c r="X21" s="593">
        <v>7.5</v>
      </c>
      <c r="Y21" s="593">
        <f t="shared" si="2"/>
        <v>90</v>
      </c>
    </row>
    <row r="22" spans="1:25">
      <c r="A22" s="582" t="s">
        <v>1085</v>
      </c>
      <c r="B22" s="704"/>
      <c r="C22" s="582" t="s">
        <v>495</v>
      </c>
      <c r="E22" s="582" t="s">
        <v>492</v>
      </c>
      <c r="F22" s="582" t="s">
        <v>493</v>
      </c>
      <c r="G22" s="582" t="s">
        <v>767</v>
      </c>
      <c r="H22" s="582" t="s">
        <v>286</v>
      </c>
      <c r="I22" s="582" t="s">
        <v>285</v>
      </c>
      <c r="J22" s="582" t="s">
        <v>221</v>
      </c>
      <c r="K22" s="582" t="str">
        <f t="shared" si="1"/>
        <v>120206.Field Service Rep F320O</v>
      </c>
      <c r="L22" s="583" t="s">
        <v>491</v>
      </c>
      <c r="M22" s="593">
        <v>6.0804824000000002</v>
      </c>
      <c r="N22" s="593">
        <v>6.0804824000000002</v>
      </c>
      <c r="O22" s="593">
        <v>6.0804824000000002</v>
      </c>
      <c r="P22" s="593">
        <v>6.0804824000000002</v>
      </c>
      <c r="Q22" s="593">
        <v>6.0804824000000002</v>
      </c>
      <c r="R22" s="593">
        <v>6.0804824000000002</v>
      </c>
      <c r="S22" s="593">
        <v>6.0804824000000002</v>
      </c>
      <c r="T22" s="593">
        <v>6.0804824000000002</v>
      </c>
      <c r="U22" s="593">
        <v>6.0804824000000002</v>
      </c>
      <c r="V22" s="593">
        <v>6.0804824000000002</v>
      </c>
      <c r="W22" s="593">
        <v>6.0804824000000002</v>
      </c>
      <c r="X22" s="593">
        <v>6.0804824000000002</v>
      </c>
      <c r="Y22" s="593">
        <f t="shared" si="2"/>
        <v>72.965788799999999</v>
      </c>
    </row>
    <row r="23" spans="1:25">
      <c r="A23" s="582" t="s">
        <v>1085</v>
      </c>
      <c r="B23" s="704"/>
      <c r="C23" s="582" t="s">
        <v>495</v>
      </c>
      <c r="E23" s="582" t="s">
        <v>492</v>
      </c>
      <c r="F23" s="582" t="s">
        <v>493</v>
      </c>
      <c r="G23" s="582" t="s">
        <v>767</v>
      </c>
      <c r="H23" s="582" t="s">
        <v>286</v>
      </c>
      <c r="I23" s="582" t="s">
        <v>285</v>
      </c>
      <c r="J23" s="582" t="s">
        <v>221</v>
      </c>
      <c r="K23" s="582" t="str">
        <f t="shared" si="1"/>
        <v>120206.Field Service Rep F320O</v>
      </c>
      <c r="L23" s="583" t="s">
        <v>491</v>
      </c>
      <c r="M23" s="593">
        <v>6.0804824000000002</v>
      </c>
      <c r="N23" s="593">
        <v>6.0804824000000002</v>
      </c>
      <c r="O23" s="593">
        <v>6.0804824000000002</v>
      </c>
      <c r="P23" s="593">
        <v>6.0804824000000002</v>
      </c>
      <c r="Q23" s="593">
        <v>6.0804824000000002</v>
      </c>
      <c r="R23" s="593">
        <v>6.0804824000000002</v>
      </c>
      <c r="S23" s="593">
        <v>6.0804824000000002</v>
      </c>
      <c r="T23" s="593">
        <v>6.0804824000000002</v>
      </c>
      <c r="U23" s="593">
        <v>6.0804824000000002</v>
      </c>
      <c r="V23" s="593">
        <v>6.0804824000000002</v>
      </c>
      <c r="W23" s="593">
        <v>6.0804824000000002</v>
      </c>
      <c r="X23" s="593">
        <v>6.0804824000000002</v>
      </c>
      <c r="Y23" s="593">
        <f t="shared" si="2"/>
        <v>72.965788799999999</v>
      </c>
    </row>
    <row r="24" spans="1:25">
      <c r="A24" s="582" t="s">
        <v>1085</v>
      </c>
      <c r="B24" s="704"/>
      <c r="C24" s="582" t="s">
        <v>491</v>
      </c>
      <c r="E24" s="582" t="s">
        <v>168</v>
      </c>
      <c r="F24" s="582" t="s">
        <v>494</v>
      </c>
      <c r="G24" s="582" t="s">
        <v>308</v>
      </c>
      <c r="H24" s="582" t="s">
        <v>286</v>
      </c>
      <c r="I24" s="582" t="s">
        <v>285</v>
      </c>
      <c r="J24" s="582" t="s">
        <v>1090</v>
      </c>
      <c r="K24" s="582" t="str">
        <f t="shared" si="1"/>
        <v>120206.Sr Mgr Field Svcs Production</v>
      </c>
      <c r="L24" s="583" t="s">
        <v>1091</v>
      </c>
      <c r="M24" s="593">
        <v>0</v>
      </c>
      <c r="N24" s="593">
        <v>0</v>
      </c>
      <c r="O24" s="593">
        <v>0</v>
      </c>
      <c r="P24" s="593">
        <v>0</v>
      </c>
      <c r="Q24" s="593">
        <v>0</v>
      </c>
      <c r="R24" s="593">
        <v>0</v>
      </c>
      <c r="S24" s="593">
        <v>0</v>
      </c>
      <c r="T24" s="593">
        <v>0</v>
      </c>
      <c r="U24" s="593">
        <v>0</v>
      </c>
      <c r="V24" s="593">
        <v>0</v>
      </c>
      <c r="W24" s="593">
        <v>0</v>
      </c>
      <c r="X24" s="593">
        <v>0</v>
      </c>
      <c r="Y24" s="593">
        <f t="shared" si="2"/>
        <v>0</v>
      </c>
    </row>
    <row r="25" spans="1:25">
      <c r="A25" s="582" t="s">
        <v>1085</v>
      </c>
      <c r="B25" s="704"/>
      <c r="C25" s="582" t="s">
        <v>495</v>
      </c>
      <c r="E25" s="582" t="s">
        <v>492</v>
      </c>
      <c r="F25" s="582" t="s">
        <v>493</v>
      </c>
      <c r="G25" s="582" t="s">
        <v>767</v>
      </c>
      <c r="H25" s="582" t="s">
        <v>286</v>
      </c>
      <c r="I25" s="582" t="s">
        <v>285</v>
      </c>
      <c r="J25" s="582" t="s">
        <v>221</v>
      </c>
      <c r="K25" s="582" t="str">
        <f t="shared" si="1"/>
        <v>120206.Field Service Rep F320O</v>
      </c>
      <c r="L25" s="583" t="s">
        <v>491</v>
      </c>
      <c r="M25" s="593">
        <v>14.999999999999996</v>
      </c>
      <c r="N25" s="593">
        <v>14.999999999999996</v>
      </c>
      <c r="O25" s="593">
        <v>14.999999999999996</v>
      </c>
      <c r="P25" s="593">
        <v>14.999999999999996</v>
      </c>
      <c r="Q25" s="593">
        <v>14.999999999999996</v>
      </c>
      <c r="R25" s="593">
        <v>14.999999999999996</v>
      </c>
      <c r="S25" s="593">
        <v>14.999999999999996</v>
      </c>
      <c r="T25" s="593">
        <v>14.999999999999996</v>
      </c>
      <c r="U25" s="593">
        <v>14.999999999999996</v>
      </c>
      <c r="V25" s="593">
        <v>14.999999999999996</v>
      </c>
      <c r="W25" s="593">
        <v>14.999999999999996</v>
      </c>
      <c r="X25" s="593">
        <v>14.999999999999996</v>
      </c>
      <c r="Y25" s="593">
        <f t="shared" si="2"/>
        <v>179.99999999999997</v>
      </c>
    </row>
    <row r="26" spans="1:25">
      <c r="A26" s="582" t="s">
        <v>1085</v>
      </c>
      <c r="B26" s="704"/>
      <c r="C26" s="582" t="s">
        <v>495</v>
      </c>
      <c r="E26" s="582" t="s">
        <v>492</v>
      </c>
      <c r="F26" s="582" t="s">
        <v>493</v>
      </c>
      <c r="G26" s="582" t="s">
        <v>767</v>
      </c>
      <c r="H26" s="582" t="s">
        <v>286</v>
      </c>
      <c r="I26" s="582" t="s">
        <v>285</v>
      </c>
      <c r="J26" s="582" t="s">
        <v>306</v>
      </c>
      <c r="K26" s="582" t="str">
        <f t="shared" si="1"/>
        <v>120206.Meter Reader F320O</v>
      </c>
      <c r="L26" s="583" t="s">
        <v>491</v>
      </c>
      <c r="M26" s="593">
        <v>7.5</v>
      </c>
      <c r="N26" s="593">
        <v>7.5</v>
      </c>
      <c r="O26" s="593">
        <v>7.5</v>
      </c>
      <c r="P26" s="593">
        <v>7.5</v>
      </c>
      <c r="Q26" s="593">
        <v>7.5</v>
      </c>
      <c r="R26" s="593">
        <v>7.5</v>
      </c>
      <c r="S26" s="593">
        <v>7.5</v>
      </c>
      <c r="T26" s="593">
        <v>7.5</v>
      </c>
      <c r="U26" s="593">
        <v>7.5</v>
      </c>
      <c r="V26" s="593">
        <v>7.5</v>
      </c>
      <c r="W26" s="593">
        <v>7.5</v>
      </c>
      <c r="X26" s="593">
        <v>7.5</v>
      </c>
      <c r="Y26" s="593">
        <f t="shared" si="2"/>
        <v>90</v>
      </c>
    </row>
    <row r="27" spans="1:25">
      <c r="A27" s="582" t="s">
        <v>1085</v>
      </c>
      <c r="B27" s="704"/>
      <c r="C27" s="582" t="s">
        <v>495</v>
      </c>
      <c r="E27" s="582" t="s">
        <v>492</v>
      </c>
      <c r="F27" s="582" t="s">
        <v>493</v>
      </c>
      <c r="G27" s="582" t="s">
        <v>767</v>
      </c>
      <c r="H27" s="582" t="s">
        <v>286</v>
      </c>
      <c r="I27" s="582" t="s">
        <v>285</v>
      </c>
      <c r="J27" s="582" t="s">
        <v>221</v>
      </c>
      <c r="K27" s="582" t="str">
        <f t="shared" si="1"/>
        <v>120206.Field Service Rep F320O</v>
      </c>
      <c r="L27" s="583" t="s">
        <v>491</v>
      </c>
      <c r="M27" s="593">
        <v>7.5</v>
      </c>
      <c r="N27" s="593">
        <v>7.5</v>
      </c>
      <c r="O27" s="593">
        <v>7.5</v>
      </c>
      <c r="P27" s="593">
        <v>7.5</v>
      </c>
      <c r="Q27" s="593">
        <v>7.5</v>
      </c>
      <c r="R27" s="593">
        <v>7.5</v>
      </c>
      <c r="S27" s="593">
        <v>7.5</v>
      </c>
      <c r="T27" s="593">
        <v>7.5</v>
      </c>
      <c r="U27" s="593">
        <v>7.5</v>
      </c>
      <c r="V27" s="593">
        <v>7.5</v>
      </c>
      <c r="W27" s="593">
        <v>7.5</v>
      </c>
      <c r="X27" s="593">
        <v>7.5</v>
      </c>
      <c r="Y27" s="593">
        <f t="shared" si="2"/>
        <v>90</v>
      </c>
    </row>
    <row r="28" spans="1:25">
      <c r="A28" s="582" t="s">
        <v>1085</v>
      </c>
      <c r="B28" s="704"/>
      <c r="C28" s="582" t="s">
        <v>495</v>
      </c>
      <c r="E28" s="582" t="s">
        <v>492</v>
      </c>
      <c r="F28" s="582" t="s">
        <v>493</v>
      </c>
      <c r="G28" s="582" t="s">
        <v>767</v>
      </c>
      <c r="H28" s="582" t="s">
        <v>286</v>
      </c>
      <c r="I28" s="582" t="s">
        <v>285</v>
      </c>
      <c r="J28" s="582" t="s">
        <v>306</v>
      </c>
      <c r="K28" s="582" t="str">
        <f t="shared" si="1"/>
        <v>120206.Meter Reader F320O</v>
      </c>
      <c r="L28" s="583" t="s">
        <v>491</v>
      </c>
      <c r="M28" s="593">
        <v>20</v>
      </c>
      <c r="N28" s="593">
        <v>20</v>
      </c>
      <c r="O28" s="593">
        <v>20</v>
      </c>
      <c r="P28" s="593">
        <v>20</v>
      </c>
      <c r="Q28" s="593">
        <v>20</v>
      </c>
      <c r="R28" s="593">
        <v>20</v>
      </c>
      <c r="S28" s="593">
        <v>20</v>
      </c>
      <c r="T28" s="593">
        <v>20</v>
      </c>
      <c r="U28" s="593">
        <v>20</v>
      </c>
      <c r="V28" s="593">
        <v>20</v>
      </c>
      <c r="W28" s="593">
        <v>20</v>
      </c>
      <c r="X28" s="593">
        <v>20</v>
      </c>
      <c r="Y28" s="593">
        <f t="shared" si="2"/>
        <v>240</v>
      </c>
    </row>
    <row r="29" spans="1:25">
      <c r="A29" s="582" t="s">
        <v>1085</v>
      </c>
      <c r="B29" s="704"/>
      <c r="C29" s="582" t="s">
        <v>495</v>
      </c>
      <c r="E29" s="582" t="s">
        <v>492</v>
      </c>
      <c r="F29" s="582" t="s">
        <v>493</v>
      </c>
      <c r="G29" s="582" t="s">
        <v>785</v>
      </c>
      <c r="H29" s="582" t="s">
        <v>286</v>
      </c>
      <c r="I29" s="582" t="s">
        <v>285</v>
      </c>
      <c r="J29" s="582" t="s">
        <v>368</v>
      </c>
      <c r="K29" s="582" t="str">
        <f t="shared" si="1"/>
        <v>120206.Backhoe Operator F320O</v>
      </c>
      <c r="L29" s="583" t="s">
        <v>491</v>
      </c>
      <c r="M29" s="593">
        <v>22</v>
      </c>
      <c r="N29" s="593">
        <v>22</v>
      </c>
      <c r="O29" s="593">
        <v>22</v>
      </c>
      <c r="P29" s="593">
        <v>22</v>
      </c>
      <c r="Q29" s="593">
        <v>22</v>
      </c>
      <c r="R29" s="593">
        <v>22</v>
      </c>
      <c r="S29" s="593">
        <v>22</v>
      </c>
      <c r="T29" s="593">
        <v>22</v>
      </c>
      <c r="U29" s="593">
        <v>22</v>
      </c>
      <c r="V29" s="593">
        <v>22</v>
      </c>
      <c r="W29" s="593">
        <v>22</v>
      </c>
      <c r="X29" s="593">
        <v>22</v>
      </c>
      <c r="Y29" s="593">
        <f t="shared" si="2"/>
        <v>264</v>
      </c>
    </row>
    <row r="30" spans="1:25">
      <c r="A30" s="582" t="s">
        <v>1085</v>
      </c>
      <c r="B30" s="704"/>
      <c r="C30" s="582" t="s">
        <v>495</v>
      </c>
      <c r="E30" s="582" t="s">
        <v>492</v>
      </c>
      <c r="F30" s="582" t="s">
        <v>493</v>
      </c>
      <c r="G30" s="582" t="s">
        <v>767</v>
      </c>
      <c r="H30" s="582" t="s">
        <v>286</v>
      </c>
      <c r="I30" s="582" t="s">
        <v>285</v>
      </c>
      <c r="J30" s="582" t="s">
        <v>221</v>
      </c>
      <c r="K30" s="582" t="str">
        <f t="shared" si="1"/>
        <v>120206.Field Service Rep F320O</v>
      </c>
      <c r="L30" s="583" t="s">
        <v>491</v>
      </c>
      <c r="M30" s="593">
        <v>20</v>
      </c>
      <c r="N30" s="593">
        <v>20</v>
      </c>
      <c r="O30" s="593">
        <v>20</v>
      </c>
      <c r="P30" s="593">
        <v>20</v>
      </c>
      <c r="Q30" s="593">
        <v>20</v>
      </c>
      <c r="R30" s="593">
        <v>20</v>
      </c>
      <c r="S30" s="593">
        <v>20</v>
      </c>
      <c r="T30" s="593">
        <v>20</v>
      </c>
      <c r="U30" s="593">
        <v>20</v>
      </c>
      <c r="V30" s="593">
        <v>20</v>
      </c>
      <c r="W30" s="593">
        <v>20</v>
      </c>
      <c r="X30" s="593">
        <v>20</v>
      </c>
      <c r="Y30" s="593">
        <f t="shared" si="2"/>
        <v>240</v>
      </c>
    </row>
    <row r="31" spans="1:25">
      <c r="A31" s="582" t="s">
        <v>1085</v>
      </c>
      <c r="B31" s="704"/>
      <c r="C31" s="582" t="s">
        <v>495</v>
      </c>
      <c r="E31" s="582" t="s">
        <v>492</v>
      </c>
      <c r="F31" s="582" t="s">
        <v>493</v>
      </c>
      <c r="G31" s="582" t="s">
        <v>767</v>
      </c>
      <c r="H31" s="582" t="s">
        <v>286</v>
      </c>
      <c r="I31" s="582" t="s">
        <v>285</v>
      </c>
      <c r="J31" s="582" t="s">
        <v>306</v>
      </c>
      <c r="K31" s="582" t="str">
        <f t="shared" si="1"/>
        <v>120206.Meter Reader F320O</v>
      </c>
      <c r="L31" s="583" t="s">
        <v>491</v>
      </c>
      <c r="M31" s="593">
        <v>20</v>
      </c>
      <c r="N31" s="593">
        <v>20</v>
      </c>
      <c r="O31" s="593">
        <v>20</v>
      </c>
      <c r="P31" s="593">
        <v>20</v>
      </c>
      <c r="Q31" s="593">
        <v>20</v>
      </c>
      <c r="R31" s="593">
        <v>20</v>
      </c>
      <c r="S31" s="593">
        <v>20</v>
      </c>
      <c r="T31" s="593">
        <v>20</v>
      </c>
      <c r="U31" s="593">
        <v>20</v>
      </c>
      <c r="V31" s="593">
        <v>20</v>
      </c>
      <c r="W31" s="593">
        <v>20</v>
      </c>
      <c r="X31" s="593">
        <v>20</v>
      </c>
      <c r="Y31" s="593">
        <f t="shared" si="2"/>
        <v>240</v>
      </c>
    </row>
    <row r="32" spans="1:25">
      <c r="A32" s="582" t="s">
        <v>1085</v>
      </c>
      <c r="B32" s="704"/>
      <c r="C32" s="582" t="s">
        <v>495</v>
      </c>
      <c r="E32" s="582" t="s">
        <v>492</v>
      </c>
      <c r="F32" s="582" t="s">
        <v>493</v>
      </c>
      <c r="G32" s="582" t="s">
        <v>785</v>
      </c>
      <c r="H32" s="582" t="s">
        <v>286</v>
      </c>
      <c r="I32" s="582" t="s">
        <v>285</v>
      </c>
      <c r="J32" s="582" t="s">
        <v>341</v>
      </c>
      <c r="K32" s="582" t="str">
        <f t="shared" si="1"/>
        <v>120206.Crew Leader F320O &amp; U335P</v>
      </c>
      <c r="L32" s="583" t="s">
        <v>491</v>
      </c>
      <c r="M32" s="593">
        <v>0</v>
      </c>
      <c r="N32" s="593">
        <v>0</v>
      </c>
      <c r="O32" s="593">
        <v>0</v>
      </c>
      <c r="P32" s="593">
        <v>0</v>
      </c>
      <c r="Q32" s="593">
        <v>0</v>
      </c>
      <c r="R32" s="593">
        <v>0</v>
      </c>
      <c r="S32" s="593">
        <v>0</v>
      </c>
      <c r="T32" s="593">
        <v>0</v>
      </c>
      <c r="U32" s="593">
        <v>0</v>
      </c>
      <c r="V32" s="593">
        <v>0</v>
      </c>
      <c r="W32" s="593">
        <v>0</v>
      </c>
      <c r="X32" s="593">
        <v>0</v>
      </c>
      <c r="Y32" s="593">
        <f t="shared" si="2"/>
        <v>0</v>
      </c>
    </row>
    <row r="33" spans="1:25">
      <c r="A33" s="582" t="s">
        <v>1085</v>
      </c>
      <c r="B33" s="704"/>
      <c r="C33" s="582" t="s">
        <v>491</v>
      </c>
      <c r="E33" s="582" t="s">
        <v>492</v>
      </c>
      <c r="F33" s="582" t="s">
        <v>493</v>
      </c>
      <c r="G33" s="582" t="s">
        <v>308</v>
      </c>
      <c r="H33" s="582" t="s">
        <v>286</v>
      </c>
      <c r="I33" s="582" t="s">
        <v>218</v>
      </c>
      <c r="J33" s="582" t="s">
        <v>301</v>
      </c>
      <c r="K33" s="582" t="str">
        <f t="shared" si="1"/>
        <v>120203.Clerk Opns (N)</v>
      </c>
      <c r="L33" s="583" t="s">
        <v>1086</v>
      </c>
      <c r="M33" s="593">
        <v>12</v>
      </c>
      <c r="N33" s="593">
        <v>12</v>
      </c>
      <c r="O33" s="593">
        <v>12</v>
      </c>
      <c r="P33" s="593">
        <v>12</v>
      </c>
      <c r="Q33" s="593">
        <v>12</v>
      </c>
      <c r="R33" s="593">
        <v>12</v>
      </c>
      <c r="S33" s="593">
        <v>12</v>
      </c>
      <c r="T33" s="593">
        <v>12</v>
      </c>
      <c r="U33" s="593">
        <v>12</v>
      </c>
      <c r="V33" s="593">
        <v>12</v>
      </c>
      <c r="W33" s="593">
        <v>12</v>
      </c>
      <c r="X33" s="593">
        <v>12</v>
      </c>
      <c r="Y33" s="593">
        <f t="shared" si="2"/>
        <v>144</v>
      </c>
    </row>
    <row r="34" spans="1:25">
      <c r="A34" s="582" t="s">
        <v>1085</v>
      </c>
      <c r="B34" s="704"/>
      <c r="C34" s="582" t="s">
        <v>495</v>
      </c>
      <c r="E34" s="582" t="s">
        <v>492</v>
      </c>
      <c r="F34" s="582" t="s">
        <v>493</v>
      </c>
      <c r="G34" s="582" t="s">
        <v>770</v>
      </c>
      <c r="H34" s="582" t="s">
        <v>286</v>
      </c>
      <c r="I34" s="582" t="s">
        <v>285</v>
      </c>
      <c r="J34" s="582" t="s">
        <v>368</v>
      </c>
      <c r="K34" s="582" t="str">
        <f t="shared" si="1"/>
        <v>120206.Backhoe Operator F320O</v>
      </c>
      <c r="L34" s="583" t="s">
        <v>491</v>
      </c>
      <c r="M34" s="593">
        <v>25</v>
      </c>
      <c r="N34" s="593">
        <v>25</v>
      </c>
      <c r="O34" s="593">
        <v>25</v>
      </c>
      <c r="P34" s="593">
        <v>25</v>
      </c>
      <c r="Q34" s="593">
        <v>25</v>
      </c>
      <c r="R34" s="593">
        <v>25</v>
      </c>
      <c r="S34" s="593">
        <v>25</v>
      </c>
      <c r="T34" s="593">
        <v>25</v>
      </c>
      <c r="U34" s="593">
        <v>25</v>
      </c>
      <c r="V34" s="593">
        <v>25</v>
      </c>
      <c r="W34" s="593">
        <v>25</v>
      </c>
      <c r="X34" s="593">
        <v>25</v>
      </c>
      <c r="Y34" s="593">
        <f t="shared" si="2"/>
        <v>300</v>
      </c>
    </row>
    <row r="35" spans="1:25">
      <c r="A35" s="582" t="s">
        <v>1085</v>
      </c>
      <c r="B35" s="704"/>
      <c r="C35" s="582" t="s">
        <v>491</v>
      </c>
      <c r="E35" s="582" t="s">
        <v>168</v>
      </c>
      <c r="F35" s="582" t="s">
        <v>494</v>
      </c>
      <c r="G35" s="582" t="s">
        <v>804</v>
      </c>
      <c r="H35" s="582" t="s">
        <v>286</v>
      </c>
      <c r="I35" s="582" t="s">
        <v>285</v>
      </c>
      <c r="J35" s="582" t="s">
        <v>1088</v>
      </c>
      <c r="K35" s="582" t="str">
        <f t="shared" si="1"/>
        <v>120206.Supt Opns I</v>
      </c>
      <c r="L35" s="583" t="s">
        <v>1089</v>
      </c>
      <c r="M35" s="593">
        <v>0</v>
      </c>
      <c r="N35" s="593">
        <v>0</v>
      </c>
      <c r="O35" s="593">
        <v>0</v>
      </c>
      <c r="P35" s="593">
        <v>0</v>
      </c>
      <c r="Q35" s="593">
        <v>0</v>
      </c>
      <c r="R35" s="593">
        <v>0</v>
      </c>
      <c r="S35" s="593">
        <v>0</v>
      </c>
      <c r="T35" s="593">
        <v>0</v>
      </c>
      <c r="U35" s="593">
        <v>0</v>
      </c>
      <c r="V35" s="593">
        <v>0</v>
      </c>
      <c r="W35" s="593">
        <v>0</v>
      </c>
      <c r="X35" s="593">
        <v>0</v>
      </c>
      <c r="Y35" s="593">
        <f t="shared" si="2"/>
        <v>0</v>
      </c>
    </row>
    <row r="36" spans="1:25">
      <c r="A36" s="582" t="s">
        <v>1085</v>
      </c>
      <c r="B36" s="704"/>
      <c r="C36" s="582" t="s">
        <v>495</v>
      </c>
      <c r="E36" s="582" t="s">
        <v>492</v>
      </c>
      <c r="F36" s="582" t="s">
        <v>493</v>
      </c>
      <c r="G36" s="582" t="s">
        <v>767</v>
      </c>
      <c r="H36" s="582" t="s">
        <v>286</v>
      </c>
      <c r="I36" s="582" t="s">
        <v>285</v>
      </c>
      <c r="J36" s="582" t="s">
        <v>306</v>
      </c>
      <c r="K36" s="582" t="str">
        <f t="shared" si="1"/>
        <v>120206.Meter Reader F320O</v>
      </c>
      <c r="L36" s="583" t="s">
        <v>491</v>
      </c>
      <c r="M36" s="593">
        <v>25</v>
      </c>
      <c r="N36" s="593">
        <v>25</v>
      </c>
      <c r="O36" s="593">
        <v>25</v>
      </c>
      <c r="P36" s="593">
        <v>25</v>
      </c>
      <c r="Q36" s="593">
        <v>25</v>
      </c>
      <c r="R36" s="593">
        <v>25</v>
      </c>
      <c r="S36" s="593">
        <v>25</v>
      </c>
      <c r="T36" s="593">
        <v>25</v>
      </c>
      <c r="U36" s="593">
        <v>25</v>
      </c>
      <c r="V36" s="593">
        <v>25</v>
      </c>
      <c r="W36" s="593">
        <v>25</v>
      </c>
      <c r="X36" s="593">
        <v>25</v>
      </c>
      <c r="Y36" s="593">
        <f t="shared" si="2"/>
        <v>300</v>
      </c>
    </row>
    <row r="37" spans="1:25">
      <c r="A37" s="582" t="s">
        <v>1085</v>
      </c>
      <c r="B37" s="704"/>
      <c r="C37" s="582" t="s">
        <v>495</v>
      </c>
      <c r="E37" s="582" t="s">
        <v>492</v>
      </c>
      <c r="F37" s="582" t="s">
        <v>493</v>
      </c>
      <c r="G37" s="582" t="s">
        <v>770</v>
      </c>
      <c r="H37" s="582" t="s">
        <v>286</v>
      </c>
      <c r="I37" s="582" t="s">
        <v>285</v>
      </c>
      <c r="J37" s="582" t="s">
        <v>341</v>
      </c>
      <c r="K37" s="582" t="str">
        <f t="shared" si="1"/>
        <v>120206.Crew Leader F320O &amp; U335P</v>
      </c>
      <c r="L37" s="583" t="s">
        <v>491</v>
      </c>
      <c r="M37" s="593">
        <v>20</v>
      </c>
      <c r="N37" s="593">
        <v>20</v>
      </c>
      <c r="O37" s="593">
        <v>20</v>
      </c>
      <c r="P37" s="593">
        <v>20</v>
      </c>
      <c r="Q37" s="593">
        <v>20</v>
      </c>
      <c r="R37" s="593">
        <v>20</v>
      </c>
      <c r="S37" s="593">
        <v>20</v>
      </c>
      <c r="T37" s="593">
        <v>20</v>
      </c>
      <c r="U37" s="593">
        <v>20</v>
      </c>
      <c r="V37" s="593">
        <v>20</v>
      </c>
      <c r="W37" s="593">
        <v>20</v>
      </c>
      <c r="X37" s="593">
        <v>20</v>
      </c>
      <c r="Y37" s="593">
        <f t="shared" si="2"/>
        <v>240</v>
      </c>
    </row>
    <row r="38" spans="1:25">
      <c r="A38" s="582" t="s">
        <v>1085</v>
      </c>
      <c r="B38" s="704"/>
      <c r="C38" s="582" t="s">
        <v>495</v>
      </c>
      <c r="E38" s="582" t="s">
        <v>492</v>
      </c>
      <c r="F38" s="582" t="s">
        <v>493</v>
      </c>
      <c r="G38" s="582" t="s">
        <v>785</v>
      </c>
      <c r="H38" s="582" t="s">
        <v>286</v>
      </c>
      <c r="I38" s="582" t="s">
        <v>285</v>
      </c>
      <c r="J38" s="582" t="s">
        <v>341</v>
      </c>
      <c r="K38" s="582" t="str">
        <f t="shared" si="1"/>
        <v>120206.Crew Leader F320O &amp; U335P</v>
      </c>
      <c r="L38" s="583" t="s">
        <v>491</v>
      </c>
      <c r="M38" s="593">
        <v>20</v>
      </c>
      <c r="N38" s="593">
        <v>20</v>
      </c>
      <c r="O38" s="593">
        <v>20</v>
      </c>
      <c r="P38" s="593">
        <v>20</v>
      </c>
      <c r="Q38" s="593">
        <v>20</v>
      </c>
      <c r="R38" s="593">
        <v>20</v>
      </c>
      <c r="S38" s="593">
        <v>20</v>
      </c>
      <c r="T38" s="593">
        <v>20</v>
      </c>
      <c r="U38" s="593">
        <v>20</v>
      </c>
      <c r="V38" s="593">
        <v>20</v>
      </c>
      <c r="W38" s="593">
        <v>20</v>
      </c>
      <c r="X38" s="593">
        <v>20</v>
      </c>
      <c r="Y38" s="593">
        <f t="shared" si="2"/>
        <v>240</v>
      </c>
    </row>
    <row r="39" spans="1:25">
      <c r="A39" s="582" t="s">
        <v>1085</v>
      </c>
      <c r="B39" s="704"/>
      <c r="C39" s="582" t="s">
        <v>491</v>
      </c>
      <c r="E39" s="582" t="s">
        <v>492</v>
      </c>
      <c r="F39" s="582" t="s">
        <v>493</v>
      </c>
      <c r="G39" s="582" t="s">
        <v>308</v>
      </c>
      <c r="H39" s="582" t="s">
        <v>286</v>
      </c>
      <c r="I39" s="582" t="s">
        <v>285</v>
      </c>
      <c r="J39" s="582" t="s">
        <v>14</v>
      </c>
      <c r="K39" s="582" t="str">
        <f t="shared" si="1"/>
        <v>120206.Specialist Operations (N)</v>
      </c>
      <c r="L39" s="583" t="s">
        <v>1086</v>
      </c>
      <c r="M39" s="593">
        <v>14.999999999999998</v>
      </c>
      <c r="N39" s="593">
        <v>14.999999999999998</v>
      </c>
      <c r="O39" s="593">
        <v>14.999999999999998</v>
      </c>
      <c r="P39" s="593">
        <v>14.999999999999998</v>
      </c>
      <c r="Q39" s="593">
        <v>14.999999999999998</v>
      </c>
      <c r="R39" s="593">
        <v>14.999999999999998</v>
      </c>
      <c r="S39" s="593">
        <v>14.999999999999998</v>
      </c>
      <c r="T39" s="593">
        <v>14.999999999999998</v>
      </c>
      <c r="U39" s="593">
        <v>14.999999999999998</v>
      </c>
      <c r="V39" s="593">
        <v>14.999999999999998</v>
      </c>
      <c r="W39" s="593">
        <v>14.999999999999998</v>
      </c>
      <c r="X39" s="593">
        <v>14.999999999999998</v>
      </c>
      <c r="Y39" s="593">
        <f t="shared" si="2"/>
        <v>179.99999999999997</v>
      </c>
    </row>
    <row r="40" spans="1:25">
      <c r="A40" s="582" t="s">
        <v>1085</v>
      </c>
      <c r="B40" s="704"/>
      <c r="C40" s="582" t="s">
        <v>495</v>
      </c>
      <c r="E40" s="582" t="s">
        <v>492</v>
      </c>
      <c r="F40" s="582" t="s">
        <v>493</v>
      </c>
      <c r="G40" s="582" t="s">
        <v>785</v>
      </c>
      <c r="H40" s="582" t="s">
        <v>286</v>
      </c>
      <c r="I40" s="582" t="s">
        <v>285</v>
      </c>
      <c r="J40" s="582" t="s">
        <v>390</v>
      </c>
      <c r="K40" s="582" t="str">
        <f t="shared" ref="K40:K71" si="3">CONCATENATE(I40,".",J40)</f>
        <v>120206.Utility F320O</v>
      </c>
      <c r="L40" s="583" t="s">
        <v>491</v>
      </c>
      <c r="M40" s="593">
        <v>15</v>
      </c>
      <c r="N40" s="593">
        <v>15</v>
      </c>
      <c r="O40" s="593">
        <v>15</v>
      </c>
      <c r="P40" s="593">
        <v>15</v>
      </c>
      <c r="Q40" s="593">
        <v>15</v>
      </c>
      <c r="R40" s="593">
        <v>15</v>
      </c>
      <c r="S40" s="593">
        <v>15</v>
      </c>
      <c r="T40" s="593">
        <v>15</v>
      </c>
      <c r="U40" s="593">
        <v>15</v>
      </c>
      <c r="V40" s="593">
        <v>15</v>
      </c>
      <c r="W40" s="593">
        <v>15</v>
      </c>
      <c r="X40" s="593">
        <v>15</v>
      </c>
      <c r="Y40" s="593">
        <f t="shared" si="2"/>
        <v>180</v>
      </c>
    </row>
    <row r="41" spans="1:25">
      <c r="A41" s="582" t="s">
        <v>1085</v>
      </c>
      <c r="B41" s="704"/>
      <c r="C41" s="582" t="s">
        <v>495</v>
      </c>
      <c r="E41" s="582" t="s">
        <v>492</v>
      </c>
      <c r="F41" s="582" t="s">
        <v>493</v>
      </c>
      <c r="G41" s="582" t="s">
        <v>785</v>
      </c>
      <c r="H41" s="582" t="s">
        <v>286</v>
      </c>
      <c r="I41" s="582" t="s">
        <v>285</v>
      </c>
      <c r="J41" s="582" t="s">
        <v>814</v>
      </c>
      <c r="K41" s="582" t="str">
        <f t="shared" si="3"/>
        <v>120206.Jr Backhoe/Crew Leader F320O</v>
      </c>
      <c r="L41" s="583" t="s">
        <v>491</v>
      </c>
      <c r="M41" s="593">
        <v>20</v>
      </c>
      <c r="N41" s="593">
        <v>20</v>
      </c>
      <c r="O41" s="593">
        <v>20</v>
      </c>
      <c r="P41" s="593">
        <v>20</v>
      </c>
      <c r="Q41" s="593">
        <v>20</v>
      </c>
      <c r="R41" s="593">
        <v>20</v>
      </c>
      <c r="S41" s="593">
        <v>20</v>
      </c>
      <c r="T41" s="593">
        <v>20</v>
      </c>
      <c r="U41" s="593">
        <v>20</v>
      </c>
      <c r="V41" s="593">
        <v>20</v>
      </c>
      <c r="W41" s="593">
        <v>20</v>
      </c>
      <c r="X41" s="593">
        <v>20</v>
      </c>
      <c r="Y41" s="593">
        <f t="shared" si="2"/>
        <v>240</v>
      </c>
    </row>
    <row r="42" spans="1:25">
      <c r="A42" s="582" t="s">
        <v>1085</v>
      </c>
      <c r="B42" s="704"/>
      <c r="C42" s="582" t="s">
        <v>495</v>
      </c>
      <c r="E42" s="582" t="s">
        <v>492</v>
      </c>
      <c r="F42" s="582" t="s">
        <v>493</v>
      </c>
      <c r="G42" s="582" t="s">
        <v>770</v>
      </c>
      <c r="H42" s="582" t="s">
        <v>286</v>
      </c>
      <c r="I42" s="582" t="s">
        <v>285</v>
      </c>
      <c r="J42" s="582" t="s">
        <v>341</v>
      </c>
      <c r="K42" s="582" t="str">
        <f t="shared" si="3"/>
        <v>120206.Crew Leader F320O &amp; U335P</v>
      </c>
      <c r="L42" s="583" t="s">
        <v>491</v>
      </c>
      <c r="M42" s="593">
        <v>25.000000000000004</v>
      </c>
      <c r="N42" s="593">
        <v>25.000000000000004</v>
      </c>
      <c r="O42" s="593">
        <v>25.000000000000004</v>
      </c>
      <c r="P42" s="593">
        <v>25.000000000000004</v>
      </c>
      <c r="Q42" s="593">
        <v>25.000000000000004</v>
      </c>
      <c r="R42" s="593">
        <v>25.000000000000004</v>
      </c>
      <c r="S42" s="593">
        <v>25.000000000000004</v>
      </c>
      <c r="T42" s="593">
        <v>25.000000000000004</v>
      </c>
      <c r="U42" s="593">
        <v>25.000000000000004</v>
      </c>
      <c r="V42" s="593">
        <v>25.000000000000004</v>
      </c>
      <c r="W42" s="593">
        <v>25.000000000000004</v>
      </c>
      <c r="X42" s="593">
        <v>25.000000000000004</v>
      </c>
      <c r="Y42" s="593">
        <f t="shared" si="2"/>
        <v>300.00000000000006</v>
      </c>
    </row>
    <row r="43" spans="1:25">
      <c r="A43" s="582" t="s">
        <v>1085</v>
      </c>
      <c r="B43" s="704"/>
      <c r="C43" s="582" t="s">
        <v>495</v>
      </c>
      <c r="E43" s="582" t="s">
        <v>492</v>
      </c>
      <c r="F43" s="582" t="s">
        <v>493</v>
      </c>
      <c r="G43" s="582" t="s">
        <v>785</v>
      </c>
      <c r="H43" s="582" t="s">
        <v>286</v>
      </c>
      <c r="I43" s="582" t="s">
        <v>285</v>
      </c>
      <c r="J43" s="582" t="s">
        <v>221</v>
      </c>
      <c r="K43" s="582" t="str">
        <f t="shared" si="3"/>
        <v>120206.Field Service Rep F320O</v>
      </c>
      <c r="L43" s="583" t="s">
        <v>491</v>
      </c>
      <c r="M43" s="593">
        <v>15</v>
      </c>
      <c r="N43" s="593">
        <v>15</v>
      </c>
      <c r="O43" s="593">
        <v>15</v>
      </c>
      <c r="P43" s="593">
        <v>15</v>
      </c>
      <c r="Q43" s="593">
        <v>15</v>
      </c>
      <c r="R43" s="593">
        <v>15</v>
      </c>
      <c r="S43" s="593">
        <v>15</v>
      </c>
      <c r="T43" s="593">
        <v>15</v>
      </c>
      <c r="U43" s="593">
        <v>15</v>
      </c>
      <c r="V43" s="593">
        <v>15</v>
      </c>
      <c r="W43" s="593">
        <v>15</v>
      </c>
      <c r="X43" s="593">
        <v>15</v>
      </c>
      <c r="Y43" s="593">
        <f t="shared" si="2"/>
        <v>180</v>
      </c>
    </row>
    <row r="44" spans="1:25">
      <c r="A44" s="582" t="s">
        <v>1085</v>
      </c>
      <c r="B44" s="704"/>
      <c r="C44" s="582" t="s">
        <v>495</v>
      </c>
      <c r="E44" s="582" t="s">
        <v>492</v>
      </c>
      <c r="F44" s="582" t="s">
        <v>493</v>
      </c>
      <c r="G44" s="582" t="s">
        <v>785</v>
      </c>
      <c r="H44" s="582" t="s">
        <v>286</v>
      </c>
      <c r="I44" s="582" t="s">
        <v>285</v>
      </c>
      <c r="J44" s="582" t="s">
        <v>341</v>
      </c>
      <c r="K44" s="582" t="str">
        <f t="shared" si="3"/>
        <v>120206.Crew Leader F320O &amp; U335P</v>
      </c>
      <c r="L44" s="583" t="s">
        <v>491</v>
      </c>
      <c r="M44" s="593">
        <v>20</v>
      </c>
      <c r="N44" s="593">
        <v>20</v>
      </c>
      <c r="O44" s="593">
        <v>20</v>
      </c>
      <c r="P44" s="593">
        <v>20</v>
      </c>
      <c r="Q44" s="593">
        <v>20</v>
      </c>
      <c r="R44" s="593">
        <v>20</v>
      </c>
      <c r="S44" s="593">
        <v>20</v>
      </c>
      <c r="T44" s="593">
        <v>20</v>
      </c>
      <c r="U44" s="593">
        <v>20</v>
      </c>
      <c r="V44" s="593">
        <v>20</v>
      </c>
      <c r="W44" s="593">
        <v>20</v>
      </c>
      <c r="X44" s="593">
        <v>20</v>
      </c>
      <c r="Y44" s="593">
        <f t="shared" si="2"/>
        <v>240</v>
      </c>
    </row>
    <row r="45" spans="1:25">
      <c r="A45" s="582" t="s">
        <v>1085</v>
      </c>
      <c r="B45" s="704"/>
      <c r="C45" s="582" t="s">
        <v>495</v>
      </c>
      <c r="E45" s="582" t="s">
        <v>492</v>
      </c>
      <c r="F45" s="582" t="s">
        <v>493</v>
      </c>
      <c r="G45" s="582" t="s">
        <v>785</v>
      </c>
      <c r="H45" s="582" t="s">
        <v>286</v>
      </c>
      <c r="I45" s="582" t="s">
        <v>285</v>
      </c>
      <c r="J45" s="582" t="s">
        <v>341</v>
      </c>
      <c r="K45" s="582" t="str">
        <f t="shared" si="3"/>
        <v>120206.Crew Leader F320O &amp; U335P</v>
      </c>
      <c r="L45" s="583" t="s">
        <v>491</v>
      </c>
      <c r="M45" s="593">
        <v>25</v>
      </c>
      <c r="N45" s="593">
        <v>25</v>
      </c>
      <c r="O45" s="593">
        <v>25</v>
      </c>
      <c r="P45" s="593">
        <v>25</v>
      </c>
      <c r="Q45" s="593">
        <v>25</v>
      </c>
      <c r="R45" s="593">
        <v>25</v>
      </c>
      <c r="S45" s="593">
        <v>25</v>
      </c>
      <c r="T45" s="593">
        <v>25</v>
      </c>
      <c r="U45" s="593">
        <v>25</v>
      </c>
      <c r="V45" s="593">
        <v>25</v>
      </c>
      <c r="W45" s="593">
        <v>25</v>
      </c>
      <c r="X45" s="593">
        <v>25</v>
      </c>
      <c r="Y45" s="593">
        <f t="shared" si="2"/>
        <v>300</v>
      </c>
    </row>
    <row r="46" spans="1:25">
      <c r="A46" s="582" t="s">
        <v>1085</v>
      </c>
      <c r="B46" s="704"/>
      <c r="C46" s="582" t="s">
        <v>495</v>
      </c>
      <c r="E46" s="582" t="s">
        <v>492</v>
      </c>
      <c r="F46" s="582" t="s">
        <v>493</v>
      </c>
      <c r="G46" s="582" t="s">
        <v>785</v>
      </c>
      <c r="H46" s="582" t="s">
        <v>286</v>
      </c>
      <c r="I46" s="582" t="s">
        <v>285</v>
      </c>
      <c r="J46" s="582" t="s">
        <v>221</v>
      </c>
      <c r="K46" s="582" t="str">
        <f t="shared" si="3"/>
        <v>120206.Field Service Rep F320O</v>
      </c>
      <c r="L46" s="583" t="s">
        <v>491</v>
      </c>
      <c r="M46" s="593">
        <v>10.000000000000002</v>
      </c>
      <c r="N46" s="593">
        <v>10.000000000000002</v>
      </c>
      <c r="O46" s="593">
        <v>10.000000000000002</v>
      </c>
      <c r="P46" s="593">
        <v>10.000000000000002</v>
      </c>
      <c r="Q46" s="593">
        <v>10.000000000000002</v>
      </c>
      <c r="R46" s="593">
        <v>10.000000000000002</v>
      </c>
      <c r="S46" s="593">
        <v>10.000000000000002</v>
      </c>
      <c r="T46" s="593">
        <v>10.000000000000002</v>
      </c>
      <c r="U46" s="593">
        <v>10.000000000000002</v>
      </c>
      <c r="V46" s="593">
        <v>10.000000000000002</v>
      </c>
      <c r="W46" s="593">
        <v>10.000000000000002</v>
      </c>
      <c r="X46" s="593">
        <v>10.000000000000002</v>
      </c>
      <c r="Y46" s="593">
        <f t="shared" si="2"/>
        <v>120.00000000000001</v>
      </c>
    </row>
    <row r="47" spans="1:25">
      <c r="A47" s="582" t="s">
        <v>1085</v>
      </c>
      <c r="B47" s="704"/>
      <c r="C47" s="582" t="s">
        <v>495</v>
      </c>
      <c r="E47" s="582" t="s">
        <v>492</v>
      </c>
      <c r="F47" s="582" t="s">
        <v>493</v>
      </c>
      <c r="G47" s="582" t="s">
        <v>770</v>
      </c>
      <c r="H47" s="582" t="s">
        <v>286</v>
      </c>
      <c r="I47" s="582" t="s">
        <v>285</v>
      </c>
      <c r="J47" s="582" t="s">
        <v>390</v>
      </c>
      <c r="K47" s="582" t="str">
        <f t="shared" si="3"/>
        <v>120206.Utility F320O</v>
      </c>
      <c r="L47" s="583" t="s">
        <v>491</v>
      </c>
      <c r="M47" s="593">
        <v>20</v>
      </c>
      <c r="N47" s="593">
        <v>20</v>
      </c>
      <c r="O47" s="593">
        <v>20</v>
      </c>
      <c r="P47" s="593">
        <v>20</v>
      </c>
      <c r="Q47" s="593">
        <v>20</v>
      </c>
      <c r="R47" s="593">
        <v>20</v>
      </c>
      <c r="S47" s="593">
        <v>20</v>
      </c>
      <c r="T47" s="593">
        <v>20</v>
      </c>
      <c r="U47" s="593">
        <v>20</v>
      </c>
      <c r="V47" s="593">
        <v>20</v>
      </c>
      <c r="W47" s="593">
        <v>20</v>
      </c>
      <c r="X47" s="593">
        <v>20</v>
      </c>
      <c r="Y47" s="593">
        <f t="shared" si="2"/>
        <v>240</v>
      </c>
    </row>
    <row r="48" spans="1:25">
      <c r="A48" s="582" t="s">
        <v>1085</v>
      </c>
      <c r="B48" s="704"/>
      <c r="C48" s="582" t="s">
        <v>491</v>
      </c>
      <c r="E48" s="582" t="s">
        <v>492</v>
      </c>
      <c r="F48" s="582" t="s">
        <v>493</v>
      </c>
      <c r="G48" s="582" t="s">
        <v>785</v>
      </c>
      <c r="H48" s="582" t="s">
        <v>286</v>
      </c>
      <c r="I48" s="582" t="s">
        <v>285</v>
      </c>
      <c r="J48" s="582" t="s">
        <v>14</v>
      </c>
      <c r="K48" s="582" t="str">
        <f t="shared" si="3"/>
        <v>120206.Specialist Operations (N)</v>
      </c>
      <c r="L48" s="583" t="s">
        <v>1086</v>
      </c>
      <c r="M48" s="593">
        <v>15</v>
      </c>
      <c r="N48" s="593">
        <v>15</v>
      </c>
      <c r="O48" s="593">
        <v>15</v>
      </c>
      <c r="P48" s="593">
        <v>15</v>
      </c>
      <c r="Q48" s="593">
        <v>15</v>
      </c>
      <c r="R48" s="593">
        <v>15</v>
      </c>
      <c r="S48" s="593">
        <v>15</v>
      </c>
      <c r="T48" s="593">
        <v>15</v>
      </c>
      <c r="U48" s="593">
        <v>15</v>
      </c>
      <c r="V48" s="593">
        <v>15</v>
      </c>
      <c r="W48" s="593">
        <v>15</v>
      </c>
      <c r="X48" s="593">
        <v>15</v>
      </c>
      <c r="Y48" s="593">
        <f t="shared" si="2"/>
        <v>180</v>
      </c>
    </row>
    <row r="49" spans="1:25">
      <c r="A49" s="582" t="s">
        <v>1085</v>
      </c>
      <c r="B49" s="704"/>
      <c r="C49" s="582" t="s">
        <v>495</v>
      </c>
      <c r="E49" s="582" t="s">
        <v>492</v>
      </c>
      <c r="F49" s="582" t="s">
        <v>493</v>
      </c>
      <c r="G49" s="582" t="s">
        <v>770</v>
      </c>
      <c r="H49" s="582" t="s">
        <v>286</v>
      </c>
      <c r="I49" s="582" t="s">
        <v>285</v>
      </c>
      <c r="J49" s="582" t="s">
        <v>341</v>
      </c>
      <c r="K49" s="582" t="str">
        <f t="shared" si="3"/>
        <v>120206.Crew Leader F320O &amp; U335P</v>
      </c>
      <c r="L49" s="583" t="s">
        <v>491</v>
      </c>
      <c r="M49" s="593">
        <v>22</v>
      </c>
      <c r="N49" s="593">
        <v>22</v>
      </c>
      <c r="O49" s="593">
        <v>22</v>
      </c>
      <c r="P49" s="593">
        <v>22</v>
      </c>
      <c r="Q49" s="593">
        <v>22</v>
      </c>
      <c r="R49" s="593">
        <v>22</v>
      </c>
      <c r="S49" s="593">
        <v>22</v>
      </c>
      <c r="T49" s="593">
        <v>22</v>
      </c>
      <c r="U49" s="593">
        <v>22</v>
      </c>
      <c r="V49" s="593">
        <v>22</v>
      </c>
      <c r="W49" s="593">
        <v>22</v>
      </c>
      <c r="X49" s="593">
        <v>22</v>
      </c>
      <c r="Y49" s="593">
        <f t="shared" si="2"/>
        <v>264</v>
      </c>
    </row>
    <row r="50" spans="1:25">
      <c r="A50" s="582" t="s">
        <v>1085</v>
      </c>
      <c r="B50" s="704"/>
      <c r="C50" s="582" t="s">
        <v>495</v>
      </c>
      <c r="E50" s="582" t="s">
        <v>492</v>
      </c>
      <c r="F50" s="582" t="s">
        <v>493</v>
      </c>
      <c r="G50" s="582" t="s">
        <v>785</v>
      </c>
      <c r="H50" s="582" t="s">
        <v>286</v>
      </c>
      <c r="I50" s="582" t="s">
        <v>285</v>
      </c>
      <c r="J50" s="582" t="s">
        <v>390</v>
      </c>
      <c r="K50" s="582" t="str">
        <f t="shared" si="3"/>
        <v>120206.Utility F320O</v>
      </c>
      <c r="L50" s="583" t="s">
        <v>491</v>
      </c>
      <c r="M50" s="593">
        <v>15</v>
      </c>
      <c r="N50" s="593">
        <v>15</v>
      </c>
      <c r="O50" s="593">
        <v>15</v>
      </c>
      <c r="P50" s="593">
        <v>15</v>
      </c>
      <c r="Q50" s="593">
        <v>15</v>
      </c>
      <c r="R50" s="593">
        <v>15</v>
      </c>
      <c r="S50" s="593">
        <v>15</v>
      </c>
      <c r="T50" s="593">
        <v>15</v>
      </c>
      <c r="U50" s="593">
        <v>15</v>
      </c>
      <c r="V50" s="593">
        <v>15</v>
      </c>
      <c r="W50" s="593">
        <v>15</v>
      </c>
      <c r="X50" s="593">
        <v>15</v>
      </c>
      <c r="Y50" s="593">
        <f t="shared" si="2"/>
        <v>180</v>
      </c>
    </row>
    <row r="51" spans="1:25">
      <c r="A51" s="582" t="s">
        <v>1085</v>
      </c>
      <c r="B51" s="704"/>
      <c r="C51" s="582" t="s">
        <v>495</v>
      </c>
      <c r="E51" s="582" t="s">
        <v>492</v>
      </c>
      <c r="F51" s="582" t="s">
        <v>493</v>
      </c>
      <c r="G51" s="582" t="s">
        <v>770</v>
      </c>
      <c r="H51" s="582" t="s">
        <v>286</v>
      </c>
      <c r="I51" s="582" t="s">
        <v>285</v>
      </c>
      <c r="J51" s="582" t="s">
        <v>341</v>
      </c>
      <c r="K51" s="582" t="str">
        <f t="shared" si="3"/>
        <v>120206.Crew Leader F320O &amp; U335P</v>
      </c>
      <c r="L51" s="583" t="s">
        <v>491</v>
      </c>
      <c r="M51" s="593">
        <v>0</v>
      </c>
      <c r="N51" s="593">
        <v>0</v>
      </c>
      <c r="O51" s="593">
        <v>0</v>
      </c>
      <c r="P51" s="593">
        <v>0</v>
      </c>
      <c r="Q51" s="593">
        <v>0</v>
      </c>
      <c r="R51" s="593">
        <v>0</v>
      </c>
      <c r="S51" s="593">
        <v>0</v>
      </c>
      <c r="T51" s="593">
        <v>0</v>
      </c>
      <c r="U51" s="593">
        <v>0</v>
      </c>
      <c r="V51" s="593">
        <v>0</v>
      </c>
      <c r="W51" s="593">
        <v>0</v>
      </c>
      <c r="X51" s="593">
        <v>0</v>
      </c>
      <c r="Y51" s="593">
        <f t="shared" si="2"/>
        <v>0</v>
      </c>
    </row>
    <row r="52" spans="1:25">
      <c r="A52" s="582" t="s">
        <v>1085</v>
      </c>
      <c r="B52" s="704"/>
      <c r="C52" s="582" t="s">
        <v>495</v>
      </c>
      <c r="E52" s="582" t="s">
        <v>492</v>
      </c>
      <c r="F52" s="582" t="s">
        <v>493</v>
      </c>
      <c r="G52" s="582" t="s">
        <v>770</v>
      </c>
      <c r="H52" s="582" t="s">
        <v>286</v>
      </c>
      <c r="I52" s="582" t="s">
        <v>285</v>
      </c>
      <c r="J52" s="582" t="s">
        <v>390</v>
      </c>
      <c r="K52" s="582" t="str">
        <f t="shared" si="3"/>
        <v>120206.Utility F320O</v>
      </c>
      <c r="L52" s="583" t="s">
        <v>491</v>
      </c>
      <c r="M52" s="593">
        <v>0</v>
      </c>
      <c r="N52" s="593">
        <v>0</v>
      </c>
      <c r="O52" s="593">
        <v>0</v>
      </c>
      <c r="P52" s="593">
        <v>0</v>
      </c>
      <c r="Q52" s="593">
        <v>0</v>
      </c>
      <c r="R52" s="593">
        <v>0</v>
      </c>
      <c r="S52" s="593">
        <v>0</v>
      </c>
      <c r="T52" s="593">
        <v>0</v>
      </c>
      <c r="U52" s="593">
        <v>0</v>
      </c>
      <c r="V52" s="593">
        <v>0</v>
      </c>
      <c r="W52" s="593">
        <v>0</v>
      </c>
      <c r="X52" s="593">
        <v>0</v>
      </c>
      <c r="Y52" s="593">
        <f t="shared" si="2"/>
        <v>0</v>
      </c>
    </row>
    <row r="53" spans="1:25">
      <c r="A53" s="582" t="s">
        <v>1085</v>
      </c>
      <c r="B53" s="704"/>
      <c r="C53" s="582" t="s">
        <v>495</v>
      </c>
      <c r="E53" s="582" t="s">
        <v>492</v>
      </c>
      <c r="F53" s="582" t="s">
        <v>493</v>
      </c>
      <c r="G53" s="582" t="s">
        <v>770</v>
      </c>
      <c r="H53" s="582" t="s">
        <v>286</v>
      </c>
      <c r="I53" s="582" t="s">
        <v>285</v>
      </c>
      <c r="J53" s="582" t="s">
        <v>390</v>
      </c>
      <c r="K53" s="582" t="str">
        <f t="shared" si="3"/>
        <v>120206.Utility F320O</v>
      </c>
      <c r="L53" s="583" t="s">
        <v>491</v>
      </c>
      <c r="M53" s="593">
        <v>0</v>
      </c>
      <c r="N53" s="593">
        <v>0</v>
      </c>
      <c r="O53" s="593">
        <v>0</v>
      </c>
      <c r="P53" s="593">
        <v>0</v>
      </c>
      <c r="Q53" s="593">
        <v>0</v>
      </c>
      <c r="R53" s="593">
        <v>0</v>
      </c>
      <c r="S53" s="593">
        <v>0</v>
      </c>
      <c r="T53" s="593">
        <v>0</v>
      </c>
      <c r="U53" s="593">
        <v>0</v>
      </c>
      <c r="V53" s="593">
        <v>0</v>
      </c>
      <c r="W53" s="593">
        <v>0</v>
      </c>
      <c r="X53" s="593">
        <v>0</v>
      </c>
      <c r="Y53" s="593">
        <f t="shared" si="2"/>
        <v>0</v>
      </c>
    </row>
    <row r="54" spans="1:25">
      <c r="A54" s="582" t="s">
        <v>1085</v>
      </c>
      <c r="B54" s="704"/>
      <c r="C54" s="582" t="s">
        <v>495</v>
      </c>
      <c r="E54" s="582" t="s">
        <v>492</v>
      </c>
      <c r="F54" s="582" t="s">
        <v>493</v>
      </c>
      <c r="G54" s="582" t="s">
        <v>770</v>
      </c>
      <c r="H54" s="582" t="s">
        <v>286</v>
      </c>
      <c r="I54" s="582" t="s">
        <v>285</v>
      </c>
      <c r="J54" s="582" t="s">
        <v>390</v>
      </c>
      <c r="K54" s="582" t="str">
        <f t="shared" si="3"/>
        <v>120206.Utility F320O</v>
      </c>
      <c r="L54" s="583" t="s">
        <v>491</v>
      </c>
      <c r="M54" s="593">
        <v>0</v>
      </c>
      <c r="N54" s="593">
        <v>0</v>
      </c>
      <c r="O54" s="593">
        <v>0</v>
      </c>
      <c r="P54" s="593">
        <v>0</v>
      </c>
      <c r="Q54" s="593">
        <v>0</v>
      </c>
      <c r="R54" s="593">
        <v>0</v>
      </c>
      <c r="S54" s="593">
        <v>0</v>
      </c>
      <c r="T54" s="593">
        <v>0</v>
      </c>
      <c r="U54" s="593">
        <v>0</v>
      </c>
      <c r="V54" s="593">
        <v>0</v>
      </c>
      <c r="W54" s="593">
        <v>0</v>
      </c>
      <c r="X54" s="593">
        <v>0</v>
      </c>
      <c r="Y54" s="593">
        <f t="shared" si="2"/>
        <v>0</v>
      </c>
    </row>
    <row r="55" spans="1:25">
      <c r="A55" s="582" t="s">
        <v>1085</v>
      </c>
      <c r="B55" s="704"/>
      <c r="C55" s="582" t="s">
        <v>495</v>
      </c>
      <c r="E55" s="582" t="s">
        <v>492</v>
      </c>
      <c r="F55" s="582" t="s">
        <v>493</v>
      </c>
      <c r="G55" s="582" t="s">
        <v>785</v>
      </c>
      <c r="H55" s="582" t="s">
        <v>286</v>
      </c>
      <c r="I55" s="582" t="s">
        <v>285</v>
      </c>
      <c r="J55" s="582" t="s">
        <v>390</v>
      </c>
      <c r="K55" s="582" t="str">
        <f t="shared" si="3"/>
        <v>120206.Utility F320O</v>
      </c>
      <c r="L55" s="583" t="s">
        <v>491</v>
      </c>
      <c r="M55" s="593">
        <v>0</v>
      </c>
      <c r="N55" s="593">
        <v>0</v>
      </c>
      <c r="O55" s="593">
        <v>0</v>
      </c>
      <c r="P55" s="593">
        <v>0</v>
      </c>
      <c r="Q55" s="593">
        <v>0</v>
      </c>
      <c r="R55" s="593">
        <v>0</v>
      </c>
      <c r="S55" s="593">
        <v>0</v>
      </c>
      <c r="T55" s="593">
        <v>0</v>
      </c>
      <c r="U55" s="593">
        <v>0</v>
      </c>
      <c r="V55" s="593">
        <v>0</v>
      </c>
      <c r="W55" s="593">
        <v>0</v>
      </c>
      <c r="X55" s="593">
        <v>0</v>
      </c>
      <c r="Y55" s="593">
        <f t="shared" si="2"/>
        <v>0</v>
      </c>
    </row>
    <row r="56" spans="1:25">
      <c r="A56" s="582" t="s">
        <v>1085</v>
      </c>
      <c r="B56" s="704"/>
      <c r="C56" s="582" t="s">
        <v>495</v>
      </c>
      <c r="E56" s="582" t="s">
        <v>492</v>
      </c>
      <c r="F56" s="582" t="s">
        <v>493</v>
      </c>
      <c r="G56" s="582" t="s">
        <v>785</v>
      </c>
      <c r="H56" s="582" t="s">
        <v>286</v>
      </c>
      <c r="I56" s="582" t="s">
        <v>285</v>
      </c>
      <c r="J56" s="582" t="s">
        <v>390</v>
      </c>
      <c r="K56" s="582" t="str">
        <f t="shared" si="3"/>
        <v>120206.Utility F320O</v>
      </c>
      <c r="L56" s="583" t="s">
        <v>491</v>
      </c>
      <c r="M56" s="593">
        <v>0</v>
      </c>
      <c r="N56" s="593">
        <v>0</v>
      </c>
      <c r="O56" s="593">
        <v>0</v>
      </c>
      <c r="P56" s="593">
        <v>0</v>
      </c>
      <c r="Q56" s="593">
        <v>0</v>
      </c>
      <c r="R56" s="593">
        <v>0</v>
      </c>
      <c r="S56" s="593">
        <v>0</v>
      </c>
      <c r="T56" s="593">
        <v>0</v>
      </c>
      <c r="U56" s="593">
        <v>0</v>
      </c>
      <c r="V56" s="593">
        <v>0</v>
      </c>
      <c r="W56" s="593">
        <v>0</v>
      </c>
      <c r="X56" s="593">
        <v>0</v>
      </c>
      <c r="Y56" s="593">
        <f t="shared" si="2"/>
        <v>0</v>
      </c>
    </row>
    <row r="57" spans="1:25">
      <c r="A57" s="582" t="s">
        <v>1085</v>
      </c>
      <c r="B57" s="704"/>
      <c r="C57" s="582" t="s">
        <v>495</v>
      </c>
      <c r="E57" s="582" t="s">
        <v>492</v>
      </c>
      <c r="F57" s="582" t="s">
        <v>493</v>
      </c>
      <c r="G57" s="582" t="s">
        <v>770</v>
      </c>
      <c r="H57" s="582" t="s">
        <v>286</v>
      </c>
      <c r="I57" s="582" t="s">
        <v>285</v>
      </c>
      <c r="J57" s="582" t="s">
        <v>390</v>
      </c>
      <c r="K57" s="582" t="str">
        <f t="shared" si="3"/>
        <v>120206.Utility F320O</v>
      </c>
      <c r="L57" s="583" t="s">
        <v>491</v>
      </c>
      <c r="M57" s="593">
        <v>0</v>
      </c>
      <c r="N57" s="593">
        <v>0</v>
      </c>
      <c r="O57" s="593">
        <v>0</v>
      </c>
      <c r="P57" s="593">
        <v>0</v>
      </c>
      <c r="Q57" s="593">
        <v>0</v>
      </c>
      <c r="R57" s="593">
        <v>0</v>
      </c>
      <c r="S57" s="593">
        <v>0</v>
      </c>
      <c r="T57" s="593">
        <v>0</v>
      </c>
      <c r="U57" s="593">
        <v>0</v>
      </c>
      <c r="V57" s="593">
        <v>0</v>
      </c>
      <c r="W57" s="593">
        <v>0</v>
      </c>
      <c r="X57" s="593">
        <v>0</v>
      </c>
      <c r="Y57" s="593">
        <f t="shared" si="2"/>
        <v>0</v>
      </c>
    </row>
    <row r="58" spans="1:25">
      <c r="A58" s="582" t="s">
        <v>1085</v>
      </c>
      <c r="B58" s="705"/>
      <c r="C58" s="582" t="s">
        <v>495</v>
      </c>
      <c r="E58" s="582" t="s">
        <v>492</v>
      </c>
      <c r="F58" s="582" t="s">
        <v>493</v>
      </c>
      <c r="G58" s="582" t="s">
        <v>785</v>
      </c>
      <c r="H58" s="582" t="s">
        <v>286</v>
      </c>
      <c r="I58" s="582" t="s">
        <v>285</v>
      </c>
      <c r="J58" s="582" t="s">
        <v>341</v>
      </c>
      <c r="K58" s="582" t="str">
        <f t="shared" si="3"/>
        <v>120206.Crew Leader F320O &amp; U335P</v>
      </c>
      <c r="L58" s="583" t="s">
        <v>491</v>
      </c>
      <c r="M58" s="593">
        <v>0</v>
      </c>
      <c r="N58" s="593">
        <v>0</v>
      </c>
      <c r="O58" s="593">
        <v>0</v>
      </c>
      <c r="P58" s="593">
        <v>0</v>
      </c>
      <c r="Q58" s="593">
        <v>0</v>
      </c>
      <c r="R58" s="593">
        <v>0</v>
      </c>
      <c r="S58" s="593">
        <v>0</v>
      </c>
      <c r="T58" s="593">
        <v>0</v>
      </c>
      <c r="U58" s="593">
        <v>0</v>
      </c>
      <c r="V58" s="593">
        <v>0</v>
      </c>
      <c r="W58" s="593">
        <v>0</v>
      </c>
      <c r="X58" s="593">
        <v>0</v>
      </c>
      <c r="Y58" s="593">
        <f t="shared" si="2"/>
        <v>0</v>
      </c>
    </row>
    <row r="59" spans="1:25">
      <c r="A59" s="582" t="s">
        <v>1085</v>
      </c>
      <c r="B59" s="704"/>
      <c r="C59" s="582" t="s">
        <v>495</v>
      </c>
      <c r="E59" s="582" t="s">
        <v>492</v>
      </c>
      <c r="F59" s="582" t="s">
        <v>493</v>
      </c>
      <c r="G59" s="582" t="s">
        <v>770</v>
      </c>
      <c r="H59" s="582" t="s">
        <v>286</v>
      </c>
      <c r="I59" s="582" t="s">
        <v>285</v>
      </c>
      <c r="J59" s="582" t="s">
        <v>390</v>
      </c>
      <c r="K59" s="582" t="str">
        <f t="shared" si="3"/>
        <v>120206.Utility F320O</v>
      </c>
      <c r="L59" s="583" t="s">
        <v>491</v>
      </c>
      <c r="M59" s="593">
        <v>0</v>
      </c>
      <c r="N59" s="593">
        <v>0</v>
      </c>
      <c r="O59" s="593">
        <v>0</v>
      </c>
      <c r="P59" s="593">
        <v>0</v>
      </c>
      <c r="Q59" s="593">
        <v>0</v>
      </c>
      <c r="R59" s="593">
        <v>0</v>
      </c>
      <c r="S59" s="593">
        <v>0</v>
      </c>
      <c r="T59" s="593">
        <v>0</v>
      </c>
      <c r="U59" s="593">
        <v>0</v>
      </c>
      <c r="V59" s="593">
        <v>0</v>
      </c>
      <c r="W59" s="593">
        <v>0</v>
      </c>
      <c r="X59" s="593">
        <v>0</v>
      </c>
      <c r="Y59" s="593">
        <f t="shared" si="2"/>
        <v>0</v>
      </c>
    </row>
    <row r="60" spans="1:25">
      <c r="A60" s="582" t="s">
        <v>1085</v>
      </c>
      <c r="B60" s="704"/>
      <c r="C60" s="582" t="s">
        <v>495</v>
      </c>
      <c r="E60" s="582" t="s">
        <v>492</v>
      </c>
      <c r="F60" s="582" t="s">
        <v>493</v>
      </c>
      <c r="G60" s="582" t="s">
        <v>785</v>
      </c>
      <c r="H60" s="582" t="s">
        <v>286</v>
      </c>
      <c r="I60" s="582" t="s">
        <v>285</v>
      </c>
      <c r="J60" s="582" t="s">
        <v>390</v>
      </c>
      <c r="K60" s="582" t="str">
        <f t="shared" si="3"/>
        <v>120206.Utility F320O</v>
      </c>
      <c r="L60" s="583" t="s">
        <v>491</v>
      </c>
      <c r="M60" s="593">
        <v>0</v>
      </c>
      <c r="N60" s="593">
        <v>0</v>
      </c>
      <c r="O60" s="593">
        <v>0</v>
      </c>
      <c r="P60" s="593">
        <v>0</v>
      </c>
      <c r="Q60" s="593">
        <v>0</v>
      </c>
      <c r="R60" s="593">
        <v>0</v>
      </c>
      <c r="S60" s="593">
        <v>0</v>
      </c>
      <c r="T60" s="593">
        <v>0</v>
      </c>
      <c r="U60" s="593">
        <v>0</v>
      </c>
      <c r="V60" s="593">
        <v>0</v>
      </c>
      <c r="W60" s="593">
        <v>0</v>
      </c>
      <c r="X60" s="593">
        <v>0</v>
      </c>
      <c r="Y60" s="593">
        <f t="shared" si="2"/>
        <v>0</v>
      </c>
    </row>
    <row r="61" spans="1:25">
      <c r="A61" s="582" t="s">
        <v>1085</v>
      </c>
      <c r="B61" s="706"/>
      <c r="C61" s="582" t="s">
        <v>495</v>
      </c>
      <c r="E61" s="582" t="s">
        <v>492</v>
      </c>
      <c r="F61" s="582" t="s">
        <v>493</v>
      </c>
      <c r="G61" s="582" t="s">
        <v>785</v>
      </c>
      <c r="H61" s="582" t="s">
        <v>286</v>
      </c>
      <c r="I61" s="582" t="s">
        <v>285</v>
      </c>
      <c r="J61" s="582" t="s">
        <v>390</v>
      </c>
      <c r="K61" s="582" t="str">
        <f t="shared" si="3"/>
        <v>120206.Utility F320O</v>
      </c>
      <c r="L61" s="583"/>
      <c r="M61" s="593">
        <v>0</v>
      </c>
      <c r="N61" s="593">
        <v>0</v>
      </c>
      <c r="O61" s="593">
        <v>0</v>
      </c>
      <c r="P61" s="593">
        <v>0</v>
      </c>
      <c r="Q61" s="593">
        <v>0</v>
      </c>
      <c r="R61" s="593">
        <v>0</v>
      </c>
      <c r="S61" s="593">
        <v>0</v>
      </c>
      <c r="T61" s="593">
        <v>0</v>
      </c>
      <c r="U61" s="593">
        <v>0</v>
      </c>
      <c r="V61" s="593">
        <v>0</v>
      </c>
      <c r="W61" s="593">
        <v>0</v>
      </c>
      <c r="X61" s="593">
        <v>0</v>
      </c>
      <c r="Y61" s="593">
        <f t="shared" si="2"/>
        <v>0</v>
      </c>
    </row>
    <row r="62" spans="1:25">
      <c r="A62" s="582" t="s">
        <v>1085</v>
      </c>
      <c r="B62" s="706"/>
      <c r="C62" s="582" t="s">
        <v>495</v>
      </c>
      <c r="E62" s="582" t="s">
        <v>492</v>
      </c>
      <c r="F62" s="582" t="s">
        <v>493</v>
      </c>
      <c r="G62" s="582" t="s">
        <v>785</v>
      </c>
      <c r="H62" s="582" t="s">
        <v>286</v>
      </c>
      <c r="I62" s="582" t="s">
        <v>285</v>
      </c>
      <c r="J62" s="582" t="s">
        <v>390</v>
      </c>
      <c r="K62" s="582" t="str">
        <f t="shared" si="3"/>
        <v>120206.Utility F320O</v>
      </c>
      <c r="L62" s="583"/>
      <c r="M62" s="593">
        <v>0</v>
      </c>
      <c r="N62" s="593">
        <v>0</v>
      </c>
      <c r="O62" s="593">
        <v>0</v>
      </c>
      <c r="P62" s="593">
        <v>0</v>
      </c>
      <c r="Q62" s="593">
        <v>0</v>
      </c>
      <c r="R62" s="593">
        <v>0</v>
      </c>
      <c r="S62" s="593">
        <v>0</v>
      </c>
      <c r="T62" s="593">
        <v>0</v>
      </c>
      <c r="U62" s="593">
        <v>0</v>
      </c>
      <c r="V62" s="593">
        <v>0</v>
      </c>
      <c r="W62" s="593">
        <v>0</v>
      </c>
      <c r="X62" s="593">
        <v>0</v>
      </c>
      <c r="Y62" s="593">
        <f t="shared" si="2"/>
        <v>0</v>
      </c>
    </row>
    <row r="63" spans="1:25">
      <c r="A63" s="582" t="s">
        <v>1085</v>
      </c>
      <c r="B63" s="706"/>
      <c r="C63" s="582" t="s">
        <v>495</v>
      </c>
      <c r="E63" s="582" t="s">
        <v>492</v>
      </c>
      <c r="F63" s="582" t="s">
        <v>493</v>
      </c>
      <c r="G63" s="582" t="s">
        <v>785</v>
      </c>
      <c r="H63" s="582" t="s">
        <v>286</v>
      </c>
      <c r="I63" s="582" t="s">
        <v>285</v>
      </c>
      <c r="J63" s="582" t="s">
        <v>390</v>
      </c>
      <c r="K63" s="582" t="str">
        <f t="shared" si="3"/>
        <v>120206.Utility F320O</v>
      </c>
      <c r="L63" s="583"/>
      <c r="M63" s="593">
        <v>0</v>
      </c>
      <c r="N63" s="593">
        <v>0</v>
      </c>
      <c r="O63" s="593">
        <v>0</v>
      </c>
      <c r="P63" s="593">
        <v>0</v>
      </c>
      <c r="Q63" s="593">
        <v>0</v>
      </c>
      <c r="R63" s="593">
        <v>0</v>
      </c>
      <c r="S63" s="593">
        <v>0</v>
      </c>
      <c r="T63" s="593">
        <v>0</v>
      </c>
      <c r="U63" s="593">
        <v>0</v>
      </c>
      <c r="V63" s="593">
        <v>0</v>
      </c>
      <c r="W63" s="593">
        <v>0</v>
      </c>
      <c r="X63" s="593">
        <v>0</v>
      </c>
      <c r="Y63" s="593">
        <f t="shared" si="2"/>
        <v>0</v>
      </c>
    </row>
    <row r="64" spans="1:25">
      <c r="A64" s="582" t="s">
        <v>1085</v>
      </c>
      <c r="B64" s="706"/>
      <c r="C64" s="582" t="s">
        <v>495</v>
      </c>
      <c r="E64" s="582" t="s">
        <v>492</v>
      </c>
      <c r="F64" s="582" t="s">
        <v>493</v>
      </c>
      <c r="G64" s="582" t="s">
        <v>785</v>
      </c>
      <c r="H64" s="582" t="s">
        <v>286</v>
      </c>
      <c r="I64" s="582" t="s">
        <v>285</v>
      </c>
      <c r="J64" s="582" t="s">
        <v>390</v>
      </c>
      <c r="K64" s="582" t="str">
        <f t="shared" si="3"/>
        <v>120206.Utility F320O</v>
      </c>
      <c r="L64" s="583"/>
      <c r="M64" s="593">
        <v>0</v>
      </c>
      <c r="N64" s="593">
        <v>0</v>
      </c>
      <c r="O64" s="593">
        <v>0</v>
      </c>
      <c r="P64" s="593">
        <v>0</v>
      </c>
      <c r="Q64" s="593">
        <v>0</v>
      </c>
      <c r="R64" s="593">
        <v>0</v>
      </c>
      <c r="S64" s="593">
        <v>0</v>
      </c>
      <c r="T64" s="593">
        <v>0</v>
      </c>
      <c r="U64" s="593">
        <v>0</v>
      </c>
      <c r="V64" s="593">
        <v>0</v>
      </c>
      <c r="W64" s="593">
        <v>0</v>
      </c>
      <c r="X64" s="593">
        <v>0</v>
      </c>
      <c r="Y64" s="593">
        <f t="shared" si="2"/>
        <v>0</v>
      </c>
    </row>
    <row r="65" spans="1:25">
      <c r="A65" s="582" t="s">
        <v>1085</v>
      </c>
      <c r="B65" s="706"/>
      <c r="C65" s="582" t="s">
        <v>495</v>
      </c>
      <c r="E65" s="582" t="s">
        <v>492</v>
      </c>
      <c r="F65" s="582" t="s">
        <v>493</v>
      </c>
      <c r="G65" s="582" t="s">
        <v>785</v>
      </c>
      <c r="H65" s="582" t="s">
        <v>286</v>
      </c>
      <c r="I65" s="582" t="s">
        <v>285</v>
      </c>
      <c r="J65" s="582" t="s">
        <v>390</v>
      </c>
      <c r="K65" s="582" t="str">
        <f t="shared" si="3"/>
        <v>120206.Utility F320O</v>
      </c>
      <c r="L65" s="583"/>
      <c r="M65" s="593">
        <v>0</v>
      </c>
      <c r="N65" s="593">
        <v>0</v>
      </c>
      <c r="O65" s="593">
        <v>0</v>
      </c>
      <c r="P65" s="593">
        <v>0</v>
      </c>
      <c r="Q65" s="593">
        <v>0</v>
      </c>
      <c r="R65" s="593">
        <v>0</v>
      </c>
      <c r="S65" s="593">
        <v>0</v>
      </c>
      <c r="T65" s="593">
        <v>0</v>
      </c>
      <c r="U65" s="593">
        <v>0</v>
      </c>
      <c r="V65" s="593">
        <v>0</v>
      </c>
      <c r="W65" s="593">
        <v>0</v>
      </c>
      <c r="X65" s="593">
        <v>0</v>
      </c>
      <c r="Y65" s="593">
        <f t="shared" si="2"/>
        <v>0</v>
      </c>
    </row>
    <row r="66" spans="1:25">
      <c r="A66" s="582" t="s">
        <v>1085</v>
      </c>
      <c r="B66" s="706"/>
      <c r="C66" s="582" t="s">
        <v>495</v>
      </c>
      <c r="E66" s="582" t="s">
        <v>492</v>
      </c>
      <c r="F66" s="582" t="s">
        <v>493</v>
      </c>
      <c r="G66" s="582" t="s">
        <v>785</v>
      </c>
      <c r="H66" s="582" t="s">
        <v>286</v>
      </c>
      <c r="I66" s="582" t="s">
        <v>285</v>
      </c>
      <c r="J66" s="582" t="s">
        <v>390</v>
      </c>
      <c r="K66" s="582" t="str">
        <f t="shared" si="3"/>
        <v>120206.Utility F320O</v>
      </c>
      <c r="L66" s="583"/>
      <c r="M66" s="593">
        <v>0</v>
      </c>
      <c r="N66" s="593">
        <v>0</v>
      </c>
      <c r="O66" s="593">
        <v>0</v>
      </c>
      <c r="P66" s="593">
        <v>0</v>
      </c>
      <c r="Q66" s="593">
        <v>0</v>
      </c>
      <c r="R66" s="593">
        <v>0</v>
      </c>
      <c r="S66" s="593">
        <v>0</v>
      </c>
      <c r="T66" s="593">
        <v>0</v>
      </c>
      <c r="U66" s="593">
        <v>0</v>
      </c>
      <c r="V66" s="593">
        <v>0</v>
      </c>
      <c r="W66" s="593">
        <v>0</v>
      </c>
      <c r="X66" s="593">
        <v>0</v>
      </c>
      <c r="Y66" s="593">
        <f t="shared" si="2"/>
        <v>0</v>
      </c>
    </row>
    <row r="67" spans="1:25">
      <c r="A67" s="582" t="s">
        <v>1085</v>
      </c>
      <c r="B67" s="706"/>
      <c r="E67" s="582" t="s">
        <v>168</v>
      </c>
      <c r="F67" s="582" t="s">
        <v>494</v>
      </c>
      <c r="G67" s="582" t="s">
        <v>767</v>
      </c>
      <c r="H67" s="582" t="s">
        <v>286</v>
      </c>
      <c r="I67" s="582" t="s">
        <v>285</v>
      </c>
      <c r="J67" s="582" t="s">
        <v>1092</v>
      </c>
      <c r="K67" s="582" t="str">
        <f t="shared" si="3"/>
        <v>120206.Sr. Supervisor of Operations</v>
      </c>
      <c r="L67" s="583" t="s">
        <v>1093</v>
      </c>
      <c r="M67" s="593">
        <v>0</v>
      </c>
      <c r="N67" s="593">
        <v>0</v>
      </c>
      <c r="O67" s="593">
        <v>0</v>
      </c>
      <c r="P67" s="593">
        <v>0</v>
      </c>
      <c r="Q67" s="593">
        <v>0</v>
      </c>
      <c r="R67" s="593">
        <v>0</v>
      </c>
      <c r="S67" s="593">
        <v>0</v>
      </c>
      <c r="T67" s="593">
        <v>0</v>
      </c>
      <c r="U67" s="593">
        <v>0</v>
      </c>
      <c r="V67" s="593">
        <v>0</v>
      </c>
      <c r="W67" s="593">
        <v>0</v>
      </c>
      <c r="X67" s="593">
        <v>0</v>
      </c>
      <c r="Y67" s="593">
        <f t="shared" si="2"/>
        <v>0</v>
      </c>
    </row>
    <row r="68" spans="1:25">
      <c r="A68" s="582" t="s">
        <v>1085</v>
      </c>
      <c r="B68" s="704"/>
      <c r="C68" s="582" t="s">
        <v>491</v>
      </c>
      <c r="E68" s="582" t="s">
        <v>492</v>
      </c>
      <c r="F68" s="582" t="s">
        <v>493</v>
      </c>
      <c r="G68" s="582" t="s">
        <v>372</v>
      </c>
      <c r="H68" s="582" t="s">
        <v>219</v>
      </c>
      <c r="I68" s="582" t="s">
        <v>218</v>
      </c>
      <c r="J68" s="582" t="s">
        <v>14</v>
      </c>
      <c r="K68" s="582" t="str">
        <f t="shared" si="3"/>
        <v>120203.Specialist Operations (N)</v>
      </c>
      <c r="L68" s="583" t="s">
        <v>1086</v>
      </c>
      <c r="M68" s="593">
        <v>8</v>
      </c>
      <c r="N68" s="593">
        <v>8</v>
      </c>
      <c r="O68" s="593">
        <v>8</v>
      </c>
      <c r="P68" s="593">
        <v>8</v>
      </c>
      <c r="Q68" s="593">
        <v>8</v>
      </c>
      <c r="R68" s="593">
        <v>8</v>
      </c>
      <c r="S68" s="593">
        <v>8</v>
      </c>
      <c r="T68" s="593">
        <v>8</v>
      </c>
      <c r="U68" s="593">
        <v>8</v>
      </c>
      <c r="V68" s="593">
        <v>8</v>
      </c>
      <c r="W68" s="593">
        <v>8</v>
      </c>
      <c r="X68" s="593">
        <v>8</v>
      </c>
      <c r="Y68" s="593">
        <f t="shared" si="2"/>
        <v>96</v>
      </c>
    </row>
    <row r="69" spans="1:25">
      <c r="A69" s="582" t="s">
        <v>1085</v>
      </c>
      <c r="B69" s="704"/>
      <c r="C69" s="582" t="s">
        <v>491</v>
      </c>
      <c r="E69" s="582" t="s">
        <v>168</v>
      </c>
      <c r="F69" s="582" t="s">
        <v>494</v>
      </c>
      <c r="G69" s="582" t="s">
        <v>785</v>
      </c>
      <c r="H69" s="582" t="s">
        <v>286</v>
      </c>
      <c r="I69" s="582" t="s">
        <v>285</v>
      </c>
      <c r="J69" s="582" t="s">
        <v>10</v>
      </c>
      <c r="K69" s="582" t="str">
        <f t="shared" si="3"/>
        <v>120206.Supvr Opns II</v>
      </c>
      <c r="L69" s="583" t="s">
        <v>1094</v>
      </c>
      <c r="M69" s="593">
        <v>22</v>
      </c>
      <c r="N69" s="593">
        <v>22</v>
      </c>
      <c r="O69" s="593">
        <v>22</v>
      </c>
      <c r="P69" s="593">
        <v>22</v>
      </c>
      <c r="Q69" s="593">
        <v>22</v>
      </c>
      <c r="R69" s="593">
        <v>22</v>
      </c>
      <c r="S69" s="593">
        <v>22</v>
      </c>
      <c r="T69" s="593">
        <v>22</v>
      </c>
      <c r="U69" s="593">
        <v>22</v>
      </c>
      <c r="V69" s="593">
        <v>22</v>
      </c>
      <c r="W69" s="593">
        <v>22</v>
      </c>
      <c r="X69" s="593">
        <v>22</v>
      </c>
      <c r="Y69" s="593">
        <f t="shared" si="2"/>
        <v>264</v>
      </c>
    </row>
    <row r="70" spans="1:25">
      <c r="A70" s="582" t="s">
        <v>1085</v>
      </c>
      <c r="B70" s="704"/>
      <c r="C70" s="582" t="s">
        <v>495</v>
      </c>
      <c r="E70" s="582" t="s">
        <v>492</v>
      </c>
      <c r="F70" s="582" t="s">
        <v>493</v>
      </c>
      <c r="G70" s="582" t="s">
        <v>767</v>
      </c>
      <c r="H70" s="582" t="s">
        <v>286</v>
      </c>
      <c r="I70" s="582" t="s">
        <v>285</v>
      </c>
      <c r="J70" s="582" t="s">
        <v>306</v>
      </c>
      <c r="K70" s="582" t="str">
        <f t="shared" si="3"/>
        <v>120206.Meter Reader F320O</v>
      </c>
      <c r="L70" s="583" t="s">
        <v>491</v>
      </c>
      <c r="M70" s="593">
        <v>20</v>
      </c>
      <c r="N70" s="593">
        <v>20</v>
      </c>
      <c r="O70" s="593">
        <v>20</v>
      </c>
      <c r="P70" s="593">
        <v>20</v>
      </c>
      <c r="Q70" s="593">
        <v>20</v>
      </c>
      <c r="R70" s="593">
        <v>20</v>
      </c>
      <c r="S70" s="593">
        <v>20</v>
      </c>
      <c r="T70" s="593">
        <v>20</v>
      </c>
      <c r="U70" s="593">
        <v>20</v>
      </c>
      <c r="V70" s="593">
        <v>20</v>
      </c>
      <c r="W70" s="593">
        <v>20</v>
      </c>
      <c r="X70" s="593">
        <v>20</v>
      </c>
      <c r="Y70" s="593">
        <f t="shared" si="2"/>
        <v>240</v>
      </c>
    </row>
    <row r="71" spans="1:25">
      <c r="A71" s="582" t="s">
        <v>1085</v>
      </c>
      <c r="B71" s="704"/>
      <c r="C71" s="582" t="s">
        <v>491</v>
      </c>
      <c r="E71" s="582" t="s">
        <v>492</v>
      </c>
      <c r="F71" s="582" t="s">
        <v>493</v>
      </c>
      <c r="G71" s="582" t="s">
        <v>372</v>
      </c>
      <c r="H71" s="582" t="s">
        <v>219</v>
      </c>
      <c r="I71" s="582" t="s">
        <v>218</v>
      </c>
      <c r="J71" s="582" t="s">
        <v>800</v>
      </c>
      <c r="K71" s="582" t="str">
        <f t="shared" si="3"/>
        <v>120203.Specialist Service Delivery</v>
      </c>
      <c r="L71" s="583" t="s">
        <v>1095</v>
      </c>
      <c r="M71" s="593">
        <v>0</v>
      </c>
      <c r="N71" s="593">
        <v>0</v>
      </c>
      <c r="O71" s="593">
        <v>0</v>
      </c>
      <c r="P71" s="593">
        <v>0</v>
      </c>
      <c r="Q71" s="593">
        <v>0</v>
      </c>
      <c r="R71" s="593">
        <v>0</v>
      </c>
      <c r="S71" s="593">
        <v>0</v>
      </c>
      <c r="T71" s="593">
        <v>0</v>
      </c>
      <c r="U71" s="593">
        <v>0</v>
      </c>
      <c r="V71" s="593">
        <v>0</v>
      </c>
      <c r="W71" s="593">
        <v>0</v>
      </c>
      <c r="X71" s="593">
        <v>0</v>
      </c>
      <c r="Y71" s="593">
        <f t="shared" si="2"/>
        <v>0</v>
      </c>
    </row>
    <row r="72" spans="1:25">
      <c r="A72" s="582" t="s">
        <v>1085</v>
      </c>
      <c r="B72" s="704"/>
      <c r="C72" s="582" t="s">
        <v>491</v>
      </c>
      <c r="E72" s="582" t="s">
        <v>492</v>
      </c>
      <c r="F72" s="582" t="s">
        <v>493</v>
      </c>
      <c r="G72" s="582" t="s">
        <v>372</v>
      </c>
      <c r="H72" s="582" t="s">
        <v>219</v>
      </c>
      <c r="I72" s="582" t="s">
        <v>218</v>
      </c>
      <c r="J72" s="582" t="s">
        <v>800</v>
      </c>
      <c r="K72" s="582" t="str">
        <f t="shared" ref="K72:K103" si="4">CONCATENATE(I72,".",J72)</f>
        <v>120203.Specialist Service Delivery</v>
      </c>
      <c r="L72" s="583" t="s">
        <v>1095</v>
      </c>
      <c r="M72" s="593">
        <v>0</v>
      </c>
      <c r="N72" s="593">
        <v>0</v>
      </c>
      <c r="O72" s="593">
        <v>0</v>
      </c>
      <c r="P72" s="593">
        <v>0</v>
      </c>
      <c r="Q72" s="593">
        <v>0</v>
      </c>
      <c r="R72" s="593">
        <v>0</v>
      </c>
      <c r="S72" s="593">
        <v>0</v>
      </c>
      <c r="T72" s="593">
        <v>0</v>
      </c>
      <c r="U72" s="593">
        <v>0</v>
      </c>
      <c r="V72" s="593">
        <v>0</v>
      </c>
      <c r="W72" s="593">
        <v>0</v>
      </c>
      <c r="X72" s="593">
        <v>0</v>
      </c>
      <c r="Y72" s="593">
        <f t="shared" si="2"/>
        <v>0</v>
      </c>
    </row>
    <row r="73" spans="1:25">
      <c r="A73" s="582" t="s">
        <v>1085</v>
      </c>
      <c r="B73" s="704"/>
      <c r="C73" s="582" t="s">
        <v>491</v>
      </c>
      <c r="E73" s="582" t="s">
        <v>492</v>
      </c>
      <c r="F73" s="582" t="s">
        <v>493</v>
      </c>
      <c r="G73" s="582" t="s">
        <v>372</v>
      </c>
      <c r="H73" s="582" t="s">
        <v>219</v>
      </c>
      <c r="I73" s="582" t="s">
        <v>218</v>
      </c>
      <c r="J73" s="582" t="s">
        <v>301</v>
      </c>
      <c r="K73" s="582" t="str">
        <f t="shared" si="4"/>
        <v>120203.Clerk Opns (N)</v>
      </c>
      <c r="L73" s="583" t="s">
        <v>1087</v>
      </c>
      <c r="M73" s="593">
        <v>0</v>
      </c>
      <c r="N73" s="593">
        <v>0</v>
      </c>
      <c r="O73" s="593">
        <v>0</v>
      </c>
      <c r="P73" s="593">
        <v>0</v>
      </c>
      <c r="Q73" s="593">
        <v>0</v>
      </c>
      <c r="R73" s="593">
        <v>0</v>
      </c>
      <c r="S73" s="593">
        <v>0</v>
      </c>
      <c r="T73" s="593">
        <v>0</v>
      </c>
      <c r="U73" s="593">
        <v>0</v>
      </c>
      <c r="V73" s="593">
        <v>0</v>
      </c>
      <c r="W73" s="593">
        <v>0</v>
      </c>
      <c r="X73" s="593">
        <v>0</v>
      </c>
      <c r="Y73" s="593">
        <f t="shared" si="2"/>
        <v>0</v>
      </c>
    </row>
    <row r="74" spans="1:25">
      <c r="A74" s="582" t="s">
        <v>1085</v>
      </c>
      <c r="B74" s="704"/>
      <c r="C74" s="582" t="s">
        <v>491</v>
      </c>
      <c r="E74" s="582" t="s">
        <v>492</v>
      </c>
      <c r="F74" s="582" t="s">
        <v>493</v>
      </c>
      <c r="G74" s="582" t="s">
        <v>372</v>
      </c>
      <c r="H74" s="582" t="s">
        <v>219</v>
      </c>
      <c r="I74" s="582" t="s">
        <v>218</v>
      </c>
      <c r="J74" s="582" t="s">
        <v>800</v>
      </c>
      <c r="K74" s="582" t="str">
        <f t="shared" si="4"/>
        <v>120203.Specialist Service Delivery</v>
      </c>
      <c r="L74" s="583" t="s">
        <v>1095</v>
      </c>
      <c r="M74" s="593">
        <v>0</v>
      </c>
      <c r="N74" s="593">
        <v>0</v>
      </c>
      <c r="O74" s="593">
        <v>0</v>
      </c>
      <c r="P74" s="593">
        <v>0</v>
      </c>
      <c r="Q74" s="593">
        <v>0</v>
      </c>
      <c r="R74" s="593">
        <v>0</v>
      </c>
      <c r="S74" s="593">
        <v>0</v>
      </c>
      <c r="T74" s="593">
        <v>0</v>
      </c>
      <c r="U74" s="593">
        <v>0</v>
      </c>
      <c r="V74" s="593">
        <v>0</v>
      </c>
      <c r="W74" s="593">
        <v>0</v>
      </c>
      <c r="X74" s="593">
        <v>0</v>
      </c>
      <c r="Y74" s="593">
        <f t="shared" ref="Y74:Y137" si="5">SUM(M74:X74)</f>
        <v>0</v>
      </c>
    </row>
    <row r="75" spans="1:25">
      <c r="A75" s="582" t="s">
        <v>1085</v>
      </c>
      <c r="B75" s="704"/>
      <c r="C75" s="582" t="s">
        <v>491</v>
      </c>
      <c r="E75" s="582" t="s">
        <v>168</v>
      </c>
      <c r="F75" s="582" t="s">
        <v>494</v>
      </c>
      <c r="G75" s="582" t="s">
        <v>372</v>
      </c>
      <c r="H75" s="582" t="s">
        <v>219</v>
      </c>
      <c r="I75" s="582" t="s">
        <v>218</v>
      </c>
      <c r="J75" s="582" t="s">
        <v>12</v>
      </c>
      <c r="K75" s="582" t="str">
        <f t="shared" si="4"/>
        <v>120203.Supt Opns II</v>
      </c>
      <c r="L75" s="583" t="s">
        <v>1093</v>
      </c>
      <c r="M75" s="593">
        <v>0</v>
      </c>
      <c r="N75" s="593">
        <v>0</v>
      </c>
      <c r="O75" s="593">
        <v>0</v>
      </c>
      <c r="P75" s="593">
        <v>0</v>
      </c>
      <c r="Q75" s="593">
        <v>0</v>
      </c>
      <c r="R75" s="593">
        <v>0</v>
      </c>
      <c r="S75" s="593">
        <v>0</v>
      </c>
      <c r="T75" s="593">
        <v>0</v>
      </c>
      <c r="U75" s="593">
        <v>0</v>
      </c>
      <c r="V75" s="593">
        <v>0</v>
      </c>
      <c r="W75" s="593">
        <v>0</v>
      </c>
      <c r="X75" s="593">
        <v>0</v>
      </c>
      <c r="Y75" s="593">
        <f t="shared" si="5"/>
        <v>0</v>
      </c>
    </row>
    <row r="76" spans="1:25">
      <c r="A76" s="582" t="s">
        <v>1085</v>
      </c>
      <c r="B76" s="704"/>
      <c r="C76" s="582" t="s">
        <v>491</v>
      </c>
      <c r="E76" s="582" t="s">
        <v>492</v>
      </c>
      <c r="F76" s="582" t="s">
        <v>493</v>
      </c>
      <c r="G76" s="582" t="s">
        <v>372</v>
      </c>
      <c r="H76" s="582" t="s">
        <v>219</v>
      </c>
      <c r="I76" s="582" t="s">
        <v>218</v>
      </c>
      <c r="J76" s="582" t="s">
        <v>800</v>
      </c>
      <c r="K76" s="582" t="str">
        <f t="shared" si="4"/>
        <v>120203.Specialist Service Delivery</v>
      </c>
      <c r="L76" s="583" t="s">
        <v>1095</v>
      </c>
      <c r="M76" s="593">
        <v>0</v>
      </c>
      <c r="N76" s="593">
        <v>0</v>
      </c>
      <c r="O76" s="593">
        <v>0</v>
      </c>
      <c r="P76" s="593">
        <v>0</v>
      </c>
      <c r="Q76" s="593">
        <v>0</v>
      </c>
      <c r="R76" s="593">
        <v>0</v>
      </c>
      <c r="S76" s="593">
        <v>0</v>
      </c>
      <c r="T76" s="593">
        <v>0</v>
      </c>
      <c r="U76" s="593">
        <v>0</v>
      </c>
      <c r="V76" s="593">
        <v>0</v>
      </c>
      <c r="W76" s="593">
        <v>0</v>
      </c>
      <c r="X76" s="593">
        <v>0</v>
      </c>
      <c r="Y76" s="593">
        <f t="shared" si="5"/>
        <v>0</v>
      </c>
    </row>
    <row r="77" spans="1:25">
      <c r="A77" s="582" t="s">
        <v>1085</v>
      </c>
      <c r="B77" s="706"/>
      <c r="E77" s="582" t="s">
        <v>492</v>
      </c>
      <c r="F77" s="582" t="s">
        <v>493</v>
      </c>
      <c r="G77" s="582" t="s">
        <v>372</v>
      </c>
      <c r="H77" s="582" t="s">
        <v>219</v>
      </c>
      <c r="I77" s="582" t="s">
        <v>218</v>
      </c>
      <c r="J77" s="582" t="s">
        <v>800</v>
      </c>
      <c r="K77" s="582" t="str">
        <f t="shared" si="4"/>
        <v>120203.Specialist Service Delivery</v>
      </c>
      <c r="L77" s="583" t="s">
        <v>1095</v>
      </c>
      <c r="M77" s="593">
        <v>0</v>
      </c>
      <c r="N77" s="593">
        <v>0</v>
      </c>
      <c r="O77" s="593">
        <v>0</v>
      </c>
      <c r="P77" s="593">
        <v>0</v>
      </c>
      <c r="Q77" s="593">
        <v>0</v>
      </c>
      <c r="R77" s="593">
        <v>0</v>
      </c>
      <c r="S77" s="593">
        <v>0</v>
      </c>
      <c r="T77" s="593">
        <v>0</v>
      </c>
      <c r="U77" s="593">
        <v>0</v>
      </c>
      <c r="V77" s="593">
        <v>0</v>
      </c>
      <c r="W77" s="593">
        <v>0</v>
      </c>
      <c r="X77" s="593">
        <v>0</v>
      </c>
      <c r="Y77" s="593">
        <f t="shared" si="5"/>
        <v>0</v>
      </c>
    </row>
    <row r="78" spans="1:25">
      <c r="A78" s="582" t="s">
        <v>1085</v>
      </c>
      <c r="B78" s="704"/>
      <c r="C78" s="582" t="s">
        <v>491</v>
      </c>
      <c r="E78" s="582" t="s">
        <v>492</v>
      </c>
      <c r="F78" s="582" t="s">
        <v>493</v>
      </c>
      <c r="G78" s="582" t="s">
        <v>372</v>
      </c>
      <c r="H78" s="582" t="s">
        <v>884</v>
      </c>
      <c r="I78" s="582" t="s">
        <v>883</v>
      </c>
      <c r="J78" s="582" t="s">
        <v>301</v>
      </c>
      <c r="K78" s="582" t="str">
        <f t="shared" si="4"/>
        <v>120306.Clerk Opns (N)</v>
      </c>
      <c r="L78" s="583" t="s">
        <v>1087</v>
      </c>
      <c r="M78" s="593">
        <v>0</v>
      </c>
      <c r="N78" s="593">
        <v>0</v>
      </c>
      <c r="O78" s="593">
        <v>0</v>
      </c>
      <c r="P78" s="593">
        <v>0</v>
      </c>
      <c r="Q78" s="593">
        <v>0</v>
      </c>
      <c r="R78" s="593">
        <v>0</v>
      </c>
      <c r="S78" s="593">
        <v>0</v>
      </c>
      <c r="T78" s="593">
        <v>0</v>
      </c>
      <c r="U78" s="593">
        <v>0</v>
      </c>
      <c r="V78" s="593">
        <v>0</v>
      </c>
      <c r="W78" s="593">
        <v>0</v>
      </c>
      <c r="X78" s="593">
        <v>0</v>
      </c>
      <c r="Y78" s="593">
        <f t="shared" si="5"/>
        <v>0</v>
      </c>
    </row>
    <row r="79" spans="1:25">
      <c r="A79" s="582" t="s">
        <v>1085</v>
      </c>
      <c r="B79" s="704"/>
      <c r="C79" s="582" t="s">
        <v>491</v>
      </c>
      <c r="E79" s="582" t="s">
        <v>492</v>
      </c>
      <c r="F79" s="582" t="s">
        <v>493</v>
      </c>
      <c r="G79" s="582" t="s">
        <v>887</v>
      </c>
      <c r="H79" s="582" t="s">
        <v>884</v>
      </c>
      <c r="I79" s="582" t="s">
        <v>883</v>
      </c>
      <c r="J79" s="582" t="s">
        <v>318</v>
      </c>
      <c r="K79" s="582" t="str">
        <f t="shared" si="4"/>
        <v>120306.Operations Generalist II (N)</v>
      </c>
      <c r="L79" s="583" t="s">
        <v>1096</v>
      </c>
      <c r="M79" s="593">
        <v>0</v>
      </c>
      <c r="N79" s="593">
        <v>0</v>
      </c>
      <c r="O79" s="593">
        <v>0</v>
      </c>
      <c r="P79" s="593">
        <v>0</v>
      </c>
      <c r="Q79" s="593">
        <v>0</v>
      </c>
      <c r="R79" s="593">
        <v>0</v>
      </c>
      <c r="S79" s="593">
        <v>0</v>
      </c>
      <c r="T79" s="593">
        <v>0</v>
      </c>
      <c r="U79" s="593">
        <v>0</v>
      </c>
      <c r="V79" s="593">
        <v>0</v>
      </c>
      <c r="W79" s="593">
        <v>0</v>
      </c>
      <c r="X79" s="593">
        <v>0</v>
      </c>
      <c r="Y79" s="593">
        <f t="shared" si="5"/>
        <v>0</v>
      </c>
    </row>
    <row r="80" spans="1:25">
      <c r="A80" s="582" t="s">
        <v>1085</v>
      </c>
      <c r="B80" s="704"/>
      <c r="C80" s="582" t="s">
        <v>491</v>
      </c>
      <c r="E80" s="582" t="s">
        <v>492</v>
      </c>
      <c r="F80" s="582" t="s">
        <v>493</v>
      </c>
      <c r="G80" s="582" t="s">
        <v>281</v>
      </c>
      <c r="H80" s="582" t="s">
        <v>264</v>
      </c>
      <c r="I80" s="582" t="s">
        <v>263</v>
      </c>
      <c r="J80" s="582" t="s">
        <v>283</v>
      </c>
      <c r="K80" s="582" t="str">
        <f t="shared" si="4"/>
        <v>120201.Admin Asst - Staff Supp (N)</v>
      </c>
      <c r="L80" s="583" t="s">
        <v>1096</v>
      </c>
      <c r="M80" s="593">
        <v>8</v>
      </c>
      <c r="N80" s="593">
        <v>8</v>
      </c>
      <c r="O80" s="593">
        <v>8</v>
      </c>
      <c r="P80" s="593">
        <v>8</v>
      </c>
      <c r="Q80" s="593">
        <v>8</v>
      </c>
      <c r="R80" s="593">
        <v>8</v>
      </c>
      <c r="S80" s="593">
        <v>8</v>
      </c>
      <c r="T80" s="593">
        <v>8</v>
      </c>
      <c r="U80" s="593">
        <v>8</v>
      </c>
      <c r="V80" s="593">
        <v>8</v>
      </c>
      <c r="W80" s="593">
        <v>8</v>
      </c>
      <c r="X80" s="593">
        <v>8</v>
      </c>
      <c r="Y80" s="593">
        <f t="shared" si="5"/>
        <v>96</v>
      </c>
    </row>
    <row r="81" spans="1:25">
      <c r="A81" s="582" t="s">
        <v>1085</v>
      </c>
      <c r="B81" s="704"/>
      <c r="C81" s="582" t="s">
        <v>491</v>
      </c>
      <c r="E81" s="582" t="s">
        <v>492</v>
      </c>
      <c r="F81" s="582" t="s">
        <v>493</v>
      </c>
      <c r="G81" s="582" t="s">
        <v>281</v>
      </c>
      <c r="H81" s="582" t="s">
        <v>264</v>
      </c>
      <c r="I81" s="582" t="s">
        <v>263</v>
      </c>
      <c r="J81" s="582" t="s">
        <v>14</v>
      </c>
      <c r="K81" s="582" t="str">
        <f t="shared" si="4"/>
        <v>120201.Specialist Operations (N)</v>
      </c>
      <c r="L81" s="583" t="s">
        <v>1086</v>
      </c>
      <c r="M81" s="593">
        <v>5</v>
      </c>
      <c r="N81" s="593">
        <v>5</v>
      </c>
      <c r="O81" s="593">
        <v>5</v>
      </c>
      <c r="P81" s="593">
        <v>5</v>
      </c>
      <c r="Q81" s="593">
        <v>5</v>
      </c>
      <c r="R81" s="593">
        <v>5</v>
      </c>
      <c r="S81" s="593">
        <v>5</v>
      </c>
      <c r="T81" s="593">
        <v>5</v>
      </c>
      <c r="U81" s="593">
        <v>5</v>
      </c>
      <c r="V81" s="593">
        <v>5</v>
      </c>
      <c r="W81" s="593">
        <v>5</v>
      </c>
      <c r="X81" s="593">
        <v>5</v>
      </c>
      <c r="Y81" s="593">
        <f t="shared" si="5"/>
        <v>60</v>
      </c>
    </row>
    <row r="82" spans="1:25">
      <c r="A82" s="582" t="s">
        <v>1085</v>
      </c>
      <c r="B82" s="704"/>
      <c r="C82" s="582" t="s">
        <v>491</v>
      </c>
      <c r="E82" s="582" t="s">
        <v>168</v>
      </c>
      <c r="F82" s="582" t="s">
        <v>494</v>
      </c>
      <c r="G82" s="582" t="s">
        <v>266</v>
      </c>
      <c r="H82" s="582" t="s">
        <v>264</v>
      </c>
      <c r="I82" s="582" t="s">
        <v>263</v>
      </c>
      <c r="J82" s="582" t="s">
        <v>10</v>
      </c>
      <c r="K82" s="582" t="str">
        <f t="shared" si="4"/>
        <v>120201.Supvr Opns II</v>
      </c>
      <c r="L82" s="583" t="s">
        <v>1094</v>
      </c>
      <c r="M82" s="593">
        <v>0</v>
      </c>
      <c r="N82" s="593">
        <v>0</v>
      </c>
      <c r="O82" s="593">
        <v>0</v>
      </c>
      <c r="P82" s="593">
        <v>0</v>
      </c>
      <c r="Q82" s="593">
        <v>0</v>
      </c>
      <c r="R82" s="593">
        <v>0</v>
      </c>
      <c r="S82" s="593">
        <v>0</v>
      </c>
      <c r="T82" s="593">
        <v>0</v>
      </c>
      <c r="U82" s="593">
        <v>0</v>
      </c>
      <c r="V82" s="593">
        <v>0</v>
      </c>
      <c r="W82" s="593">
        <v>0</v>
      </c>
      <c r="X82" s="593">
        <v>0</v>
      </c>
      <c r="Y82" s="593">
        <f t="shared" si="5"/>
        <v>0</v>
      </c>
    </row>
    <row r="83" spans="1:25">
      <c r="A83" s="582" t="s">
        <v>1085</v>
      </c>
      <c r="B83" s="704"/>
      <c r="C83" s="582" t="s">
        <v>495</v>
      </c>
      <c r="E83" s="582" t="s">
        <v>492</v>
      </c>
      <c r="F83" s="582" t="s">
        <v>493</v>
      </c>
      <c r="G83" s="582" t="s">
        <v>266</v>
      </c>
      <c r="H83" s="582" t="s">
        <v>264</v>
      </c>
      <c r="I83" s="582" t="s">
        <v>263</v>
      </c>
      <c r="J83" s="582" t="s">
        <v>267</v>
      </c>
      <c r="K83" s="582" t="str">
        <f t="shared" si="4"/>
        <v>120201.Maintenance Technician II F320O</v>
      </c>
      <c r="L83" s="583" t="s">
        <v>491</v>
      </c>
      <c r="M83" s="593">
        <v>20</v>
      </c>
      <c r="N83" s="593">
        <v>20</v>
      </c>
      <c r="O83" s="593">
        <v>20</v>
      </c>
      <c r="P83" s="593">
        <v>20</v>
      </c>
      <c r="Q83" s="593">
        <v>20</v>
      </c>
      <c r="R83" s="593">
        <v>20</v>
      </c>
      <c r="S83" s="593">
        <v>20</v>
      </c>
      <c r="T83" s="593">
        <v>20</v>
      </c>
      <c r="U83" s="593">
        <v>20</v>
      </c>
      <c r="V83" s="593">
        <v>20</v>
      </c>
      <c r="W83" s="593">
        <v>20</v>
      </c>
      <c r="X83" s="593">
        <v>20</v>
      </c>
      <c r="Y83" s="593">
        <f t="shared" si="5"/>
        <v>240</v>
      </c>
    </row>
    <row r="84" spans="1:25">
      <c r="A84" s="582" t="s">
        <v>1085</v>
      </c>
      <c r="B84" s="704"/>
      <c r="C84" s="582" t="s">
        <v>491</v>
      </c>
      <c r="E84" s="582" t="s">
        <v>492</v>
      </c>
      <c r="F84" s="582" t="s">
        <v>493</v>
      </c>
      <c r="G84" s="582" t="s">
        <v>281</v>
      </c>
      <c r="H84" s="582" t="s">
        <v>264</v>
      </c>
      <c r="I84" s="582" t="s">
        <v>263</v>
      </c>
      <c r="J84" s="582" t="s">
        <v>16</v>
      </c>
      <c r="K84" s="582" t="str">
        <f t="shared" si="4"/>
        <v>120201.Wastewater Operator</v>
      </c>
      <c r="L84" s="583" t="s">
        <v>45</v>
      </c>
      <c r="M84" s="593">
        <v>25</v>
      </c>
      <c r="N84" s="593">
        <v>25</v>
      </c>
      <c r="O84" s="593">
        <v>25</v>
      </c>
      <c r="P84" s="593">
        <v>25</v>
      </c>
      <c r="Q84" s="593">
        <v>25</v>
      </c>
      <c r="R84" s="593">
        <v>25</v>
      </c>
      <c r="S84" s="593">
        <v>25</v>
      </c>
      <c r="T84" s="593">
        <v>25</v>
      </c>
      <c r="U84" s="593">
        <v>25</v>
      </c>
      <c r="V84" s="593">
        <v>25</v>
      </c>
      <c r="W84" s="593">
        <v>25</v>
      </c>
      <c r="X84" s="593">
        <v>25</v>
      </c>
      <c r="Y84" s="593">
        <f t="shared" si="5"/>
        <v>300</v>
      </c>
    </row>
    <row r="85" spans="1:25">
      <c r="A85" s="582" t="s">
        <v>1085</v>
      </c>
      <c r="B85" s="704"/>
      <c r="C85" s="582" t="s">
        <v>491</v>
      </c>
      <c r="E85" s="582" t="s">
        <v>168</v>
      </c>
      <c r="F85" s="582" t="s">
        <v>494</v>
      </c>
      <c r="G85" s="582" t="s">
        <v>281</v>
      </c>
      <c r="H85" s="582" t="s">
        <v>264</v>
      </c>
      <c r="I85" s="582" t="s">
        <v>263</v>
      </c>
      <c r="J85" s="582" t="s">
        <v>309</v>
      </c>
      <c r="K85" s="582" t="str">
        <f t="shared" si="4"/>
        <v>120201.Mgr Opns</v>
      </c>
      <c r="L85" s="583" t="s">
        <v>1089</v>
      </c>
      <c r="M85" s="593">
        <v>0</v>
      </c>
      <c r="N85" s="593">
        <v>0</v>
      </c>
      <c r="O85" s="593">
        <v>0</v>
      </c>
      <c r="P85" s="593">
        <v>0</v>
      </c>
      <c r="Q85" s="593">
        <v>0</v>
      </c>
      <c r="R85" s="593">
        <v>0</v>
      </c>
      <c r="S85" s="593">
        <v>0</v>
      </c>
      <c r="T85" s="593">
        <v>0</v>
      </c>
      <c r="U85" s="593">
        <v>0</v>
      </c>
      <c r="V85" s="593">
        <v>0</v>
      </c>
      <c r="W85" s="593">
        <v>0</v>
      </c>
      <c r="X85" s="593">
        <v>0</v>
      </c>
      <c r="Y85" s="593">
        <f t="shared" si="5"/>
        <v>0</v>
      </c>
    </row>
    <row r="86" spans="1:25">
      <c r="A86" s="582" t="s">
        <v>1085</v>
      </c>
      <c r="B86" s="704"/>
      <c r="C86" s="582" t="s">
        <v>495</v>
      </c>
      <c r="E86" s="582" t="s">
        <v>492</v>
      </c>
      <c r="F86" s="582" t="s">
        <v>493</v>
      </c>
      <c r="G86" s="582" t="s">
        <v>266</v>
      </c>
      <c r="H86" s="582" t="s">
        <v>264</v>
      </c>
      <c r="I86" s="582" t="s">
        <v>263</v>
      </c>
      <c r="J86" s="582" t="s">
        <v>267</v>
      </c>
      <c r="K86" s="582" t="str">
        <f t="shared" si="4"/>
        <v>120201.Maintenance Technician II F320O</v>
      </c>
      <c r="L86" s="583" t="s">
        <v>491</v>
      </c>
      <c r="M86" s="593">
        <v>20</v>
      </c>
      <c r="N86" s="593">
        <v>20</v>
      </c>
      <c r="O86" s="593">
        <v>20</v>
      </c>
      <c r="P86" s="593">
        <v>20</v>
      </c>
      <c r="Q86" s="593">
        <v>20</v>
      </c>
      <c r="R86" s="593">
        <v>20</v>
      </c>
      <c r="S86" s="593">
        <v>20</v>
      </c>
      <c r="T86" s="593">
        <v>20</v>
      </c>
      <c r="U86" s="593">
        <v>20</v>
      </c>
      <c r="V86" s="593">
        <v>20</v>
      </c>
      <c r="W86" s="593">
        <v>20</v>
      </c>
      <c r="X86" s="593">
        <v>20</v>
      </c>
      <c r="Y86" s="593">
        <f t="shared" si="5"/>
        <v>240</v>
      </c>
    </row>
    <row r="87" spans="1:25">
      <c r="A87" s="582" t="s">
        <v>1085</v>
      </c>
      <c r="B87" s="704"/>
      <c r="C87" s="582" t="s">
        <v>495</v>
      </c>
      <c r="E87" s="582" t="s">
        <v>492</v>
      </c>
      <c r="F87" s="582" t="s">
        <v>493</v>
      </c>
      <c r="G87" s="582" t="s">
        <v>266</v>
      </c>
      <c r="H87" s="582" t="s">
        <v>264</v>
      </c>
      <c r="I87" s="582" t="s">
        <v>263</v>
      </c>
      <c r="J87" s="582" t="s">
        <v>862</v>
      </c>
      <c r="K87" s="582" t="str">
        <f t="shared" si="4"/>
        <v>120201.Maintenance Technician I F320O</v>
      </c>
      <c r="L87" s="583" t="s">
        <v>491</v>
      </c>
      <c r="M87" s="593">
        <v>20</v>
      </c>
      <c r="N87" s="593">
        <v>20</v>
      </c>
      <c r="O87" s="593">
        <v>20</v>
      </c>
      <c r="P87" s="593">
        <v>20</v>
      </c>
      <c r="Q87" s="593">
        <v>20</v>
      </c>
      <c r="R87" s="593">
        <v>20</v>
      </c>
      <c r="S87" s="593">
        <v>20</v>
      </c>
      <c r="T87" s="593">
        <v>20</v>
      </c>
      <c r="U87" s="593">
        <v>20</v>
      </c>
      <c r="V87" s="593">
        <v>20</v>
      </c>
      <c r="W87" s="593">
        <v>20</v>
      </c>
      <c r="X87" s="593">
        <v>20</v>
      </c>
      <c r="Y87" s="593">
        <f t="shared" si="5"/>
        <v>240</v>
      </c>
    </row>
    <row r="88" spans="1:25">
      <c r="A88" s="582" t="s">
        <v>1085</v>
      </c>
      <c r="B88" s="704"/>
      <c r="C88" s="582" t="s">
        <v>491</v>
      </c>
      <c r="E88" s="582" t="s">
        <v>492</v>
      </c>
      <c r="F88" s="582" t="s">
        <v>493</v>
      </c>
      <c r="G88" s="582" t="s">
        <v>266</v>
      </c>
      <c r="H88" s="582" t="s">
        <v>264</v>
      </c>
      <c r="I88" s="582" t="s">
        <v>263</v>
      </c>
      <c r="J88" s="582" t="s">
        <v>924</v>
      </c>
      <c r="K88" s="582" t="str">
        <f t="shared" si="4"/>
        <v>120201.Automation &amp; Controls Technician II</v>
      </c>
      <c r="L88" s="583" t="s">
        <v>1097</v>
      </c>
      <c r="M88" s="593">
        <v>0</v>
      </c>
      <c r="N88" s="593">
        <v>0</v>
      </c>
      <c r="O88" s="593">
        <v>0</v>
      </c>
      <c r="P88" s="593">
        <v>0</v>
      </c>
      <c r="Q88" s="593">
        <v>0</v>
      </c>
      <c r="R88" s="593">
        <v>0</v>
      </c>
      <c r="S88" s="593">
        <v>0</v>
      </c>
      <c r="T88" s="593">
        <v>0</v>
      </c>
      <c r="U88" s="593">
        <v>0</v>
      </c>
      <c r="V88" s="593">
        <v>0</v>
      </c>
      <c r="W88" s="593">
        <v>0</v>
      </c>
      <c r="X88" s="593">
        <v>0</v>
      </c>
      <c r="Y88" s="593">
        <f t="shared" si="5"/>
        <v>0</v>
      </c>
    </row>
    <row r="89" spans="1:25">
      <c r="A89" s="582" t="s">
        <v>1085</v>
      </c>
      <c r="B89" s="704"/>
      <c r="C89" s="582" t="s">
        <v>495</v>
      </c>
      <c r="E89" s="582" t="s">
        <v>492</v>
      </c>
      <c r="F89" s="582" t="s">
        <v>493</v>
      </c>
      <c r="G89" s="582" t="s">
        <v>266</v>
      </c>
      <c r="H89" s="582" t="s">
        <v>264</v>
      </c>
      <c r="I89" s="582" t="s">
        <v>263</v>
      </c>
      <c r="J89" s="582" t="s">
        <v>862</v>
      </c>
      <c r="K89" s="582" t="str">
        <f t="shared" si="4"/>
        <v>120201.Maintenance Technician I F320O</v>
      </c>
      <c r="L89" s="583" t="s">
        <v>491</v>
      </c>
      <c r="M89" s="593">
        <v>20</v>
      </c>
      <c r="N89" s="593">
        <v>20</v>
      </c>
      <c r="O89" s="593">
        <v>20</v>
      </c>
      <c r="P89" s="593">
        <v>20</v>
      </c>
      <c r="Q89" s="593">
        <v>20</v>
      </c>
      <c r="R89" s="593">
        <v>20</v>
      </c>
      <c r="S89" s="593">
        <v>20</v>
      </c>
      <c r="T89" s="593">
        <v>20</v>
      </c>
      <c r="U89" s="593">
        <v>20</v>
      </c>
      <c r="V89" s="593">
        <v>20</v>
      </c>
      <c r="W89" s="593">
        <v>20</v>
      </c>
      <c r="X89" s="593">
        <v>20</v>
      </c>
      <c r="Y89" s="593">
        <f t="shared" si="5"/>
        <v>240</v>
      </c>
    </row>
    <row r="90" spans="1:25">
      <c r="A90" s="582" t="s">
        <v>1085</v>
      </c>
      <c r="B90" s="704"/>
      <c r="C90" s="582" t="s">
        <v>495</v>
      </c>
      <c r="E90" s="582" t="s">
        <v>492</v>
      </c>
      <c r="F90" s="582" t="s">
        <v>493</v>
      </c>
      <c r="G90" s="582" t="s">
        <v>258</v>
      </c>
      <c r="H90" s="582" t="s">
        <v>256</v>
      </c>
      <c r="I90" s="582" t="s">
        <v>255</v>
      </c>
      <c r="J90" s="582" t="s">
        <v>261</v>
      </c>
      <c r="K90" s="582" t="str">
        <f t="shared" si="4"/>
        <v>120250.Treatment Plt Opr F320O U511</v>
      </c>
      <c r="L90" s="583" t="s">
        <v>491</v>
      </c>
      <c r="M90" s="593">
        <v>16</v>
      </c>
      <c r="N90" s="593">
        <v>16</v>
      </c>
      <c r="O90" s="593">
        <v>16</v>
      </c>
      <c r="P90" s="593">
        <v>16</v>
      </c>
      <c r="Q90" s="593">
        <v>16</v>
      </c>
      <c r="R90" s="593">
        <v>16</v>
      </c>
      <c r="S90" s="593">
        <v>16</v>
      </c>
      <c r="T90" s="593">
        <v>16</v>
      </c>
      <c r="U90" s="593">
        <v>16</v>
      </c>
      <c r="V90" s="593">
        <v>16</v>
      </c>
      <c r="W90" s="593">
        <v>16</v>
      </c>
      <c r="X90" s="593">
        <v>16</v>
      </c>
      <c r="Y90" s="593">
        <f t="shared" si="5"/>
        <v>192</v>
      </c>
    </row>
    <row r="91" spans="1:25">
      <c r="A91" s="582" t="s">
        <v>1085</v>
      </c>
      <c r="B91" s="704"/>
      <c r="C91" s="582" t="s">
        <v>495</v>
      </c>
      <c r="E91" s="582" t="s">
        <v>492</v>
      </c>
      <c r="F91" s="582" t="s">
        <v>493</v>
      </c>
      <c r="G91" s="582" t="s">
        <v>258</v>
      </c>
      <c r="H91" s="582" t="s">
        <v>256</v>
      </c>
      <c r="I91" s="582" t="s">
        <v>255</v>
      </c>
      <c r="J91" s="582" t="s">
        <v>261</v>
      </c>
      <c r="K91" s="582" t="str">
        <f t="shared" si="4"/>
        <v>120250.Treatment Plt Opr F320O U511</v>
      </c>
      <c r="L91" s="583" t="s">
        <v>491</v>
      </c>
      <c r="M91" s="593">
        <v>16</v>
      </c>
      <c r="N91" s="593">
        <v>16</v>
      </c>
      <c r="O91" s="593">
        <v>16</v>
      </c>
      <c r="P91" s="593">
        <v>16</v>
      </c>
      <c r="Q91" s="593">
        <v>16</v>
      </c>
      <c r="R91" s="593">
        <v>16</v>
      </c>
      <c r="S91" s="593">
        <v>16</v>
      </c>
      <c r="T91" s="593">
        <v>16</v>
      </c>
      <c r="U91" s="593">
        <v>16</v>
      </c>
      <c r="V91" s="593">
        <v>16</v>
      </c>
      <c r="W91" s="593">
        <v>16</v>
      </c>
      <c r="X91" s="593">
        <v>16</v>
      </c>
      <c r="Y91" s="593">
        <f t="shared" si="5"/>
        <v>192</v>
      </c>
    </row>
    <row r="92" spans="1:25">
      <c r="A92" s="582" t="s">
        <v>1085</v>
      </c>
      <c r="B92" s="704"/>
      <c r="C92" s="582" t="s">
        <v>495</v>
      </c>
      <c r="E92" s="582" t="s">
        <v>492</v>
      </c>
      <c r="F92" s="582" t="s">
        <v>493</v>
      </c>
      <c r="G92" s="582" t="s">
        <v>258</v>
      </c>
      <c r="H92" s="582" t="s">
        <v>256</v>
      </c>
      <c r="I92" s="582" t="s">
        <v>255</v>
      </c>
      <c r="J92" s="582" t="s">
        <v>298</v>
      </c>
      <c r="K92" s="582" t="str">
        <f t="shared" si="4"/>
        <v>120250.Treatment Plt Opr Utility F320O</v>
      </c>
      <c r="L92" s="583" t="s">
        <v>491</v>
      </c>
      <c r="M92" s="593">
        <v>16</v>
      </c>
      <c r="N92" s="593">
        <v>16</v>
      </c>
      <c r="O92" s="593">
        <v>16</v>
      </c>
      <c r="P92" s="593">
        <v>16</v>
      </c>
      <c r="Q92" s="593">
        <v>16</v>
      </c>
      <c r="R92" s="593">
        <v>16</v>
      </c>
      <c r="S92" s="593">
        <v>16</v>
      </c>
      <c r="T92" s="593">
        <v>16</v>
      </c>
      <c r="U92" s="593">
        <v>16</v>
      </c>
      <c r="V92" s="593">
        <v>16</v>
      </c>
      <c r="W92" s="593">
        <v>16</v>
      </c>
      <c r="X92" s="593">
        <v>16</v>
      </c>
      <c r="Y92" s="593">
        <f t="shared" si="5"/>
        <v>192</v>
      </c>
    </row>
    <row r="93" spans="1:25">
      <c r="A93" s="582" t="s">
        <v>1085</v>
      </c>
      <c r="B93" s="704"/>
      <c r="C93" s="582" t="s">
        <v>491</v>
      </c>
      <c r="E93" s="582" t="s">
        <v>168</v>
      </c>
      <c r="F93" s="582" t="s">
        <v>494</v>
      </c>
      <c r="G93" s="582" t="s">
        <v>258</v>
      </c>
      <c r="H93" s="582" t="s">
        <v>256</v>
      </c>
      <c r="I93" s="582" t="s">
        <v>255</v>
      </c>
      <c r="J93" s="582" t="s">
        <v>7</v>
      </c>
      <c r="K93" s="582" t="str">
        <f t="shared" si="4"/>
        <v>120250.Supvr Production</v>
      </c>
      <c r="L93" s="583" t="s">
        <v>1094</v>
      </c>
      <c r="M93" s="593">
        <v>0</v>
      </c>
      <c r="N93" s="593">
        <v>0</v>
      </c>
      <c r="O93" s="593">
        <v>0</v>
      </c>
      <c r="P93" s="593">
        <v>0</v>
      </c>
      <c r="Q93" s="593">
        <v>0</v>
      </c>
      <c r="R93" s="593">
        <v>0</v>
      </c>
      <c r="S93" s="593">
        <v>0</v>
      </c>
      <c r="T93" s="593">
        <v>0</v>
      </c>
      <c r="U93" s="593">
        <v>0</v>
      </c>
      <c r="V93" s="593">
        <v>0</v>
      </c>
      <c r="W93" s="593">
        <v>0</v>
      </c>
      <c r="X93" s="593">
        <v>0</v>
      </c>
      <c r="Y93" s="593">
        <f t="shared" si="5"/>
        <v>0</v>
      </c>
    </row>
    <row r="94" spans="1:25">
      <c r="A94" s="582" t="s">
        <v>1085</v>
      </c>
      <c r="B94" s="704"/>
      <c r="C94" s="582" t="s">
        <v>495</v>
      </c>
      <c r="E94" s="582" t="s">
        <v>492</v>
      </c>
      <c r="F94" s="582" t="s">
        <v>493</v>
      </c>
      <c r="G94" s="582" t="s">
        <v>258</v>
      </c>
      <c r="H94" s="582" t="s">
        <v>256</v>
      </c>
      <c r="I94" s="582" t="s">
        <v>255</v>
      </c>
      <c r="J94" s="582" t="s">
        <v>261</v>
      </c>
      <c r="K94" s="582" t="str">
        <f t="shared" si="4"/>
        <v>120250.Treatment Plt Opr F320O U511</v>
      </c>
      <c r="L94" s="583" t="s">
        <v>491</v>
      </c>
      <c r="M94" s="593">
        <v>16</v>
      </c>
      <c r="N94" s="593">
        <v>16</v>
      </c>
      <c r="O94" s="593">
        <v>16</v>
      </c>
      <c r="P94" s="593">
        <v>16</v>
      </c>
      <c r="Q94" s="593">
        <v>16</v>
      </c>
      <c r="R94" s="593">
        <v>16</v>
      </c>
      <c r="S94" s="593">
        <v>16</v>
      </c>
      <c r="T94" s="593">
        <v>16</v>
      </c>
      <c r="U94" s="593">
        <v>16</v>
      </c>
      <c r="V94" s="593">
        <v>16</v>
      </c>
      <c r="W94" s="593">
        <v>16</v>
      </c>
      <c r="X94" s="593">
        <v>16</v>
      </c>
      <c r="Y94" s="593">
        <f t="shared" si="5"/>
        <v>192</v>
      </c>
    </row>
    <row r="95" spans="1:25">
      <c r="A95" s="582" t="s">
        <v>1085</v>
      </c>
      <c r="B95" s="704"/>
      <c r="C95" s="582" t="s">
        <v>495</v>
      </c>
      <c r="E95" s="582" t="s">
        <v>492</v>
      </c>
      <c r="F95" s="582" t="s">
        <v>493</v>
      </c>
      <c r="G95" s="582" t="s">
        <v>258</v>
      </c>
      <c r="H95" s="582" t="s">
        <v>256</v>
      </c>
      <c r="I95" s="582" t="s">
        <v>255</v>
      </c>
      <c r="J95" s="582" t="s">
        <v>823</v>
      </c>
      <c r="K95" s="582" t="str">
        <f t="shared" si="4"/>
        <v>120250.Treatment Plant Operator Util 2S F320O</v>
      </c>
      <c r="L95" s="583" t="s">
        <v>491</v>
      </c>
      <c r="M95" s="593">
        <v>16</v>
      </c>
      <c r="N95" s="593">
        <v>16</v>
      </c>
      <c r="O95" s="593">
        <v>16</v>
      </c>
      <c r="P95" s="593">
        <v>16</v>
      </c>
      <c r="Q95" s="593">
        <v>16</v>
      </c>
      <c r="R95" s="593">
        <v>16</v>
      </c>
      <c r="S95" s="593">
        <v>16</v>
      </c>
      <c r="T95" s="593">
        <v>16</v>
      </c>
      <c r="U95" s="593">
        <v>16</v>
      </c>
      <c r="V95" s="593">
        <v>16</v>
      </c>
      <c r="W95" s="593">
        <v>16</v>
      </c>
      <c r="X95" s="593">
        <v>16</v>
      </c>
      <c r="Y95" s="593">
        <f t="shared" si="5"/>
        <v>192</v>
      </c>
    </row>
    <row r="96" spans="1:25">
      <c r="A96" s="582" t="s">
        <v>1085</v>
      </c>
      <c r="B96" s="704"/>
      <c r="C96" s="582" t="s">
        <v>495</v>
      </c>
      <c r="E96" s="582" t="s">
        <v>492</v>
      </c>
      <c r="F96" s="582" t="s">
        <v>493</v>
      </c>
      <c r="G96" s="582" t="s">
        <v>258</v>
      </c>
      <c r="H96" s="582" t="s">
        <v>256</v>
      </c>
      <c r="I96" s="582" t="s">
        <v>255</v>
      </c>
      <c r="J96" s="582" t="s">
        <v>925</v>
      </c>
      <c r="K96" s="582" t="str">
        <f t="shared" si="4"/>
        <v>120250.Treatment Plant Operator Utility SS F320</v>
      </c>
      <c r="L96" s="583" t="s">
        <v>491</v>
      </c>
      <c r="M96" s="593">
        <v>16</v>
      </c>
      <c r="N96" s="593">
        <v>16</v>
      </c>
      <c r="O96" s="593">
        <v>16</v>
      </c>
      <c r="P96" s="593">
        <v>16</v>
      </c>
      <c r="Q96" s="593">
        <v>16</v>
      </c>
      <c r="R96" s="593">
        <v>16</v>
      </c>
      <c r="S96" s="593">
        <v>16</v>
      </c>
      <c r="T96" s="593">
        <v>16</v>
      </c>
      <c r="U96" s="593">
        <v>16</v>
      </c>
      <c r="V96" s="593">
        <v>16</v>
      </c>
      <c r="W96" s="593">
        <v>16</v>
      </c>
      <c r="X96" s="593">
        <v>16</v>
      </c>
      <c r="Y96" s="593">
        <f t="shared" si="5"/>
        <v>192</v>
      </c>
    </row>
    <row r="97" spans="1:25">
      <c r="A97" s="582" t="s">
        <v>1085</v>
      </c>
      <c r="B97" s="704"/>
      <c r="C97" s="582" t="s">
        <v>495</v>
      </c>
      <c r="E97" s="582" t="s">
        <v>492</v>
      </c>
      <c r="F97" s="582" t="s">
        <v>493</v>
      </c>
      <c r="G97" s="582" t="s">
        <v>258</v>
      </c>
      <c r="H97" s="582" t="s">
        <v>256</v>
      </c>
      <c r="I97" s="582" t="s">
        <v>255</v>
      </c>
      <c r="J97" s="582" t="s">
        <v>852</v>
      </c>
      <c r="K97" s="582" t="str">
        <f t="shared" si="4"/>
        <v>120250.Treatment Plant Operator Trainee II</v>
      </c>
      <c r="L97" s="583" t="s">
        <v>491</v>
      </c>
      <c r="M97" s="593">
        <v>16</v>
      </c>
      <c r="N97" s="593">
        <v>16</v>
      </c>
      <c r="O97" s="593">
        <v>16</v>
      </c>
      <c r="P97" s="593">
        <v>16</v>
      </c>
      <c r="Q97" s="593">
        <v>16</v>
      </c>
      <c r="R97" s="593">
        <v>16</v>
      </c>
      <c r="S97" s="593">
        <v>16</v>
      </c>
      <c r="T97" s="593">
        <v>16</v>
      </c>
      <c r="U97" s="593">
        <v>16</v>
      </c>
      <c r="V97" s="593">
        <v>16</v>
      </c>
      <c r="W97" s="593">
        <v>16</v>
      </c>
      <c r="X97" s="593">
        <v>16</v>
      </c>
      <c r="Y97" s="593">
        <f t="shared" si="5"/>
        <v>192</v>
      </c>
    </row>
    <row r="98" spans="1:25">
      <c r="A98" s="582" t="s">
        <v>1085</v>
      </c>
      <c r="B98" s="704"/>
      <c r="C98" s="582" t="s">
        <v>495</v>
      </c>
      <c r="E98" s="582" t="s">
        <v>492</v>
      </c>
      <c r="F98" s="582" t="s">
        <v>493</v>
      </c>
      <c r="G98" s="582" t="s">
        <v>258</v>
      </c>
      <c r="H98" s="582" t="s">
        <v>256</v>
      </c>
      <c r="I98" s="582" t="s">
        <v>255</v>
      </c>
      <c r="J98" s="582" t="s">
        <v>303</v>
      </c>
      <c r="K98" s="582" t="str">
        <f t="shared" si="4"/>
        <v>120250.Treatment Plt Opr Relief F320O</v>
      </c>
      <c r="L98" s="583" t="s">
        <v>491</v>
      </c>
      <c r="M98" s="593">
        <v>16</v>
      </c>
      <c r="N98" s="593">
        <v>16</v>
      </c>
      <c r="O98" s="593">
        <v>16</v>
      </c>
      <c r="P98" s="593">
        <v>16</v>
      </c>
      <c r="Q98" s="593">
        <v>16</v>
      </c>
      <c r="R98" s="593">
        <v>16</v>
      </c>
      <c r="S98" s="593">
        <v>16</v>
      </c>
      <c r="T98" s="593">
        <v>16</v>
      </c>
      <c r="U98" s="593">
        <v>16</v>
      </c>
      <c r="V98" s="593">
        <v>16</v>
      </c>
      <c r="W98" s="593">
        <v>16</v>
      </c>
      <c r="X98" s="593">
        <v>16</v>
      </c>
      <c r="Y98" s="593">
        <f t="shared" si="5"/>
        <v>192</v>
      </c>
    </row>
    <row r="99" spans="1:25">
      <c r="A99" s="582" t="s">
        <v>1085</v>
      </c>
      <c r="B99" s="704"/>
      <c r="C99" s="582" t="s">
        <v>495</v>
      </c>
      <c r="E99" s="582" t="s">
        <v>492</v>
      </c>
      <c r="F99" s="582" t="s">
        <v>493</v>
      </c>
      <c r="G99" s="582" t="s">
        <v>258</v>
      </c>
      <c r="H99" s="582" t="s">
        <v>256</v>
      </c>
      <c r="I99" s="582" t="s">
        <v>255</v>
      </c>
      <c r="J99" s="582" t="s">
        <v>856</v>
      </c>
      <c r="K99" s="582" t="str">
        <f t="shared" si="4"/>
        <v>120250.TREATMENT PLANT OPERATOR 3S F320O</v>
      </c>
      <c r="L99" s="583" t="s">
        <v>491</v>
      </c>
      <c r="M99" s="593">
        <v>16</v>
      </c>
      <c r="N99" s="593">
        <v>16</v>
      </c>
      <c r="O99" s="593">
        <v>16</v>
      </c>
      <c r="P99" s="593">
        <v>16</v>
      </c>
      <c r="Q99" s="593">
        <v>16</v>
      </c>
      <c r="R99" s="593">
        <v>16</v>
      </c>
      <c r="S99" s="593">
        <v>16</v>
      </c>
      <c r="T99" s="593">
        <v>16</v>
      </c>
      <c r="U99" s="593">
        <v>16</v>
      </c>
      <c r="V99" s="593">
        <v>16</v>
      </c>
      <c r="W99" s="593">
        <v>16</v>
      </c>
      <c r="X99" s="593">
        <v>16</v>
      </c>
      <c r="Y99" s="593">
        <f t="shared" si="5"/>
        <v>192</v>
      </c>
    </row>
    <row r="100" spans="1:25">
      <c r="A100" s="582" t="s">
        <v>1085</v>
      </c>
      <c r="B100" s="704"/>
      <c r="C100" s="582" t="s">
        <v>495</v>
      </c>
      <c r="E100" s="582" t="s">
        <v>492</v>
      </c>
      <c r="F100" s="582" t="s">
        <v>493</v>
      </c>
      <c r="G100" s="582" t="s">
        <v>275</v>
      </c>
      <c r="H100" s="582" t="s">
        <v>273</v>
      </c>
      <c r="I100" s="582" t="s">
        <v>272</v>
      </c>
      <c r="J100" s="582" t="s">
        <v>261</v>
      </c>
      <c r="K100" s="582" t="str">
        <f t="shared" si="4"/>
        <v>120251.Treatment Plt Opr F320O U511</v>
      </c>
      <c r="L100" s="583" t="s">
        <v>491</v>
      </c>
      <c r="M100" s="593">
        <v>16</v>
      </c>
      <c r="N100" s="593">
        <v>16</v>
      </c>
      <c r="O100" s="593">
        <v>16</v>
      </c>
      <c r="P100" s="593">
        <v>16</v>
      </c>
      <c r="Q100" s="593">
        <v>16</v>
      </c>
      <c r="R100" s="593">
        <v>16</v>
      </c>
      <c r="S100" s="593">
        <v>16</v>
      </c>
      <c r="T100" s="593">
        <v>16</v>
      </c>
      <c r="U100" s="593">
        <v>16</v>
      </c>
      <c r="V100" s="593">
        <v>16</v>
      </c>
      <c r="W100" s="593">
        <v>16</v>
      </c>
      <c r="X100" s="593">
        <v>16</v>
      </c>
      <c r="Y100" s="593">
        <f t="shared" si="5"/>
        <v>192</v>
      </c>
    </row>
    <row r="101" spans="1:25">
      <c r="A101" s="582" t="s">
        <v>1085</v>
      </c>
      <c r="B101" s="704"/>
      <c r="C101" s="582" t="s">
        <v>495</v>
      </c>
      <c r="E101" s="582" t="s">
        <v>492</v>
      </c>
      <c r="F101" s="582" t="s">
        <v>493</v>
      </c>
      <c r="G101" s="582" t="s">
        <v>275</v>
      </c>
      <c r="H101" s="582" t="s">
        <v>273</v>
      </c>
      <c r="I101" s="582" t="s">
        <v>272</v>
      </c>
      <c r="J101" s="582" t="s">
        <v>261</v>
      </c>
      <c r="K101" s="582" t="str">
        <f t="shared" si="4"/>
        <v>120251.Treatment Plt Opr F320O U511</v>
      </c>
      <c r="L101" s="583" t="s">
        <v>491</v>
      </c>
      <c r="M101" s="593">
        <v>16</v>
      </c>
      <c r="N101" s="593">
        <v>16</v>
      </c>
      <c r="O101" s="593">
        <v>16</v>
      </c>
      <c r="P101" s="593">
        <v>16</v>
      </c>
      <c r="Q101" s="593">
        <v>16</v>
      </c>
      <c r="R101" s="593">
        <v>16</v>
      </c>
      <c r="S101" s="593">
        <v>16</v>
      </c>
      <c r="T101" s="593">
        <v>16</v>
      </c>
      <c r="U101" s="593">
        <v>16</v>
      </c>
      <c r="V101" s="593">
        <v>16</v>
      </c>
      <c r="W101" s="593">
        <v>16</v>
      </c>
      <c r="X101" s="593">
        <v>16</v>
      </c>
      <c r="Y101" s="593">
        <f t="shared" si="5"/>
        <v>192</v>
      </c>
    </row>
    <row r="102" spans="1:25">
      <c r="A102" s="582" t="s">
        <v>1085</v>
      </c>
      <c r="B102" s="704"/>
      <c r="C102" s="582" t="s">
        <v>495</v>
      </c>
      <c r="E102" s="582" t="s">
        <v>492</v>
      </c>
      <c r="F102" s="582" t="s">
        <v>493</v>
      </c>
      <c r="G102" s="582" t="s">
        <v>275</v>
      </c>
      <c r="H102" s="582" t="s">
        <v>273</v>
      </c>
      <c r="I102" s="582" t="s">
        <v>272</v>
      </c>
      <c r="J102" s="582" t="s">
        <v>261</v>
      </c>
      <c r="K102" s="582" t="str">
        <f t="shared" si="4"/>
        <v>120251.Treatment Plt Opr F320O U511</v>
      </c>
      <c r="L102" s="583" t="s">
        <v>491</v>
      </c>
      <c r="M102" s="593">
        <v>16</v>
      </c>
      <c r="N102" s="593">
        <v>16</v>
      </c>
      <c r="O102" s="593">
        <v>16</v>
      </c>
      <c r="P102" s="593">
        <v>16</v>
      </c>
      <c r="Q102" s="593">
        <v>16</v>
      </c>
      <c r="R102" s="593">
        <v>16</v>
      </c>
      <c r="S102" s="593">
        <v>16</v>
      </c>
      <c r="T102" s="593">
        <v>16</v>
      </c>
      <c r="U102" s="593">
        <v>16</v>
      </c>
      <c r="V102" s="593">
        <v>16</v>
      </c>
      <c r="W102" s="593">
        <v>16</v>
      </c>
      <c r="X102" s="593">
        <v>16</v>
      </c>
      <c r="Y102" s="593">
        <f t="shared" si="5"/>
        <v>192</v>
      </c>
    </row>
    <row r="103" spans="1:25">
      <c r="A103" s="582" t="s">
        <v>1085</v>
      </c>
      <c r="B103" s="704"/>
      <c r="C103" s="582" t="s">
        <v>495</v>
      </c>
      <c r="E103" s="582" t="s">
        <v>492</v>
      </c>
      <c r="F103" s="582" t="s">
        <v>493</v>
      </c>
      <c r="G103" s="582" t="s">
        <v>275</v>
      </c>
      <c r="H103" s="582" t="s">
        <v>273</v>
      </c>
      <c r="I103" s="582" t="s">
        <v>272</v>
      </c>
      <c r="J103" s="582" t="s">
        <v>261</v>
      </c>
      <c r="K103" s="582" t="str">
        <f t="shared" si="4"/>
        <v>120251.Treatment Plt Opr F320O U511</v>
      </c>
      <c r="L103" s="583" t="s">
        <v>491</v>
      </c>
      <c r="M103" s="593">
        <v>16</v>
      </c>
      <c r="N103" s="593">
        <v>16</v>
      </c>
      <c r="O103" s="593">
        <v>16</v>
      </c>
      <c r="P103" s="593">
        <v>16</v>
      </c>
      <c r="Q103" s="593">
        <v>16</v>
      </c>
      <c r="R103" s="593">
        <v>16</v>
      </c>
      <c r="S103" s="593">
        <v>16</v>
      </c>
      <c r="T103" s="593">
        <v>16</v>
      </c>
      <c r="U103" s="593">
        <v>16</v>
      </c>
      <c r="V103" s="593">
        <v>16</v>
      </c>
      <c r="W103" s="593">
        <v>16</v>
      </c>
      <c r="X103" s="593">
        <v>16</v>
      </c>
      <c r="Y103" s="593">
        <f t="shared" si="5"/>
        <v>192</v>
      </c>
    </row>
    <row r="104" spans="1:25">
      <c r="A104" s="582" t="s">
        <v>1085</v>
      </c>
      <c r="B104" s="704"/>
      <c r="C104" s="582" t="s">
        <v>495</v>
      </c>
      <c r="E104" s="582" t="s">
        <v>492</v>
      </c>
      <c r="F104" s="582" t="s">
        <v>493</v>
      </c>
      <c r="G104" s="582" t="s">
        <v>275</v>
      </c>
      <c r="H104" s="582" t="s">
        <v>273</v>
      </c>
      <c r="I104" s="582" t="s">
        <v>272</v>
      </c>
      <c r="J104" s="582" t="s">
        <v>835</v>
      </c>
      <c r="K104" s="582" t="str">
        <f t="shared" ref="K104:K135" si="6">CONCATENATE(I104,".",J104)</f>
        <v>120251.Treatment Plt Opr 2 F320O</v>
      </c>
      <c r="L104" s="583" t="s">
        <v>491</v>
      </c>
      <c r="M104" s="593">
        <v>16</v>
      </c>
      <c r="N104" s="593">
        <v>16</v>
      </c>
      <c r="O104" s="593">
        <v>16</v>
      </c>
      <c r="P104" s="593">
        <v>16</v>
      </c>
      <c r="Q104" s="593">
        <v>16</v>
      </c>
      <c r="R104" s="593">
        <v>16</v>
      </c>
      <c r="S104" s="593">
        <v>16</v>
      </c>
      <c r="T104" s="593">
        <v>16</v>
      </c>
      <c r="U104" s="593">
        <v>16</v>
      </c>
      <c r="V104" s="593">
        <v>16</v>
      </c>
      <c r="W104" s="593">
        <v>16</v>
      </c>
      <c r="X104" s="593">
        <v>16</v>
      </c>
      <c r="Y104" s="593">
        <f t="shared" si="5"/>
        <v>192</v>
      </c>
    </row>
    <row r="105" spans="1:25">
      <c r="A105" s="582" t="s">
        <v>1085</v>
      </c>
      <c r="B105" s="704"/>
      <c r="C105" s="582" t="s">
        <v>495</v>
      </c>
      <c r="E105" s="582" t="s">
        <v>492</v>
      </c>
      <c r="F105" s="582" t="s">
        <v>493</v>
      </c>
      <c r="G105" s="582" t="s">
        <v>275</v>
      </c>
      <c r="H105" s="582" t="s">
        <v>273</v>
      </c>
      <c r="I105" s="582" t="s">
        <v>272</v>
      </c>
      <c r="J105" s="582" t="s">
        <v>261</v>
      </c>
      <c r="K105" s="582" t="str">
        <f t="shared" si="6"/>
        <v>120251.Treatment Plt Opr F320O U511</v>
      </c>
      <c r="L105" s="583" t="s">
        <v>491</v>
      </c>
      <c r="M105" s="593">
        <v>16</v>
      </c>
      <c r="N105" s="593">
        <v>16</v>
      </c>
      <c r="O105" s="593">
        <v>16</v>
      </c>
      <c r="P105" s="593">
        <v>16</v>
      </c>
      <c r="Q105" s="593">
        <v>16</v>
      </c>
      <c r="R105" s="593">
        <v>16</v>
      </c>
      <c r="S105" s="593">
        <v>16</v>
      </c>
      <c r="T105" s="593">
        <v>16</v>
      </c>
      <c r="U105" s="593">
        <v>16</v>
      </c>
      <c r="V105" s="593">
        <v>16</v>
      </c>
      <c r="W105" s="593">
        <v>16</v>
      </c>
      <c r="X105" s="593">
        <v>16</v>
      </c>
      <c r="Y105" s="593">
        <f t="shared" si="5"/>
        <v>192</v>
      </c>
    </row>
    <row r="106" spans="1:25">
      <c r="A106" s="582" t="s">
        <v>1085</v>
      </c>
      <c r="B106" s="704"/>
      <c r="C106" s="582" t="s">
        <v>491</v>
      </c>
      <c r="E106" s="582" t="s">
        <v>168</v>
      </c>
      <c r="F106" s="582" t="s">
        <v>494</v>
      </c>
      <c r="G106" s="582" t="s">
        <v>275</v>
      </c>
      <c r="H106" s="582" t="s">
        <v>273</v>
      </c>
      <c r="I106" s="582" t="s">
        <v>272</v>
      </c>
      <c r="J106" s="582" t="s">
        <v>7</v>
      </c>
      <c r="K106" s="582" t="str">
        <f t="shared" si="6"/>
        <v>120251.Supvr Production</v>
      </c>
      <c r="L106" s="583" t="s">
        <v>1094</v>
      </c>
      <c r="M106" s="593">
        <v>0</v>
      </c>
      <c r="N106" s="593">
        <v>0</v>
      </c>
      <c r="O106" s="593">
        <v>0</v>
      </c>
      <c r="P106" s="593">
        <v>0</v>
      </c>
      <c r="Q106" s="593">
        <v>0</v>
      </c>
      <c r="R106" s="593">
        <v>0</v>
      </c>
      <c r="S106" s="593">
        <v>0</v>
      </c>
      <c r="T106" s="593">
        <v>0</v>
      </c>
      <c r="U106" s="593">
        <v>0</v>
      </c>
      <c r="V106" s="593">
        <v>0</v>
      </c>
      <c r="W106" s="593">
        <v>0</v>
      </c>
      <c r="X106" s="593">
        <v>0</v>
      </c>
      <c r="Y106" s="593">
        <f t="shared" si="5"/>
        <v>0</v>
      </c>
    </row>
    <row r="107" spans="1:25">
      <c r="A107" s="582" t="s">
        <v>1085</v>
      </c>
      <c r="B107" s="704"/>
      <c r="C107" s="582" t="s">
        <v>495</v>
      </c>
      <c r="E107" s="582" t="s">
        <v>492</v>
      </c>
      <c r="F107" s="582" t="s">
        <v>493</v>
      </c>
      <c r="G107" s="582" t="s">
        <v>275</v>
      </c>
      <c r="H107" s="582" t="s">
        <v>273</v>
      </c>
      <c r="I107" s="582" t="s">
        <v>272</v>
      </c>
      <c r="J107" s="582" t="s">
        <v>856</v>
      </c>
      <c r="K107" s="582" t="str">
        <f t="shared" si="6"/>
        <v>120251.TREATMENT PLANT OPERATOR 3S F320O</v>
      </c>
      <c r="L107" s="583" t="s">
        <v>491</v>
      </c>
      <c r="M107" s="593">
        <v>16</v>
      </c>
      <c r="N107" s="593">
        <v>16</v>
      </c>
      <c r="O107" s="593">
        <v>16</v>
      </c>
      <c r="P107" s="593">
        <v>16</v>
      </c>
      <c r="Q107" s="593">
        <v>16</v>
      </c>
      <c r="R107" s="593">
        <v>16</v>
      </c>
      <c r="S107" s="593">
        <v>16</v>
      </c>
      <c r="T107" s="593">
        <v>16</v>
      </c>
      <c r="U107" s="593">
        <v>16</v>
      </c>
      <c r="V107" s="593">
        <v>16</v>
      </c>
      <c r="W107" s="593">
        <v>16</v>
      </c>
      <c r="X107" s="593">
        <v>16</v>
      </c>
      <c r="Y107" s="593">
        <f t="shared" si="5"/>
        <v>192</v>
      </c>
    </row>
    <row r="108" spans="1:25">
      <c r="A108" s="582" t="s">
        <v>1085</v>
      </c>
      <c r="B108" s="706"/>
      <c r="E108" s="582" t="s">
        <v>492</v>
      </c>
      <c r="F108" s="582" t="s">
        <v>493</v>
      </c>
      <c r="G108" s="582" t="s">
        <v>281</v>
      </c>
      <c r="H108" s="582" t="s">
        <v>264</v>
      </c>
      <c r="I108" s="582" t="s">
        <v>263</v>
      </c>
      <c r="J108" s="582" t="s">
        <v>14</v>
      </c>
      <c r="K108" s="582" t="str">
        <f t="shared" si="6"/>
        <v>120201.Specialist Operations (N)</v>
      </c>
      <c r="L108" s="583" t="s">
        <v>932</v>
      </c>
      <c r="M108" s="593">
        <v>5</v>
      </c>
      <c r="N108" s="593">
        <v>5</v>
      </c>
      <c r="O108" s="593">
        <v>5</v>
      </c>
      <c r="P108" s="593">
        <v>5</v>
      </c>
      <c r="Q108" s="593">
        <v>5</v>
      </c>
      <c r="R108" s="593">
        <v>5</v>
      </c>
      <c r="S108" s="593">
        <v>5</v>
      </c>
      <c r="T108" s="593">
        <v>5</v>
      </c>
      <c r="U108" s="593">
        <v>5</v>
      </c>
      <c r="V108" s="593">
        <v>5</v>
      </c>
      <c r="W108" s="593">
        <v>5</v>
      </c>
      <c r="X108" s="593">
        <v>5</v>
      </c>
      <c r="Y108" s="593">
        <f t="shared" si="5"/>
        <v>60</v>
      </c>
    </row>
    <row r="109" spans="1:25">
      <c r="A109" s="582" t="s">
        <v>1085</v>
      </c>
      <c r="B109" s="706"/>
      <c r="C109" s="582" t="s">
        <v>495</v>
      </c>
      <c r="E109" s="582" t="s">
        <v>492</v>
      </c>
      <c r="F109" s="582" t="s">
        <v>493</v>
      </c>
      <c r="G109" s="582" t="s">
        <v>266</v>
      </c>
      <c r="H109" s="582" t="s">
        <v>264</v>
      </c>
      <c r="I109" s="582" t="s">
        <v>263</v>
      </c>
      <c r="J109" s="582" t="s">
        <v>926</v>
      </c>
      <c r="K109" s="582" t="str">
        <f t="shared" si="6"/>
        <v>120201.Maintenance Trainee</v>
      </c>
      <c r="L109" s="583"/>
      <c r="M109" s="593">
        <v>20</v>
      </c>
      <c r="N109" s="593">
        <v>20</v>
      </c>
      <c r="O109" s="593">
        <v>20</v>
      </c>
      <c r="P109" s="593">
        <v>20</v>
      </c>
      <c r="Q109" s="593">
        <v>20</v>
      </c>
      <c r="R109" s="593">
        <v>20</v>
      </c>
      <c r="S109" s="593">
        <v>20</v>
      </c>
      <c r="T109" s="593">
        <v>20</v>
      </c>
      <c r="U109" s="593">
        <v>20</v>
      </c>
      <c r="V109" s="593">
        <v>20</v>
      </c>
      <c r="W109" s="593">
        <v>20</v>
      </c>
      <c r="X109" s="593">
        <v>20</v>
      </c>
      <c r="Y109" s="593">
        <f t="shared" si="5"/>
        <v>240</v>
      </c>
    </row>
    <row r="110" spans="1:25">
      <c r="A110" s="582" t="s">
        <v>1085</v>
      </c>
      <c r="B110" s="704"/>
      <c r="C110" s="582" t="s">
        <v>491</v>
      </c>
      <c r="E110" s="582" t="s">
        <v>492</v>
      </c>
      <c r="F110" s="582" t="s">
        <v>493</v>
      </c>
      <c r="G110" s="582" t="s">
        <v>817</v>
      </c>
      <c r="H110" s="582" t="s">
        <v>357</v>
      </c>
      <c r="I110" s="582" t="s">
        <v>356</v>
      </c>
      <c r="J110" s="582" t="s">
        <v>358</v>
      </c>
      <c r="K110" s="582" t="str">
        <f t="shared" si="6"/>
        <v>120252.Technician Production (N)</v>
      </c>
      <c r="L110" s="583" t="s">
        <v>1095</v>
      </c>
      <c r="M110" s="593">
        <v>8</v>
      </c>
      <c r="N110" s="593">
        <v>8</v>
      </c>
      <c r="O110" s="593">
        <v>8</v>
      </c>
      <c r="P110" s="593">
        <v>8</v>
      </c>
      <c r="Q110" s="593">
        <v>8</v>
      </c>
      <c r="R110" s="593">
        <v>8</v>
      </c>
      <c r="S110" s="593">
        <v>8</v>
      </c>
      <c r="T110" s="593">
        <v>8</v>
      </c>
      <c r="U110" s="593">
        <v>8</v>
      </c>
      <c r="V110" s="593">
        <v>8</v>
      </c>
      <c r="W110" s="593">
        <v>8</v>
      </c>
      <c r="X110" s="593">
        <v>8</v>
      </c>
      <c r="Y110" s="593">
        <f t="shared" si="5"/>
        <v>96</v>
      </c>
    </row>
    <row r="111" spans="1:25">
      <c r="A111" s="582" t="s">
        <v>1085</v>
      </c>
      <c r="B111" s="704"/>
      <c r="C111" s="582" t="s">
        <v>491</v>
      </c>
      <c r="E111" s="582" t="s">
        <v>492</v>
      </c>
      <c r="F111" s="582" t="s">
        <v>493</v>
      </c>
      <c r="G111" s="582" t="s">
        <v>817</v>
      </c>
      <c r="H111" s="582" t="s">
        <v>357</v>
      </c>
      <c r="I111" s="582" t="s">
        <v>356</v>
      </c>
      <c r="J111" s="582" t="s">
        <v>358</v>
      </c>
      <c r="K111" s="582" t="str">
        <f t="shared" si="6"/>
        <v>120252.Technician Production (N)</v>
      </c>
      <c r="L111" s="583" t="s">
        <v>1095</v>
      </c>
      <c r="M111" s="593">
        <v>8</v>
      </c>
      <c r="N111" s="593">
        <v>8</v>
      </c>
      <c r="O111" s="593">
        <v>8</v>
      </c>
      <c r="P111" s="593">
        <v>8</v>
      </c>
      <c r="Q111" s="593">
        <v>8</v>
      </c>
      <c r="R111" s="593">
        <v>8</v>
      </c>
      <c r="S111" s="593">
        <v>8</v>
      </c>
      <c r="T111" s="593">
        <v>8</v>
      </c>
      <c r="U111" s="593">
        <v>8</v>
      </c>
      <c r="V111" s="593">
        <v>8</v>
      </c>
      <c r="W111" s="593">
        <v>8</v>
      </c>
      <c r="X111" s="593">
        <v>8</v>
      </c>
      <c r="Y111" s="593">
        <f t="shared" si="5"/>
        <v>96</v>
      </c>
    </row>
    <row r="112" spans="1:25">
      <c r="A112" s="582" t="s">
        <v>1085</v>
      </c>
      <c r="B112" s="704"/>
      <c r="C112" s="582" t="s">
        <v>491</v>
      </c>
      <c r="E112" s="582" t="s">
        <v>492</v>
      </c>
      <c r="F112" s="582" t="s">
        <v>493</v>
      </c>
      <c r="G112" s="582" t="s">
        <v>817</v>
      </c>
      <c r="H112" s="582" t="s">
        <v>357</v>
      </c>
      <c r="I112" s="582" t="s">
        <v>356</v>
      </c>
      <c r="J112" s="582" t="s">
        <v>358</v>
      </c>
      <c r="K112" s="582" t="str">
        <f t="shared" si="6"/>
        <v>120252.Technician Production (N)</v>
      </c>
      <c r="L112" s="583" t="s">
        <v>1095</v>
      </c>
      <c r="M112" s="593">
        <v>16</v>
      </c>
      <c r="N112" s="593">
        <v>16</v>
      </c>
      <c r="O112" s="593">
        <v>16</v>
      </c>
      <c r="P112" s="593">
        <v>16</v>
      </c>
      <c r="Q112" s="593">
        <v>16</v>
      </c>
      <c r="R112" s="593">
        <v>16</v>
      </c>
      <c r="S112" s="593">
        <v>16</v>
      </c>
      <c r="T112" s="593">
        <v>16</v>
      </c>
      <c r="U112" s="593">
        <v>16</v>
      </c>
      <c r="V112" s="593">
        <v>16</v>
      </c>
      <c r="W112" s="593">
        <v>16</v>
      </c>
      <c r="X112" s="593">
        <v>16</v>
      </c>
      <c r="Y112" s="593">
        <f t="shared" si="5"/>
        <v>192</v>
      </c>
    </row>
    <row r="113" spans="1:25">
      <c r="A113" s="582" t="s">
        <v>1085</v>
      </c>
      <c r="B113" s="704"/>
      <c r="C113" s="582" t="s">
        <v>491</v>
      </c>
      <c r="E113" s="582" t="s">
        <v>492</v>
      </c>
      <c r="F113" s="582" t="s">
        <v>493</v>
      </c>
      <c r="G113" s="582" t="s">
        <v>338</v>
      </c>
      <c r="H113" s="582" t="s">
        <v>357</v>
      </c>
      <c r="I113" s="582" t="s">
        <v>356</v>
      </c>
      <c r="J113" s="582" t="s">
        <v>1098</v>
      </c>
      <c r="K113" s="582" t="str">
        <f t="shared" si="6"/>
        <v>120252.Specialist Maint Service (N)</v>
      </c>
      <c r="L113" s="583" t="s">
        <v>1086</v>
      </c>
      <c r="M113" s="593">
        <v>29</v>
      </c>
      <c r="N113" s="593">
        <v>29</v>
      </c>
      <c r="O113" s="593">
        <v>29</v>
      </c>
      <c r="P113" s="593">
        <v>29</v>
      </c>
      <c r="Q113" s="593">
        <v>29</v>
      </c>
      <c r="R113" s="593">
        <v>29</v>
      </c>
      <c r="S113" s="593">
        <v>29</v>
      </c>
      <c r="T113" s="593">
        <v>29</v>
      </c>
      <c r="U113" s="593">
        <v>29</v>
      </c>
      <c r="V113" s="593">
        <v>29</v>
      </c>
      <c r="W113" s="593">
        <v>29</v>
      </c>
      <c r="X113" s="593">
        <v>29</v>
      </c>
      <c r="Y113" s="593">
        <f t="shared" si="5"/>
        <v>348</v>
      </c>
    </row>
    <row r="114" spans="1:25">
      <c r="A114" s="582" t="s">
        <v>1085</v>
      </c>
      <c r="B114" s="704"/>
      <c r="C114" s="582" t="s">
        <v>491</v>
      </c>
      <c r="E114" s="582" t="s">
        <v>492</v>
      </c>
      <c r="F114" s="582" t="s">
        <v>493</v>
      </c>
      <c r="G114" s="582" t="s">
        <v>817</v>
      </c>
      <c r="H114" s="582" t="s">
        <v>357</v>
      </c>
      <c r="I114" s="582" t="s">
        <v>356</v>
      </c>
      <c r="J114" s="582" t="s">
        <v>358</v>
      </c>
      <c r="K114" s="582" t="str">
        <f t="shared" si="6"/>
        <v>120252.Technician Production (N)</v>
      </c>
      <c r="L114" s="583" t="s">
        <v>1095</v>
      </c>
      <c r="M114" s="593">
        <v>8</v>
      </c>
      <c r="N114" s="593">
        <v>8</v>
      </c>
      <c r="O114" s="593">
        <v>8</v>
      </c>
      <c r="P114" s="593">
        <v>8</v>
      </c>
      <c r="Q114" s="593">
        <v>8</v>
      </c>
      <c r="R114" s="593">
        <v>8</v>
      </c>
      <c r="S114" s="593">
        <v>8</v>
      </c>
      <c r="T114" s="593">
        <v>8</v>
      </c>
      <c r="U114" s="593">
        <v>8</v>
      </c>
      <c r="V114" s="593">
        <v>8</v>
      </c>
      <c r="W114" s="593">
        <v>8</v>
      </c>
      <c r="X114" s="593">
        <v>8</v>
      </c>
      <c r="Y114" s="593">
        <f t="shared" si="5"/>
        <v>96</v>
      </c>
    </row>
    <row r="115" spans="1:25">
      <c r="A115" s="582" t="s">
        <v>1085</v>
      </c>
      <c r="B115" s="704"/>
      <c r="C115" s="582" t="s">
        <v>491</v>
      </c>
      <c r="E115" s="582" t="s">
        <v>492</v>
      </c>
      <c r="F115" s="582" t="s">
        <v>493</v>
      </c>
      <c r="G115" s="582" t="s">
        <v>338</v>
      </c>
      <c r="H115" s="582" t="s">
        <v>384</v>
      </c>
      <c r="I115" s="582" t="s">
        <v>383</v>
      </c>
      <c r="J115" s="582" t="s">
        <v>1098</v>
      </c>
      <c r="K115" s="582" t="str">
        <f t="shared" si="6"/>
        <v>123001.Specialist Maint Service (N)</v>
      </c>
      <c r="L115" s="583" t="s">
        <v>1086</v>
      </c>
      <c r="M115" s="593">
        <v>29</v>
      </c>
      <c r="N115" s="593">
        <v>29</v>
      </c>
      <c r="O115" s="593">
        <v>29</v>
      </c>
      <c r="P115" s="593">
        <v>29</v>
      </c>
      <c r="Q115" s="593">
        <v>29</v>
      </c>
      <c r="R115" s="593">
        <v>29</v>
      </c>
      <c r="S115" s="593">
        <v>29</v>
      </c>
      <c r="T115" s="593">
        <v>29</v>
      </c>
      <c r="U115" s="593">
        <v>29</v>
      </c>
      <c r="V115" s="593">
        <v>29</v>
      </c>
      <c r="W115" s="593">
        <v>29</v>
      </c>
      <c r="X115" s="593">
        <v>29</v>
      </c>
      <c r="Y115" s="593">
        <f t="shared" si="5"/>
        <v>348</v>
      </c>
    </row>
    <row r="116" spans="1:25">
      <c r="A116" s="582" t="s">
        <v>1085</v>
      </c>
      <c r="B116" s="704"/>
      <c r="C116" s="582" t="s">
        <v>491</v>
      </c>
      <c r="E116" s="582" t="s">
        <v>492</v>
      </c>
      <c r="F116" s="582" t="s">
        <v>493</v>
      </c>
      <c r="G116" s="582" t="s">
        <v>338</v>
      </c>
      <c r="H116" s="582" t="s">
        <v>336</v>
      </c>
      <c r="I116" s="582" t="s">
        <v>335</v>
      </c>
      <c r="J116" s="582" t="s">
        <v>301</v>
      </c>
      <c r="K116" s="582" t="str">
        <f t="shared" si="6"/>
        <v>123005.Clerk Opns (N)</v>
      </c>
      <c r="L116" s="583" t="s">
        <v>1087</v>
      </c>
      <c r="M116" s="593">
        <v>8</v>
      </c>
      <c r="N116" s="593">
        <v>8</v>
      </c>
      <c r="O116" s="593">
        <v>8</v>
      </c>
      <c r="P116" s="593">
        <v>8</v>
      </c>
      <c r="Q116" s="593">
        <v>8</v>
      </c>
      <c r="R116" s="593">
        <v>8</v>
      </c>
      <c r="S116" s="593">
        <v>8</v>
      </c>
      <c r="T116" s="593">
        <v>8</v>
      </c>
      <c r="U116" s="593">
        <v>8</v>
      </c>
      <c r="V116" s="593">
        <v>8</v>
      </c>
      <c r="W116" s="593">
        <v>8</v>
      </c>
      <c r="X116" s="593">
        <v>8</v>
      </c>
      <c r="Y116" s="593">
        <f t="shared" si="5"/>
        <v>96</v>
      </c>
    </row>
    <row r="117" spans="1:25">
      <c r="A117" s="582" t="s">
        <v>1085</v>
      </c>
      <c r="B117" s="704"/>
      <c r="C117" s="582" t="s">
        <v>491</v>
      </c>
      <c r="E117" s="582" t="s">
        <v>168</v>
      </c>
      <c r="F117" s="582" t="s">
        <v>494</v>
      </c>
      <c r="G117" s="582" t="s">
        <v>338</v>
      </c>
      <c r="H117" s="582" t="s">
        <v>336</v>
      </c>
      <c r="I117" s="582" t="s">
        <v>335</v>
      </c>
      <c r="J117" s="582" t="s">
        <v>1088</v>
      </c>
      <c r="K117" s="582" t="str">
        <f t="shared" si="6"/>
        <v>123005.Supt Opns I</v>
      </c>
      <c r="L117" s="583" t="s">
        <v>1089</v>
      </c>
      <c r="M117" s="593">
        <v>0</v>
      </c>
      <c r="N117" s="593">
        <v>0</v>
      </c>
      <c r="O117" s="593">
        <v>0</v>
      </c>
      <c r="P117" s="593">
        <v>0</v>
      </c>
      <c r="Q117" s="593">
        <v>0</v>
      </c>
      <c r="R117" s="593">
        <v>0</v>
      </c>
      <c r="S117" s="593">
        <v>0</v>
      </c>
      <c r="T117" s="593">
        <v>0</v>
      </c>
      <c r="U117" s="593">
        <v>0</v>
      </c>
      <c r="V117" s="593">
        <v>0</v>
      </c>
      <c r="W117" s="593">
        <v>0</v>
      </c>
      <c r="X117" s="593">
        <v>0</v>
      </c>
      <c r="Y117" s="593">
        <f t="shared" si="5"/>
        <v>0</v>
      </c>
    </row>
    <row r="118" spans="1:25">
      <c r="A118" s="582" t="s">
        <v>1085</v>
      </c>
      <c r="B118" s="704"/>
      <c r="C118" s="582" t="s">
        <v>491</v>
      </c>
      <c r="E118" s="582" t="s">
        <v>492</v>
      </c>
      <c r="F118" s="582" t="s">
        <v>493</v>
      </c>
      <c r="G118" s="582" t="s">
        <v>338</v>
      </c>
      <c r="H118" s="582" t="s">
        <v>336</v>
      </c>
      <c r="I118" s="582" t="s">
        <v>335</v>
      </c>
      <c r="J118" s="582" t="s">
        <v>301</v>
      </c>
      <c r="K118" s="582" t="str">
        <f t="shared" si="6"/>
        <v>123005.Clerk Opns (N)</v>
      </c>
      <c r="L118" s="583" t="s">
        <v>1087</v>
      </c>
      <c r="M118" s="593">
        <v>8</v>
      </c>
      <c r="N118" s="593">
        <v>8</v>
      </c>
      <c r="O118" s="593">
        <v>8</v>
      </c>
      <c r="P118" s="593">
        <v>8</v>
      </c>
      <c r="Q118" s="593">
        <v>8</v>
      </c>
      <c r="R118" s="593">
        <v>8</v>
      </c>
      <c r="S118" s="593">
        <v>8</v>
      </c>
      <c r="T118" s="593">
        <v>8</v>
      </c>
      <c r="U118" s="593">
        <v>8</v>
      </c>
      <c r="V118" s="593">
        <v>8</v>
      </c>
      <c r="W118" s="593">
        <v>8</v>
      </c>
      <c r="X118" s="593">
        <v>8</v>
      </c>
      <c r="Y118" s="593">
        <f t="shared" si="5"/>
        <v>96</v>
      </c>
    </row>
    <row r="119" spans="1:25">
      <c r="A119" s="582" t="s">
        <v>1085</v>
      </c>
      <c r="B119" s="704"/>
      <c r="C119" s="582" t="s">
        <v>491</v>
      </c>
      <c r="E119" s="582" t="s">
        <v>492</v>
      </c>
      <c r="F119" s="582" t="s">
        <v>493</v>
      </c>
      <c r="G119" s="582" t="s">
        <v>317</v>
      </c>
      <c r="H119" s="582" t="s">
        <v>315</v>
      </c>
      <c r="I119" s="582" t="s">
        <v>314</v>
      </c>
      <c r="J119" s="582" t="s">
        <v>318</v>
      </c>
      <c r="K119" s="582" t="str">
        <f t="shared" si="6"/>
        <v>123006.Operations Generalist II (N)</v>
      </c>
      <c r="L119" s="583" t="s">
        <v>1096</v>
      </c>
      <c r="M119" s="593">
        <v>29.25</v>
      </c>
      <c r="N119" s="593">
        <v>29.25</v>
      </c>
      <c r="O119" s="593">
        <v>29.25</v>
      </c>
      <c r="P119" s="593">
        <v>29.25</v>
      </c>
      <c r="Q119" s="593">
        <v>29.25</v>
      </c>
      <c r="R119" s="593">
        <v>29.25</v>
      </c>
      <c r="S119" s="593">
        <v>29.25</v>
      </c>
      <c r="T119" s="593">
        <v>29.25</v>
      </c>
      <c r="U119" s="593">
        <v>29.25</v>
      </c>
      <c r="V119" s="593">
        <v>29.25</v>
      </c>
      <c r="W119" s="593">
        <v>29.25</v>
      </c>
      <c r="X119" s="593">
        <v>29.25</v>
      </c>
      <c r="Y119" s="593">
        <f t="shared" si="5"/>
        <v>351</v>
      </c>
    </row>
    <row r="120" spans="1:25">
      <c r="A120" s="582" t="s">
        <v>1085</v>
      </c>
      <c r="B120" s="705"/>
      <c r="C120" s="582" t="s">
        <v>491</v>
      </c>
      <c r="E120" s="582" t="s">
        <v>492</v>
      </c>
      <c r="F120" s="582" t="s">
        <v>493</v>
      </c>
      <c r="G120" s="582" t="s">
        <v>317</v>
      </c>
      <c r="H120" s="582" t="s">
        <v>315</v>
      </c>
      <c r="I120" s="582" t="s">
        <v>314</v>
      </c>
      <c r="J120" s="582" t="s">
        <v>318</v>
      </c>
      <c r="K120" s="582" t="str">
        <f t="shared" si="6"/>
        <v>123006.Operations Generalist II (N)</v>
      </c>
      <c r="L120" s="583" t="s">
        <v>1096</v>
      </c>
      <c r="M120" s="593">
        <v>29.25</v>
      </c>
      <c r="N120" s="593">
        <v>29.25</v>
      </c>
      <c r="O120" s="593">
        <v>29.25</v>
      </c>
      <c r="P120" s="593">
        <v>29.25</v>
      </c>
      <c r="Q120" s="593">
        <v>29.25</v>
      </c>
      <c r="R120" s="593">
        <v>29.25</v>
      </c>
      <c r="S120" s="593">
        <v>29.25</v>
      </c>
      <c r="T120" s="593">
        <v>29.25</v>
      </c>
      <c r="U120" s="593">
        <v>29.25</v>
      </c>
      <c r="V120" s="593">
        <v>29.25</v>
      </c>
      <c r="W120" s="593">
        <v>29.25</v>
      </c>
      <c r="X120" s="593">
        <v>29.25</v>
      </c>
      <c r="Y120" s="593">
        <f t="shared" si="5"/>
        <v>351</v>
      </c>
    </row>
    <row r="121" spans="1:25">
      <c r="A121" s="582" t="s">
        <v>1085</v>
      </c>
      <c r="B121" s="704"/>
      <c r="C121" s="582" t="s">
        <v>491</v>
      </c>
      <c r="E121" s="582" t="s">
        <v>492</v>
      </c>
      <c r="F121" s="582" t="s">
        <v>493</v>
      </c>
      <c r="G121" s="582" t="s">
        <v>317</v>
      </c>
      <c r="H121" s="582" t="s">
        <v>315</v>
      </c>
      <c r="I121" s="582" t="s">
        <v>314</v>
      </c>
      <c r="J121" s="582" t="s">
        <v>318</v>
      </c>
      <c r="K121" s="582" t="str">
        <f t="shared" si="6"/>
        <v>123006.Operations Generalist II (N)</v>
      </c>
      <c r="L121" s="583" t="s">
        <v>1096</v>
      </c>
      <c r="M121" s="593">
        <v>29.25</v>
      </c>
      <c r="N121" s="593">
        <v>29.25</v>
      </c>
      <c r="O121" s="593">
        <v>29.25</v>
      </c>
      <c r="P121" s="593">
        <v>29.25</v>
      </c>
      <c r="Q121" s="593">
        <v>29.25</v>
      </c>
      <c r="R121" s="593">
        <v>29.25</v>
      </c>
      <c r="S121" s="593">
        <v>29.25</v>
      </c>
      <c r="T121" s="593">
        <v>29.25</v>
      </c>
      <c r="U121" s="593">
        <v>29.25</v>
      </c>
      <c r="V121" s="593">
        <v>29.25</v>
      </c>
      <c r="W121" s="593">
        <v>29.25</v>
      </c>
      <c r="X121" s="593">
        <v>29.25</v>
      </c>
      <c r="Y121" s="593">
        <f t="shared" si="5"/>
        <v>351</v>
      </c>
    </row>
    <row r="122" spans="1:25">
      <c r="A122" s="582" t="s">
        <v>1085</v>
      </c>
      <c r="B122" s="704"/>
      <c r="C122" s="582" t="s">
        <v>491</v>
      </c>
      <c r="E122" s="582" t="s">
        <v>168</v>
      </c>
      <c r="F122" s="582" t="s">
        <v>494</v>
      </c>
      <c r="G122" s="582" t="s">
        <v>317</v>
      </c>
      <c r="H122" s="582" t="s">
        <v>315</v>
      </c>
      <c r="I122" s="582" t="s">
        <v>314</v>
      </c>
      <c r="J122" s="582" t="s">
        <v>8</v>
      </c>
      <c r="K122" s="582" t="str">
        <f t="shared" si="6"/>
        <v>123006.Supvr Field Operations</v>
      </c>
      <c r="L122" s="583" t="s">
        <v>1094</v>
      </c>
      <c r="M122" s="593">
        <v>0</v>
      </c>
      <c r="N122" s="593">
        <v>0</v>
      </c>
      <c r="O122" s="593">
        <v>0</v>
      </c>
      <c r="P122" s="593">
        <v>0</v>
      </c>
      <c r="Q122" s="593">
        <v>0</v>
      </c>
      <c r="R122" s="593">
        <v>0</v>
      </c>
      <c r="S122" s="593">
        <v>0</v>
      </c>
      <c r="T122" s="593">
        <v>0</v>
      </c>
      <c r="U122" s="593">
        <v>0</v>
      </c>
      <c r="V122" s="593">
        <v>0</v>
      </c>
      <c r="W122" s="593">
        <v>0</v>
      </c>
      <c r="X122" s="593">
        <v>0</v>
      </c>
      <c r="Y122" s="593">
        <f t="shared" si="5"/>
        <v>0</v>
      </c>
    </row>
    <row r="123" spans="1:25">
      <c r="A123" s="582" t="s">
        <v>1085</v>
      </c>
      <c r="B123" s="704"/>
      <c r="C123" s="582" t="s">
        <v>491</v>
      </c>
      <c r="E123" s="582" t="s">
        <v>492</v>
      </c>
      <c r="F123" s="582" t="s">
        <v>493</v>
      </c>
      <c r="G123" s="582" t="s">
        <v>317</v>
      </c>
      <c r="H123" s="582" t="s">
        <v>315</v>
      </c>
      <c r="I123" s="582" t="s">
        <v>314</v>
      </c>
      <c r="J123" s="582" t="s">
        <v>318</v>
      </c>
      <c r="K123" s="582" t="str">
        <f t="shared" si="6"/>
        <v>123006.Operations Generalist II (N)</v>
      </c>
      <c r="L123" s="583" t="s">
        <v>1096</v>
      </c>
      <c r="M123" s="593">
        <v>29.25</v>
      </c>
      <c r="N123" s="593">
        <v>29.25</v>
      </c>
      <c r="O123" s="593">
        <v>29.25</v>
      </c>
      <c r="P123" s="593">
        <v>29.25</v>
      </c>
      <c r="Q123" s="593">
        <v>29.25</v>
      </c>
      <c r="R123" s="593">
        <v>29.25</v>
      </c>
      <c r="S123" s="593">
        <v>29.25</v>
      </c>
      <c r="T123" s="593">
        <v>29.25</v>
      </c>
      <c r="U123" s="593">
        <v>29.25</v>
      </c>
      <c r="V123" s="593">
        <v>29.25</v>
      </c>
      <c r="W123" s="593">
        <v>29.25</v>
      </c>
      <c r="X123" s="593">
        <v>29.25</v>
      </c>
      <c r="Y123" s="593">
        <f t="shared" si="5"/>
        <v>351</v>
      </c>
    </row>
    <row r="124" spans="1:25">
      <c r="A124" s="582" t="s">
        <v>1085</v>
      </c>
      <c r="B124" s="704"/>
      <c r="C124" s="582" t="s">
        <v>491</v>
      </c>
      <c r="E124" s="582" t="s">
        <v>492</v>
      </c>
      <c r="F124" s="582" t="s">
        <v>493</v>
      </c>
      <c r="G124" s="582" t="s">
        <v>338</v>
      </c>
      <c r="H124" s="582" t="s">
        <v>795</v>
      </c>
      <c r="I124" s="582" t="s">
        <v>794</v>
      </c>
      <c r="J124" s="582" t="s">
        <v>358</v>
      </c>
      <c r="K124" s="582" t="str">
        <f t="shared" si="6"/>
        <v>123301.Technician Production (N)</v>
      </c>
      <c r="L124" s="583" t="s">
        <v>1095</v>
      </c>
      <c r="M124" s="593">
        <v>15</v>
      </c>
      <c r="N124" s="593">
        <v>15</v>
      </c>
      <c r="O124" s="593">
        <v>15</v>
      </c>
      <c r="P124" s="593">
        <v>15</v>
      </c>
      <c r="Q124" s="593">
        <v>15</v>
      </c>
      <c r="R124" s="593">
        <v>15</v>
      </c>
      <c r="S124" s="593">
        <v>15</v>
      </c>
      <c r="T124" s="593">
        <v>15</v>
      </c>
      <c r="U124" s="593">
        <v>15</v>
      </c>
      <c r="V124" s="593">
        <v>15</v>
      </c>
      <c r="W124" s="593">
        <v>15</v>
      </c>
      <c r="X124" s="593">
        <v>15</v>
      </c>
      <c r="Y124" s="593">
        <f t="shared" si="5"/>
        <v>180</v>
      </c>
    </row>
    <row r="125" spans="1:25">
      <c r="A125" s="582" t="s">
        <v>1085</v>
      </c>
      <c r="B125" s="706"/>
      <c r="E125" s="582" t="s">
        <v>492</v>
      </c>
      <c r="F125" s="582" t="s">
        <v>493</v>
      </c>
      <c r="G125" s="582" t="s">
        <v>817</v>
      </c>
      <c r="H125" s="582" t="s">
        <v>357</v>
      </c>
      <c r="I125" s="582" t="s">
        <v>356</v>
      </c>
      <c r="J125" s="582" t="s">
        <v>358</v>
      </c>
      <c r="K125" s="582" t="str">
        <f t="shared" si="6"/>
        <v>120252.Technician Production (N)</v>
      </c>
      <c r="L125" s="583" t="s">
        <v>1095</v>
      </c>
      <c r="M125" s="593">
        <v>8</v>
      </c>
      <c r="N125" s="593">
        <v>8</v>
      </c>
      <c r="O125" s="593">
        <v>8</v>
      </c>
      <c r="P125" s="593">
        <v>8</v>
      </c>
      <c r="Q125" s="593">
        <v>8</v>
      </c>
      <c r="R125" s="593">
        <v>8</v>
      </c>
      <c r="S125" s="593">
        <v>8</v>
      </c>
      <c r="T125" s="593">
        <v>8</v>
      </c>
      <c r="U125" s="593">
        <v>8</v>
      </c>
      <c r="V125" s="593">
        <v>8</v>
      </c>
      <c r="W125" s="593">
        <v>8</v>
      </c>
      <c r="X125" s="593">
        <v>8</v>
      </c>
      <c r="Y125" s="593">
        <f t="shared" si="5"/>
        <v>96</v>
      </c>
    </row>
    <row r="126" spans="1:25">
      <c r="A126" s="582" t="s">
        <v>1085</v>
      </c>
      <c r="B126" s="706"/>
      <c r="E126" s="582" t="s">
        <v>492</v>
      </c>
      <c r="F126" s="582" t="s">
        <v>493</v>
      </c>
      <c r="G126" s="582" t="s">
        <v>817</v>
      </c>
      <c r="H126" s="582" t="s">
        <v>357</v>
      </c>
      <c r="I126" s="582" t="s">
        <v>356</v>
      </c>
      <c r="J126" s="582" t="s">
        <v>358</v>
      </c>
      <c r="K126" s="582" t="str">
        <f t="shared" si="6"/>
        <v>120252.Technician Production (N)</v>
      </c>
      <c r="L126" s="583" t="s">
        <v>1095</v>
      </c>
      <c r="M126" s="593">
        <v>8</v>
      </c>
      <c r="N126" s="593">
        <v>8</v>
      </c>
      <c r="O126" s="593">
        <v>8</v>
      </c>
      <c r="P126" s="593">
        <v>8</v>
      </c>
      <c r="Q126" s="593">
        <v>8</v>
      </c>
      <c r="R126" s="593">
        <v>8</v>
      </c>
      <c r="S126" s="593">
        <v>8</v>
      </c>
      <c r="T126" s="593">
        <v>8</v>
      </c>
      <c r="U126" s="593">
        <v>8</v>
      </c>
      <c r="V126" s="593">
        <v>8</v>
      </c>
      <c r="W126" s="593">
        <v>8</v>
      </c>
      <c r="X126" s="593">
        <v>8</v>
      </c>
      <c r="Y126" s="593">
        <f t="shared" si="5"/>
        <v>96</v>
      </c>
    </row>
    <row r="127" spans="1:25">
      <c r="A127" s="582" t="s">
        <v>1085</v>
      </c>
      <c r="B127" s="706"/>
      <c r="E127" s="582" t="s">
        <v>492</v>
      </c>
      <c r="F127" s="582" t="s">
        <v>493</v>
      </c>
      <c r="G127" s="582" t="s">
        <v>817</v>
      </c>
      <c r="H127" s="582" t="s">
        <v>357</v>
      </c>
      <c r="I127" s="582" t="s">
        <v>356</v>
      </c>
      <c r="J127" s="582" t="s">
        <v>358</v>
      </c>
      <c r="K127" s="582" t="str">
        <f t="shared" si="6"/>
        <v>120252.Technician Production (N)</v>
      </c>
      <c r="L127" s="583" t="s">
        <v>1095</v>
      </c>
      <c r="M127" s="593">
        <v>8</v>
      </c>
      <c r="N127" s="593">
        <v>8</v>
      </c>
      <c r="O127" s="593">
        <v>8</v>
      </c>
      <c r="P127" s="593">
        <v>8</v>
      </c>
      <c r="Q127" s="593">
        <v>8</v>
      </c>
      <c r="R127" s="593">
        <v>8</v>
      </c>
      <c r="S127" s="593">
        <v>8</v>
      </c>
      <c r="T127" s="593">
        <v>8</v>
      </c>
      <c r="U127" s="593">
        <v>8</v>
      </c>
      <c r="V127" s="593">
        <v>8</v>
      </c>
      <c r="W127" s="593">
        <v>8</v>
      </c>
      <c r="X127" s="593">
        <v>8</v>
      </c>
      <c r="Y127" s="593">
        <f t="shared" si="5"/>
        <v>96</v>
      </c>
    </row>
    <row r="128" spans="1:25">
      <c r="A128" s="582" t="s">
        <v>1085</v>
      </c>
      <c r="B128" s="704"/>
      <c r="C128" s="582" t="s">
        <v>491</v>
      </c>
      <c r="E128" s="582" t="s">
        <v>168</v>
      </c>
      <c r="F128" s="582" t="s">
        <v>494</v>
      </c>
      <c r="G128" s="582" t="s">
        <v>241</v>
      </c>
      <c r="H128" s="582" t="s">
        <v>18</v>
      </c>
      <c r="I128" s="582" t="s">
        <v>239</v>
      </c>
      <c r="J128" s="582" t="s">
        <v>17</v>
      </c>
      <c r="K128" s="582" t="str">
        <f t="shared" si="6"/>
        <v>120121.Mgr Ext Affairs (State)</v>
      </c>
      <c r="L128" s="583" t="s">
        <v>1089</v>
      </c>
      <c r="M128" s="593">
        <v>0</v>
      </c>
      <c r="N128" s="593">
        <v>0</v>
      </c>
      <c r="O128" s="593">
        <v>0</v>
      </c>
      <c r="P128" s="593">
        <v>0</v>
      </c>
      <c r="Q128" s="593">
        <v>0</v>
      </c>
      <c r="R128" s="593">
        <v>0</v>
      </c>
      <c r="S128" s="593">
        <v>0</v>
      </c>
      <c r="T128" s="593">
        <v>0</v>
      </c>
      <c r="U128" s="593">
        <v>0</v>
      </c>
      <c r="V128" s="593">
        <v>0</v>
      </c>
      <c r="W128" s="593">
        <v>0</v>
      </c>
      <c r="X128" s="593">
        <v>0</v>
      </c>
      <c r="Y128" s="593">
        <f t="shared" si="5"/>
        <v>0</v>
      </c>
    </row>
    <row r="129" spans="1:25">
      <c r="A129" s="582" t="s">
        <v>1085</v>
      </c>
      <c r="B129" s="704"/>
      <c r="C129" s="582" t="s">
        <v>491</v>
      </c>
      <c r="E129" s="582" t="s">
        <v>492</v>
      </c>
      <c r="F129" s="582" t="s">
        <v>493</v>
      </c>
      <c r="G129" s="582" t="s">
        <v>241</v>
      </c>
      <c r="H129" s="582" t="s">
        <v>18</v>
      </c>
      <c r="I129" s="582" t="s">
        <v>239</v>
      </c>
      <c r="J129" s="582" t="s">
        <v>283</v>
      </c>
      <c r="K129" s="582" t="str">
        <f t="shared" si="6"/>
        <v>120121.Admin Asst - Staff Supp (N)</v>
      </c>
      <c r="L129" s="583" t="s">
        <v>1096</v>
      </c>
      <c r="M129" s="593">
        <v>0</v>
      </c>
      <c r="N129" s="593">
        <v>5</v>
      </c>
      <c r="O129" s="593">
        <v>0</v>
      </c>
      <c r="P129" s="593">
        <v>0</v>
      </c>
      <c r="Q129" s="593">
        <v>0</v>
      </c>
      <c r="R129" s="593">
        <v>0</v>
      </c>
      <c r="S129" s="593">
        <v>0</v>
      </c>
      <c r="T129" s="593">
        <v>5</v>
      </c>
      <c r="U129" s="593">
        <v>0</v>
      </c>
      <c r="V129" s="593">
        <v>0</v>
      </c>
      <c r="W129" s="593">
        <v>0</v>
      </c>
      <c r="X129" s="593">
        <v>0</v>
      </c>
      <c r="Y129" s="593">
        <f t="shared" si="5"/>
        <v>10</v>
      </c>
    </row>
    <row r="130" spans="1:25">
      <c r="A130" s="582" t="s">
        <v>1085</v>
      </c>
      <c r="B130" s="704"/>
      <c r="C130" s="582" t="s">
        <v>491</v>
      </c>
      <c r="E130" s="582" t="s">
        <v>168</v>
      </c>
      <c r="F130" s="582" t="s">
        <v>494</v>
      </c>
      <c r="G130" s="582" t="s">
        <v>241</v>
      </c>
      <c r="H130" s="582" t="s">
        <v>18</v>
      </c>
      <c r="I130" s="582" t="s">
        <v>239</v>
      </c>
      <c r="J130" s="582" t="s">
        <v>1099</v>
      </c>
      <c r="K130" s="582" t="str">
        <f t="shared" si="6"/>
        <v>120121.Spec Ext Affairs (State)</v>
      </c>
      <c r="L130" s="583" t="s">
        <v>1094</v>
      </c>
      <c r="M130" s="593">
        <v>0</v>
      </c>
      <c r="N130" s="593">
        <v>0</v>
      </c>
      <c r="O130" s="593">
        <v>0</v>
      </c>
      <c r="P130" s="593">
        <v>0</v>
      </c>
      <c r="Q130" s="593">
        <v>0</v>
      </c>
      <c r="R130" s="593">
        <v>0</v>
      </c>
      <c r="S130" s="593">
        <v>0</v>
      </c>
      <c r="T130" s="593">
        <v>0</v>
      </c>
      <c r="U130" s="593">
        <v>0</v>
      </c>
      <c r="V130" s="593">
        <v>0</v>
      </c>
      <c r="W130" s="593">
        <v>0</v>
      </c>
      <c r="X130" s="593">
        <v>0</v>
      </c>
      <c r="Y130" s="593">
        <f t="shared" si="5"/>
        <v>0</v>
      </c>
    </row>
    <row r="131" spans="1:25">
      <c r="A131" s="582" t="s">
        <v>1085</v>
      </c>
      <c r="B131" s="704"/>
      <c r="C131" s="582" t="s">
        <v>491</v>
      </c>
      <c r="E131" s="582" t="s">
        <v>168</v>
      </c>
      <c r="F131" s="582" t="s">
        <v>494</v>
      </c>
      <c r="G131" s="582" t="s">
        <v>769</v>
      </c>
      <c r="H131" s="582" t="s">
        <v>247</v>
      </c>
      <c r="I131" s="582" t="s">
        <v>246</v>
      </c>
      <c r="J131" s="582" t="s">
        <v>19</v>
      </c>
      <c r="K131" s="582" t="str">
        <f t="shared" si="6"/>
        <v>120217.Spec Wtr Qlty &amp; Env Compl II</v>
      </c>
      <c r="L131" s="583" t="s">
        <v>932</v>
      </c>
      <c r="M131" s="593">
        <v>0</v>
      </c>
      <c r="N131" s="593">
        <v>0</v>
      </c>
      <c r="O131" s="593">
        <v>0</v>
      </c>
      <c r="P131" s="593">
        <v>0</v>
      </c>
      <c r="Q131" s="593">
        <v>0</v>
      </c>
      <c r="R131" s="593">
        <v>0</v>
      </c>
      <c r="S131" s="593">
        <v>0</v>
      </c>
      <c r="T131" s="593">
        <v>0</v>
      </c>
      <c r="U131" s="593">
        <v>0</v>
      </c>
      <c r="V131" s="593">
        <v>0</v>
      </c>
      <c r="W131" s="593">
        <v>0</v>
      </c>
      <c r="X131" s="593">
        <v>0</v>
      </c>
      <c r="Y131" s="593">
        <f t="shared" si="5"/>
        <v>0</v>
      </c>
    </row>
    <row r="132" spans="1:25">
      <c r="A132" s="582" t="s">
        <v>1085</v>
      </c>
      <c r="B132" s="704"/>
      <c r="C132" s="582" t="s">
        <v>491</v>
      </c>
      <c r="E132" s="582" t="s">
        <v>168</v>
      </c>
      <c r="F132" s="582" t="s">
        <v>494</v>
      </c>
      <c r="G132" s="582" t="s">
        <v>769</v>
      </c>
      <c r="H132" s="582" t="s">
        <v>247</v>
      </c>
      <c r="I132" s="582" t="s">
        <v>246</v>
      </c>
      <c r="J132" s="582" t="s">
        <v>19</v>
      </c>
      <c r="K132" s="582" t="str">
        <f t="shared" si="6"/>
        <v>120217.Spec Wtr Qlty &amp; Env Compl II</v>
      </c>
      <c r="L132" s="583" t="s">
        <v>932</v>
      </c>
      <c r="M132" s="593">
        <v>0</v>
      </c>
      <c r="N132" s="593">
        <v>0</v>
      </c>
      <c r="O132" s="593">
        <v>0</v>
      </c>
      <c r="P132" s="593">
        <v>0</v>
      </c>
      <c r="Q132" s="593">
        <v>0</v>
      </c>
      <c r="R132" s="593">
        <v>0</v>
      </c>
      <c r="S132" s="593">
        <v>0</v>
      </c>
      <c r="T132" s="593">
        <v>0</v>
      </c>
      <c r="U132" s="593">
        <v>0</v>
      </c>
      <c r="V132" s="593">
        <v>0</v>
      </c>
      <c r="W132" s="593">
        <v>0</v>
      </c>
      <c r="X132" s="593">
        <v>0</v>
      </c>
      <c r="Y132" s="593">
        <f t="shared" si="5"/>
        <v>0</v>
      </c>
    </row>
    <row r="133" spans="1:25">
      <c r="A133" s="582" t="s">
        <v>1085</v>
      </c>
      <c r="B133" s="704"/>
      <c r="C133" s="582" t="s">
        <v>491</v>
      </c>
      <c r="E133" s="582" t="s">
        <v>168</v>
      </c>
      <c r="F133" s="582" t="s">
        <v>494</v>
      </c>
      <c r="G133" s="582" t="s">
        <v>769</v>
      </c>
      <c r="H133" s="582" t="s">
        <v>247</v>
      </c>
      <c r="I133" s="582" t="s">
        <v>246</v>
      </c>
      <c r="J133" s="582" t="s">
        <v>1100</v>
      </c>
      <c r="K133" s="582" t="str">
        <f t="shared" si="6"/>
        <v>120217.Mgr Wtr Qlty &amp; Envrn Cmpl</v>
      </c>
      <c r="L133" s="583" t="s">
        <v>1089</v>
      </c>
      <c r="M133" s="593">
        <v>0</v>
      </c>
      <c r="N133" s="593">
        <v>0</v>
      </c>
      <c r="O133" s="593">
        <v>0</v>
      </c>
      <c r="P133" s="593">
        <v>0</v>
      </c>
      <c r="Q133" s="593">
        <v>0</v>
      </c>
      <c r="R133" s="593">
        <v>0</v>
      </c>
      <c r="S133" s="593">
        <v>0</v>
      </c>
      <c r="T133" s="593">
        <v>0</v>
      </c>
      <c r="U133" s="593">
        <v>0</v>
      </c>
      <c r="V133" s="593">
        <v>0</v>
      </c>
      <c r="W133" s="593">
        <v>0</v>
      </c>
      <c r="X133" s="593">
        <v>0</v>
      </c>
      <c r="Y133" s="593">
        <f t="shared" si="5"/>
        <v>0</v>
      </c>
    </row>
    <row r="134" spans="1:25">
      <c r="A134" s="582" t="s">
        <v>1085</v>
      </c>
      <c r="B134" s="704"/>
      <c r="C134" s="582" t="s">
        <v>491</v>
      </c>
      <c r="E134" s="582" t="s">
        <v>168</v>
      </c>
      <c r="F134" s="582" t="s">
        <v>494</v>
      </c>
      <c r="G134" s="582" t="s">
        <v>249</v>
      </c>
      <c r="H134" s="582" t="s">
        <v>247</v>
      </c>
      <c r="I134" s="582" t="s">
        <v>246</v>
      </c>
      <c r="J134" s="582" t="s">
        <v>840</v>
      </c>
      <c r="K134" s="582" t="str">
        <f t="shared" si="6"/>
        <v>120217.Supvr Cross Connection</v>
      </c>
      <c r="L134" s="583" t="s">
        <v>1094</v>
      </c>
      <c r="M134" s="593">
        <v>0</v>
      </c>
      <c r="N134" s="593">
        <v>0</v>
      </c>
      <c r="O134" s="593">
        <v>0</v>
      </c>
      <c r="P134" s="593">
        <v>0</v>
      </c>
      <c r="Q134" s="593">
        <v>0</v>
      </c>
      <c r="R134" s="593">
        <v>0</v>
      </c>
      <c r="S134" s="593">
        <v>0</v>
      </c>
      <c r="T134" s="593">
        <v>0</v>
      </c>
      <c r="U134" s="593">
        <v>0</v>
      </c>
      <c r="V134" s="593">
        <v>0</v>
      </c>
      <c r="W134" s="593">
        <v>0</v>
      </c>
      <c r="X134" s="593">
        <v>0</v>
      </c>
      <c r="Y134" s="593">
        <f t="shared" si="5"/>
        <v>0</v>
      </c>
    </row>
    <row r="135" spans="1:25">
      <c r="A135" s="582" t="s">
        <v>1085</v>
      </c>
      <c r="B135" s="704"/>
      <c r="C135" s="582" t="s">
        <v>491</v>
      </c>
      <c r="E135" s="582" t="s">
        <v>168</v>
      </c>
      <c r="F135" s="582" t="s">
        <v>494</v>
      </c>
      <c r="G135" s="582" t="s">
        <v>769</v>
      </c>
      <c r="H135" s="582" t="s">
        <v>247</v>
      </c>
      <c r="I135" s="582" t="s">
        <v>246</v>
      </c>
      <c r="J135" s="582" t="s">
        <v>19</v>
      </c>
      <c r="K135" s="582" t="str">
        <f t="shared" si="6"/>
        <v>120217.Spec Wtr Qlty &amp; Env Compl II</v>
      </c>
      <c r="L135" s="583" t="s">
        <v>932</v>
      </c>
      <c r="M135" s="593">
        <v>0</v>
      </c>
      <c r="N135" s="593">
        <v>0</v>
      </c>
      <c r="O135" s="593">
        <v>0</v>
      </c>
      <c r="P135" s="593">
        <v>0</v>
      </c>
      <c r="Q135" s="593">
        <v>0</v>
      </c>
      <c r="R135" s="593">
        <v>0</v>
      </c>
      <c r="S135" s="593">
        <v>0</v>
      </c>
      <c r="T135" s="593">
        <v>0</v>
      </c>
      <c r="U135" s="593">
        <v>0</v>
      </c>
      <c r="V135" s="593">
        <v>0</v>
      </c>
      <c r="W135" s="593">
        <v>0</v>
      </c>
      <c r="X135" s="593">
        <v>0</v>
      </c>
      <c r="Y135" s="593">
        <f t="shared" si="5"/>
        <v>0</v>
      </c>
    </row>
    <row r="136" spans="1:25">
      <c r="A136" s="582" t="s">
        <v>1085</v>
      </c>
      <c r="B136" s="704"/>
      <c r="C136" s="582" t="s">
        <v>491</v>
      </c>
      <c r="E136" s="582" t="s">
        <v>492</v>
      </c>
      <c r="F136" s="582" t="s">
        <v>493</v>
      </c>
      <c r="G136" s="582" t="s">
        <v>228</v>
      </c>
      <c r="H136" s="582" t="s">
        <v>9</v>
      </c>
      <c r="I136" s="582" t="s">
        <v>226</v>
      </c>
      <c r="J136" s="582" t="s">
        <v>14</v>
      </c>
      <c r="K136" s="582" t="str">
        <f t="shared" ref="K136:K160" si="7">CONCATENATE(I136,".",J136)</f>
        <v>120114.Specialist Operations (N)</v>
      </c>
      <c r="L136" s="583" t="s">
        <v>1086</v>
      </c>
      <c r="M136" s="593">
        <v>0</v>
      </c>
      <c r="N136" s="593">
        <v>0</v>
      </c>
      <c r="O136" s="593">
        <v>0</v>
      </c>
      <c r="P136" s="593">
        <v>0</v>
      </c>
      <c r="Q136" s="593">
        <v>0</v>
      </c>
      <c r="R136" s="593">
        <v>0</v>
      </c>
      <c r="S136" s="593">
        <v>0</v>
      </c>
      <c r="T136" s="593">
        <v>0</v>
      </c>
      <c r="U136" s="593">
        <v>0</v>
      </c>
      <c r="V136" s="593">
        <v>0</v>
      </c>
      <c r="W136" s="593">
        <v>0</v>
      </c>
      <c r="X136" s="593">
        <v>0</v>
      </c>
      <c r="Y136" s="593">
        <f t="shared" si="5"/>
        <v>0</v>
      </c>
    </row>
    <row r="137" spans="1:25">
      <c r="A137" s="582" t="s">
        <v>1085</v>
      </c>
      <c r="B137" s="704"/>
      <c r="C137" s="582" t="s">
        <v>491</v>
      </c>
      <c r="E137" s="582" t="s">
        <v>492</v>
      </c>
      <c r="F137" s="582" t="s">
        <v>493</v>
      </c>
      <c r="G137" s="582" t="s">
        <v>234</v>
      </c>
      <c r="H137" s="582" t="s">
        <v>9</v>
      </c>
      <c r="I137" s="582" t="s">
        <v>226</v>
      </c>
      <c r="J137" s="582" t="s">
        <v>236</v>
      </c>
      <c r="K137" s="582" t="str">
        <f t="shared" si="7"/>
        <v>120114.Specialist Engrg (N)</v>
      </c>
      <c r="L137" s="583" t="s">
        <v>1095</v>
      </c>
      <c r="M137" s="593">
        <v>5</v>
      </c>
      <c r="N137" s="593">
        <v>5</v>
      </c>
      <c r="O137" s="593">
        <v>0</v>
      </c>
      <c r="P137" s="593">
        <v>5</v>
      </c>
      <c r="Q137" s="593">
        <v>5</v>
      </c>
      <c r="R137" s="593">
        <v>0</v>
      </c>
      <c r="S137" s="593">
        <v>5</v>
      </c>
      <c r="T137" s="593">
        <v>5</v>
      </c>
      <c r="U137" s="593">
        <v>0</v>
      </c>
      <c r="V137" s="593">
        <v>5</v>
      </c>
      <c r="W137" s="593">
        <v>5</v>
      </c>
      <c r="X137" s="593">
        <v>0</v>
      </c>
      <c r="Y137" s="593">
        <f t="shared" si="5"/>
        <v>40</v>
      </c>
    </row>
    <row r="138" spans="1:25">
      <c r="A138" s="582" t="s">
        <v>1085</v>
      </c>
      <c r="B138" s="704"/>
      <c r="C138" s="582" t="s">
        <v>491</v>
      </c>
      <c r="E138" s="582" t="s">
        <v>168</v>
      </c>
      <c r="F138" s="582" t="s">
        <v>494</v>
      </c>
      <c r="G138" s="582" t="s">
        <v>327</v>
      </c>
      <c r="H138" s="582" t="s">
        <v>9</v>
      </c>
      <c r="I138" s="582" t="s">
        <v>226</v>
      </c>
      <c r="J138" s="582" t="s">
        <v>1101</v>
      </c>
      <c r="K138" s="582" t="str">
        <f t="shared" si="7"/>
        <v>120114.Specialist Business Svcs</v>
      </c>
      <c r="L138" s="583" t="s">
        <v>932</v>
      </c>
      <c r="M138" s="593">
        <v>0</v>
      </c>
      <c r="N138" s="593">
        <v>0</v>
      </c>
      <c r="O138" s="593">
        <v>0</v>
      </c>
      <c r="P138" s="593">
        <v>0</v>
      </c>
      <c r="Q138" s="593">
        <v>0</v>
      </c>
      <c r="R138" s="593">
        <v>0</v>
      </c>
      <c r="S138" s="593">
        <v>0</v>
      </c>
      <c r="T138" s="593">
        <v>0</v>
      </c>
      <c r="U138" s="593">
        <v>0</v>
      </c>
      <c r="V138" s="593">
        <v>0</v>
      </c>
      <c r="W138" s="593">
        <v>0</v>
      </c>
      <c r="X138" s="593">
        <v>0</v>
      </c>
      <c r="Y138" s="593">
        <f t="shared" ref="Y138:Y160" si="8">SUM(M138:X138)</f>
        <v>0</v>
      </c>
    </row>
    <row r="139" spans="1:25">
      <c r="A139" s="582" t="s">
        <v>1085</v>
      </c>
      <c r="B139" s="704"/>
      <c r="C139" s="582" t="s">
        <v>491</v>
      </c>
      <c r="E139" s="582" t="s">
        <v>492</v>
      </c>
      <c r="F139" s="582" t="s">
        <v>493</v>
      </c>
      <c r="G139" s="582" t="s">
        <v>234</v>
      </c>
      <c r="H139" s="582" t="s">
        <v>9</v>
      </c>
      <c r="I139" s="582" t="s">
        <v>226</v>
      </c>
      <c r="J139" s="582" t="s">
        <v>236</v>
      </c>
      <c r="K139" s="582" t="str">
        <f t="shared" si="7"/>
        <v>120114.Specialist Engrg (N)</v>
      </c>
      <c r="L139" s="583" t="s">
        <v>1095</v>
      </c>
      <c r="M139" s="593">
        <v>5</v>
      </c>
      <c r="N139" s="593">
        <v>0</v>
      </c>
      <c r="O139" s="593">
        <v>5</v>
      </c>
      <c r="P139" s="593">
        <v>5</v>
      </c>
      <c r="Q139" s="593">
        <v>0</v>
      </c>
      <c r="R139" s="593">
        <v>5</v>
      </c>
      <c r="S139" s="593">
        <v>5</v>
      </c>
      <c r="T139" s="593">
        <v>0</v>
      </c>
      <c r="U139" s="593">
        <v>5</v>
      </c>
      <c r="V139" s="593">
        <v>5</v>
      </c>
      <c r="W139" s="593">
        <v>0</v>
      </c>
      <c r="X139" s="593">
        <v>10</v>
      </c>
      <c r="Y139" s="593">
        <f t="shared" si="8"/>
        <v>45</v>
      </c>
    </row>
    <row r="140" spans="1:25">
      <c r="A140" s="582" t="s">
        <v>1085</v>
      </c>
      <c r="B140" s="704"/>
      <c r="C140" s="582" t="s">
        <v>491</v>
      </c>
      <c r="E140" s="582" t="s">
        <v>492</v>
      </c>
      <c r="F140" s="582" t="s">
        <v>493</v>
      </c>
      <c r="G140" s="582" t="s">
        <v>327</v>
      </c>
      <c r="H140" s="582" t="s">
        <v>9</v>
      </c>
      <c r="I140" s="582" t="s">
        <v>226</v>
      </c>
      <c r="J140" s="582" t="s">
        <v>1102</v>
      </c>
      <c r="K140" s="582" t="str">
        <f t="shared" si="7"/>
        <v>120114.Engineering Tech (N)</v>
      </c>
      <c r="L140" s="583" t="s">
        <v>1095</v>
      </c>
      <c r="M140" s="593">
        <v>0</v>
      </c>
      <c r="N140" s="593">
        <v>0</v>
      </c>
      <c r="O140" s="593">
        <v>0</v>
      </c>
      <c r="P140" s="593">
        <v>0</v>
      </c>
      <c r="Q140" s="593">
        <v>0</v>
      </c>
      <c r="R140" s="593">
        <v>0</v>
      </c>
      <c r="S140" s="593">
        <v>0</v>
      </c>
      <c r="T140" s="593">
        <v>0</v>
      </c>
      <c r="U140" s="593">
        <v>0</v>
      </c>
      <c r="V140" s="593">
        <v>0</v>
      </c>
      <c r="W140" s="593">
        <v>0</v>
      </c>
      <c r="X140" s="593">
        <v>0</v>
      </c>
      <c r="Y140" s="593">
        <f t="shared" si="8"/>
        <v>0</v>
      </c>
    </row>
    <row r="141" spans="1:25">
      <c r="A141" s="582" t="s">
        <v>1085</v>
      </c>
      <c r="B141" s="704"/>
      <c r="C141" s="582" t="s">
        <v>491</v>
      </c>
      <c r="E141" s="582" t="s">
        <v>492</v>
      </c>
      <c r="F141" s="582" t="s">
        <v>493</v>
      </c>
      <c r="G141" s="582" t="s">
        <v>791</v>
      </c>
      <c r="H141" s="582" t="s">
        <v>9</v>
      </c>
      <c r="I141" s="582" t="s">
        <v>226</v>
      </c>
      <c r="J141" s="582" t="s">
        <v>1102</v>
      </c>
      <c r="K141" s="582" t="str">
        <f t="shared" si="7"/>
        <v>120114.Engineering Tech (N)</v>
      </c>
      <c r="L141" s="583" t="s">
        <v>1095</v>
      </c>
      <c r="M141" s="593">
        <v>0</v>
      </c>
      <c r="N141" s="593">
        <v>0</v>
      </c>
      <c r="O141" s="593">
        <v>0</v>
      </c>
      <c r="P141" s="593">
        <v>0</v>
      </c>
      <c r="Q141" s="593">
        <v>0</v>
      </c>
      <c r="R141" s="593">
        <v>0</v>
      </c>
      <c r="S141" s="593">
        <v>0</v>
      </c>
      <c r="T141" s="593">
        <v>0</v>
      </c>
      <c r="U141" s="593">
        <v>0</v>
      </c>
      <c r="V141" s="593">
        <v>0</v>
      </c>
      <c r="W141" s="593">
        <v>0</v>
      </c>
      <c r="X141" s="593">
        <v>0</v>
      </c>
      <c r="Y141" s="593">
        <f t="shared" si="8"/>
        <v>0</v>
      </c>
    </row>
    <row r="142" spans="1:25">
      <c r="A142" s="582" t="s">
        <v>1085</v>
      </c>
      <c r="B142" s="704"/>
      <c r="C142" s="582" t="s">
        <v>491</v>
      </c>
      <c r="E142" s="582" t="s">
        <v>168</v>
      </c>
      <c r="F142" s="582" t="s">
        <v>494</v>
      </c>
      <c r="G142" s="582" t="s">
        <v>791</v>
      </c>
      <c r="H142" s="582" t="s">
        <v>9</v>
      </c>
      <c r="I142" s="582" t="s">
        <v>226</v>
      </c>
      <c r="J142" s="582" t="s">
        <v>406</v>
      </c>
      <c r="K142" s="582" t="str">
        <f t="shared" si="7"/>
        <v>120114.Project Mgr Engr</v>
      </c>
      <c r="L142" s="583" t="s">
        <v>1093</v>
      </c>
      <c r="M142" s="593">
        <v>0</v>
      </c>
      <c r="N142" s="593">
        <v>0</v>
      </c>
      <c r="O142" s="593">
        <v>0</v>
      </c>
      <c r="P142" s="593">
        <v>0</v>
      </c>
      <c r="Q142" s="593">
        <v>0</v>
      </c>
      <c r="R142" s="593">
        <v>0</v>
      </c>
      <c r="S142" s="593">
        <v>0</v>
      </c>
      <c r="T142" s="593">
        <v>0</v>
      </c>
      <c r="U142" s="593">
        <v>0</v>
      </c>
      <c r="V142" s="593">
        <v>0</v>
      </c>
      <c r="W142" s="593">
        <v>0</v>
      </c>
      <c r="X142" s="593">
        <v>0</v>
      </c>
      <c r="Y142" s="593">
        <f t="shared" si="8"/>
        <v>0</v>
      </c>
    </row>
    <row r="143" spans="1:25">
      <c r="A143" s="582" t="s">
        <v>1085</v>
      </c>
      <c r="B143" s="704"/>
      <c r="C143" s="582" t="s">
        <v>491</v>
      </c>
      <c r="E143" s="582" t="s">
        <v>492</v>
      </c>
      <c r="F143" s="582" t="s">
        <v>493</v>
      </c>
      <c r="G143" s="582" t="s">
        <v>234</v>
      </c>
      <c r="H143" s="582" t="s">
        <v>9</v>
      </c>
      <c r="I143" s="582" t="s">
        <v>226</v>
      </c>
      <c r="J143" s="582" t="s">
        <v>236</v>
      </c>
      <c r="K143" s="582" t="str">
        <f t="shared" si="7"/>
        <v>120114.Specialist Engrg (N)</v>
      </c>
      <c r="L143" s="583" t="s">
        <v>1095</v>
      </c>
      <c r="M143" s="593">
        <v>10</v>
      </c>
      <c r="N143" s="593">
        <v>0</v>
      </c>
      <c r="O143" s="593">
        <v>0</v>
      </c>
      <c r="P143" s="593">
        <v>10</v>
      </c>
      <c r="Q143" s="593">
        <v>0</v>
      </c>
      <c r="R143" s="593">
        <v>0</v>
      </c>
      <c r="S143" s="593">
        <v>10</v>
      </c>
      <c r="T143" s="593">
        <v>0</v>
      </c>
      <c r="U143" s="593">
        <v>0</v>
      </c>
      <c r="V143" s="593">
        <v>10</v>
      </c>
      <c r="W143" s="593">
        <v>0</v>
      </c>
      <c r="X143" s="593">
        <v>0</v>
      </c>
      <c r="Y143" s="593">
        <f t="shared" si="8"/>
        <v>40</v>
      </c>
    </row>
    <row r="144" spans="1:25">
      <c r="A144" s="582" t="s">
        <v>1085</v>
      </c>
      <c r="B144" s="704"/>
      <c r="C144" s="582" t="s">
        <v>491</v>
      </c>
      <c r="E144" s="582" t="s">
        <v>168</v>
      </c>
      <c r="F144" s="582" t="s">
        <v>494</v>
      </c>
      <c r="G144" s="582" t="s">
        <v>234</v>
      </c>
      <c r="H144" s="582" t="s">
        <v>9</v>
      </c>
      <c r="I144" s="582" t="s">
        <v>226</v>
      </c>
      <c r="J144" s="582" t="s">
        <v>1103</v>
      </c>
      <c r="K144" s="582" t="str">
        <f t="shared" si="7"/>
        <v>120114.Sr Project Engr</v>
      </c>
      <c r="L144" s="583" t="s">
        <v>1089</v>
      </c>
      <c r="M144" s="593">
        <v>0</v>
      </c>
      <c r="N144" s="593">
        <v>0</v>
      </c>
      <c r="O144" s="593">
        <v>0</v>
      </c>
      <c r="P144" s="593">
        <v>0</v>
      </c>
      <c r="Q144" s="593">
        <v>0</v>
      </c>
      <c r="R144" s="593">
        <v>0</v>
      </c>
      <c r="S144" s="593">
        <v>0</v>
      </c>
      <c r="T144" s="593">
        <v>0</v>
      </c>
      <c r="U144" s="593">
        <v>0</v>
      </c>
      <c r="V144" s="593">
        <v>0</v>
      </c>
      <c r="W144" s="593">
        <v>0</v>
      </c>
      <c r="X144" s="593">
        <v>0</v>
      </c>
      <c r="Y144" s="593">
        <f t="shared" si="8"/>
        <v>0</v>
      </c>
    </row>
    <row r="145" spans="1:25">
      <c r="A145" s="582" t="s">
        <v>1085</v>
      </c>
      <c r="B145" s="704"/>
      <c r="C145" s="582" t="s">
        <v>491</v>
      </c>
      <c r="E145" s="582" t="s">
        <v>492</v>
      </c>
      <c r="F145" s="582" t="s">
        <v>493</v>
      </c>
      <c r="G145" s="582" t="s">
        <v>355</v>
      </c>
      <c r="H145" s="582" t="s">
        <v>9</v>
      </c>
      <c r="I145" s="582" t="s">
        <v>226</v>
      </c>
      <c r="J145" s="582" t="s">
        <v>1102</v>
      </c>
      <c r="K145" s="582" t="str">
        <f t="shared" si="7"/>
        <v>120114.Engineering Tech (N)</v>
      </c>
      <c r="L145" s="583" t="s">
        <v>1095</v>
      </c>
      <c r="M145" s="593">
        <v>5</v>
      </c>
      <c r="N145" s="593">
        <v>5</v>
      </c>
      <c r="O145" s="593">
        <v>0</v>
      </c>
      <c r="P145" s="593">
        <v>5</v>
      </c>
      <c r="Q145" s="593">
        <v>5</v>
      </c>
      <c r="R145" s="593">
        <v>0</v>
      </c>
      <c r="S145" s="593">
        <v>5</v>
      </c>
      <c r="T145" s="593">
        <v>5</v>
      </c>
      <c r="U145" s="593">
        <v>0</v>
      </c>
      <c r="V145" s="593">
        <v>5</v>
      </c>
      <c r="W145" s="593">
        <v>5</v>
      </c>
      <c r="X145" s="593">
        <v>0</v>
      </c>
      <c r="Y145" s="593">
        <f t="shared" si="8"/>
        <v>40</v>
      </c>
    </row>
    <row r="146" spans="1:25">
      <c r="A146" s="582" t="s">
        <v>1085</v>
      </c>
      <c r="B146" s="704"/>
      <c r="C146" s="582" t="s">
        <v>491</v>
      </c>
      <c r="E146" s="582" t="s">
        <v>168</v>
      </c>
      <c r="F146" s="582" t="s">
        <v>494</v>
      </c>
      <c r="G146" s="582" t="s">
        <v>327</v>
      </c>
      <c r="H146" s="582" t="s">
        <v>9</v>
      </c>
      <c r="I146" s="582" t="s">
        <v>226</v>
      </c>
      <c r="J146" s="582" t="s">
        <v>406</v>
      </c>
      <c r="K146" s="582" t="str">
        <f t="shared" si="7"/>
        <v>120114.Project Mgr Engr</v>
      </c>
      <c r="L146" s="583" t="s">
        <v>1093</v>
      </c>
      <c r="M146" s="593">
        <v>0</v>
      </c>
      <c r="N146" s="593">
        <v>0</v>
      </c>
      <c r="O146" s="593">
        <v>0</v>
      </c>
      <c r="P146" s="593">
        <v>0</v>
      </c>
      <c r="Q146" s="593">
        <v>0</v>
      </c>
      <c r="R146" s="593">
        <v>0</v>
      </c>
      <c r="S146" s="593">
        <v>0</v>
      </c>
      <c r="T146" s="593">
        <v>0</v>
      </c>
      <c r="U146" s="593">
        <v>0</v>
      </c>
      <c r="V146" s="593">
        <v>0</v>
      </c>
      <c r="W146" s="593">
        <v>0</v>
      </c>
      <c r="X146" s="593">
        <v>0</v>
      </c>
      <c r="Y146" s="593">
        <f t="shared" si="8"/>
        <v>0</v>
      </c>
    </row>
    <row r="147" spans="1:25">
      <c r="A147" s="582" t="s">
        <v>1085</v>
      </c>
      <c r="B147" s="704"/>
      <c r="C147" s="582" t="s">
        <v>491</v>
      </c>
      <c r="E147" s="582" t="s">
        <v>492</v>
      </c>
      <c r="F147" s="582" t="s">
        <v>493</v>
      </c>
      <c r="G147" s="582" t="s">
        <v>791</v>
      </c>
      <c r="H147" s="582" t="s">
        <v>9</v>
      </c>
      <c r="I147" s="582" t="s">
        <v>226</v>
      </c>
      <c r="J147" s="582" t="s">
        <v>1102</v>
      </c>
      <c r="K147" s="582" t="str">
        <f t="shared" si="7"/>
        <v>120114.Engineering Tech (N)</v>
      </c>
      <c r="L147" s="583" t="s">
        <v>1095</v>
      </c>
      <c r="M147" s="593">
        <v>5</v>
      </c>
      <c r="N147" s="593">
        <v>0</v>
      </c>
      <c r="O147" s="593">
        <v>5</v>
      </c>
      <c r="P147" s="593">
        <v>5</v>
      </c>
      <c r="Q147" s="593">
        <v>0</v>
      </c>
      <c r="R147" s="593">
        <v>5</v>
      </c>
      <c r="S147" s="593">
        <v>5</v>
      </c>
      <c r="T147" s="593">
        <v>0</v>
      </c>
      <c r="U147" s="593">
        <v>5</v>
      </c>
      <c r="V147" s="593">
        <v>5</v>
      </c>
      <c r="W147" s="593">
        <v>0</v>
      </c>
      <c r="X147" s="593">
        <v>5</v>
      </c>
      <c r="Y147" s="593">
        <f t="shared" si="8"/>
        <v>40</v>
      </c>
    </row>
    <row r="148" spans="1:25">
      <c r="A148" s="582" t="s">
        <v>1085</v>
      </c>
      <c r="B148" s="704"/>
      <c r="C148" s="582" t="s">
        <v>491</v>
      </c>
      <c r="E148" s="582" t="s">
        <v>492</v>
      </c>
      <c r="F148" s="582" t="s">
        <v>493</v>
      </c>
      <c r="G148" s="582" t="s">
        <v>327</v>
      </c>
      <c r="H148" s="582" t="s">
        <v>411</v>
      </c>
      <c r="I148" s="582" t="s">
        <v>410</v>
      </c>
      <c r="J148" s="582" t="s">
        <v>878</v>
      </c>
      <c r="K148" s="582" t="str">
        <f t="shared" si="7"/>
        <v>120214.Intern Admin</v>
      </c>
      <c r="L148" s="583" t="s">
        <v>45</v>
      </c>
      <c r="M148" s="593">
        <v>0</v>
      </c>
      <c r="N148" s="593">
        <v>0</v>
      </c>
      <c r="O148" s="593">
        <v>0</v>
      </c>
      <c r="P148" s="593">
        <v>0</v>
      </c>
      <c r="Q148" s="593">
        <v>0</v>
      </c>
      <c r="R148" s="593">
        <v>0</v>
      </c>
      <c r="S148" s="593">
        <v>0</v>
      </c>
      <c r="T148" s="593">
        <v>0</v>
      </c>
      <c r="U148" s="593">
        <v>0</v>
      </c>
      <c r="V148" s="593">
        <v>0</v>
      </c>
      <c r="W148" s="593">
        <v>0</v>
      </c>
      <c r="X148" s="593">
        <v>0</v>
      </c>
      <c r="Y148" s="593">
        <f t="shared" si="8"/>
        <v>0</v>
      </c>
    </row>
    <row r="149" spans="1:25">
      <c r="A149" s="582" t="s">
        <v>1085</v>
      </c>
      <c r="B149" s="704"/>
      <c r="C149" s="582" t="s">
        <v>491</v>
      </c>
      <c r="E149" s="582" t="s">
        <v>492</v>
      </c>
      <c r="F149" s="582" t="s">
        <v>493</v>
      </c>
      <c r="G149" s="582" t="s">
        <v>209</v>
      </c>
      <c r="H149" s="582" t="s">
        <v>5</v>
      </c>
      <c r="I149" s="582" t="s">
        <v>204</v>
      </c>
      <c r="J149" s="582" t="s">
        <v>11</v>
      </c>
      <c r="K149" s="582" t="str">
        <f t="shared" si="7"/>
        <v>120105.Exec Asst (N)</v>
      </c>
      <c r="L149" s="583" t="s">
        <v>1095</v>
      </c>
      <c r="M149" s="593">
        <v>0</v>
      </c>
      <c r="N149" s="593">
        <v>0</v>
      </c>
      <c r="O149" s="593">
        <v>0</v>
      </c>
      <c r="P149" s="593">
        <v>0</v>
      </c>
      <c r="Q149" s="593">
        <v>0</v>
      </c>
      <c r="R149" s="593">
        <v>0</v>
      </c>
      <c r="S149" s="593">
        <v>0</v>
      </c>
      <c r="T149" s="593">
        <v>0</v>
      </c>
      <c r="U149" s="593">
        <v>0</v>
      </c>
      <c r="V149" s="593">
        <v>0</v>
      </c>
      <c r="W149" s="593">
        <v>0</v>
      </c>
      <c r="X149" s="593">
        <v>0</v>
      </c>
      <c r="Y149" s="593">
        <f t="shared" si="8"/>
        <v>0</v>
      </c>
    </row>
    <row r="150" spans="1:25">
      <c r="A150" s="582" t="s">
        <v>1085</v>
      </c>
      <c r="B150" s="704"/>
      <c r="C150" s="582" t="s">
        <v>491</v>
      </c>
      <c r="E150" s="582" t="s">
        <v>168</v>
      </c>
      <c r="F150" s="582" t="s">
        <v>494</v>
      </c>
      <c r="G150" s="582" t="s">
        <v>775</v>
      </c>
      <c r="H150" s="582" t="s">
        <v>5</v>
      </c>
      <c r="I150" s="582" t="s">
        <v>204</v>
      </c>
      <c r="J150" s="582" t="s">
        <v>213</v>
      </c>
      <c r="K150" s="582" t="str">
        <f t="shared" si="7"/>
        <v>120105.Mgr Business Performance</v>
      </c>
      <c r="L150" s="583" t="s">
        <v>1093</v>
      </c>
      <c r="M150" s="593">
        <v>0</v>
      </c>
      <c r="N150" s="593">
        <v>0</v>
      </c>
      <c r="O150" s="593">
        <v>0</v>
      </c>
      <c r="P150" s="593">
        <v>0</v>
      </c>
      <c r="Q150" s="593">
        <v>0</v>
      </c>
      <c r="R150" s="593">
        <v>0</v>
      </c>
      <c r="S150" s="593">
        <v>0</v>
      </c>
      <c r="T150" s="593">
        <v>0</v>
      </c>
      <c r="U150" s="593">
        <v>0</v>
      </c>
      <c r="V150" s="593">
        <v>0</v>
      </c>
      <c r="W150" s="593">
        <v>0</v>
      </c>
      <c r="X150" s="593">
        <v>0</v>
      </c>
      <c r="Y150" s="593">
        <f t="shared" si="8"/>
        <v>0</v>
      </c>
    </row>
    <row r="151" spans="1:25">
      <c r="A151" s="582" t="s">
        <v>1085</v>
      </c>
      <c r="B151" s="704"/>
      <c r="C151" s="582" t="s">
        <v>491</v>
      </c>
      <c r="E151" s="582" t="s">
        <v>168</v>
      </c>
      <c r="F151" s="582" t="s">
        <v>494</v>
      </c>
      <c r="G151" s="582" t="s">
        <v>345</v>
      </c>
      <c r="H151" s="582" t="s">
        <v>5</v>
      </c>
      <c r="I151" s="582" t="s">
        <v>204</v>
      </c>
      <c r="J151" s="582" t="s">
        <v>812</v>
      </c>
      <c r="K151" s="582" t="str">
        <f t="shared" si="7"/>
        <v>120105.VP Operations (Large 2)</v>
      </c>
      <c r="L151" s="583" t="s">
        <v>1104</v>
      </c>
      <c r="M151" s="593">
        <v>0</v>
      </c>
      <c r="N151" s="593">
        <v>0</v>
      </c>
      <c r="O151" s="593">
        <v>0</v>
      </c>
      <c r="P151" s="593">
        <v>0</v>
      </c>
      <c r="Q151" s="593">
        <v>0</v>
      </c>
      <c r="R151" s="593">
        <v>0</v>
      </c>
      <c r="S151" s="593">
        <v>0</v>
      </c>
      <c r="T151" s="593">
        <v>0</v>
      </c>
      <c r="U151" s="593">
        <v>0</v>
      </c>
      <c r="V151" s="593">
        <v>0</v>
      </c>
      <c r="W151" s="593">
        <v>0</v>
      </c>
      <c r="X151" s="593">
        <v>0</v>
      </c>
      <c r="Y151" s="593">
        <f t="shared" si="8"/>
        <v>0</v>
      </c>
    </row>
    <row r="152" spans="1:25">
      <c r="A152" s="582" t="s">
        <v>1085</v>
      </c>
      <c r="B152" s="704"/>
      <c r="C152" s="582" t="s">
        <v>491</v>
      </c>
      <c r="E152" s="582" t="s">
        <v>168</v>
      </c>
      <c r="F152" s="582" t="s">
        <v>494</v>
      </c>
      <c r="G152" s="582" t="s">
        <v>345</v>
      </c>
      <c r="H152" s="582" t="s">
        <v>5</v>
      </c>
      <c r="I152" s="582" t="s">
        <v>204</v>
      </c>
      <c r="J152" s="582" t="s">
        <v>844</v>
      </c>
      <c r="K152" s="582" t="str">
        <f t="shared" si="7"/>
        <v>120105.Mgr Health and Safety Programs</v>
      </c>
      <c r="L152" s="583" t="s">
        <v>1089</v>
      </c>
      <c r="M152" s="593">
        <v>0</v>
      </c>
      <c r="N152" s="593">
        <v>0</v>
      </c>
      <c r="O152" s="593">
        <v>0</v>
      </c>
      <c r="P152" s="593">
        <v>0</v>
      </c>
      <c r="Q152" s="593">
        <v>0</v>
      </c>
      <c r="R152" s="593">
        <v>0</v>
      </c>
      <c r="S152" s="593">
        <v>0</v>
      </c>
      <c r="T152" s="593">
        <v>0</v>
      </c>
      <c r="U152" s="593">
        <v>0</v>
      </c>
      <c r="V152" s="593">
        <v>0</v>
      </c>
      <c r="W152" s="593">
        <v>0</v>
      </c>
      <c r="X152" s="593">
        <v>0</v>
      </c>
      <c r="Y152" s="593">
        <f t="shared" si="8"/>
        <v>0</v>
      </c>
    </row>
    <row r="153" spans="1:25">
      <c r="A153" s="582" t="s">
        <v>1085</v>
      </c>
      <c r="B153" s="704"/>
      <c r="C153" s="582" t="s">
        <v>491</v>
      </c>
      <c r="E153" s="582" t="s">
        <v>492</v>
      </c>
      <c r="F153" s="582" t="s">
        <v>493</v>
      </c>
      <c r="G153" s="582" t="s">
        <v>209</v>
      </c>
      <c r="H153" s="582" t="s">
        <v>5</v>
      </c>
      <c r="I153" s="582" t="s">
        <v>204</v>
      </c>
      <c r="J153" s="582" t="s">
        <v>11</v>
      </c>
      <c r="K153" s="582" t="str">
        <f t="shared" si="7"/>
        <v>120105.Exec Asst (N)</v>
      </c>
      <c r="L153" s="583" t="s">
        <v>1095</v>
      </c>
      <c r="M153" s="593">
        <v>0</v>
      </c>
      <c r="N153" s="593">
        <v>0</v>
      </c>
      <c r="O153" s="593">
        <v>0</v>
      </c>
      <c r="P153" s="593">
        <v>0</v>
      </c>
      <c r="Q153" s="593">
        <v>0</v>
      </c>
      <c r="R153" s="593">
        <v>0</v>
      </c>
      <c r="S153" s="593">
        <v>0</v>
      </c>
      <c r="T153" s="593">
        <v>0</v>
      </c>
      <c r="U153" s="593">
        <v>0</v>
      </c>
      <c r="V153" s="593">
        <v>0</v>
      </c>
      <c r="W153" s="593">
        <v>0</v>
      </c>
      <c r="X153" s="593">
        <v>0</v>
      </c>
      <c r="Y153" s="593">
        <f t="shared" si="8"/>
        <v>0</v>
      </c>
    </row>
    <row r="154" spans="1:25">
      <c r="A154" s="582" t="s">
        <v>1085</v>
      </c>
      <c r="B154" s="704"/>
      <c r="C154" s="582" t="s">
        <v>491</v>
      </c>
      <c r="E154" s="582" t="s">
        <v>168</v>
      </c>
      <c r="F154" s="582" t="s">
        <v>494</v>
      </c>
      <c r="G154" s="582" t="s">
        <v>775</v>
      </c>
      <c r="H154" s="582" t="s">
        <v>5</v>
      </c>
      <c r="I154" s="582" t="s">
        <v>204</v>
      </c>
      <c r="J154" s="582" t="s">
        <v>865</v>
      </c>
      <c r="K154" s="582" t="str">
        <f t="shared" si="7"/>
        <v>120105.Dir Govt Affairs (State)</v>
      </c>
      <c r="L154" s="583" t="s">
        <v>1091</v>
      </c>
      <c r="M154" s="593">
        <v>0</v>
      </c>
      <c r="N154" s="593">
        <v>0</v>
      </c>
      <c r="O154" s="593">
        <v>0</v>
      </c>
      <c r="P154" s="593">
        <v>0</v>
      </c>
      <c r="Q154" s="593">
        <v>0</v>
      </c>
      <c r="R154" s="593">
        <v>0</v>
      </c>
      <c r="S154" s="593">
        <v>0</v>
      </c>
      <c r="T154" s="593">
        <v>0</v>
      </c>
      <c r="U154" s="593">
        <v>0</v>
      </c>
      <c r="V154" s="593">
        <v>0</v>
      </c>
      <c r="W154" s="593">
        <v>0</v>
      </c>
      <c r="X154" s="593">
        <v>0</v>
      </c>
      <c r="Y154" s="593">
        <f t="shared" si="8"/>
        <v>0</v>
      </c>
    </row>
    <row r="155" spans="1:25">
      <c r="A155" s="582" t="s">
        <v>1085</v>
      </c>
      <c r="B155" s="706"/>
      <c r="E155" s="582" t="s">
        <v>168</v>
      </c>
      <c r="F155" s="582" t="s">
        <v>494</v>
      </c>
      <c r="G155" s="582" t="s">
        <v>817</v>
      </c>
      <c r="H155" s="582" t="s">
        <v>357</v>
      </c>
      <c r="I155" s="582" t="s">
        <v>356</v>
      </c>
      <c r="J155" s="582" t="s">
        <v>1105</v>
      </c>
      <c r="K155" s="582" t="str">
        <f t="shared" si="7"/>
        <v>120252.Supvr Operations</v>
      </c>
      <c r="L155" s="583" t="s">
        <v>933</v>
      </c>
      <c r="M155" s="593">
        <v>0</v>
      </c>
      <c r="N155" s="593">
        <v>0</v>
      </c>
      <c r="O155" s="593">
        <v>0</v>
      </c>
      <c r="P155" s="593">
        <v>0</v>
      </c>
      <c r="Q155" s="593">
        <v>0</v>
      </c>
      <c r="R155" s="593">
        <v>0</v>
      </c>
      <c r="S155" s="593">
        <v>0</v>
      </c>
      <c r="T155" s="593">
        <v>0</v>
      </c>
      <c r="U155" s="593">
        <v>0</v>
      </c>
      <c r="V155" s="593">
        <v>0</v>
      </c>
      <c r="W155" s="593">
        <v>0</v>
      </c>
      <c r="X155" s="593">
        <v>0</v>
      </c>
      <c r="Y155" s="593">
        <f t="shared" si="8"/>
        <v>0</v>
      </c>
    </row>
    <row r="156" spans="1:25">
      <c r="A156" s="582" t="s">
        <v>1085</v>
      </c>
      <c r="B156" s="706"/>
      <c r="C156" s="582" t="s">
        <v>495</v>
      </c>
      <c r="E156" s="582" t="s">
        <v>492</v>
      </c>
      <c r="F156" s="582" t="s">
        <v>493</v>
      </c>
      <c r="G156" s="582" t="s">
        <v>785</v>
      </c>
      <c r="H156" s="582" t="s">
        <v>286</v>
      </c>
      <c r="I156" s="582" t="s">
        <v>285</v>
      </c>
      <c r="J156" s="582" t="s">
        <v>390</v>
      </c>
      <c r="K156" s="582" t="str">
        <f t="shared" si="7"/>
        <v>120206.Utility F320O</v>
      </c>
      <c r="L156" s="583"/>
      <c r="M156" s="593">
        <v>0</v>
      </c>
      <c r="N156" s="593">
        <v>0</v>
      </c>
      <c r="O156" s="593">
        <v>0</v>
      </c>
      <c r="P156" s="593">
        <v>0</v>
      </c>
      <c r="Q156" s="593">
        <v>0</v>
      </c>
      <c r="R156" s="593">
        <v>0</v>
      </c>
      <c r="S156" s="593">
        <v>0</v>
      </c>
      <c r="T156" s="593">
        <v>0</v>
      </c>
      <c r="U156" s="593">
        <v>0</v>
      </c>
      <c r="V156" s="593">
        <v>0</v>
      </c>
      <c r="W156" s="593">
        <v>0</v>
      </c>
      <c r="X156" s="593">
        <v>0</v>
      </c>
      <c r="Y156" s="593">
        <f t="shared" si="8"/>
        <v>0</v>
      </c>
    </row>
    <row r="157" spans="1:25">
      <c r="A157" s="582" t="s">
        <v>1085</v>
      </c>
      <c r="B157" s="706"/>
      <c r="C157" s="582" t="s">
        <v>495</v>
      </c>
      <c r="E157" s="582" t="s">
        <v>492</v>
      </c>
      <c r="F157" s="582" t="s">
        <v>493</v>
      </c>
      <c r="G157" s="582" t="s">
        <v>785</v>
      </c>
      <c r="H157" s="582" t="s">
        <v>286</v>
      </c>
      <c r="I157" s="582" t="s">
        <v>285</v>
      </c>
      <c r="J157" s="582" t="s">
        <v>390</v>
      </c>
      <c r="K157" s="582" t="str">
        <f t="shared" si="7"/>
        <v>120206.Utility F320O</v>
      </c>
      <c r="L157" s="583"/>
      <c r="M157" s="593">
        <v>0</v>
      </c>
      <c r="N157" s="593">
        <v>0</v>
      </c>
      <c r="O157" s="593">
        <v>0</v>
      </c>
      <c r="P157" s="593">
        <v>0</v>
      </c>
      <c r="Q157" s="593">
        <v>0</v>
      </c>
      <c r="R157" s="593">
        <v>0</v>
      </c>
      <c r="S157" s="593">
        <v>0</v>
      </c>
      <c r="T157" s="593">
        <v>0</v>
      </c>
      <c r="U157" s="593">
        <v>0</v>
      </c>
      <c r="V157" s="593">
        <v>0</v>
      </c>
      <c r="W157" s="593">
        <v>0</v>
      </c>
      <c r="X157" s="593">
        <v>0</v>
      </c>
      <c r="Y157" s="593">
        <f t="shared" si="8"/>
        <v>0</v>
      </c>
    </row>
    <row r="158" spans="1:25">
      <c r="A158" s="582" t="s">
        <v>1085</v>
      </c>
      <c r="B158" s="706"/>
      <c r="C158" s="582" t="s">
        <v>495</v>
      </c>
      <c r="E158" s="582" t="s">
        <v>492</v>
      </c>
      <c r="F158" s="582" t="s">
        <v>493</v>
      </c>
      <c r="G158" s="582" t="s">
        <v>785</v>
      </c>
      <c r="H158" s="582" t="s">
        <v>286</v>
      </c>
      <c r="I158" s="582" t="s">
        <v>285</v>
      </c>
      <c r="J158" s="582" t="s">
        <v>390</v>
      </c>
      <c r="K158" s="582" t="str">
        <f t="shared" si="7"/>
        <v>120206.Utility F320O</v>
      </c>
      <c r="L158" s="583"/>
      <c r="M158" s="593">
        <v>0</v>
      </c>
      <c r="N158" s="593">
        <v>0</v>
      </c>
      <c r="O158" s="593">
        <v>0</v>
      </c>
      <c r="P158" s="593">
        <v>0</v>
      </c>
      <c r="Q158" s="593">
        <v>0</v>
      </c>
      <c r="R158" s="593">
        <v>0</v>
      </c>
      <c r="S158" s="593">
        <v>0</v>
      </c>
      <c r="T158" s="593">
        <v>0</v>
      </c>
      <c r="U158" s="593">
        <v>0</v>
      </c>
      <c r="V158" s="593">
        <v>0</v>
      </c>
      <c r="W158" s="593">
        <v>0</v>
      </c>
      <c r="X158" s="593">
        <v>0</v>
      </c>
      <c r="Y158" s="593">
        <f t="shared" si="8"/>
        <v>0</v>
      </c>
    </row>
    <row r="159" spans="1:25">
      <c r="A159" s="582" t="s">
        <v>1085</v>
      </c>
      <c r="B159" s="706"/>
      <c r="C159" s="582" t="s">
        <v>495</v>
      </c>
      <c r="E159" s="582" t="s">
        <v>492</v>
      </c>
      <c r="F159" s="582" t="s">
        <v>493</v>
      </c>
      <c r="G159" s="582" t="s">
        <v>785</v>
      </c>
      <c r="H159" s="582" t="s">
        <v>286</v>
      </c>
      <c r="I159" s="582" t="s">
        <v>285</v>
      </c>
      <c r="J159" s="582" t="s">
        <v>390</v>
      </c>
      <c r="K159" s="582" t="str">
        <f t="shared" si="7"/>
        <v>120206.Utility F320O</v>
      </c>
      <c r="L159" s="583"/>
      <c r="M159" s="593">
        <v>0</v>
      </c>
      <c r="N159" s="593">
        <v>0</v>
      </c>
      <c r="O159" s="593">
        <v>0</v>
      </c>
      <c r="P159" s="593">
        <v>0</v>
      </c>
      <c r="Q159" s="593">
        <v>0</v>
      </c>
      <c r="R159" s="593">
        <v>0</v>
      </c>
      <c r="S159" s="593">
        <v>0</v>
      </c>
      <c r="T159" s="593">
        <v>0</v>
      </c>
      <c r="U159" s="593">
        <v>0</v>
      </c>
      <c r="V159" s="593">
        <v>0</v>
      </c>
      <c r="W159" s="593">
        <v>0</v>
      </c>
      <c r="X159" s="593">
        <v>0</v>
      </c>
      <c r="Y159" s="593">
        <f t="shared" si="8"/>
        <v>0</v>
      </c>
    </row>
    <row r="160" spans="1:25">
      <c r="A160" s="582" t="s">
        <v>1085</v>
      </c>
      <c r="B160" s="706"/>
      <c r="C160" s="582" t="s">
        <v>495</v>
      </c>
      <c r="E160" s="582" t="s">
        <v>492</v>
      </c>
      <c r="F160" s="582" t="s">
        <v>493</v>
      </c>
      <c r="G160" s="582" t="s">
        <v>785</v>
      </c>
      <c r="H160" s="582" t="s">
        <v>286</v>
      </c>
      <c r="I160" s="582" t="s">
        <v>285</v>
      </c>
      <c r="J160" s="582" t="s">
        <v>390</v>
      </c>
      <c r="K160" s="582" t="str">
        <f t="shared" si="7"/>
        <v>120206.Utility F320O</v>
      </c>
      <c r="L160" s="583"/>
      <c r="M160" s="593"/>
      <c r="N160" s="593"/>
      <c r="O160" s="593"/>
      <c r="P160" s="593"/>
      <c r="Q160" s="593"/>
      <c r="R160" s="593"/>
      <c r="S160" s="593"/>
      <c r="T160" s="593"/>
      <c r="U160" s="593"/>
      <c r="V160" s="593"/>
      <c r="W160" s="593"/>
      <c r="X160" s="593"/>
      <c r="Y160" s="593">
        <f t="shared" si="8"/>
        <v>0</v>
      </c>
    </row>
    <row r="161" spans="2:25">
      <c r="L161" s="583"/>
      <c r="M161" s="593"/>
      <c r="N161" s="593"/>
      <c r="O161" s="593"/>
      <c r="P161" s="593"/>
      <c r="Q161" s="593"/>
      <c r="R161" s="593"/>
      <c r="S161" s="593"/>
      <c r="T161" s="593"/>
      <c r="U161" s="593"/>
      <c r="V161" s="593"/>
      <c r="W161" s="593"/>
      <c r="X161" s="593"/>
      <c r="Y161" s="593"/>
    </row>
    <row r="162" spans="2:25">
      <c r="B162" s="594">
        <f>COUNT(B8:B160)</f>
        <v>0</v>
      </c>
      <c r="L162" s="583"/>
    </row>
    <row r="163" spans="2:25">
      <c r="L163" s="583"/>
    </row>
    <row r="164" spans="2:25">
      <c r="L164" s="583"/>
    </row>
    <row r="165" spans="2:25">
      <c r="L165" s="583"/>
    </row>
    <row r="166" spans="2:25">
      <c r="L166" s="583"/>
    </row>
    <row r="167" spans="2:25">
      <c r="L167" s="583"/>
    </row>
    <row r="168" spans="2:25">
      <c r="L168" s="583"/>
    </row>
    <row r="169" spans="2:25">
      <c r="L169" s="583"/>
    </row>
    <row r="170" spans="2:25">
      <c r="L170" s="583"/>
    </row>
    <row r="171" spans="2:25">
      <c r="L171" s="583"/>
    </row>
    <row r="172" spans="2:25">
      <c r="L172" s="583"/>
    </row>
    <row r="173" spans="2:25">
      <c r="L173" s="583"/>
    </row>
    <row r="174" spans="2:25">
      <c r="L174" s="583"/>
    </row>
    <row r="175" spans="2:25">
      <c r="L175" s="583"/>
    </row>
    <row r="176" spans="2:25">
      <c r="L176" s="583"/>
    </row>
    <row r="177" spans="12:12">
      <c r="L177" s="583"/>
    </row>
    <row r="178" spans="12:12">
      <c r="L178" s="583"/>
    </row>
    <row r="179" spans="12:12">
      <c r="L179" s="583"/>
    </row>
    <row r="180" spans="12:12">
      <c r="L180" s="583"/>
    </row>
    <row r="181" spans="12:12">
      <c r="L181" s="583"/>
    </row>
    <row r="182" spans="12:12">
      <c r="L182" s="583"/>
    </row>
    <row r="183" spans="12:12">
      <c r="L183" s="583"/>
    </row>
    <row r="184" spans="12:12">
      <c r="L184" s="583"/>
    </row>
    <row r="185" spans="12:12">
      <c r="L185" s="583"/>
    </row>
    <row r="186" spans="12:12">
      <c r="L186" s="583"/>
    </row>
    <row r="187" spans="12:12">
      <c r="L187" s="583"/>
    </row>
    <row r="188" spans="12:12">
      <c r="L188" s="583"/>
    </row>
    <row r="189" spans="12:12">
      <c r="L189" s="583"/>
    </row>
    <row r="190" spans="12:12">
      <c r="L190" s="583"/>
    </row>
    <row r="191" spans="12:12">
      <c r="L191" s="583"/>
    </row>
    <row r="192" spans="12:12">
      <c r="L192" s="583"/>
    </row>
    <row r="193" spans="12:12">
      <c r="L193" s="583"/>
    </row>
    <row r="194" spans="12:12">
      <c r="L194" s="583"/>
    </row>
    <row r="195" spans="12:12">
      <c r="L195" s="583"/>
    </row>
    <row r="196" spans="12:12">
      <c r="L196" s="583"/>
    </row>
    <row r="197" spans="12:12">
      <c r="L197" s="583"/>
    </row>
    <row r="198" spans="12:12">
      <c r="L198" s="583"/>
    </row>
    <row r="199" spans="12:12">
      <c r="L199" s="583"/>
    </row>
    <row r="200" spans="12:12">
      <c r="L200" s="583"/>
    </row>
    <row r="201" spans="12:12">
      <c r="L201" s="583"/>
    </row>
    <row r="202" spans="12:12">
      <c r="L202" s="583"/>
    </row>
    <row r="203" spans="12:12">
      <c r="L203" s="583"/>
    </row>
    <row r="204" spans="12:12">
      <c r="L204" s="583"/>
    </row>
    <row r="205" spans="12:12">
      <c r="L205" s="583"/>
    </row>
    <row r="206" spans="12:12">
      <c r="L206" s="583"/>
    </row>
    <row r="207" spans="12:12">
      <c r="L207" s="583"/>
    </row>
    <row r="208" spans="12:12">
      <c r="L208" s="583"/>
    </row>
    <row r="209" spans="12:12">
      <c r="L209" s="583"/>
    </row>
  </sheetData>
  <pageMargins left="0.7" right="0.7" top="0.75" bottom="0.75" header="0.3" footer="0.3"/>
  <pageSetup scale="66" orientation="landscape" r:id="rId1"/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="80" zoomScaleNormal="80" workbookViewId="0"/>
  </sheetViews>
  <sheetFormatPr defaultRowHeight="13.8"/>
  <cols>
    <col min="1" max="1" width="8.88671875" style="106"/>
    <col min="2" max="2" width="17" bestFit="1" customWidth="1"/>
    <col min="3" max="3" width="27" bestFit="1" customWidth="1"/>
    <col min="4" max="4" width="11" bestFit="1" customWidth="1"/>
    <col min="5" max="5" width="9" bestFit="1" customWidth="1"/>
    <col min="6" max="7" width="11" bestFit="1" customWidth="1"/>
    <col min="8" max="8" width="9" bestFit="1" customWidth="1"/>
    <col min="9" max="10" width="11" bestFit="1" customWidth="1"/>
    <col min="11" max="11" width="9" bestFit="1" customWidth="1"/>
    <col min="12" max="12" width="11" bestFit="1" customWidth="1"/>
    <col min="13" max="16" width="7.6640625" bestFit="1" customWidth="1"/>
    <col min="17" max="17" width="33.6640625" bestFit="1" customWidth="1"/>
  </cols>
  <sheetData>
    <row r="1" spans="1:18" ht="14.4">
      <c r="A1" s="490" t="s">
        <v>431</v>
      </c>
    </row>
    <row r="2" spans="1:18" ht="14.4">
      <c r="A2" s="490" t="s">
        <v>676</v>
      </c>
    </row>
    <row r="3" spans="1:18" ht="14.4">
      <c r="A3" s="490" t="s">
        <v>923</v>
      </c>
    </row>
    <row r="4" spans="1:18" ht="14.4">
      <c r="D4" s="759" t="s">
        <v>970</v>
      </c>
      <c r="E4" s="760"/>
      <c r="F4" s="761"/>
      <c r="G4" s="759" t="s">
        <v>971</v>
      </c>
      <c r="H4" s="760"/>
      <c r="I4" s="761"/>
      <c r="J4" s="759" t="s">
        <v>972</v>
      </c>
      <c r="K4" s="760"/>
      <c r="L4" s="761"/>
      <c r="M4" s="756" t="s">
        <v>468</v>
      </c>
      <c r="N4" s="757"/>
      <c r="O4" s="757"/>
      <c r="P4" s="758"/>
    </row>
    <row r="5" spans="1:18" ht="31.95" customHeight="1">
      <c r="A5" s="491" t="s">
        <v>469</v>
      </c>
      <c r="B5" s="101" t="s">
        <v>470</v>
      </c>
      <c r="C5" s="101" t="s">
        <v>471</v>
      </c>
      <c r="D5" s="99" t="s">
        <v>472</v>
      </c>
      <c r="E5" s="99" t="s">
        <v>473</v>
      </c>
      <c r="F5" s="99" t="s">
        <v>476</v>
      </c>
      <c r="G5" s="99" t="s">
        <v>472</v>
      </c>
      <c r="H5" s="99" t="s">
        <v>473</v>
      </c>
      <c r="I5" s="99" t="s">
        <v>476</v>
      </c>
      <c r="J5" s="99" t="s">
        <v>472</v>
      </c>
      <c r="K5" s="99" t="s">
        <v>473</v>
      </c>
      <c r="L5" s="99" t="s">
        <v>476</v>
      </c>
      <c r="M5" s="100">
        <v>42583</v>
      </c>
      <c r="N5" s="100">
        <v>42948</v>
      </c>
      <c r="O5" s="100">
        <v>43313</v>
      </c>
      <c r="P5" s="99" t="s">
        <v>474</v>
      </c>
      <c r="Q5" s="99" t="s">
        <v>475</v>
      </c>
      <c r="R5" s="99" t="s">
        <v>474</v>
      </c>
    </row>
    <row r="6" spans="1:18">
      <c r="A6" s="106">
        <v>120105</v>
      </c>
      <c r="B6" t="s">
        <v>5</v>
      </c>
      <c r="C6" t="s">
        <v>865</v>
      </c>
      <c r="D6" s="488"/>
      <c r="E6" s="488"/>
      <c r="F6" s="488"/>
      <c r="G6" s="488">
        <v>2080</v>
      </c>
      <c r="H6" s="488"/>
      <c r="I6" s="488">
        <v>2080</v>
      </c>
      <c r="J6" s="488">
        <v>2160</v>
      </c>
      <c r="K6" s="488"/>
      <c r="L6" s="488">
        <v>2160</v>
      </c>
      <c r="M6" s="10" t="str">
        <f>IFERROR(D6/F6," ")</f>
        <v xml:space="preserve"> </v>
      </c>
      <c r="N6" s="10">
        <f>IFERROR(G6/I6," ")</f>
        <v>1</v>
      </c>
      <c r="O6" s="10">
        <f>IFERROR(J6/L6," ")</f>
        <v>1</v>
      </c>
      <c r="P6" s="10">
        <f>AVERAGE(M6,N6,O6)</f>
        <v>1</v>
      </c>
      <c r="Q6" t="str">
        <f t="shared" ref="Q6:Q69" si="0">CONCATENATE(A6,".",C6)</f>
        <v>120105.Dir Govt Affairs (State)</v>
      </c>
      <c r="R6" s="10">
        <f>P6</f>
        <v>1</v>
      </c>
    </row>
    <row r="7" spans="1:18">
      <c r="A7" s="106">
        <v>120105</v>
      </c>
      <c r="B7" t="s">
        <v>5</v>
      </c>
      <c r="C7" t="s">
        <v>11</v>
      </c>
      <c r="D7" s="488"/>
      <c r="E7" s="488"/>
      <c r="F7" s="488"/>
      <c r="G7" s="488"/>
      <c r="H7" s="488"/>
      <c r="I7" s="488"/>
      <c r="J7" s="488">
        <v>1213.5</v>
      </c>
      <c r="K7" s="488"/>
      <c r="L7" s="488">
        <v>1213.5</v>
      </c>
      <c r="M7" s="10" t="str">
        <f t="shared" ref="M7:M70" si="1">IFERROR(D7/F7," ")</f>
        <v xml:space="preserve"> </v>
      </c>
      <c r="N7" s="10" t="str">
        <f t="shared" ref="N7:N70" si="2">IFERROR(G7/I7," ")</f>
        <v xml:space="preserve"> </v>
      </c>
      <c r="O7" s="10">
        <f t="shared" ref="O7:O70" si="3">IFERROR(J7/L7," ")</f>
        <v>1</v>
      </c>
      <c r="P7" s="10">
        <f t="shared" ref="P7:P70" si="4">AVERAGE(M7,N7,O7)</f>
        <v>1</v>
      </c>
      <c r="Q7" t="str">
        <f t="shared" si="0"/>
        <v>120105.Exec Asst (N)</v>
      </c>
      <c r="R7" s="10">
        <f t="shared" ref="R7:R70" si="5">P7</f>
        <v>1</v>
      </c>
    </row>
    <row r="8" spans="1:18">
      <c r="A8" s="106">
        <v>120105</v>
      </c>
      <c r="B8" t="s">
        <v>5</v>
      </c>
      <c r="C8" t="s">
        <v>213</v>
      </c>
      <c r="D8" s="488">
        <v>2080</v>
      </c>
      <c r="E8" s="488"/>
      <c r="F8" s="488">
        <v>2080</v>
      </c>
      <c r="G8" s="488">
        <v>2080</v>
      </c>
      <c r="H8" s="488"/>
      <c r="I8" s="488">
        <v>2080</v>
      </c>
      <c r="J8" s="488">
        <v>2160</v>
      </c>
      <c r="K8" s="488"/>
      <c r="L8" s="488">
        <v>2160</v>
      </c>
      <c r="M8" s="10">
        <f t="shared" si="1"/>
        <v>1</v>
      </c>
      <c r="N8" s="10">
        <f t="shared" si="2"/>
        <v>1</v>
      </c>
      <c r="O8" s="10">
        <f t="shared" si="3"/>
        <v>1</v>
      </c>
      <c r="P8" s="10">
        <f t="shared" si="4"/>
        <v>1</v>
      </c>
      <c r="Q8" t="str">
        <f t="shared" si="0"/>
        <v>120105.Mgr Business Performance</v>
      </c>
      <c r="R8" s="10">
        <f t="shared" si="5"/>
        <v>1</v>
      </c>
    </row>
    <row r="9" spans="1:18">
      <c r="A9" s="106">
        <v>120105</v>
      </c>
      <c r="B9" t="s">
        <v>5</v>
      </c>
      <c r="C9" t="s">
        <v>844</v>
      </c>
      <c r="D9" s="488">
        <v>2078</v>
      </c>
      <c r="E9" s="488">
        <v>2</v>
      </c>
      <c r="F9" s="488">
        <v>2080</v>
      </c>
      <c r="G9" s="488">
        <v>2080</v>
      </c>
      <c r="H9" s="488"/>
      <c r="I9" s="488">
        <v>2080</v>
      </c>
      <c r="J9" s="488">
        <v>2160</v>
      </c>
      <c r="K9" s="488"/>
      <c r="L9" s="488">
        <v>2160</v>
      </c>
      <c r="M9" s="10">
        <f t="shared" si="1"/>
        <v>0.99903846153846154</v>
      </c>
      <c r="N9" s="10">
        <f t="shared" si="2"/>
        <v>1</v>
      </c>
      <c r="O9" s="10">
        <f t="shared" si="3"/>
        <v>1</v>
      </c>
      <c r="P9" s="10">
        <f t="shared" si="4"/>
        <v>0.99967948717948707</v>
      </c>
      <c r="Q9" t="str">
        <f t="shared" si="0"/>
        <v>120105.Mgr Health and Safety Programs</v>
      </c>
      <c r="R9" s="10">
        <f t="shared" si="5"/>
        <v>0.99967948717948707</v>
      </c>
    </row>
    <row r="10" spans="1:18">
      <c r="A10" s="106">
        <v>120105</v>
      </c>
      <c r="B10" t="s">
        <v>5</v>
      </c>
      <c r="C10" t="s">
        <v>812</v>
      </c>
      <c r="D10" s="488">
        <v>1600</v>
      </c>
      <c r="E10" s="488"/>
      <c r="F10" s="488">
        <v>1600</v>
      </c>
      <c r="G10" s="488">
        <v>2080</v>
      </c>
      <c r="H10" s="488"/>
      <c r="I10" s="488">
        <v>2080</v>
      </c>
      <c r="J10" s="488">
        <v>2160</v>
      </c>
      <c r="K10" s="488"/>
      <c r="L10" s="488">
        <v>2160</v>
      </c>
      <c r="M10" s="10">
        <f t="shared" si="1"/>
        <v>1</v>
      </c>
      <c r="N10" s="10">
        <f t="shared" si="2"/>
        <v>1</v>
      </c>
      <c r="O10" s="10">
        <f t="shared" si="3"/>
        <v>1</v>
      </c>
      <c r="P10" s="10">
        <f t="shared" si="4"/>
        <v>1</v>
      </c>
      <c r="Q10" t="str">
        <f t="shared" si="0"/>
        <v>120105.VP Operations (Large 2)</v>
      </c>
      <c r="R10" s="10">
        <f t="shared" si="5"/>
        <v>1</v>
      </c>
    </row>
    <row r="11" spans="1:18">
      <c r="A11" s="106">
        <v>120114</v>
      </c>
      <c r="B11" t="s">
        <v>9</v>
      </c>
      <c r="C11" t="s">
        <v>772</v>
      </c>
      <c r="D11" s="488">
        <v>2080</v>
      </c>
      <c r="E11" s="488"/>
      <c r="F11" s="488">
        <v>2080</v>
      </c>
      <c r="G11" s="488">
        <v>2080</v>
      </c>
      <c r="H11" s="488"/>
      <c r="I11" s="488">
        <v>2080</v>
      </c>
      <c r="J11" s="488">
        <v>2160</v>
      </c>
      <c r="K11" s="488"/>
      <c r="L11" s="488">
        <v>2160</v>
      </c>
      <c r="M11" s="10">
        <f t="shared" si="1"/>
        <v>1</v>
      </c>
      <c r="N11" s="10">
        <f t="shared" si="2"/>
        <v>1</v>
      </c>
      <c r="O11" s="10">
        <f t="shared" si="3"/>
        <v>1</v>
      </c>
      <c r="P11" s="10">
        <f t="shared" si="4"/>
        <v>1</v>
      </c>
      <c r="Q11" t="str">
        <f t="shared" si="0"/>
        <v>120114.Capital Program Coordinator</v>
      </c>
      <c r="R11" s="10">
        <f t="shared" si="5"/>
        <v>1</v>
      </c>
    </row>
    <row r="12" spans="1:18">
      <c r="A12" s="106">
        <v>120114</v>
      </c>
      <c r="B12" t="s">
        <v>9</v>
      </c>
      <c r="C12" t="s">
        <v>826</v>
      </c>
      <c r="D12" s="488">
        <v>2080</v>
      </c>
      <c r="E12" s="488"/>
      <c r="F12" s="488">
        <v>2080</v>
      </c>
      <c r="G12" s="488">
        <v>2960</v>
      </c>
      <c r="H12" s="488"/>
      <c r="I12" s="488">
        <v>2960</v>
      </c>
      <c r="J12" s="488">
        <v>4320</v>
      </c>
      <c r="K12" s="488"/>
      <c r="L12" s="488">
        <v>4320</v>
      </c>
      <c r="M12" s="10">
        <f t="shared" si="1"/>
        <v>1</v>
      </c>
      <c r="N12" s="10">
        <f t="shared" si="2"/>
        <v>1</v>
      </c>
      <c r="O12" s="10">
        <f t="shared" si="3"/>
        <v>1</v>
      </c>
      <c r="P12" s="10">
        <f t="shared" si="4"/>
        <v>1</v>
      </c>
      <c r="Q12" t="str">
        <f t="shared" si="0"/>
        <v>120114.Engineering Project Manager</v>
      </c>
      <c r="R12" s="10">
        <f t="shared" si="5"/>
        <v>1</v>
      </c>
    </row>
    <row r="13" spans="1:18">
      <c r="A13" s="106">
        <v>120114</v>
      </c>
      <c r="B13" t="s">
        <v>9</v>
      </c>
      <c r="C13" t="s">
        <v>292</v>
      </c>
      <c r="D13" s="488">
        <v>4465.5</v>
      </c>
      <c r="E13" s="488"/>
      <c r="F13" s="488">
        <v>4465.5</v>
      </c>
      <c r="G13" s="488">
        <v>4326</v>
      </c>
      <c r="H13" s="488"/>
      <c r="I13" s="488">
        <v>4326</v>
      </c>
      <c r="J13" s="488">
        <v>4603.5</v>
      </c>
      <c r="K13" s="488"/>
      <c r="L13" s="488">
        <v>4603.5</v>
      </c>
      <c r="M13" s="10">
        <f t="shared" si="1"/>
        <v>1</v>
      </c>
      <c r="N13" s="10">
        <f t="shared" si="2"/>
        <v>1</v>
      </c>
      <c r="O13" s="10">
        <f t="shared" si="3"/>
        <v>1</v>
      </c>
      <c r="P13" s="10">
        <f t="shared" si="4"/>
        <v>1</v>
      </c>
      <c r="Q13" t="str">
        <f t="shared" si="0"/>
        <v>120114.Engineering Specialist</v>
      </c>
      <c r="R13" s="10">
        <f t="shared" si="5"/>
        <v>1</v>
      </c>
    </row>
    <row r="14" spans="1:18">
      <c r="A14" s="106">
        <v>120114</v>
      </c>
      <c r="B14" t="s">
        <v>9</v>
      </c>
      <c r="C14" t="s">
        <v>784</v>
      </c>
      <c r="D14" s="488">
        <v>4196</v>
      </c>
      <c r="E14" s="488"/>
      <c r="F14" s="488">
        <v>4196</v>
      </c>
      <c r="G14" s="488">
        <v>5733.5</v>
      </c>
      <c r="H14" s="488">
        <v>25</v>
      </c>
      <c r="I14" s="488">
        <v>5758.5</v>
      </c>
      <c r="J14" s="488">
        <v>8674</v>
      </c>
      <c r="K14" s="488">
        <v>43</v>
      </c>
      <c r="L14" s="488">
        <v>8717</v>
      </c>
      <c r="M14" s="10">
        <f t="shared" si="1"/>
        <v>1</v>
      </c>
      <c r="N14" s="10">
        <f t="shared" si="2"/>
        <v>0.99565859164713033</v>
      </c>
      <c r="O14" s="10">
        <f t="shared" si="3"/>
        <v>0.99506711024435013</v>
      </c>
      <c r="P14" s="10">
        <f t="shared" si="4"/>
        <v>0.99690856729716015</v>
      </c>
      <c r="Q14" t="str">
        <f t="shared" si="0"/>
        <v>120114.Engineering Technician</v>
      </c>
      <c r="R14" s="10">
        <f t="shared" si="5"/>
        <v>0.99690856729716015</v>
      </c>
    </row>
    <row r="15" spans="1:18">
      <c r="A15" s="106">
        <v>120114</v>
      </c>
      <c r="B15" t="s">
        <v>9</v>
      </c>
      <c r="C15" t="s">
        <v>496</v>
      </c>
      <c r="D15" s="488">
        <v>2080</v>
      </c>
      <c r="E15" s="488"/>
      <c r="F15" s="488">
        <v>2080</v>
      </c>
      <c r="G15" s="488">
        <v>2080</v>
      </c>
      <c r="H15" s="488"/>
      <c r="I15" s="488">
        <v>2080</v>
      </c>
      <c r="J15" s="488">
        <v>2160</v>
      </c>
      <c r="K15" s="488"/>
      <c r="L15" s="488">
        <v>2160</v>
      </c>
      <c r="M15" s="10">
        <f t="shared" si="1"/>
        <v>1</v>
      </c>
      <c r="N15" s="10">
        <f t="shared" si="2"/>
        <v>1</v>
      </c>
      <c r="O15" s="10">
        <f t="shared" si="3"/>
        <v>1</v>
      </c>
      <c r="P15" s="10">
        <f t="shared" si="4"/>
        <v>1</v>
      </c>
      <c r="Q15" t="str">
        <f t="shared" si="0"/>
        <v>120114.Operations Specialist</v>
      </c>
      <c r="R15" s="10">
        <f t="shared" si="5"/>
        <v>1</v>
      </c>
    </row>
    <row r="16" spans="1:18">
      <c r="A16" s="106">
        <v>120114</v>
      </c>
      <c r="B16" t="s">
        <v>9</v>
      </c>
      <c r="C16" t="s">
        <v>827</v>
      </c>
      <c r="D16" s="488">
        <v>1947</v>
      </c>
      <c r="E16" s="488">
        <v>133</v>
      </c>
      <c r="F16" s="488">
        <v>2080</v>
      </c>
      <c r="G16" s="488">
        <v>2024</v>
      </c>
      <c r="H16" s="488">
        <v>56</v>
      </c>
      <c r="I16" s="488">
        <v>2080</v>
      </c>
      <c r="J16" s="488">
        <v>2024</v>
      </c>
      <c r="K16" s="488">
        <v>136</v>
      </c>
      <c r="L16" s="488">
        <v>2160</v>
      </c>
      <c r="M16" s="10">
        <f t="shared" si="1"/>
        <v>0.93605769230769231</v>
      </c>
      <c r="N16" s="10">
        <f t="shared" si="2"/>
        <v>0.97307692307692306</v>
      </c>
      <c r="O16" s="10">
        <f t="shared" si="3"/>
        <v>0.937037037037037</v>
      </c>
      <c r="P16" s="10">
        <f t="shared" si="4"/>
        <v>0.94872388414055076</v>
      </c>
      <c r="Q16" t="str">
        <f t="shared" si="0"/>
        <v>120114.Sr Project Engineer</v>
      </c>
      <c r="R16" s="10">
        <f t="shared" si="5"/>
        <v>0.94872388414055076</v>
      </c>
    </row>
    <row r="17" spans="1:18">
      <c r="A17" s="106">
        <v>120121</v>
      </c>
      <c r="B17" t="s">
        <v>18</v>
      </c>
      <c r="C17" t="s">
        <v>283</v>
      </c>
      <c r="D17" s="488">
        <v>2089.5</v>
      </c>
      <c r="E17" s="488"/>
      <c r="F17" s="488">
        <v>2089.5</v>
      </c>
      <c r="G17" s="488">
        <v>2097.5</v>
      </c>
      <c r="H17" s="488"/>
      <c r="I17" s="488">
        <v>2097.5</v>
      </c>
      <c r="J17" s="488">
        <v>2183</v>
      </c>
      <c r="K17" s="488"/>
      <c r="L17" s="488">
        <v>2183</v>
      </c>
      <c r="M17" s="10">
        <f t="shared" si="1"/>
        <v>1</v>
      </c>
      <c r="N17" s="10">
        <f t="shared" si="2"/>
        <v>1</v>
      </c>
      <c r="O17" s="10">
        <f t="shared" si="3"/>
        <v>1</v>
      </c>
      <c r="P17" s="10">
        <f t="shared" si="4"/>
        <v>1</v>
      </c>
      <c r="Q17" t="str">
        <f t="shared" si="0"/>
        <v>120121.Admin Asst - Staff Supp (N)</v>
      </c>
      <c r="R17" s="10">
        <f t="shared" si="5"/>
        <v>1</v>
      </c>
    </row>
    <row r="18" spans="1:18">
      <c r="A18" s="106">
        <v>120121</v>
      </c>
      <c r="B18" t="s">
        <v>18</v>
      </c>
      <c r="C18" t="s">
        <v>17</v>
      </c>
      <c r="D18" s="488">
        <v>2080</v>
      </c>
      <c r="E18" s="488"/>
      <c r="F18" s="488">
        <v>2080</v>
      </c>
      <c r="G18" s="488">
        <v>2080</v>
      </c>
      <c r="H18" s="488"/>
      <c r="I18" s="488">
        <v>2080</v>
      </c>
      <c r="J18" s="488">
        <v>2160</v>
      </c>
      <c r="K18" s="488"/>
      <c r="L18" s="488">
        <v>2160</v>
      </c>
      <c r="M18" s="10">
        <f t="shared" si="1"/>
        <v>1</v>
      </c>
      <c r="N18" s="10">
        <f t="shared" si="2"/>
        <v>1</v>
      </c>
      <c r="O18" s="10">
        <f t="shared" si="3"/>
        <v>1</v>
      </c>
      <c r="P18" s="10">
        <f t="shared" si="4"/>
        <v>1</v>
      </c>
      <c r="Q18" t="str">
        <f t="shared" si="0"/>
        <v>120121.Mgr Ext Affairs (State)</v>
      </c>
      <c r="R18" s="10">
        <f t="shared" si="5"/>
        <v>1</v>
      </c>
    </row>
    <row r="19" spans="1:18">
      <c r="A19" s="106">
        <v>120121</v>
      </c>
      <c r="B19" t="s">
        <v>18</v>
      </c>
      <c r="C19" t="s">
        <v>819</v>
      </c>
      <c r="D19" s="488">
        <v>1928</v>
      </c>
      <c r="E19" s="488"/>
      <c r="F19" s="488">
        <v>1928</v>
      </c>
      <c r="G19" s="488">
        <v>2080</v>
      </c>
      <c r="H19" s="488"/>
      <c r="I19" s="488">
        <v>2080</v>
      </c>
      <c r="J19" s="488">
        <v>2160</v>
      </c>
      <c r="K19" s="488"/>
      <c r="L19" s="488">
        <v>2160</v>
      </c>
      <c r="M19" s="10">
        <f t="shared" si="1"/>
        <v>1</v>
      </c>
      <c r="N19" s="10">
        <f t="shared" si="2"/>
        <v>1</v>
      </c>
      <c r="O19" s="10">
        <f t="shared" si="3"/>
        <v>1</v>
      </c>
      <c r="P19" s="10">
        <f t="shared" si="4"/>
        <v>1</v>
      </c>
      <c r="Q19" t="str">
        <f t="shared" si="0"/>
        <v>120121.Spec Ext Affairs</v>
      </c>
      <c r="R19" s="10">
        <f t="shared" si="5"/>
        <v>1</v>
      </c>
    </row>
    <row r="20" spans="1:18">
      <c r="A20" s="106">
        <v>120201</v>
      </c>
      <c r="B20" t="s">
        <v>264</v>
      </c>
      <c r="C20" t="s">
        <v>283</v>
      </c>
      <c r="D20" s="488">
        <v>2275.5</v>
      </c>
      <c r="E20" s="488"/>
      <c r="F20" s="488">
        <v>2275.5</v>
      </c>
      <c r="G20" s="488">
        <v>2396</v>
      </c>
      <c r="H20" s="488"/>
      <c r="I20" s="488">
        <v>2396</v>
      </c>
      <c r="J20" s="488">
        <v>2486.5</v>
      </c>
      <c r="K20" s="488"/>
      <c r="L20" s="488">
        <v>2486.5</v>
      </c>
      <c r="M20" s="10">
        <f t="shared" si="1"/>
        <v>1</v>
      </c>
      <c r="N20" s="10">
        <f t="shared" si="2"/>
        <v>1</v>
      </c>
      <c r="O20" s="10">
        <f t="shared" si="3"/>
        <v>1</v>
      </c>
      <c r="P20" s="10">
        <f t="shared" si="4"/>
        <v>1</v>
      </c>
      <c r="Q20" t="str">
        <f t="shared" si="0"/>
        <v>120201.Admin Asst - Staff Supp (N)</v>
      </c>
      <c r="R20" s="10">
        <f t="shared" si="5"/>
        <v>1</v>
      </c>
    </row>
    <row r="21" spans="1:18">
      <c r="A21" s="106">
        <v>120201</v>
      </c>
      <c r="B21" t="s">
        <v>264</v>
      </c>
      <c r="C21" t="s">
        <v>862</v>
      </c>
      <c r="D21" s="488">
        <v>604.5</v>
      </c>
      <c r="E21" s="488"/>
      <c r="F21" s="488">
        <v>604.5</v>
      </c>
      <c r="G21" s="488">
        <v>3242.5</v>
      </c>
      <c r="H21" s="488">
        <v>2</v>
      </c>
      <c r="I21" s="488">
        <v>3244.5</v>
      </c>
      <c r="J21" s="488">
        <v>4824</v>
      </c>
      <c r="K21" s="488"/>
      <c r="L21" s="488">
        <v>4824</v>
      </c>
      <c r="M21" s="10">
        <f t="shared" si="1"/>
        <v>1</v>
      </c>
      <c r="N21" s="10">
        <f t="shared" si="2"/>
        <v>0.99938357219910623</v>
      </c>
      <c r="O21" s="10">
        <f t="shared" si="3"/>
        <v>1</v>
      </c>
      <c r="P21" s="10">
        <f t="shared" si="4"/>
        <v>0.99979452406636871</v>
      </c>
      <c r="Q21" t="str">
        <f t="shared" si="0"/>
        <v>120201.Maintenance Technician I F320O</v>
      </c>
      <c r="R21" s="10">
        <f t="shared" si="5"/>
        <v>0.99979452406636871</v>
      </c>
    </row>
    <row r="22" spans="1:18">
      <c r="A22" s="106">
        <v>120201</v>
      </c>
      <c r="B22" t="s">
        <v>264</v>
      </c>
      <c r="C22" t="s">
        <v>267</v>
      </c>
      <c r="D22" s="488">
        <v>4871.5</v>
      </c>
      <c r="E22" s="488">
        <v>22</v>
      </c>
      <c r="F22" s="488">
        <v>4893.5</v>
      </c>
      <c r="G22" s="488">
        <v>4609.5</v>
      </c>
      <c r="H22" s="488">
        <v>22</v>
      </c>
      <c r="I22" s="488">
        <v>4631.5</v>
      </c>
      <c r="J22" s="488">
        <v>4696</v>
      </c>
      <c r="K22" s="488"/>
      <c r="L22" s="488">
        <v>4696</v>
      </c>
      <c r="M22" s="10">
        <f t="shared" si="1"/>
        <v>0.99550424031879026</v>
      </c>
      <c r="N22" s="10">
        <f t="shared" si="2"/>
        <v>0.99524991903271076</v>
      </c>
      <c r="O22" s="10">
        <f t="shared" si="3"/>
        <v>1</v>
      </c>
      <c r="P22" s="10">
        <f t="shared" si="4"/>
        <v>0.99691805311716697</v>
      </c>
      <c r="Q22" t="str">
        <f t="shared" si="0"/>
        <v>120201.Maintenance Technician II F320O</v>
      </c>
      <c r="R22" s="10">
        <f t="shared" si="5"/>
        <v>0.99691805311716697</v>
      </c>
    </row>
    <row r="23" spans="1:18">
      <c r="A23" s="106">
        <v>120201</v>
      </c>
      <c r="B23" t="s">
        <v>264</v>
      </c>
      <c r="C23" t="s">
        <v>309</v>
      </c>
      <c r="D23" s="488">
        <v>2080</v>
      </c>
      <c r="E23" s="488"/>
      <c r="F23" s="488">
        <v>2080</v>
      </c>
      <c r="G23" s="488">
        <v>2048</v>
      </c>
      <c r="H23" s="488">
        <v>32</v>
      </c>
      <c r="I23" s="488">
        <v>2080</v>
      </c>
      <c r="J23" s="488">
        <v>2160</v>
      </c>
      <c r="K23" s="488"/>
      <c r="L23" s="488">
        <v>2160</v>
      </c>
      <c r="M23" s="10">
        <f t="shared" si="1"/>
        <v>1</v>
      </c>
      <c r="N23" s="10">
        <f t="shared" si="2"/>
        <v>0.98461538461538467</v>
      </c>
      <c r="O23" s="10">
        <f t="shared" si="3"/>
        <v>1</v>
      </c>
      <c r="P23" s="10">
        <f t="shared" si="4"/>
        <v>0.99487179487179489</v>
      </c>
      <c r="Q23" t="str">
        <f t="shared" si="0"/>
        <v>120201.Mgr Opns</v>
      </c>
      <c r="R23" s="10">
        <f t="shared" si="5"/>
        <v>0.99487179487179489</v>
      </c>
    </row>
    <row r="24" spans="1:18">
      <c r="A24" s="106">
        <v>120201</v>
      </c>
      <c r="B24" t="s">
        <v>264</v>
      </c>
      <c r="C24" t="s">
        <v>496</v>
      </c>
      <c r="D24" s="488">
        <v>1654.5</v>
      </c>
      <c r="E24" s="488">
        <v>451.5</v>
      </c>
      <c r="F24" s="488">
        <v>2106</v>
      </c>
      <c r="G24" s="488">
        <v>1824</v>
      </c>
      <c r="H24" s="488">
        <v>288</v>
      </c>
      <c r="I24" s="488">
        <v>2112</v>
      </c>
      <c r="J24" s="488">
        <v>2180</v>
      </c>
      <c r="K24" s="488">
        <v>21</v>
      </c>
      <c r="L24" s="488">
        <v>2201</v>
      </c>
      <c r="M24" s="10">
        <f t="shared" si="1"/>
        <v>0.78561253561253563</v>
      </c>
      <c r="N24" s="10">
        <f t="shared" si="2"/>
        <v>0.86363636363636365</v>
      </c>
      <c r="O24" s="10">
        <f t="shared" si="3"/>
        <v>0.99045888232621537</v>
      </c>
      <c r="P24" s="10">
        <f t="shared" si="4"/>
        <v>0.87990259385837166</v>
      </c>
      <c r="Q24" t="str">
        <f t="shared" si="0"/>
        <v>120201.Operations Specialist</v>
      </c>
      <c r="R24" s="10">
        <f t="shared" si="5"/>
        <v>0.87990259385837166</v>
      </c>
    </row>
    <row r="25" spans="1:18">
      <c r="A25" s="106">
        <v>120201</v>
      </c>
      <c r="B25" t="s">
        <v>264</v>
      </c>
      <c r="C25" t="s">
        <v>870</v>
      </c>
      <c r="D25" s="488"/>
      <c r="E25" s="488"/>
      <c r="F25" s="488"/>
      <c r="G25" s="488">
        <v>1009.5</v>
      </c>
      <c r="H25" s="488"/>
      <c r="I25" s="488">
        <v>1009.5</v>
      </c>
      <c r="J25" s="488">
        <v>2263</v>
      </c>
      <c r="K25" s="488"/>
      <c r="L25" s="488">
        <v>2263</v>
      </c>
      <c r="M25" s="10" t="str">
        <f t="shared" si="1"/>
        <v xml:space="preserve"> </v>
      </c>
      <c r="N25" s="10">
        <f t="shared" si="2"/>
        <v>1</v>
      </c>
      <c r="O25" s="10">
        <f t="shared" si="3"/>
        <v>1</v>
      </c>
      <c r="P25" s="10">
        <f t="shared" si="4"/>
        <v>1</v>
      </c>
      <c r="Q25" t="str">
        <f t="shared" si="0"/>
        <v>120201.Sr Automation &amp; Controls Tech</v>
      </c>
      <c r="R25" s="10">
        <f t="shared" si="5"/>
        <v>1</v>
      </c>
    </row>
    <row r="26" spans="1:18">
      <c r="A26" s="106">
        <v>120201</v>
      </c>
      <c r="B26" t="s">
        <v>264</v>
      </c>
      <c r="C26" t="s">
        <v>786</v>
      </c>
      <c r="D26" s="488">
        <v>2080</v>
      </c>
      <c r="E26" s="488"/>
      <c r="F26" s="488">
        <v>2080</v>
      </c>
      <c r="G26" s="488">
        <v>2080</v>
      </c>
      <c r="H26" s="488"/>
      <c r="I26" s="488">
        <v>2080</v>
      </c>
      <c r="J26" s="488">
        <v>2160</v>
      </c>
      <c r="K26" s="488"/>
      <c r="L26" s="488">
        <v>2160</v>
      </c>
      <c r="M26" s="10">
        <f t="shared" si="1"/>
        <v>1</v>
      </c>
      <c r="N26" s="10">
        <f t="shared" si="2"/>
        <v>1</v>
      </c>
      <c r="O26" s="10">
        <f t="shared" si="3"/>
        <v>1</v>
      </c>
      <c r="P26" s="10">
        <f t="shared" si="4"/>
        <v>1</v>
      </c>
      <c r="Q26" t="str">
        <f t="shared" si="0"/>
        <v>120201.Supvr Opns</v>
      </c>
      <c r="R26" s="10">
        <f t="shared" si="5"/>
        <v>1</v>
      </c>
    </row>
    <row r="27" spans="1:18">
      <c r="A27" s="106">
        <v>120201</v>
      </c>
      <c r="B27" t="s">
        <v>264</v>
      </c>
      <c r="C27" t="s">
        <v>16</v>
      </c>
      <c r="D27" s="488">
        <v>201</v>
      </c>
      <c r="E27" s="488">
        <v>2097.5</v>
      </c>
      <c r="F27" s="488">
        <v>2298.5</v>
      </c>
      <c r="G27" s="488">
        <v>589</v>
      </c>
      <c r="H27" s="488">
        <v>2039.5</v>
      </c>
      <c r="I27" s="488">
        <v>2628.5</v>
      </c>
      <c r="J27" s="488">
        <v>556</v>
      </c>
      <c r="K27" s="488">
        <v>2272.5</v>
      </c>
      <c r="L27" s="488">
        <v>2828.5</v>
      </c>
      <c r="M27" s="10">
        <f t="shared" si="1"/>
        <v>8.7448335871220362E-2</v>
      </c>
      <c r="N27" s="10">
        <f t="shared" si="2"/>
        <v>0.22408217614609094</v>
      </c>
      <c r="O27" s="10">
        <f t="shared" si="3"/>
        <v>0.1965706204702139</v>
      </c>
      <c r="P27" s="10">
        <f t="shared" si="4"/>
        <v>0.16936704416250839</v>
      </c>
      <c r="Q27" t="str">
        <f t="shared" si="0"/>
        <v>120201.Wastewater Operator</v>
      </c>
      <c r="R27" s="10">
        <f t="shared" si="5"/>
        <v>0.16936704416250839</v>
      </c>
    </row>
    <row r="28" spans="1:18">
      <c r="A28" s="106">
        <v>120203</v>
      </c>
      <c r="B28" t="s">
        <v>219</v>
      </c>
      <c r="C28" t="s">
        <v>301</v>
      </c>
      <c r="D28" s="488">
        <v>2080</v>
      </c>
      <c r="E28" s="488"/>
      <c r="F28" s="488">
        <v>2080</v>
      </c>
      <c r="G28" s="488">
        <v>2080</v>
      </c>
      <c r="H28" s="488"/>
      <c r="I28" s="488">
        <v>2080</v>
      </c>
      <c r="J28" s="488">
        <v>2163.5</v>
      </c>
      <c r="K28" s="488"/>
      <c r="L28" s="488">
        <v>2163.5</v>
      </c>
      <c r="M28" s="10">
        <f t="shared" si="1"/>
        <v>1</v>
      </c>
      <c r="N28" s="10">
        <f t="shared" si="2"/>
        <v>1</v>
      </c>
      <c r="O28" s="10">
        <f t="shared" si="3"/>
        <v>1</v>
      </c>
      <c r="P28" s="10">
        <f t="shared" si="4"/>
        <v>1</v>
      </c>
      <c r="Q28" t="str">
        <f t="shared" si="0"/>
        <v>120203.Clerk Opns (N)</v>
      </c>
      <c r="R28" s="10">
        <f t="shared" si="5"/>
        <v>1</v>
      </c>
    </row>
    <row r="29" spans="1:18">
      <c r="A29" s="106">
        <v>120203</v>
      </c>
      <c r="B29" t="s">
        <v>219</v>
      </c>
      <c r="C29" t="s">
        <v>496</v>
      </c>
      <c r="D29" s="488">
        <v>2160.5</v>
      </c>
      <c r="E29" s="488"/>
      <c r="F29" s="488">
        <v>2160.5</v>
      </c>
      <c r="G29" s="488">
        <v>2174</v>
      </c>
      <c r="H29" s="488"/>
      <c r="I29" s="488">
        <v>2174</v>
      </c>
      <c r="J29" s="488">
        <v>2310.5</v>
      </c>
      <c r="K29" s="488"/>
      <c r="L29" s="488">
        <v>2310.5</v>
      </c>
      <c r="M29" s="10">
        <f t="shared" si="1"/>
        <v>1</v>
      </c>
      <c r="N29" s="10">
        <f t="shared" si="2"/>
        <v>1</v>
      </c>
      <c r="O29" s="10">
        <f t="shared" si="3"/>
        <v>1</v>
      </c>
      <c r="P29" s="10">
        <f t="shared" si="4"/>
        <v>1</v>
      </c>
      <c r="Q29" t="str">
        <f t="shared" si="0"/>
        <v>120203.Operations Specialist</v>
      </c>
      <c r="R29" s="10">
        <f t="shared" si="5"/>
        <v>1</v>
      </c>
    </row>
    <row r="30" spans="1:18">
      <c r="A30" s="106">
        <v>120203</v>
      </c>
      <c r="B30" t="s">
        <v>219</v>
      </c>
      <c r="C30" t="s">
        <v>800</v>
      </c>
      <c r="D30" s="488">
        <v>4210.5</v>
      </c>
      <c r="E30" s="488"/>
      <c r="F30" s="488">
        <v>4210.5</v>
      </c>
      <c r="G30" s="488">
        <v>4180.5</v>
      </c>
      <c r="H30" s="488"/>
      <c r="I30" s="488">
        <v>4180.5</v>
      </c>
      <c r="J30" s="488">
        <v>6729.5</v>
      </c>
      <c r="K30" s="488"/>
      <c r="L30" s="488">
        <v>6729.5</v>
      </c>
      <c r="M30" s="10">
        <f t="shared" si="1"/>
        <v>1</v>
      </c>
      <c r="N30" s="10">
        <f t="shared" si="2"/>
        <v>1</v>
      </c>
      <c r="O30" s="10">
        <f t="shared" si="3"/>
        <v>1</v>
      </c>
      <c r="P30" s="10">
        <f t="shared" si="4"/>
        <v>1</v>
      </c>
      <c r="Q30" t="str">
        <f t="shared" si="0"/>
        <v>120203.Specialist Service Delivery</v>
      </c>
      <c r="R30" s="10">
        <f t="shared" si="5"/>
        <v>1</v>
      </c>
    </row>
    <row r="31" spans="1:18">
      <c r="A31" s="106">
        <v>120203</v>
      </c>
      <c r="B31" t="s">
        <v>219</v>
      </c>
      <c r="C31" t="s">
        <v>831</v>
      </c>
      <c r="D31" s="488"/>
      <c r="E31" s="488"/>
      <c r="F31" s="488"/>
      <c r="G31" s="488">
        <v>80</v>
      </c>
      <c r="H31" s="488"/>
      <c r="I31" s="488">
        <v>80</v>
      </c>
      <c r="J31" s="488">
        <v>2160</v>
      </c>
      <c r="K31" s="488"/>
      <c r="L31" s="488">
        <v>2160</v>
      </c>
      <c r="M31" s="10" t="str">
        <f t="shared" si="1"/>
        <v xml:space="preserve"> </v>
      </c>
      <c r="N31" s="10">
        <f t="shared" si="2"/>
        <v>1</v>
      </c>
      <c r="O31" s="10">
        <f t="shared" si="3"/>
        <v>1</v>
      </c>
      <c r="P31" s="10">
        <f t="shared" si="4"/>
        <v>1</v>
      </c>
      <c r="Q31" t="str">
        <f t="shared" si="0"/>
        <v>120203.Sr Supvr Operations</v>
      </c>
      <c r="R31" s="10">
        <f t="shared" si="5"/>
        <v>1</v>
      </c>
    </row>
    <row r="32" spans="1:18">
      <c r="A32" s="106">
        <v>120206</v>
      </c>
      <c r="B32" t="s">
        <v>286</v>
      </c>
      <c r="C32" t="s">
        <v>368</v>
      </c>
      <c r="D32" s="488">
        <v>4941</v>
      </c>
      <c r="E32" s="488"/>
      <c r="F32" s="488">
        <v>4941</v>
      </c>
      <c r="G32" s="488">
        <v>4602</v>
      </c>
      <c r="H32" s="488"/>
      <c r="I32" s="488">
        <v>4602</v>
      </c>
      <c r="J32" s="488">
        <v>4503.5</v>
      </c>
      <c r="K32" s="488"/>
      <c r="L32" s="488">
        <v>4503.5</v>
      </c>
      <c r="M32" s="10">
        <f t="shared" si="1"/>
        <v>1</v>
      </c>
      <c r="N32" s="10">
        <f t="shared" si="2"/>
        <v>1</v>
      </c>
      <c r="O32" s="10">
        <f t="shared" si="3"/>
        <v>1</v>
      </c>
      <c r="P32" s="10">
        <f t="shared" si="4"/>
        <v>1</v>
      </c>
      <c r="Q32" t="str">
        <f t="shared" si="0"/>
        <v>120206.Backhoe Operator F320O</v>
      </c>
      <c r="R32" s="10">
        <f t="shared" si="5"/>
        <v>1</v>
      </c>
    </row>
    <row r="33" spans="1:18">
      <c r="A33" s="106">
        <v>120206</v>
      </c>
      <c r="B33" t="s">
        <v>286</v>
      </c>
      <c r="C33" t="s">
        <v>301</v>
      </c>
      <c r="D33" s="488">
        <v>4282</v>
      </c>
      <c r="E33" s="488"/>
      <c r="F33" s="488">
        <v>4282</v>
      </c>
      <c r="G33" s="488">
        <v>4268.5</v>
      </c>
      <c r="H33" s="488"/>
      <c r="I33" s="488">
        <v>4268.5</v>
      </c>
      <c r="J33" s="488">
        <v>4860</v>
      </c>
      <c r="K33" s="488"/>
      <c r="L33" s="488">
        <v>4860</v>
      </c>
      <c r="M33" s="10">
        <f t="shared" si="1"/>
        <v>1</v>
      </c>
      <c r="N33" s="10">
        <f t="shared" si="2"/>
        <v>1</v>
      </c>
      <c r="O33" s="10">
        <f t="shared" si="3"/>
        <v>1</v>
      </c>
      <c r="P33" s="10">
        <f t="shared" si="4"/>
        <v>1</v>
      </c>
      <c r="Q33" t="str">
        <f t="shared" si="0"/>
        <v>120206.Clerk Opns (N)</v>
      </c>
      <c r="R33" s="10">
        <f t="shared" si="5"/>
        <v>1</v>
      </c>
    </row>
    <row r="34" spans="1:18">
      <c r="A34" s="106">
        <v>120206</v>
      </c>
      <c r="B34" t="s">
        <v>286</v>
      </c>
      <c r="C34" t="s">
        <v>341</v>
      </c>
      <c r="D34" s="488">
        <v>16441</v>
      </c>
      <c r="E34" s="488"/>
      <c r="F34" s="488">
        <v>16441</v>
      </c>
      <c r="G34" s="488">
        <v>16686</v>
      </c>
      <c r="H34" s="488">
        <v>12.5</v>
      </c>
      <c r="I34" s="488">
        <v>16698.5</v>
      </c>
      <c r="J34" s="488">
        <v>19875</v>
      </c>
      <c r="K34" s="488">
        <v>10.5</v>
      </c>
      <c r="L34" s="488">
        <v>19885.5</v>
      </c>
      <c r="M34" s="10">
        <f t="shared" si="1"/>
        <v>1</v>
      </c>
      <c r="N34" s="10">
        <f t="shared" si="2"/>
        <v>0.99925142976914094</v>
      </c>
      <c r="O34" s="10">
        <f t="shared" si="3"/>
        <v>0.99947197706871838</v>
      </c>
      <c r="P34" s="10">
        <f t="shared" si="4"/>
        <v>0.99957446894595314</v>
      </c>
      <c r="Q34" t="str">
        <f t="shared" si="0"/>
        <v>120206.Crew Leader F320O &amp; U335P</v>
      </c>
      <c r="R34" s="10">
        <f t="shared" si="5"/>
        <v>0.99957446894595314</v>
      </c>
    </row>
    <row r="35" spans="1:18">
      <c r="A35" s="106">
        <v>120206</v>
      </c>
      <c r="B35" t="s">
        <v>286</v>
      </c>
      <c r="C35" t="s">
        <v>221</v>
      </c>
      <c r="D35" s="488">
        <v>33804</v>
      </c>
      <c r="E35" s="488">
        <v>8</v>
      </c>
      <c r="F35" s="488">
        <v>33812</v>
      </c>
      <c r="G35" s="488">
        <v>33960.5</v>
      </c>
      <c r="H35" s="488"/>
      <c r="I35" s="488">
        <v>33960.5</v>
      </c>
      <c r="J35" s="488">
        <v>35905.78</v>
      </c>
      <c r="K35" s="488"/>
      <c r="L35" s="488">
        <v>35905.78</v>
      </c>
      <c r="M35" s="10">
        <f t="shared" si="1"/>
        <v>0.99976339761031585</v>
      </c>
      <c r="N35" s="10">
        <f t="shared" si="2"/>
        <v>1</v>
      </c>
      <c r="O35" s="10">
        <f t="shared" si="3"/>
        <v>1</v>
      </c>
      <c r="P35" s="10">
        <f t="shared" si="4"/>
        <v>0.99992113253677195</v>
      </c>
      <c r="Q35" t="str">
        <f t="shared" si="0"/>
        <v>120206.Field Service Rep F320O</v>
      </c>
      <c r="R35" s="10">
        <f t="shared" si="5"/>
        <v>0.99992113253677195</v>
      </c>
    </row>
    <row r="36" spans="1:18">
      <c r="A36" s="106">
        <v>120206</v>
      </c>
      <c r="B36" t="s">
        <v>286</v>
      </c>
      <c r="C36" t="s">
        <v>814</v>
      </c>
      <c r="D36" s="488">
        <v>2195</v>
      </c>
      <c r="E36" s="488"/>
      <c r="F36" s="488">
        <v>2195</v>
      </c>
      <c r="G36" s="488">
        <v>2291</v>
      </c>
      <c r="H36" s="488"/>
      <c r="I36" s="488">
        <v>2291</v>
      </c>
      <c r="J36" s="488">
        <v>2655.5</v>
      </c>
      <c r="K36" s="488"/>
      <c r="L36" s="488">
        <v>2655.5</v>
      </c>
      <c r="M36" s="10">
        <f t="shared" si="1"/>
        <v>1</v>
      </c>
      <c r="N36" s="10">
        <f t="shared" si="2"/>
        <v>1</v>
      </c>
      <c r="O36" s="10">
        <f t="shared" si="3"/>
        <v>1</v>
      </c>
      <c r="P36" s="10">
        <f t="shared" si="4"/>
        <v>1</v>
      </c>
      <c r="Q36" t="str">
        <f t="shared" si="0"/>
        <v>120206.Jr Backhoe/Crew Leader F320O</v>
      </c>
      <c r="R36" s="10">
        <f t="shared" si="5"/>
        <v>1</v>
      </c>
    </row>
    <row r="37" spans="1:18">
      <c r="A37" s="106">
        <v>120206</v>
      </c>
      <c r="B37" t="s">
        <v>286</v>
      </c>
      <c r="C37" t="s">
        <v>306</v>
      </c>
      <c r="D37" s="488">
        <v>11370.5</v>
      </c>
      <c r="E37" s="488"/>
      <c r="F37" s="488">
        <v>11370.5</v>
      </c>
      <c r="G37" s="488">
        <v>11044.5</v>
      </c>
      <c r="H37" s="488"/>
      <c r="I37" s="488">
        <v>11044.5</v>
      </c>
      <c r="J37" s="488">
        <v>12054</v>
      </c>
      <c r="K37" s="488"/>
      <c r="L37" s="488">
        <v>12054</v>
      </c>
      <c r="M37" s="10">
        <f t="shared" si="1"/>
        <v>1</v>
      </c>
      <c r="N37" s="10">
        <f t="shared" si="2"/>
        <v>1</v>
      </c>
      <c r="O37" s="10">
        <f t="shared" si="3"/>
        <v>1</v>
      </c>
      <c r="P37" s="10">
        <f t="shared" si="4"/>
        <v>1</v>
      </c>
      <c r="Q37" t="str">
        <f t="shared" si="0"/>
        <v>120206.Meter Reader F320O</v>
      </c>
      <c r="R37" s="10">
        <f t="shared" si="5"/>
        <v>1</v>
      </c>
    </row>
    <row r="38" spans="1:18">
      <c r="A38" s="106">
        <v>120206</v>
      </c>
      <c r="B38" t="s">
        <v>286</v>
      </c>
      <c r="C38" t="s">
        <v>289</v>
      </c>
      <c r="D38" s="488">
        <v>2304.5</v>
      </c>
      <c r="E38" s="488"/>
      <c r="F38" s="488">
        <v>2304.5</v>
      </c>
      <c r="G38" s="488">
        <v>2493</v>
      </c>
      <c r="H38" s="488"/>
      <c r="I38" s="488">
        <v>2493</v>
      </c>
      <c r="J38" s="488">
        <v>2780</v>
      </c>
      <c r="K38" s="488"/>
      <c r="L38" s="488">
        <v>2780</v>
      </c>
      <c r="M38" s="10">
        <f t="shared" si="1"/>
        <v>1</v>
      </c>
      <c r="N38" s="10">
        <f t="shared" si="2"/>
        <v>1</v>
      </c>
      <c r="O38" s="10">
        <f t="shared" si="3"/>
        <v>1</v>
      </c>
      <c r="P38" s="10">
        <f t="shared" si="4"/>
        <v>1</v>
      </c>
      <c r="Q38" t="str">
        <f t="shared" si="0"/>
        <v>120206.Meter Technician F320O</v>
      </c>
      <c r="R38" s="10">
        <f t="shared" si="5"/>
        <v>1</v>
      </c>
    </row>
    <row r="39" spans="1:18">
      <c r="A39" s="106">
        <v>120206</v>
      </c>
      <c r="B39" t="s">
        <v>286</v>
      </c>
      <c r="C39" t="s">
        <v>496</v>
      </c>
      <c r="D39" s="488">
        <v>8964</v>
      </c>
      <c r="E39" s="488"/>
      <c r="F39" s="488">
        <v>8964</v>
      </c>
      <c r="G39" s="488">
        <v>9533</v>
      </c>
      <c r="H39" s="488"/>
      <c r="I39" s="488">
        <v>9533</v>
      </c>
      <c r="J39" s="488">
        <v>10171</v>
      </c>
      <c r="K39" s="488"/>
      <c r="L39" s="488">
        <v>10171</v>
      </c>
      <c r="M39" s="10">
        <f t="shared" si="1"/>
        <v>1</v>
      </c>
      <c r="N39" s="10">
        <f t="shared" si="2"/>
        <v>1</v>
      </c>
      <c r="O39" s="10">
        <f t="shared" si="3"/>
        <v>1</v>
      </c>
      <c r="P39" s="10">
        <f t="shared" si="4"/>
        <v>1</v>
      </c>
      <c r="Q39" t="str">
        <f t="shared" si="0"/>
        <v>120206.Operations Specialist</v>
      </c>
      <c r="R39" s="10">
        <f t="shared" si="5"/>
        <v>1</v>
      </c>
    </row>
    <row r="40" spans="1:18">
      <c r="A40" s="106">
        <v>120206</v>
      </c>
      <c r="B40" t="s">
        <v>286</v>
      </c>
      <c r="C40" t="s">
        <v>788</v>
      </c>
      <c r="D40" s="488"/>
      <c r="E40" s="488"/>
      <c r="F40" s="488"/>
      <c r="G40" s="488">
        <v>720</v>
      </c>
      <c r="H40" s="488"/>
      <c r="I40" s="488">
        <v>720</v>
      </c>
      <c r="J40" s="488">
        <v>2159</v>
      </c>
      <c r="K40" s="488">
        <v>1</v>
      </c>
      <c r="L40" s="488">
        <v>2160</v>
      </c>
      <c r="M40" s="10" t="str">
        <f t="shared" si="1"/>
        <v xml:space="preserve"> </v>
      </c>
      <c r="N40" s="10">
        <f t="shared" si="2"/>
        <v>1</v>
      </c>
      <c r="O40" s="10">
        <f t="shared" si="3"/>
        <v>0.999537037037037</v>
      </c>
      <c r="P40" s="10">
        <f t="shared" si="4"/>
        <v>0.99976851851851856</v>
      </c>
      <c r="Q40" t="str">
        <f t="shared" si="0"/>
        <v>120206.Sr Mgr Operations</v>
      </c>
      <c r="R40" s="10">
        <f t="shared" si="5"/>
        <v>0.99976851851851856</v>
      </c>
    </row>
    <row r="41" spans="1:18">
      <c r="A41" s="106">
        <v>120206</v>
      </c>
      <c r="B41" t="s">
        <v>286</v>
      </c>
      <c r="C41" t="s">
        <v>778</v>
      </c>
      <c r="D41" s="488">
        <v>2080</v>
      </c>
      <c r="E41" s="488"/>
      <c r="F41" s="488">
        <v>2080</v>
      </c>
      <c r="G41" s="488">
        <v>2400</v>
      </c>
      <c r="H41" s="488"/>
      <c r="I41" s="488">
        <v>2400</v>
      </c>
      <c r="J41" s="488">
        <v>4320</v>
      </c>
      <c r="K41" s="488"/>
      <c r="L41" s="488">
        <v>4320</v>
      </c>
      <c r="M41" s="10">
        <f t="shared" si="1"/>
        <v>1</v>
      </c>
      <c r="N41" s="10">
        <f t="shared" si="2"/>
        <v>1</v>
      </c>
      <c r="O41" s="10">
        <f t="shared" si="3"/>
        <v>1</v>
      </c>
      <c r="P41" s="10">
        <f t="shared" si="4"/>
        <v>1</v>
      </c>
      <c r="Q41" t="str">
        <f t="shared" si="0"/>
        <v>120206.Sr Supt Opns</v>
      </c>
      <c r="R41" s="10">
        <f t="shared" si="5"/>
        <v>1</v>
      </c>
    </row>
    <row r="42" spans="1:18">
      <c r="A42" s="106">
        <v>120206</v>
      </c>
      <c r="B42" t="s">
        <v>286</v>
      </c>
      <c r="C42" t="s">
        <v>831</v>
      </c>
      <c r="D42" s="488"/>
      <c r="E42" s="488"/>
      <c r="F42" s="488"/>
      <c r="G42" s="488"/>
      <c r="H42" s="488"/>
      <c r="I42" s="488"/>
      <c r="J42" s="488">
        <v>720</v>
      </c>
      <c r="K42" s="488"/>
      <c r="L42" s="488">
        <v>720</v>
      </c>
      <c r="M42" s="10" t="str">
        <f t="shared" si="1"/>
        <v xml:space="preserve"> </v>
      </c>
      <c r="N42" s="10" t="str">
        <f t="shared" si="2"/>
        <v xml:space="preserve"> </v>
      </c>
      <c r="O42" s="10">
        <f t="shared" si="3"/>
        <v>1</v>
      </c>
      <c r="P42" s="10">
        <f t="shared" si="4"/>
        <v>1</v>
      </c>
      <c r="Q42" t="str">
        <f t="shared" si="0"/>
        <v>120206.Sr Supvr Operations</v>
      </c>
      <c r="R42" s="10">
        <f t="shared" si="5"/>
        <v>1</v>
      </c>
    </row>
    <row r="43" spans="1:18">
      <c r="A43" s="106">
        <v>120206</v>
      </c>
      <c r="B43" t="s">
        <v>286</v>
      </c>
      <c r="C43" t="s">
        <v>786</v>
      </c>
      <c r="D43" s="488">
        <v>2496</v>
      </c>
      <c r="E43" s="488"/>
      <c r="F43" s="488">
        <v>2496</v>
      </c>
      <c r="G43" s="488">
        <v>2931</v>
      </c>
      <c r="H43" s="488"/>
      <c r="I43" s="488">
        <v>2931</v>
      </c>
      <c r="J43" s="488">
        <v>2160</v>
      </c>
      <c r="K43" s="488"/>
      <c r="L43" s="488">
        <v>2160</v>
      </c>
      <c r="M43" s="10">
        <f t="shared" si="1"/>
        <v>1</v>
      </c>
      <c r="N43" s="10">
        <f t="shared" si="2"/>
        <v>1</v>
      </c>
      <c r="O43" s="10">
        <f t="shared" si="3"/>
        <v>1</v>
      </c>
      <c r="P43" s="10">
        <f t="shared" si="4"/>
        <v>1</v>
      </c>
      <c r="Q43" t="str">
        <f t="shared" si="0"/>
        <v>120206.Supvr Opns</v>
      </c>
      <c r="R43" s="10">
        <f t="shared" si="5"/>
        <v>1</v>
      </c>
    </row>
    <row r="44" spans="1:18">
      <c r="A44" s="106">
        <v>120206</v>
      </c>
      <c r="B44" t="s">
        <v>286</v>
      </c>
      <c r="C44" t="s">
        <v>390</v>
      </c>
      <c r="D44" s="488">
        <v>16210</v>
      </c>
      <c r="E44" s="488"/>
      <c r="F44" s="488">
        <v>16210</v>
      </c>
      <c r="G44" s="488">
        <v>20126</v>
      </c>
      <c r="H44" s="488"/>
      <c r="I44" s="488">
        <v>20126</v>
      </c>
      <c r="J44" s="488">
        <v>28080.5</v>
      </c>
      <c r="K44" s="488"/>
      <c r="L44" s="488">
        <v>28080.5</v>
      </c>
      <c r="M44" s="10">
        <f t="shared" si="1"/>
        <v>1</v>
      </c>
      <c r="N44" s="10">
        <f t="shared" si="2"/>
        <v>1</v>
      </c>
      <c r="O44" s="10">
        <f t="shared" si="3"/>
        <v>1</v>
      </c>
      <c r="P44" s="10">
        <f t="shared" si="4"/>
        <v>1</v>
      </c>
      <c r="Q44" t="str">
        <f t="shared" si="0"/>
        <v>120206.Utility F320O</v>
      </c>
      <c r="R44" s="10">
        <f t="shared" si="5"/>
        <v>1</v>
      </c>
    </row>
    <row r="45" spans="1:18">
      <c r="A45" s="106">
        <v>120214</v>
      </c>
      <c r="B45" t="s">
        <v>411</v>
      </c>
      <c r="C45" t="s">
        <v>878</v>
      </c>
      <c r="D45" s="488"/>
      <c r="E45" s="488"/>
      <c r="F45" s="488"/>
      <c r="G45" s="488">
        <v>488</v>
      </c>
      <c r="H45" s="488"/>
      <c r="I45" s="488">
        <v>488</v>
      </c>
      <c r="J45" s="488">
        <v>869</v>
      </c>
      <c r="K45" s="488"/>
      <c r="L45" s="488">
        <v>869</v>
      </c>
      <c r="M45" s="10" t="str">
        <f t="shared" si="1"/>
        <v xml:space="preserve"> </v>
      </c>
      <c r="N45" s="10">
        <f t="shared" si="2"/>
        <v>1</v>
      </c>
      <c r="O45" s="10">
        <f t="shared" si="3"/>
        <v>1</v>
      </c>
      <c r="P45" s="10">
        <f t="shared" si="4"/>
        <v>1</v>
      </c>
      <c r="Q45" t="str">
        <f t="shared" si="0"/>
        <v>120214.Intern Admin</v>
      </c>
      <c r="R45" s="10">
        <f t="shared" si="5"/>
        <v>1</v>
      </c>
    </row>
    <row r="46" spans="1:18">
      <c r="A46" s="106">
        <v>120216</v>
      </c>
      <c r="B46" t="s">
        <v>829</v>
      </c>
      <c r="C46" t="s">
        <v>496</v>
      </c>
      <c r="D46" s="488">
        <v>2331.5</v>
      </c>
      <c r="E46" s="488"/>
      <c r="F46" s="488">
        <v>2331.5</v>
      </c>
      <c r="G46" s="488">
        <v>2363</v>
      </c>
      <c r="H46" s="488"/>
      <c r="I46" s="488">
        <v>2363</v>
      </c>
      <c r="J46" s="488">
        <v>2394</v>
      </c>
      <c r="K46" s="488"/>
      <c r="L46" s="488">
        <v>2394</v>
      </c>
      <c r="M46" s="10">
        <f t="shared" si="1"/>
        <v>1</v>
      </c>
      <c r="N46" s="10">
        <f t="shared" si="2"/>
        <v>1</v>
      </c>
      <c r="O46" s="10">
        <f t="shared" si="3"/>
        <v>1</v>
      </c>
      <c r="P46" s="10">
        <f t="shared" si="4"/>
        <v>1</v>
      </c>
      <c r="Q46" t="str">
        <f t="shared" si="0"/>
        <v>120216.Operations Specialist</v>
      </c>
      <c r="R46" s="10">
        <f t="shared" si="5"/>
        <v>1</v>
      </c>
    </row>
    <row r="47" spans="1:18">
      <c r="A47" s="106">
        <v>120217</v>
      </c>
      <c r="B47" t="s">
        <v>247</v>
      </c>
      <c r="C47" t="s">
        <v>838</v>
      </c>
      <c r="D47" s="488"/>
      <c r="E47" s="488"/>
      <c r="F47" s="488"/>
      <c r="G47" s="488"/>
      <c r="H47" s="488"/>
      <c r="I47" s="488"/>
      <c r="J47" s="488">
        <v>2115</v>
      </c>
      <c r="K47" s="488">
        <v>45</v>
      </c>
      <c r="L47" s="488">
        <v>2160</v>
      </c>
      <c r="M47" s="10" t="str">
        <f t="shared" si="1"/>
        <v xml:space="preserve"> </v>
      </c>
      <c r="N47" s="10" t="str">
        <f t="shared" si="2"/>
        <v xml:space="preserve"> </v>
      </c>
      <c r="O47" s="10">
        <f t="shared" si="3"/>
        <v>0.97916666666666663</v>
      </c>
      <c r="P47" s="10">
        <f t="shared" si="4"/>
        <v>0.97916666666666663</v>
      </c>
      <c r="Q47" t="str">
        <f t="shared" si="0"/>
        <v>120217.Manager WQ &amp; Env Compliance</v>
      </c>
      <c r="R47" s="10">
        <f t="shared" si="5"/>
        <v>0.97916666666666663</v>
      </c>
    </row>
    <row r="48" spans="1:18">
      <c r="A48" s="106">
        <v>120217</v>
      </c>
      <c r="B48" t="s">
        <v>247</v>
      </c>
      <c r="C48" t="s">
        <v>19</v>
      </c>
      <c r="D48" s="488">
        <v>6222.5</v>
      </c>
      <c r="E48" s="488">
        <v>20</v>
      </c>
      <c r="F48" s="488">
        <v>6242.5</v>
      </c>
      <c r="G48" s="488">
        <v>6242.5</v>
      </c>
      <c r="H48" s="488">
        <v>2</v>
      </c>
      <c r="I48" s="488">
        <v>6244.5</v>
      </c>
      <c r="J48" s="488">
        <v>6461.5</v>
      </c>
      <c r="K48" s="488">
        <v>18.5</v>
      </c>
      <c r="L48" s="488">
        <v>6480</v>
      </c>
      <c r="M48" s="10">
        <f t="shared" si="1"/>
        <v>0.99679615538646371</v>
      </c>
      <c r="N48" s="10">
        <f t="shared" si="2"/>
        <v>0.99967971815197376</v>
      </c>
      <c r="O48" s="10">
        <f t="shared" si="3"/>
        <v>0.99714506172839501</v>
      </c>
      <c r="P48" s="10">
        <f t="shared" si="4"/>
        <v>0.99787364508894416</v>
      </c>
      <c r="Q48" t="str">
        <f t="shared" si="0"/>
        <v>120217.Spec Wtr Qlty &amp; Env Compl II</v>
      </c>
      <c r="R48" s="10">
        <f t="shared" si="5"/>
        <v>0.99787364508894416</v>
      </c>
    </row>
    <row r="49" spans="1:18">
      <c r="A49" s="106">
        <v>120217</v>
      </c>
      <c r="B49" t="s">
        <v>247</v>
      </c>
      <c r="C49" t="s">
        <v>840</v>
      </c>
      <c r="D49" s="488"/>
      <c r="E49" s="488"/>
      <c r="F49" s="488"/>
      <c r="G49" s="488"/>
      <c r="H49" s="488"/>
      <c r="I49" s="488"/>
      <c r="J49" s="488">
        <v>960</v>
      </c>
      <c r="K49" s="488"/>
      <c r="L49" s="488">
        <v>960</v>
      </c>
      <c r="M49" s="10" t="str">
        <f t="shared" si="1"/>
        <v xml:space="preserve"> </v>
      </c>
      <c r="N49" s="10" t="str">
        <f t="shared" si="2"/>
        <v xml:space="preserve"> </v>
      </c>
      <c r="O49" s="10">
        <f t="shared" si="3"/>
        <v>1</v>
      </c>
      <c r="P49" s="10">
        <f t="shared" si="4"/>
        <v>1</v>
      </c>
      <c r="Q49" t="str">
        <f t="shared" si="0"/>
        <v>120217.Supvr Cross Connection</v>
      </c>
      <c r="R49" s="10">
        <f t="shared" si="5"/>
        <v>1</v>
      </c>
    </row>
    <row r="50" spans="1:18">
      <c r="A50" s="106">
        <v>120250</v>
      </c>
      <c r="B50" t="s">
        <v>256</v>
      </c>
      <c r="C50" t="s">
        <v>7</v>
      </c>
      <c r="D50" s="488">
        <v>2080</v>
      </c>
      <c r="E50" s="488"/>
      <c r="F50" s="488">
        <v>2080</v>
      </c>
      <c r="G50" s="488">
        <v>2080</v>
      </c>
      <c r="H50" s="488"/>
      <c r="I50" s="488">
        <v>2080</v>
      </c>
      <c r="J50" s="488">
        <v>2160</v>
      </c>
      <c r="K50" s="488"/>
      <c r="L50" s="488">
        <v>2160</v>
      </c>
      <c r="M50" s="10">
        <f t="shared" si="1"/>
        <v>1</v>
      </c>
      <c r="N50" s="10">
        <f t="shared" si="2"/>
        <v>1</v>
      </c>
      <c r="O50" s="10">
        <f t="shared" si="3"/>
        <v>1</v>
      </c>
      <c r="P50" s="10">
        <f t="shared" si="4"/>
        <v>1</v>
      </c>
      <c r="Q50" t="str">
        <f t="shared" si="0"/>
        <v>120250.Supvr Production</v>
      </c>
      <c r="R50" s="10">
        <f t="shared" si="5"/>
        <v>1</v>
      </c>
    </row>
    <row r="51" spans="1:18">
      <c r="A51" s="106">
        <v>120250</v>
      </c>
      <c r="B51" t="s">
        <v>256</v>
      </c>
      <c r="C51" t="s">
        <v>856</v>
      </c>
      <c r="D51" s="488"/>
      <c r="E51" s="488"/>
      <c r="F51" s="488"/>
      <c r="G51" s="488">
        <v>1616</v>
      </c>
      <c r="H51" s="488"/>
      <c r="I51" s="488">
        <v>1616</v>
      </c>
      <c r="J51" s="488">
        <v>2361.5</v>
      </c>
      <c r="K51" s="488"/>
      <c r="L51" s="488">
        <v>2361.5</v>
      </c>
      <c r="M51" s="10" t="str">
        <f t="shared" si="1"/>
        <v xml:space="preserve"> </v>
      </c>
      <c r="N51" s="10">
        <f t="shared" si="2"/>
        <v>1</v>
      </c>
      <c r="O51" s="10">
        <f t="shared" si="3"/>
        <v>1</v>
      </c>
      <c r="P51" s="10">
        <f t="shared" si="4"/>
        <v>1</v>
      </c>
      <c r="Q51" t="str">
        <f t="shared" si="0"/>
        <v>120250.TREATMENT PLANT OPERATOR 3S F320O</v>
      </c>
      <c r="R51" s="10">
        <f t="shared" si="5"/>
        <v>1</v>
      </c>
    </row>
    <row r="52" spans="1:18">
      <c r="A52" s="106">
        <v>120250</v>
      </c>
      <c r="B52" t="s">
        <v>256</v>
      </c>
      <c r="C52" t="s">
        <v>852</v>
      </c>
      <c r="D52" s="488">
        <v>2282.5</v>
      </c>
      <c r="E52" s="488"/>
      <c r="F52" s="488">
        <v>2282.5</v>
      </c>
      <c r="G52" s="488">
        <v>2236.5</v>
      </c>
      <c r="H52" s="488"/>
      <c r="I52" s="488">
        <v>2236.5</v>
      </c>
      <c r="J52" s="488">
        <v>2373.5</v>
      </c>
      <c r="K52" s="488"/>
      <c r="L52" s="488">
        <v>2373.5</v>
      </c>
      <c r="M52" s="10">
        <f t="shared" si="1"/>
        <v>1</v>
      </c>
      <c r="N52" s="10">
        <f t="shared" si="2"/>
        <v>1</v>
      </c>
      <c r="O52" s="10">
        <f t="shared" si="3"/>
        <v>1</v>
      </c>
      <c r="P52" s="10">
        <f t="shared" si="4"/>
        <v>1</v>
      </c>
      <c r="Q52" t="str">
        <f t="shared" si="0"/>
        <v>120250.Treatment Plant Operator Trainee II</v>
      </c>
      <c r="R52" s="10">
        <f t="shared" si="5"/>
        <v>1</v>
      </c>
    </row>
    <row r="53" spans="1:18">
      <c r="A53" s="106">
        <v>120250</v>
      </c>
      <c r="B53" t="s">
        <v>256</v>
      </c>
      <c r="C53" t="s">
        <v>823</v>
      </c>
      <c r="D53" s="488">
        <v>2378.5</v>
      </c>
      <c r="E53" s="488"/>
      <c r="F53" s="488">
        <v>2378.5</v>
      </c>
      <c r="G53" s="488">
        <v>2353.5</v>
      </c>
      <c r="H53" s="488"/>
      <c r="I53" s="488">
        <v>2353.5</v>
      </c>
      <c r="J53" s="488">
        <v>2281.5</v>
      </c>
      <c r="K53" s="488"/>
      <c r="L53" s="488">
        <v>2281.5</v>
      </c>
      <c r="M53" s="10">
        <f t="shared" si="1"/>
        <v>1</v>
      </c>
      <c r="N53" s="10">
        <f t="shared" si="2"/>
        <v>1</v>
      </c>
      <c r="O53" s="10">
        <f t="shared" si="3"/>
        <v>1</v>
      </c>
      <c r="P53" s="10">
        <f t="shared" si="4"/>
        <v>1</v>
      </c>
      <c r="Q53" t="str">
        <f t="shared" si="0"/>
        <v>120250.Treatment Plant Operator Util 2S F320O</v>
      </c>
      <c r="R53" s="10">
        <f t="shared" si="5"/>
        <v>1</v>
      </c>
    </row>
    <row r="54" spans="1:18">
      <c r="A54" s="106">
        <v>120250</v>
      </c>
      <c r="B54" t="s">
        <v>256</v>
      </c>
      <c r="C54" t="s">
        <v>261</v>
      </c>
      <c r="D54" s="488">
        <v>7199</v>
      </c>
      <c r="E54" s="488"/>
      <c r="F54" s="488">
        <v>7199</v>
      </c>
      <c r="G54" s="488">
        <v>7138.5</v>
      </c>
      <c r="H54" s="488"/>
      <c r="I54" s="488">
        <v>7138.5</v>
      </c>
      <c r="J54" s="488">
        <v>7230.5</v>
      </c>
      <c r="K54" s="488"/>
      <c r="L54" s="488">
        <v>7230.5</v>
      </c>
      <c r="M54" s="10">
        <f t="shared" si="1"/>
        <v>1</v>
      </c>
      <c r="N54" s="10">
        <f t="shared" si="2"/>
        <v>1</v>
      </c>
      <c r="O54" s="10">
        <f t="shared" si="3"/>
        <v>1</v>
      </c>
      <c r="P54" s="10">
        <f t="shared" si="4"/>
        <v>1</v>
      </c>
      <c r="Q54" t="str">
        <f t="shared" si="0"/>
        <v>120250.Treatment Plt Opr F320O U511</v>
      </c>
      <c r="R54" s="10">
        <f t="shared" si="5"/>
        <v>1</v>
      </c>
    </row>
    <row r="55" spans="1:18">
      <c r="A55" s="106">
        <v>120250</v>
      </c>
      <c r="B55" t="s">
        <v>256</v>
      </c>
      <c r="C55" t="s">
        <v>303</v>
      </c>
      <c r="D55" s="488">
        <v>625</v>
      </c>
      <c r="E55" s="488"/>
      <c r="F55" s="488">
        <v>625</v>
      </c>
      <c r="G55" s="488">
        <v>2288</v>
      </c>
      <c r="H55" s="488"/>
      <c r="I55" s="488">
        <v>2288</v>
      </c>
      <c r="J55" s="488">
        <v>2385</v>
      </c>
      <c r="K55" s="488"/>
      <c r="L55" s="488">
        <v>2385</v>
      </c>
      <c r="M55" s="10">
        <f t="shared" si="1"/>
        <v>1</v>
      </c>
      <c r="N55" s="10">
        <f t="shared" si="2"/>
        <v>1</v>
      </c>
      <c r="O55" s="10">
        <f t="shared" si="3"/>
        <v>1</v>
      </c>
      <c r="P55" s="10">
        <f t="shared" si="4"/>
        <v>1</v>
      </c>
      <c r="Q55" t="str">
        <f t="shared" si="0"/>
        <v>120250.Treatment Plt Opr Relief F320O</v>
      </c>
      <c r="R55" s="10">
        <f t="shared" si="5"/>
        <v>1</v>
      </c>
    </row>
    <row r="56" spans="1:18">
      <c r="A56" s="106">
        <v>120250</v>
      </c>
      <c r="B56" t="s">
        <v>256</v>
      </c>
      <c r="C56" t="s">
        <v>298</v>
      </c>
      <c r="D56" s="488">
        <v>2377.5</v>
      </c>
      <c r="E56" s="488"/>
      <c r="F56" s="488">
        <v>2377.5</v>
      </c>
      <c r="G56" s="488">
        <v>2279</v>
      </c>
      <c r="H56" s="488"/>
      <c r="I56" s="488">
        <v>2279</v>
      </c>
      <c r="J56" s="488">
        <v>2402.5</v>
      </c>
      <c r="K56" s="488"/>
      <c r="L56" s="488">
        <v>2402.5</v>
      </c>
      <c r="M56" s="10">
        <f t="shared" si="1"/>
        <v>1</v>
      </c>
      <c r="N56" s="10">
        <f t="shared" si="2"/>
        <v>1</v>
      </c>
      <c r="O56" s="10">
        <f t="shared" si="3"/>
        <v>1</v>
      </c>
      <c r="P56" s="10">
        <f t="shared" si="4"/>
        <v>1</v>
      </c>
      <c r="Q56" t="str">
        <f t="shared" si="0"/>
        <v>120250.Treatment Plt Opr Utility F320O</v>
      </c>
      <c r="R56" s="10">
        <f t="shared" si="5"/>
        <v>1</v>
      </c>
    </row>
    <row r="57" spans="1:18">
      <c r="A57" s="106">
        <v>120251</v>
      </c>
      <c r="B57" t="s">
        <v>273</v>
      </c>
      <c r="C57" t="s">
        <v>7</v>
      </c>
      <c r="D57" s="488">
        <v>1953.5</v>
      </c>
      <c r="E57" s="488">
        <v>128</v>
      </c>
      <c r="F57" s="488">
        <v>2081.5</v>
      </c>
      <c r="G57" s="488">
        <v>2080</v>
      </c>
      <c r="H57" s="488"/>
      <c r="I57" s="488">
        <v>2080</v>
      </c>
      <c r="J57" s="488">
        <v>2160</v>
      </c>
      <c r="K57" s="488"/>
      <c r="L57" s="488">
        <v>2160</v>
      </c>
      <c r="M57" s="10">
        <f t="shared" si="1"/>
        <v>0.9385058851789575</v>
      </c>
      <c r="N57" s="10">
        <f t="shared" si="2"/>
        <v>1</v>
      </c>
      <c r="O57" s="10">
        <f t="shared" si="3"/>
        <v>1</v>
      </c>
      <c r="P57" s="10">
        <f t="shared" si="4"/>
        <v>0.97950196172631909</v>
      </c>
      <c r="Q57" t="str">
        <f t="shared" si="0"/>
        <v>120251.Supvr Production</v>
      </c>
      <c r="R57" s="10">
        <f t="shared" si="5"/>
        <v>0.97950196172631909</v>
      </c>
    </row>
    <row r="58" spans="1:18">
      <c r="A58" s="106">
        <v>120251</v>
      </c>
      <c r="B58" t="s">
        <v>273</v>
      </c>
      <c r="C58" t="s">
        <v>856</v>
      </c>
      <c r="D58" s="488">
        <v>1346</v>
      </c>
      <c r="E58" s="488"/>
      <c r="F58" s="488">
        <v>1346</v>
      </c>
      <c r="G58" s="488">
        <v>2202</v>
      </c>
      <c r="H58" s="488"/>
      <c r="I58" s="488">
        <v>2202</v>
      </c>
      <c r="J58" s="488">
        <v>2331</v>
      </c>
      <c r="K58" s="488"/>
      <c r="L58" s="488">
        <v>2331</v>
      </c>
      <c r="M58" s="10">
        <f t="shared" si="1"/>
        <v>1</v>
      </c>
      <c r="N58" s="10">
        <f t="shared" si="2"/>
        <v>1</v>
      </c>
      <c r="O58" s="10">
        <f t="shared" si="3"/>
        <v>1</v>
      </c>
      <c r="P58" s="10">
        <f t="shared" si="4"/>
        <v>1</v>
      </c>
      <c r="Q58" t="str">
        <f t="shared" si="0"/>
        <v>120251.TREATMENT PLANT OPERATOR 3S F320O</v>
      </c>
      <c r="R58" s="10">
        <f t="shared" si="5"/>
        <v>1</v>
      </c>
    </row>
    <row r="59" spans="1:18">
      <c r="A59" s="106">
        <v>120251</v>
      </c>
      <c r="B59" t="s">
        <v>273</v>
      </c>
      <c r="C59" t="s">
        <v>835</v>
      </c>
      <c r="D59" s="488">
        <v>2660</v>
      </c>
      <c r="E59" s="488"/>
      <c r="F59" s="488">
        <v>2660</v>
      </c>
      <c r="G59" s="488">
        <v>1910</v>
      </c>
      <c r="H59" s="488"/>
      <c r="I59" s="488">
        <v>1910</v>
      </c>
      <c r="J59" s="488">
        <v>2429</v>
      </c>
      <c r="K59" s="488"/>
      <c r="L59" s="488">
        <v>2429</v>
      </c>
      <c r="M59" s="10">
        <f t="shared" si="1"/>
        <v>1</v>
      </c>
      <c r="N59" s="10">
        <f t="shared" si="2"/>
        <v>1</v>
      </c>
      <c r="O59" s="10">
        <f t="shared" si="3"/>
        <v>1</v>
      </c>
      <c r="P59" s="10">
        <f t="shared" si="4"/>
        <v>1</v>
      </c>
      <c r="Q59" t="str">
        <f t="shared" si="0"/>
        <v>120251.Treatment Plt Opr 2 F320O</v>
      </c>
      <c r="R59" s="10">
        <f t="shared" si="5"/>
        <v>1</v>
      </c>
    </row>
    <row r="60" spans="1:18">
      <c r="A60" s="106">
        <v>120251</v>
      </c>
      <c r="B60" t="s">
        <v>273</v>
      </c>
      <c r="C60" t="s">
        <v>261</v>
      </c>
      <c r="D60" s="488">
        <v>12628.5</v>
      </c>
      <c r="E60" s="488"/>
      <c r="F60" s="488">
        <v>12628.5</v>
      </c>
      <c r="G60" s="488">
        <v>12263</v>
      </c>
      <c r="H60" s="488"/>
      <c r="I60" s="488">
        <v>12263</v>
      </c>
      <c r="J60" s="488">
        <v>12265.5</v>
      </c>
      <c r="K60" s="488"/>
      <c r="L60" s="488">
        <v>12265.5</v>
      </c>
      <c r="M60" s="10">
        <f t="shared" si="1"/>
        <v>1</v>
      </c>
      <c r="N60" s="10">
        <f t="shared" si="2"/>
        <v>1</v>
      </c>
      <c r="O60" s="10">
        <f t="shared" si="3"/>
        <v>1</v>
      </c>
      <c r="P60" s="10">
        <f t="shared" si="4"/>
        <v>1</v>
      </c>
      <c r="Q60" t="str">
        <f t="shared" si="0"/>
        <v>120251.Treatment Plt Opr F320O U511</v>
      </c>
      <c r="R60" s="10">
        <f t="shared" si="5"/>
        <v>1</v>
      </c>
    </row>
    <row r="61" spans="1:18">
      <c r="A61" s="106">
        <v>120252</v>
      </c>
      <c r="B61" t="s">
        <v>357</v>
      </c>
      <c r="C61" t="s">
        <v>807</v>
      </c>
      <c r="D61" s="488">
        <v>2299.5</v>
      </c>
      <c r="E61" s="488">
        <v>12</v>
      </c>
      <c r="F61" s="488">
        <v>2311.5</v>
      </c>
      <c r="G61" s="488">
        <v>2554</v>
      </c>
      <c r="H61" s="488"/>
      <c r="I61" s="488">
        <v>2554</v>
      </c>
      <c r="J61" s="488">
        <v>2467</v>
      </c>
      <c r="K61" s="488">
        <v>399</v>
      </c>
      <c r="L61" s="488">
        <v>2866</v>
      </c>
      <c r="M61" s="10">
        <f t="shared" si="1"/>
        <v>0.9948085658663206</v>
      </c>
      <c r="N61" s="10">
        <f t="shared" si="2"/>
        <v>1</v>
      </c>
      <c r="O61" s="10">
        <f t="shared" si="3"/>
        <v>0.86078157711095604</v>
      </c>
      <c r="P61" s="10">
        <f t="shared" si="4"/>
        <v>0.95186338099242551</v>
      </c>
      <c r="Q61" t="str">
        <f t="shared" si="0"/>
        <v>120252.Maint Service Specialist</v>
      </c>
      <c r="R61" s="10">
        <f t="shared" si="5"/>
        <v>0.95186338099242551</v>
      </c>
    </row>
    <row r="62" spans="1:18">
      <c r="A62" s="106">
        <v>120252</v>
      </c>
      <c r="B62" t="s">
        <v>357</v>
      </c>
      <c r="C62" t="s">
        <v>782</v>
      </c>
      <c r="D62" s="488">
        <v>2239.5</v>
      </c>
      <c r="E62" s="488">
        <v>36</v>
      </c>
      <c r="F62" s="488">
        <v>2275.5</v>
      </c>
      <c r="G62" s="488">
        <v>2221.5</v>
      </c>
      <c r="H62" s="488">
        <v>152</v>
      </c>
      <c r="I62" s="488">
        <v>2373.5</v>
      </c>
      <c r="J62" s="488">
        <v>2420</v>
      </c>
      <c r="K62" s="488">
        <v>167.5</v>
      </c>
      <c r="L62" s="488">
        <v>2587.5</v>
      </c>
      <c r="M62" s="10">
        <f t="shared" si="1"/>
        <v>0.98417930125247199</v>
      </c>
      <c r="N62" s="10">
        <f t="shared" si="2"/>
        <v>0.93595955340214876</v>
      </c>
      <c r="O62" s="10">
        <f t="shared" si="3"/>
        <v>0.93526570048309177</v>
      </c>
      <c r="P62" s="10">
        <f t="shared" si="4"/>
        <v>0.95180151837923754</v>
      </c>
      <c r="Q62" t="str">
        <f t="shared" si="0"/>
        <v>120252.Operations Generalist</v>
      </c>
      <c r="R62" s="10">
        <f t="shared" si="5"/>
        <v>0.95180151837923754</v>
      </c>
    </row>
    <row r="63" spans="1:18">
      <c r="A63" s="106">
        <v>120252</v>
      </c>
      <c r="B63" t="s">
        <v>357</v>
      </c>
      <c r="C63" t="s">
        <v>796</v>
      </c>
      <c r="D63" s="488">
        <v>4719.5</v>
      </c>
      <c r="E63" s="488"/>
      <c r="F63" s="488">
        <v>4719.5</v>
      </c>
      <c r="G63" s="488">
        <v>5471</v>
      </c>
      <c r="H63" s="488"/>
      <c r="I63" s="488">
        <v>5471</v>
      </c>
      <c r="J63" s="488">
        <v>7661.5</v>
      </c>
      <c r="K63" s="488">
        <v>80</v>
      </c>
      <c r="L63" s="488">
        <v>7741.5</v>
      </c>
      <c r="M63" s="10">
        <f t="shared" si="1"/>
        <v>1</v>
      </c>
      <c r="N63" s="10">
        <f t="shared" si="2"/>
        <v>1</v>
      </c>
      <c r="O63" s="10">
        <f t="shared" si="3"/>
        <v>0.9896660853839695</v>
      </c>
      <c r="P63" s="10">
        <f t="shared" si="4"/>
        <v>0.99655536179465642</v>
      </c>
      <c r="Q63" t="str">
        <f t="shared" si="0"/>
        <v>120252.Operations Technician</v>
      </c>
      <c r="R63" s="10">
        <f t="shared" si="5"/>
        <v>0.99655536179465642</v>
      </c>
    </row>
    <row r="64" spans="1:18">
      <c r="A64" s="106">
        <v>120306</v>
      </c>
      <c r="B64" t="s">
        <v>884</v>
      </c>
      <c r="C64" t="s">
        <v>301</v>
      </c>
      <c r="D64" s="488"/>
      <c r="E64" s="488"/>
      <c r="F64" s="488"/>
      <c r="G64" s="488"/>
      <c r="H64" s="488"/>
      <c r="I64" s="488"/>
      <c r="J64" s="488">
        <v>1074.5</v>
      </c>
      <c r="K64" s="488"/>
      <c r="L64" s="488">
        <v>1074.5</v>
      </c>
      <c r="M64" s="10" t="str">
        <f t="shared" si="1"/>
        <v xml:space="preserve"> </v>
      </c>
      <c r="N64" s="10" t="str">
        <f t="shared" si="2"/>
        <v xml:space="preserve"> </v>
      </c>
      <c r="O64" s="10">
        <f t="shared" si="3"/>
        <v>1</v>
      </c>
      <c r="P64" s="10">
        <f t="shared" si="4"/>
        <v>1</v>
      </c>
      <c r="Q64" t="str">
        <f t="shared" si="0"/>
        <v>120306.Clerk Opns (N)</v>
      </c>
      <c r="R64" s="10">
        <f t="shared" si="5"/>
        <v>1</v>
      </c>
    </row>
    <row r="65" spans="1:18">
      <c r="A65" s="106">
        <v>120306</v>
      </c>
      <c r="B65" t="s">
        <v>884</v>
      </c>
      <c r="C65" t="s">
        <v>782</v>
      </c>
      <c r="D65" s="488"/>
      <c r="E65" s="488"/>
      <c r="F65" s="488"/>
      <c r="G65" s="488"/>
      <c r="H65" s="488"/>
      <c r="I65" s="488"/>
      <c r="J65" s="488">
        <v>1295</v>
      </c>
      <c r="K65" s="488"/>
      <c r="L65" s="488">
        <v>1295</v>
      </c>
      <c r="M65" s="10" t="str">
        <f t="shared" si="1"/>
        <v xml:space="preserve"> </v>
      </c>
      <c r="N65" s="10" t="str">
        <f t="shared" si="2"/>
        <v xml:space="preserve"> </v>
      </c>
      <c r="O65" s="10">
        <f t="shared" si="3"/>
        <v>1</v>
      </c>
      <c r="P65" s="10">
        <f t="shared" si="4"/>
        <v>1</v>
      </c>
      <c r="Q65" t="str">
        <f t="shared" si="0"/>
        <v>120306.Operations Generalist</v>
      </c>
      <c r="R65" s="10">
        <f t="shared" si="5"/>
        <v>1</v>
      </c>
    </row>
    <row r="66" spans="1:18">
      <c r="A66" s="106">
        <v>123001</v>
      </c>
      <c r="B66" t="s">
        <v>384</v>
      </c>
      <c r="C66" t="s">
        <v>807</v>
      </c>
      <c r="D66" s="488">
        <v>1979.5</v>
      </c>
      <c r="E66" s="488">
        <v>310.5</v>
      </c>
      <c r="F66" s="488">
        <v>2290</v>
      </c>
      <c r="G66" s="488">
        <v>1777.5</v>
      </c>
      <c r="H66" s="488">
        <v>733</v>
      </c>
      <c r="I66" s="488">
        <v>2510.5</v>
      </c>
      <c r="J66" s="488">
        <v>1642.5</v>
      </c>
      <c r="K66" s="488">
        <v>1101.5</v>
      </c>
      <c r="L66" s="488">
        <v>2744</v>
      </c>
      <c r="M66" s="10">
        <f t="shared" si="1"/>
        <v>0.86441048034934498</v>
      </c>
      <c r="N66" s="10">
        <f t="shared" si="2"/>
        <v>0.70802628958374825</v>
      </c>
      <c r="O66" s="10">
        <f t="shared" si="3"/>
        <v>0.59857871720116618</v>
      </c>
      <c r="P66" s="10">
        <f t="shared" si="4"/>
        <v>0.72367182904475313</v>
      </c>
      <c r="Q66" t="str">
        <f t="shared" si="0"/>
        <v>123001.Maint Service Specialist</v>
      </c>
      <c r="R66" s="10">
        <f t="shared" si="5"/>
        <v>0.72367182904475313</v>
      </c>
    </row>
    <row r="67" spans="1:18">
      <c r="A67" s="106">
        <v>123005</v>
      </c>
      <c r="B67" t="s">
        <v>336</v>
      </c>
      <c r="C67" t="s">
        <v>301</v>
      </c>
      <c r="D67" s="488">
        <v>4178</v>
      </c>
      <c r="E67" s="488"/>
      <c r="F67" s="488">
        <v>4178</v>
      </c>
      <c r="G67" s="488">
        <v>4209</v>
      </c>
      <c r="H67" s="488"/>
      <c r="I67" s="488">
        <v>4209</v>
      </c>
      <c r="J67" s="488">
        <v>4410.5</v>
      </c>
      <c r="K67" s="488"/>
      <c r="L67" s="488">
        <v>4410.5</v>
      </c>
      <c r="M67" s="10">
        <f t="shared" si="1"/>
        <v>1</v>
      </c>
      <c r="N67" s="10">
        <f t="shared" si="2"/>
        <v>1</v>
      </c>
      <c r="O67" s="10">
        <f t="shared" si="3"/>
        <v>1</v>
      </c>
      <c r="P67" s="10">
        <f t="shared" si="4"/>
        <v>1</v>
      </c>
      <c r="Q67" t="str">
        <f t="shared" si="0"/>
        <v>123005.Clerk Opns (N)</v>
      </c>
      <c r="R67" s="10">
        <f t="shared" si="5"/>
        <v>1</v>
      </c>
    </row>
    <row r="68" spans="1:18">
      <c r="A68" s="106">
        <v>123005</v>
      </c>
      <c r="B68" t="s">
        <v>336</v>
      </c>
      <c r="C68" t="s">
        <v>778</v>
      </c>
      <c r="D68" s="488">
        <v>2080</v>
      </c>
      <c r="E68" s="488"/>
      <c r="F68" s="488">
        <v>2080</v>
      </c>
      <c r="G68" s="488">
        <v>2080</v>
      </c>
      <c r="H68" s="488"/>
      <c r="I68" s="488">
        <v>2080</v>
      </c>
      <c r="J68" s="488">
        <v>2160</v>
      </c>
      <c r="K68" s="488"/>
      <c r="L68" s="488">
        <v>2160</v>
      </c>
      <c r="M68" s="10">
        <f t="shared" si="1"/>
        <v>1</v>
      </c>
      <c r="N68" s="10">
        <f t="shared" si="2"/>
        <v>1</v>
      </c>
      <c r="O68" s="10">
        <f t="shared" si="3"/>
        <v>1</v>
      </c>
      <c r="P68" s="10">
        <f t="shared" si="4"/>
        <v>1</v>
      </c>
      <c r="Q68" t="str">
        <f t="shared" si="0"/>
        <v>123005.Sr Supt Opns</v>
      </c>
      <c r="R68" s="10">
        <f t="shared" si="5"/>
        <v>1</v>
      </c>
    </row>
    <row r="69" spans="1:18">
      <c r="A69" s="106">
        <v>123006</v>
      </c>
      <c r="B69" t="s">
        <v>315</v>
      </c>
      <c r="C69" t="s">
        <v>782</v>
      </c>
      <c r="D69" s="488">
        <v>4526.5</v>
      </c>
      <c r="E69" s="488">
        <v>37</v>
      </c>
      <c r="F69" s="488">
        <v>4563.5</v>
      </c>
      <c r="G69" s="488">
        <v>6766</v>
      </c>
      <c r="H69" s="488">
        <v>114</v>
      </c>
      <c r="I69" s="488">
        <v>6880</v>
      </c>
      <c r="J69" s="488">
        <v>7760</v>
      </c>
      <c r="K69" s="488">
        <v>106.5</v>
      </c>
      <c r="L69" s="488">
        <v>7866.5</v>
      </c>
      <c r="M69" s="10">
        <f t="shared" si="1"/>
        <v>0.99189218801358603</v>
      </c>
      <c r="N69" s="10">
        <f t="shared" si="2"/>
        <v>0.98343023255813955</v>
      </c>
      <c r="O69" s="10">
        <f t="shared" si="3"/>
        <v>0.98646157757579611</v>
      </c>
      <c r="P69" s="10">
        <f t="shared" si="4"/>
        <v>0.98726133271584049</v>
      </c>
      <c r="Q69" t="str">
        <f t="shared" si="0"/>
        <v>123006.Operations Generalist</v>
      </c>
      <c r="R69" s="10">
        <f t="shared" si="5"/>
        <v>0.98726133271584049</v>
      </c>
    </row>
    <row r="70" spans="1:18">
      <c r="A70" s="106">
        <v>123006</v>
      </c>
      <c r="B70" t="s">
        <v>315</v>
      </c>
      <c r="C70" t="s">
        <v>8</v>
      </c>
      <c r="D70" s="488">
        <v>2036</v>
      </c>
      <c r="E70" s="488">
        <v>44</v>
      </c>
      <c r="F70" s="488">
        <v>2080</v>
      </c>
      <c r="G70" s="488">
        <v>2060</v>
      </c>
      <c r="H70" s="488">
        <v>20</v>
      </c>
      <c r="I70" s="488">
        <v>2080</v>
      </c>
      <c r="J70" s="488">
        <v>2092</v>
      </c>
      <c r="K70" s="488">
        <v>68</v>
      </c>
      <c r="L70" s="488">
        <v>2160</v>
      </c>
      <c r="M70" s="10">
        <f t="shared" si="1"/>
        <v>0.97884615384615381</v>
      </c>
      <c r="N70" s="10">
        <f t="shared" si="2"/>
        <v>0.99038461538461542</v>
      </c>
      <c r="O70" s="10">
        <f t="shared" si="3"/>
        <v>0.96851851851851856</v>
      </c>
      <c r="P70" s="10">
        <f t="shared" si="4"/>
        <v>0.97924976258309593</v>
      </c>
      <c r="Q70" t="str">
        <f t="shared" ref="Q70:Q100" si="6">CONCATENATE(A70,".",C70)</f>
        <v>123006.Supvr Field Operations</v>
      </c>
      <c r="R70" s="10">
        <f t="shared" si="5"/>
        <v>0.97924976258309593</v>
      </c>
    </row>
    <row r="71" spans="1:18">
      <c r="A71" s="106">
        <v>123301</v>
      </c>
      <c r="B71" t="s">
        <v>795</v>
      </c>
      <c r="C71" t="s">
        <v>796</v>
      </c>
      <c r="D71" s="488">
        <v>13</v>
      </c>
      <c r="E71" s="488">
        <v>2324</v>
      </c>
      <c r="F71" s="488">
        <v>2337</v>
      </c>
      <c r="G71" s="488">
        <v>2</v>
      </c>
      <c r="H71" s="488">
        <v>2617</v>
      </c>
      <c r="I71" s="488">
        <v>2619</v>
      </c>
      <c r="J71" s="488">
        <v>2</v>
      </c>
      <c r="K71" s="488">
        <v>2838</v>
      </c>
      <c r="L71" s="488">
        <v>2840</v>
      </c>
      <c r="M71" s="10">
        <f t="shared" ref="M71:M100" si="7">IFERROR(D71/F71," ")</f>
        <v>5.5626872058194268E-3</v>
      </c>
      <c r="N71" s="10">
        <f t="shared" ref="N71:N100" si="8">IFERROR(G71/I71," ")</f>
        <v>7.6365024818633069E-4</v>
      </c>
      <c r="O71" s="10">
        <f t="shared" ref="O71:O100" si="9">IFERROR(J71/L71," ")</f>
        <v>7.0422535211267609E-4</v>
      </c>
      <c r="P71" s="10">
        <f t="shared" ref="P71:P100" si="10">AVERAGE(M71,N71,O71)</f>
        <v>2.3435209353728113E-3</v>
      </c>
      <c r="Q71" t="str">
        <f t="shared" si="6"/>
        <v>123301.Operations Technician</v>
      </c>
      <c r="R71" s="10">
        <f t="shared" ref="R71:R100" si="11">P71</f>
        <v>2.3435209353728113E-3</v>
      </c>
    </row>
    <row r="72" spans="1:18">
      <c r="A72" s="492">
        <v>120105</v>
      </c>
      <c r="B72" t="s">
        <v>5</v>
      </c>
      <c r="C72" t="s">
        <v>11</v>
      </c>
      <c r="D72" s="488">
        <v>2096</v>
      </c>
      <c r="E72" s="488"/>
      <c r="F72" s="488">
        <v>2096</v>
      </c>
      <c r="G72" s="488">
        <v>2080</v>
      </c>
      <c r="H72" s="488"/>
      <c r="I72" s="488">
        <v>2080</v>
      </c>
      <c r="J72" s="488">
        <v>1320</v>
      </c>
      <c r="K72" s="488"/>
      <c r="L72" s="488">
        <v>1320</v>
      </c>
      <c r="M72" s="10">
        <f t="shared" si="7"/>
        <v>1</v>
      </c>
      <c r="N72" s="10">
        <f t="shared" si="8"/>
        <v>1</v>
      </c>
      <c r="O72" s="10">
        <f t="shared" si="9"/>
        <v>1</v>
      </c>
      <c r="P72" s="10">
        <f t="shared" si="10"/>
        <v>1</v>
      </c>
      <c r="Q72" t="str">
        <f t="shared" si="6"/>
        <v>120105.Exec Asst (N)</v>
      </c>
      <c r="R72" s="10">
        <f t="shared" si="11"/>
        <v>1</v>
      </c>
    </row>
    <row r="73" spans="1:18">
      <c r="A73" s="492">
        <v>120105</v>
      </c>
      <c r="B73" t="s">
        <v>5</v>
      </c>
      <c r="C73" t="s">
        <v>213</v>
      </c>
      <c r="D73" s="488">
        <v>2080</v>
      </c>
      <c r="E73" s="488"/>
      <c r="F73" s="488">
        <v>2080</v>
      </c>
      <c r="G73" s="488">
        <v>800</v>
      </c>
      <c r="H73" s="488"/>
      <c r="I73" s="488">
        <v>800</v>
      </c>
      <c r="J73" s="488"/>
      <c r="K73" s="488"/>
      <c r="L73" s="488"/>
      <c r="M73" s="10">
        <f t="shared" si="7"/>
        <v>1</v>
      </c>
      <c r="N73" s="10">
        <f t="shared" si="8"/>
        <v>1</v>
      </c>
      <c r="O73" s="10" t="str">
        <f t="shared" si="9"/>
        <v xml:space="preserve"> </v>
      </c>
      <c r="P73" s="10">
        <f t="shared" si="10"/>
        <v>1</v>
      </c>
      <c r="Q73" t="str">
        <f t="shared" si="6"/>
        <v>120105.Mgr Business Performance</v>
      </c>
      <c r="R73" s="10">
        <f t="shared" si="11"/>
        <v>1</v>
      </c>
    </row>
    <row r="74" spans="1:18">
      <c r="A74" s="492">
        <v>120105</v>
      </c>
      <c r="B74" t="s">
        <v>5</v>
      </c>
      <c r="C74" t="s">
        <v>15</v>
      </c>
      <c r="D74" s="488">
        <v>560.00000000000023</v>
      </c>
      <c r="E74" s="488"/>
      <c r="F74" s="488">
        <v>560.00000000000023</v>
      </c>
      <c r="G74" s="488"/>
      <c r="H74" s="488"/>
      <c r="I74" s="488"/>
      <c r="J74" s="488"/>
      <c r="K74" s="488"/>
      <c r="L74" s="488"/>
      <c r="M74" s="10">
        <f t="shared" si="7"/>
        <v>1</v>
      </c>
      <c r="N74" s="10" t="str">
        <f t="shared" si="8"/>
        <v xml:space="preserve"> </v>
      </c>
      <c r="O74" s="10" t="str">
        <f t="shared" si="9"/>
        <v xml:space="preserve"> </v>
      </c>
      <c r="P74" s="10">
        <f t="shared" si="10"/>
        <v>1</v>
      </c>
      <c r="Q74" t="str">
        <f t="shared" si="6"/>
        <v>120105.President (Large States)</v>
      </c>
      <c r="R74" s="10">
        <f t="shared" si="11"/>
        <v>1</v>
      </c>
    </row>
    <row r="75" spans="1:18">
      <c r="A75" s="492">
        <v>120105</v>
      </c>
      <c r="B75" t="s">
        <v>5</v>
      </c>
      <c r="C75" t="s">
        <v>347</v>
      </c>
      <c r="D75" s="488">
        <v>504</v>
      </c>
      <c r="E75" s="488"/>
      <c r="F75" s="488">
        <v>504</v>
      </c>
      <c r="G75" s="488"/>
      <c r="H75" s="488"/>
      <c r="I75" s="488"/>
      <c r="J75" s="488"/>
      <c r="K75" s="488"/>
      <c r="L75" s="488"/>
      <c r="M75" s="10">
        <f t="shared" si="7"/>
        <v>1</v>
      </c>
      <c r="N75" s="10" t="str">
        <f t="shared" si="8"/>
        <v xml:space="preserve"> </v>
      </c>
      <c r="O75" s="10" t="str">
        <f t="shared" si="9"/>
        <v xml:space="preserve"> </v>
      </c>
      <c r="P75" s="10">
        <f t="shared" si="10"/>
        <v>1</v>
      </c>
      <c r="Q75" t="str">
        <f t="shared" si="6"/>
        <v>120105.VP Operations (Large)</v>
      </c>
      <c r="R75" s="10">
        <f t="shared" si="11"/>
        <v>1</v>
      </c>
    </row>
    <row r="76" spans="1:18">
      <c r="A76" s="492">
        <v>120114</v>
      </c>
      <c r="B76" t="s">
        <v>9</v>
      </c>
      <c r="C76" t="s">
        <v>406</v>
      </c>
      <c r="D76" s="488">
        <v>1840</v>
      </c>
      <c r="E76" s="488"/>
      <c r="F76" s="488">
        <v>1840</v>
      </c>
      <c r="G76" s="488"/>
      <c r="H76" s="488"/>
      <c r="I76" s="488"/>
      <c r="J76" s="488"/>
      <c r="K76" s="488"/>
      <c r="L76" s="488"/>
      <c r="M76" s="10">
        <f t="shared" si="7"/>
        <v>1</v>
      </c>
      <c r="N76" s="10" t="str">
        <f t="shared" si="8"/>
        <v xml:space="preserve"> </v>
      </c>
      <c r="O76" s="10" t="str">
        <f t="shared" si="9"/>
        <v xml:space="preserve"> </v>
      </c>
      <c r="P76" s="10">
        <f t="shared" si="10"/>
        <v>1</v>
      </c>
      <c r="Q76" t="str">
        <f t="shared" si="6"/>
        <v>120114.Project Mgr Engr</v>
      </c>
      <c r="R76" s="10">
        <f t="shared" si="11"/>
        <v>1</v>
      </c>
    </row>
    <row r="77" spans="1:18">
      <c r="A77" s="492">
        <v>120114</v>
      </c>
      <c r="B77" t="s">
        <v>9</v>
      </c>
      <c r="C77" t="s">
        <v>236</v>
      </c>
      <c r="D77" s="488">
        <v>6010.5</v>
      </c>
      <c r="E77" s="488"/>
      <c r="F77" s="488">
        <v>6010.5</v>
      </c>
      <c r="G77" s="488">
        <v>4327.5</v>
      </c>
      <c r="H77" s="488"/>
      <c r="I77" s="488">
        <v>4327.5</v>
      </c>
      <c r="J77" s="488">
        <v>1992</v>
      </c>
      <c r="K77" s="488"/>
      <c r="L77" s="488">
        <v>1992</v>
      </c>
      <c r="M77" s="10">
        <f t="shared" si="7"/>
        <v>1</v>
      </c>
      <c r="N77" s="10">
        <f t="shared" si="8"/>
        <v>1</v>
      </c>
      <c r="O77" s="10">
        <f t="shared" si="9"/>
        <v>1</v>
      </c>
      <c r="P77" s="10">
        <f t="shared" si="10"/>
        <v>1</v>
      </c>
      <c r="Q77" t="str">
        <f t="shared" si="6"/>
        <v>120114.Specialist Engrg (N)</v>
      </c>
      <c r="R77" s="10">
        <f t="shared" si="11"/>
        <v>1</v>
      </c>
    </row>
    <row r="78" spans="1:18">
      <c r="A78" s="492">
        <v>120201</v>
      </c>
      <c r="B78" t="s">
        <v>264</v>
      </c>
      <c r="C78" t="s">
        <v>924</v>
      </c>
      <c r="D78" s="488">
        <v>560</v>
      </c>
      <c r="E78" s="488"/>
      <c r="F78" s="488">
        <v>560</v>
      </c>
      <c r="G78" s="488">
        <v>640</v>
      </c>
      <c r="H78" s="488"/>
      <c r="I78" s="488">
        <v>640</v>
      </c>
      <c r="J78" s="488"/>
      <c r="K78" s="488"/>
      <c r="L78" s="488"/>
      <c r="M78" s="10">
        <f t="shared" si="7"/>
        <v>1</v>
      </c>
      <c r="N78" s="10">
        <f t="shared" si="8"/>
        <v>1</v>
      </c>
      <c r="O78" s="10" t="str">
        <f t="shared" si="9"/>
        <v xml:space="preserve"> </v>
      </c>
      <c r="P78" s="10">
        <f t="shared" si="10"/>
        <v>1</v>
      </c>
      <c r="Q78" t="str">
        <f t="shared" si="6"/>
        <v>120201.Automation &amp; Controls Technician II</v>
      </c>
      <c r="R78" s="10">
        <f t="shared" si="11"/>
        <v>1</v>
      </c>
    </row>
    <row r="79" spans="1:18">
      <c r="A79" s="492">
        <v>120201</v>
      </c>
      <c r="B79" t="s">
        <v>264</v>
      </c>
      <c r="C79" t="s">
        <v>309</v>
      </c>
      <c r="D79" s="488">
        <v>600</v>
      </c>
      <c r="E79" s="488"/>
      <c r="F79" s="488">
        <v>600</v>
      </c>
      <c r="G79" s="488"/>
      <c r="H79" s="488"/>
      <c r="I79" s="488"/>
      <c r="J79" s="488"/>
      <c r="K79" s="488"/>
      <c r="L79" s="488"/>
      <c r="M79" s="10">
        <f t="shared" si="7"/>
        <v>1</v>
      </c>
      <c r="N79" s="10" t="str">
        <f t="shared" si="8"/>
        <v xml:space="preserve"> </v>
      </c>
      <c r="O79" s="10" t="str">
        <f t="shared" si="9"/>
        <v xml:space="preserve"> </v>
      </c>
      <c r="P79" s="10">
        <f t="shared" si="10"/>
        <v>1</v>
      </c>
      <c r="Q79" t="str">
        <f t="shared" si="6"/>
        <v>120201.Mgr Opns</v>
      </c>
      <c r="R79" s="10">
        <f t="shared" si="11"/>
        <v>1</v>
      </c>
    </row>
    <row r="80" spans="1:18">
      <c r="A80" s="492">
        <v>120201</v>
      </c>
      <c r="B80" t="s">
        <v>264</v>
      </c>
      <c r="C80" t="s">
        <v>318</v>
      </c>
      <c r="D80" s="488">
        <v>2246.5</v>
      </c>
      <c r="E80" s="488">
        <v>68</v>
      </c>
      <c r="F80" s="488">
        <v>2314.5</v>
      </c>
      <c r="G80" s="488">
        <v>2390</v>
      </c>
      <c r="H80" s="488">
        <v>67.5</v>
      </c>
      <c r="I80" s="488">
        <v>2457.5</v>
      </c>
      <c r="J80" s="488">
        <v>2384</v>
      </c>
      <c r="K80" s="488">
        <v>42</v>
      </c>
      <c r="L80" s="488">
        <v>2426</v>
      </c>
      <c r="M80" s="10">
        <f t="shared" si="7"/>
        <v>0.97062000432058759</v>
      </c>
      <c r="N80" s="10">
        <f t="shared" si="8"/>
        <v>0.97253306205493384</v>
      </c>
      <c r="O80" s="10">
        <f t="shared" si="9"/>
        <v>0.98268755152514431</v>
      </c>
      <c r="P80" s="10">
        <f t="shared" si="10"/>
        <v>0.97528020596688858</v>
      </c>
      <c r="Q80" t="str">
        <f t="shared" si="6"/>
        <v>120201.Operations Generalist II (N)</v>
      </c>
      <c r="R80" s="10">
        <f t="shared" si="11"/>
        <v>0.97528020596688858</v>
      </c>
    </row>
    <row r="81" spans="1:18">
      <c r="A81" s="492">
        <v>120203</v>
      </c>
      <c r="B81" t="s">
        <v>219</v>
      </c>
      <c r="C81" t="s">
        <v>301</v>
      </c>
      <c r="D81" s="488">
        <v>2115</v>
      </c>
      <c r="E81" s="488"/>
      <c r="F81" s="488">
        <v>2115</v>
      </c>
      <c r="G81" s="488">
        <v>2126</v>
      </c>
      <c r="H81" s="488"/>
      <c r="I81" s="488">
        <v>2126</v>
      </c>
      <c r="J81" s="488">
        <v>832</v>
      </c>
      <c r="K81" s="488"/>
      <c r="L81" s="488">
        <v>832</v>
      </c>
      <c r="M81" s="10">
        <f t="shared" si="7"/>
        <v>1</v>
      </c>
      <c r="N81" s="10">
        <f t="shared" si="8"/>
        <v>1</v>
      </c>
      <c r="O81" s="10">
        <f t="shared" si="9"/>
        <v>1</v>
      </c>
      <c r="P81" s="10">
        <f t="shared" si="10"/>
        <v>1</v>
      </c>
      <c r="Q81" t="str">
        <f t="shared" si="6"/>
        <v>120203.Clerk Opns (N)</v>
      </c>
      <c r="R81" s="10">
        <f t="shared" si="11"/>
        <v>1</v>
      </c>
    </row>
    <row r="82" spans="1:18">
      <c r="A82" s="492">
        <v>120203</v>
      </c>
      <c r="B82" t="s">
        <v>219</v>
      </c>
      <c r="C82" t="s">
        <v>221</v>
      </c>
      <c r="D82" s="488">
        <v>4937.5</v>
      </c>
      <c r="E82" s="488"/>
      <c r="F82" s="488">
        <v>4937.5</v>
      </c>
      <c r="G82" s="488">
        <v>4815</v>
      </c>
      <c r="H82" s="488"/>
      <c r="I82" s="488">
        <v>4815</v>
      </c>
      <c r="J82" s="488">
        <v>280</v>
      </c>
      <c r="K82" s="488"/>
      <c r="L82" s="488">
        <v>280</v>
      </c>
      <c r="M82" s="10">
        <f t="shared" si="7"/>
        <v>1</v>
      </c>
      <c r="N82" s="10">
        <f t="shared" si="8"/>
        <v>1</v>
      </c>
      <c r="O82" s="10">
        <f t="shared" si="9"/>
        <v>1</v>
      </c>
      <c r="P82" s="10">
        <f t="shared" si="10"/>
        <v>1</v>
      </c>
      <c r="Q82" t="str">
        <f t="shared" si="6"/>
        <v>120203.Field Service Rep F320O</v>
      </c>
      <c r="R82" s="10">
        <f t="shared" si="11"/>
        <v>1</v>
      </c>
    </row>
    <row r="83" spans="1:18">
      <c r="A83" s="492">
        <v>120203</v>
      </c>
      <c r="B83" t="s">
        <v>219</v>
      </c>
      <c r="C83" t="s">
        <v>306</v>
      </c>
      <c r="D83" s="488">
        <v>1459</v>
      </c>
      <c r="E83" s="488"/>
      <c r="F83" s="488">
        <v>1459</v>
      </c>
      <c r="G83" s="488">
        <v>0</v>
      </c>
      <c r="H83" s="488"/>
      <c r="I83" s="488">
        <v>0</v>
      </c>
      <c r="J83" s="488">
        <v>8</v>
      </c>
      <c r="K83" s="488"/>
      <c r="L83" s="488">
        <v>8</v>
      </c>
      <c r="M83" s="10">
        <f t="shared" si="7"/>
        <v>1</v>
      </c>
      <c r="N83" s="10" t="str">
        <f t="shared" si="8"/>
        <v xml:space="preserve"> </v>
      </c>
      <c r="O83" s="10">
        <f t="shared" si="9"/>
        <v>1</v>
      </c>
      <c r="P83" s="10">
        <f t="shared" si="10"/>
        <v>1</v>
      </c>
      <c r="Q83" t="str">
        <f t="shared" si="6"/>
        <v>120203.Meter Reader F320O</v>
      </c>
      <c r="R83" s="10">
        <f t="shared" si="11"/>
        <v>1</v>
      </c>
    </row>
    <row r="84" spans="1:18">
      <c r="A84" s="492">
        <v>120203</v>
      </c>
      <c r="B84" t="s">
        <v>219</v>
      </c>
      <c r="C84" t="s">
        <v>800</v>
      </c>
      <c r="D84" s="488">
        <v>2080</v>
      </c>
      <c r="E84" s="488"/>
      <c r="F84" s="488">
        <v>2080</v>
      </c>
      <c r="G84" s="488">
        <v>2108</v>
      </c>
      <c r="H84" s="488"/>
      <c r="I84" s="488">
        <v>2108</v>
      </c>
      <c r="J84" s="488">
        <v>1393.5</v>
      </c>
      <c r="K84" s="488"/>
      <c r="L84" s="488">
        <v>1393.5</v>
      </c>
      <c r="M84" s="10">
        <f t="shared" si="7"/>
        <v>1</v>
      </c>
      <c r="N84" s="10">
        <f t="shared" si="8"/>
        <v>1</v>
      </c>
      <c r="O84" s="10">
        <f t="shared" si="9"/>
        <v>1</v>
      </c>
      <c r="P84" s="10">
        <f t="shared" si="10"/>
        <v>1</v>
      </c>
      <c r="Q84" t="str">
        <f t="shared" si="6"/>
        <v>120203.Specialist Service Delivery</v>
      </c>
      <c r="R84" s="10">
        <f t="shared" si="11"/>
        <v>1</v>
      </c>
    </row>
    <row r="85" spans="1:18">
      <c r="A85" s="492">
        <v>120203</v>
      </c>
      <c r="B85" t="s">
        <v>219</v>
      </c>
      <c r="C85" t="s">
        <v>12</v>
      </c>
      <c r="D85" s="488">
        <v>2080</v>
      </c>
      <c r="E85" s="488"/>
      <c r="F85" s="488">
        <v>2080</v>
      </c>
      <c r="G85" s="488">
        <v>1536</v>
      </c>
      <c r="H85" s="488"/>
      <c r="I85" s="488">
        <v>1536</v>
      </c>
      <c r="J85" s="488"/>
      <c r="K85" s="488"/>
      <c r="L85" s="488"/>
      <c r="M85" s="10">
        <f t="shared" si="7"/>
        <v>1</v>
      </c>
      <c r="N85" s="10">
        <f t="shared" si="8"/>
        <v>1</v>
      </c>
      <c r="O85" s="10" t="str">
        <f t="shared" si="9"/>
        <v xml:space="preserve"> </v>
      </c>
      <c r="P85" s="10">
        <f t="shared" si="10"/>
        <v>1</v>
      </c>
      <c r="Q85" t="str">
        <f t="shared" si="6"/>
        <v>120203.Supt Opns II</v>
      </c>
      <c r="R85" s="10">
        <f t="shared" si="11"/>
        <v>1</v>
      </c>
    </row>
    <row r="86" spans="1:18">
      <c r="A86" s="492">
        <v>120206</v>
      </c>
      <c r="B86" t="s">
        <v>286</v>
      </c>
      <c r="C86" t="s">
        <v>814</v>
      </c>
      <c r="D86" s="488">
        <v>2262</v>
      </c>
      <c r="E86" s="488"/>
      <c r="F86" s="488">
        <v>2262</v>
      </c>
      <c r="G86" s="488">
        <v>2310</v>
      </c>
      <c r="H86" s="488"/>
      <c r="I86" s="488">
        <v>2310</v>
      </c>
      <c r="J86" s="488">
        <v>206.5</v>
      </c>
      <c r="K86" s="488"/>
      <c r="L86" s="488">
        <v>206.5</v>
      </c>
      <c r="M86" s="10">
        <f t="shared" si="7"/>
        <v>1</v>
      </c>
      <c r="N86" s="10">
        <f t="shared" si="8"/>
        <v>1</v>
      </c>
      <c r="O86" s="10">
        <f t="shared" si="9"/>
        <v>1</v>
      </c>
      <c r="P86" s="10">
        <f t="shared" si="10"/>
        <v>1</v>
      </c>
      <c r="Q86" t="str">
        <f t="shared" si="6"/>
        <v>120206.Jr Backhoe/Crew Leader F320O</v>
      </c>
      <c r="R86" s="10">
        <f t="shared" si="11"/>
        <v>1</v>
      </c>
    </row>
    <row r="87" spans="1:18">
      <c r="A87" s="492">
        <v>120206</v>
      </c>
      <c r="B87" t="s">
        <v>286</v>
      </c>
      <c r="C87" t="s">
        <v>289</v>
      </c>
      <c r="D87" s="489">
        <v>1134</v>
      </c>
      <c r="E87" s="489"/>
      <c r="F87" s="489">
        <v>1134</v>
      </c>
      <c r="G87" s="489"/>
      <c r="H87" s="489"/>
      <c r="I87" s="489"/>
      <c r="J87" s="489"/>
      <c r="K87" s="489"/>
      <c r="L87" s="489"/>
      <c r="M87" s="10">
        <f t="shared" si="7"/>
        <v>1</v>
      </c>
      <c r="N87" s="10" t="str">
        <f t="shared" si="8"/>
        <v xml:space="preserve"> </v>
      </c>
      <c r="O87" s="10" t="str">
        <f t="shared" si="9"/>
        <v xml:space="preserve"> </v>
      </c>
      <c r="P87" s="10">
        <f t="shared" si="10"/>
        <v>1</v>
      </c>
      <c r="Q87" t="str">
        <f t="shared" si="6"/>
        <v>120206.Meter Technician F320O</v>
      </c>
      <c r="R87" s="10">
        <f t="shared" si="11"/>
        <v>1</v>
      </c>
    </row>
    <row r="88" spans="1:18">
      <c r="A88" s="492">
        <v>120206</v>
      </c>
      <c r="B88" t="s">
        <v>286</v>
      </c>
      <c r="C88" t="s">
        <v>10</v>
      </c>
      <c r="D88" s="489">
        <v>4978.5</v>
      </c>
      <c r="E88" s="489"/>
      <c r="F88" s="489">
        <v>4978.5</v>
      </c>
      <c r="G88" s="489">
        <v>2360</v>
      </c>
      <c r="H88" s="489"/>
      <c r="I88" s="489">
        <v>2360</v>
      </c>
      <c r="J88" s="489"/>
      <c r="K88" s="489"/>
      <c r="L88" s="489"/>
      <c r="M88" s="10">
        <f t="shared" si="7"/>
        <v>1</v>
      </c>
      <c r="N88" s="10">
        <f t="shared" si="8"/>
        <v>1</v>
      </c>
      <c r="O88" s="10" t="str">
        <f t="shared" si="9"/>
        <v xml:space="preserve"> </v>
      </c>
      <c r="P88" s="10">
        <f t="shared" si="10"/>
        <v>1</v>
      </c>
      <c r="Q88" t="str">
        <f t="shared" si="6"/>
        <v>120206.Supvr Opns II</v>
      </c>
      <c r="R88" s="10">
        <f t="shared" si="11"/>
        <v>1</v>
      </c>
    </row>
    <row r="89" spans="1:18">
      <c r="A89" s="492">
        <v>120206</v>
      </c>
      <c r="B89" t="s">
        <v>286</v>
      </c>
      <c r="C89" t="s">
        <v>390</v>
      </c>
      <c r="D89" s="489">
        <v>5674.5</v>
      </c>
      <c r="E89" s="489"/>
      <c r="F89" s="489">
        <v>5674.5</v>
      </c>
      <c r="G89" s="489">
        <v>3457.5</v>
      </c>
      <c r="H89" s="489">
        <v>1</v>
      </c>
      <c r="I89" s="489">
        <v>3458.5</v>
      </c>
      <c r="J89" s="489">
        <v>558.5</v>
      </c>
      <c r="K89" s="489"/>
      <c r="L89" s="489">
        <v>558.5</v>
      </c>
      <c r="M89" s="10">
        <f t="shared" si="7"/>
        <v>1</v>
      </c>
      <c r="N89" s="10">
        <f t="shared" si="8"/>
        <v>0.99971085730808151</v>
      </c>
      <c r="O89" s="10">
        <f t="shared" si="9"/>
        <v>1</v>
      </c>
      <c r="P89" s="10">
        <f t="shared" si="10"/>
        <v>0.99990361910269387</v>
      </c>
      <c r="Q89" t="str">
        <f t="shared" si="6"/>
        <v>120206.Utility F320O</v>
      </c>
      <c r="R89" s="10">
        <f t="shared" si="11"/>
        <v>0.99990361910269387</v>
      </c>
    </row>
    <row r="90" spans="1:18">
      <c r="A90" s="492">
        <v>120217</v>
      </c>
      <c r="B90" t="s">
        <v>247</v>
      </c>
      <c r="C90" t="s">
        <v>4</v>
      </c>
      <c r="D90" s="489">
        <v>2187</v>
      </c>
      <c r="E90" s="489"/>
      <c r="F90" s="489">
        <v>2187</v>
      </c>
      <c r="G90" s="489">
        <v>2187</v>
      </c>
      <c r="H90" s="489">
        <v>3</v>
      </c>
      <c r="I90" s="489">
        <v>2190</v>
      </c>
      <c r="J90" s="489">
        <v>1156</v>
      </c>
      <c r="K90" s="489"/>
      <c r="L90" s="489">
        <v>1156</v>
      </c>
      <c r="M90" s="10">
        <f t="shared" si="7"/>
        <v>1</v>
      </c>
      <c r="N90" s="10">
        <f t="shared" si="8"/>
        <v>0.99863013698630132</v>
      </c>
      <c r="O90" s="10">
        <f t="shared" si="9"/>
        <v>1</v>
      </c>
      <c r="P90" s="10">
        <f t="shared" si="10"/>
        <v>0.99954337899543377</v>
      </c>
      <c r="Q90" t="str">
        <f t="shared" si="6"/>
        <v>120217.Sr Spec Cross Connect (N)</v>
      </c>
      <c r="R90" s="10">
        <f t="shared" si="11"/>
        <v>0.99954337899543377</v>
      </c>
    </row>
    <row r="91" spans="1:18">
      <c r="A91" s="492">
        <v>120217</v>
      </c>
      <c r="B91" t="s">
        <v>247</v>
      </c>
      <c r="C91" t="s">
        <v>325</v>
      </c>
      <c r="D91" s="489">
        <v>2072</v>
      </c>
      <c r="E91" s="489">
        <v>8</v>
      </c>
      <c r="F91" s="489">
        <v>2080</v>
      </c>
      <c r="G91" s="489">
        <v>2064.5</v>
      </c>
      <c r="H91" s="489">
        <v>15.5</v>
      </c>
      <c r="I91" s="489">
        <v>2080</v>
      </c>
      <c r="J91" s="489">
        <v>240</v>
      </c>
      <c r="K91" s="489"/>
      <c r="L91" s="489">
        <v>240</v>
      </c>
      <c r="M91" s="10">
        <f t="shared" si="7"/>
        <v>0.99615384615384617</v>
      </c>
      <c r="N91" s="10">
        <f t="shared" si="8"/>
        <v>0.99254807692307689</v>
      </c>
      <c r="O91" s="10">
        <f t="shared" si="9"/>
        <v>1</v>
      </c>
      <c r="P91" s="10">
        <f t="shared" si="10"/>
        <v>0.99623397435897443</v>
      </c>
      <c r="Q91" t="str">
        <f t="shared" si="6"/>
        <v>120217.Supt Wtr Qlty &amp; Envrn Cmpl</v>
      </c>
      <c r="R91" s="10">
        <f t="shared" si="11"/>
        <v>0.99623397435897443</v>
      </c>
    </row>
    <row r="92" spans="1:18">
      <c r="A92" s="492">
        <v>120250</v>
      </c>
      <c r="B92" t="s">
        <v>256</v>
      </c>
      <c r="C92" t="s">
        <v>925</v>
      </c>
      <c r="D92" s="489">
        <v>2283</v>
      </c>
      <c r="E92" s="489"/>
      <c r="F92" s="489">
        <v>2283</v>
      </c>
      <c r="G92" s="489">
        <v>2248</v>
      </c>
      <c r="H92" s="489"/>
      <c r="I92" s="489">
        <v>2248</v>
      </c>
      <c r="J92" s="489">
        <v>428</v>
      </c>
      <c r="K92" s="489"/>
      <c r="L92" s="489">
        <v>428</v>
      </c>
      <c r="M92" s="10">
        <f t="shared" si="7"/>
        <v>1</v>
      </c>
      <c r="N92" s="10">
        <f t="shared" si="8"/>
        <v>1</v>
      </c>
      <c r="O92" s="10">
        <f t="shared" si="9"/>
        <v>1</v>
      </c>
      <c r="P92" s="10">
        <f t="shared" si="10"/>
        <v>1</v>
      </c>
      <c r="Q92" t="str">
        <f t="shared" si="6"/>
        <v>120250.Treatment Plant Operator Utility SS F320</v>
      </c>
      <c r="R92" s="10">
        <f t="shared" si="11"/>
        <v>1</v>
      </c>
    </row>
    <row r="93" spans="1:18">
      <c r="A93" s="492">
        <v>120250</v>
      </c>
      <c r="B93" t="s">
        <v>256</v>
      </c>
      <c r="C93" t="s">
        <v>303</v>
      </c>
      <c r="D93" s="489">
        <v>506</v>
      </c>
      <c r="E93" s="489"/>
      <c r="F93" s="489">
        <v>506</v>
      </c>
      <c r="G93" s="489"/>
      <c r="H93" s="489"/>
      <c r="I93" s="489"/>
      <c r="J93" s="489"/>
      <c r="K93" s="489"/>
      <c r="L93" s="489"/>
      <c r="M93" s="10">
        <f t="shared" si="7"/>
        <v>1</v>
      </c>
      <c r="N93" s="10" t="str">
        <f t="shared" si="8"/>
        <v xml:space="preserve"> </v>
      </c>
      <c r="O93" s="10" t="str">
        <f t="shared" si="9"/>
        <v xml:space="preserve"> </v>
      </c>
      <c r="P93" s="10">
        <f t="shared" si="10"/>
        <v>1</v>
      </c>
      <c r="Q93" t="str">
        <f t="shared" si="6"/>
        <v>120250.Treatment Plt Opr Relief F320O</v>
      </c>
      <c r="R93" s="10">
        <f t="shared" si="11"/>
        <v>1</v>
      </c>
    </row>
    <row r="94" spans="1:18">
      <c r="A94" s="492">
        <v>120251</v>
      </c>
      <c r="B94" t="s">
        <v>273</v>
      </c>
      <c r="C94" t="s">
        <v>267</v>
      </c>
      <c r="D94" s="489">
        <v>2301</v>
      </c>
      <c r="E94" s="489"/>
      <c r="F94" s="489">
        <v>2301</v>
      </c>
      <c r="G94" s="489">
        <v>1334</v>
      </c>
      <c r="H94" s="489"/>
      <c r="I94" s="489">
        <v>1334</v>
      </c>
      <c r="J94" s="489"/>
      <c r="K94" s="489"/>
      <c r="L94" s="489"/>
      <c r="M94" s="10">
        <f t="shared" si="7"/>
        <v>1</v>
      </c>
      <c r="N94" s="10">
        <f t="shared" si="8"/>
        <v>1</v>
      </c>
      <c r="O94" s="10" t="str">
        <f t="shared" si="9"/>
        <v xml:space="preserve"> </v>
      </c>
      <c r="P94" s="10">
        <f t="shared" si="10"/>
        <v>1</v>
      </c>
      <c r="Q94" t="str">
        <f t="shared" si="6"/>
        <v>120251.Maintenance Technician II F320O</v>
      </c>
      <c r="R94" s="10">
        <f t="shared" si="11"/>
        <v>1</v>
      </c>
    </row>
    <row r="95" spans="1:18">
      <c r="A95" s="492">
        <v>120251</v>
      </c>
      <c r="B95" t="s">
        <v>273</v>
      </c>
      <c r="C95" t="s">
        <v>261</v>
      </c>
      <c r="D95" s="489">
        <v>168</v>
      </c>
      <c r="E95" s="489"/>
      <c r="F95" s="489">
        <v>168</v>
      </c>
      <c r="G95" s="489"/>
      <c r="H95" s="489"/>
      <c r="I95" s="489"/>
      <c r="J95" s="489"/>
      <c r="K95" s="489"/>
      <c r="L95" s="489"/>
      <c r="M95" s="10">
        <f t="shared" si="7"/>
        <v>1</v>
      </c>
      <c r="N95" s="10" t="str">
        <f t="shared" si="8"/>
        <v xml:space="preserve"> </v>
      </c>
      <c r="O95" s="10" t="str">
        <f t="shared" si="9"/>
        <v xml:space="preserve"> </v>
      </c>
      <c r="P95" s="10">
        <f t="shared" si="10"/>
        <v>1</v>
      </c>
      <c r="Q95" t="str">
        <f t="shared" si="6"/>
        <v>120251.Treatment Plt Opr F320O U511</v>
      </c>
      <c r="R95" s="10">
        <f t="shared" si="11"/>
        <v>1</v>
      </c>
    </row>
    <row r="96" spans="1:18">
      <c r="A96" s="492">
        <v>120252</v>
      </c>
      <c r="B96" t="s">
        <v>357</v>
      </c>
      <c r="C96" t="s">
        <v>796</v>
      </c>
      <c r="D96" s="489">
        <v>2558</v>
      </c>
      <c r="E96" s="489">
        <v>6</v>
      </c>
      <c r="F96" s="489">
        <v>2564</v>
      </c>
      <c r="G96" s="489">
        <v>2705</v>
      </c>
      <c r="H96" s="489">
        <v>36</v>
      </c>
      <c r="I96" s="489">
        <v>2741</v>
      </c>
      <c r="J96" s="489">
        <v>3383</v>
      </c>
      <c r="K96" s="489"/>
      <c r="L96" s="489">
        <v>3383</v>
      </c>
      <c r="M96" s="10">
        <f t="shared" si="7"/>
        <v>0.9976599063962559</v>
      </c>
      <c r="N96" s="10">
        <f t="shared" si="8"/>
        <v>0.98686610726012403</v>
      </c>
      <c r="O96" s="10">
        <f t="shared" si="9"/>
        <v>1</v>
      </c>
      <c r="P96" s="10">
        <f t="shared" si="10"/>
        <v>0.99484200455212657</v>
      </c>
      <c r="Q96" t="str">
        <f t="shared" si="6"/>
        <v>120252.Operations Technician</v>
      </c>
      <c r="R96" s="10">
        <f t="shared" si="11"/>
        <v>0.99484200455212657</v>
      </c>
    </row>
    <row r="97" spans="1:18">
      <c r="A97" s="492">
        <v>120252</v>
      </c>
      <c r="B97" t="s">
        <v>357</v>
      </c>
      <c r="C97" t="s">
        <v>358</v>
      </c>
      <c r="D97" s="489">
        <v>3656.5</v>
      </c>
      <c r="E97" s="489"/>
      <c r="F97" s="489">
        <v>3656.5</v>
      </c>
      <c r="G97" s="489">
        <v>1231</v>
      </c>
      <c r="H97" s="489"/>
      <c r="I97" s="489">
        <v>1231</v>
      </c>
      <c r="J97" s="489"/>
      <c r="K97" s="489"/>
      <c r="L97" s="489"/>
      <c r="M97" s="10">
        <f t="shared" si="7"/>
        <v>1</v>
      </c>
      <c r="N97" s="10">
        <f t="shared" si="8"/>
        <v>1</v>
      </c>
      <c r="O97" s="10" t="str">
        <f t="shared" si="9"/>
        <v xml:space="preserve"> </v>
      </c>
      <c r="P97" s="10">
        <f t="shared" si="10"/>
        <v>1</v>
      </c>
      <c r="Q97" t="str">
        <f t="shared" si="6"/>
        <v>120252.Technician Production (N)</v>
      </c>
      <c r="R97" s="10">
        <f t="shared" si="11"/>
        <v>1</v>
      </c>
    </row>
    <row r="98" spans="1:18">
      <c r="A98" s="492">
        <v>123005</v>
      </c>
      <c r="B98" t="s">
        <v>336</v>
      </c>
      <c r="C98" t="s">
        <v>12</v>
      </c>
      <c r="D98" s="489">
        <v>1036</v>
      </c>
      <c r="E98" s="489">
        <v>4</v>
      </c>
      <c r="F98" s="489">
        <v>1040</v>
      </c>
      <c r="G98" s="489">
        <v>848</v>
      </c>
      <c r="H98" s="489"/>
      <c r="I98" s="489">
        <v>848</v>
      </c>
      <c r="J98" s="489"/>
      <c r="K98" s="489"/>
      <c r="L98" s="489"/>
      <c r="M98" s="10">
        <f t="shared" si="7"/>
        <v>0.99615384615384617</v>
      </c>
      <c r="N98" s="10">
        <f t="shared" si="8"/>
        <v>1</v>
      </c>
      <c r="O98" s="10" t="str">
        <f t="shared" si="9"/>
        <v xml:space="preserve"> </v>
      </c>
      <c r="P98" s="10">
        <f t="shared" si="10"/>
        <v>0.99807692307692308</v>
      </c>
      <c r="Q98" t="str">
        <f t="shared" si="6"/>
        <v>123005.Supt Opns II</v>
      </c>
      <c r="R98" s="10">
        <f t="shared" si="11"/>
        <v>0.99807692307692308</v>
      </c>
    </row>
    <row r="99" spans="1:18">
      <c r="A99" s="492">
        <v>123005</v>
      </c>
      <c r="B99" t="s">
        <v>336</v>
      </c>
      <c r="C99" t="s">
        <v>7</v>
      </c>
      <c r="D99" s="489">
        <v>2204.5</v>
      </c>
      <c r="E99" s="489">
        <v>4</v>
      </c>
      <c r="F99" s="489">
        <v>2208.5</v>
      </c>
      <c r="G99" s="489">
        <v>2080</v>
      </c>
      <c r="H99" s="489"/>
      <c r="I99" s="489">
        <v>2080</v>
      </c>
      <c r="J99" s="489">
        <v>48</v>
      </c>
      <c r="K99" s="489"/>
      <c r="L99" s="489">
        <v>48</v>
      </c>
      <c r="M99" s="10">
        <f t="shared" si="7"/>
        <v>0.99818881593841979</v>
      </c>
      <c r="N99" s="10">
        <f t="shared" si="8"/>
        <v>1</v>
      </c>
      <c r="O99" s="10">
        <f t="shared" si="9"/>
        <v>1</v>
      </c>
      <c r="P99" s="10">
        <f t="shared" si="10"/>
        <v>0.99939627197947323</v>
      </c>
      <c r="Q99" t="str">
        <f t="shared" si="6"/>
        <v>123005.Supvr Production</v>
      </c>
      <c r="R99" s="10">
        <f t="shared" si="11"/>
        <v>0.99939627197947323</v>
      </c>
    </row>
    <row r="100" spans="1:18">
      <c r="A100" s="492">
        <v>123005</v>
      </c>
      <c r="B100" t="s">
        <v>336</v>
      </c>
      <c r="C100" t="s">
        <v>358</v>
      </c>
      <c r="D100" s="489">
        <v>2080</v>
      </c>
      <c r="E100" s="489">
        <v>158</v>
      </c>
      <c r="F100" s="489">
        <v>2238</v>
      </c>
      <c r="G100" s="489">
        <v>1967</v>
      </c>
      <c r="H100" s="489">
        <v>326</v>
      </c>
      <c r="I100" s="489">
        <v>2293</v>
      </c>
      <c r="J100" s="489">
        <v>2631.5</v>
      </c>
      <c r="K100" s="489">
        <v>128</v>
      </c>
      <c r="L100" s="489">
        <v>2759.5</v>
      </c>
      <c r="M100" s="10">
        <f t="shared" si="7"/>
        <v>0.92940125111706884</v>
      </c>
      <c r="N100" s="10">
        <f t="shared" si="8"/>
        <v>0.85782817269952027</v>
      </c>
      <c r="O100" s="10">
        <f t="shared" si="9"/>
        <v>0.95361478528718968</v>
      </c>
      <c r="P100" s="10">
        <f t="shared" si="10"/>
        <v>0.91361473636792623</v>
      </c>
      <c r="Q100" t="str">
        <f t="shared" si="6"/>
        <v>123005.Technician Production (N)</v>
      </c>
      <c r="R100" s="10">
        <f t="shared" si="11"/>
        <v>0.91361473636792623</v>
      </c>
    </row>
    <row r="101" spans="1:18">
      <c r="A101" s="106" t="s">
        <v>107</v>
      </c>
      <c r="D101" s="103">
        <f>SUM(D6:D100)</f>
        <v>288435.5</v>
      </c>
      <c r="E101" s="103">
        <f t="shared" ref="E101:L101" si="12">SUM(E6:E100)</f>
        <v>5873.5</v>
      </c>
      <c r="F101" s="103">
        <f t="shared" si="12"/>
        <v>294309</v>
      </c>
      <c r="G101" s="103">
        <f t="shared" si="12"/>
        <v>291445</v>
      </c>
      <c r="H101" s="103">
        <f t="shared" si="12"/>
        <v>6564</v>
      </c>
      <c r="I101" s="103">
        <f t="shared" si="12"/>
        <v>298009</v>
      </c>
      <c r="J101" s="103">
        <f t="shared" si="12"/>
        <v>308256.78000000003</v>
      </c>
      <c r="K101" s="103">
        <f t="shared" si="12"/>
        <v>7478</v>
      </c>
      <c r="L101" s="103">
        <f t="shared" si="12"/>
        <v>315734.78000000003</v>
      </c>
    </row>
    <row r="103" spans="1:18">
      <c r="D103" t="s">
        <v>985</v>
      </c>
      <c r="Q103" s="507" t="s">
        <v>984</v>
      </c>
      <c r="R103" s="11">
        <f>+R50</f>
        <v>1</v>
      </c>
    </row>
    <row r="104" spans="1:18">
      <c r="D104" t="s">
        <v>989</v>
      </c>
      <c r="Q104" s="504" t="s">
        <v>988</v>
      </c>
      <c r="R104" s="11">
        <f>+R21</f>
        <v>0.99979452406636871</v>
      </c>
    </row>
    <row r="105" spans="1:18">
      <c r="D105" t="s">
        <v>991</v>
      </c>
      <c r="Q105" s="507" t="s">
        <v>990</v>
      </c>
      <c r="R105" s="11">
        <f>+R69</f>
        <v>0.98726133271584049</v>
      </c>
    </row>
    <row r="106" spans="1:18">
      <c r="D106" t="s">
        <v>993</v>
      </c>
      <c r="Q106" s="507" t="s">
        <v>992</v>
      </c>
      <c r="R106" s="11">
        <f>+R24</f>
        <v>0.87990259385837166</v>
      </c>
    </row>
    <row r="107" spans="1:18">
      <c r="Q107" t="s">
        <v>1119</v>
      </c>
      <c r="R107" s="11">
        <v>0.9909</v>
      </c>
    </row>
  </sheetData>
  <autoFilter ref="A5:R101"/>
  <mergeCells count="4">
    <mergeCell ref="M4:P4"/>
    <mergeCell ref="D4:F4"/>
    <mergeCell ref="G4:I4"/>
    <mergeCell ref="J4:L4"/>
  </mergeCells>
  <pageMargins left="0.7" right="0.7" top="0.75" bottom="0.75" header="0.3" footer="0.3"/>
  <pageSetup scale="77" fitToHeight="4" orientation="landscape" horizontalDpi="1200" verticalDpi="1200" r:id="rId1"/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="80" zoomScaleNormal="80" workbookViewId="0">
      <selection activeCell="D17" sqref="D17"/>
    </sheetView>
  </sheetViews>
  <sheetFormatPr defaultColWidth="8.88671875" defaultRowHeight="14.4"/>
  <cols>
    <col min="1" max="1" width="7.6640625" style="509" customWidth="1"/>
    <col min="2" max="2" width="33.109375" style="509" bestFit="1" customWidth="1"/>
    <col min="3" max="5" width="11.33203125" style="509" bestFit="1" customWidth="1"/>
    <col min="6" max="6" width="10.6640625" style="509" bestFit="1" customWidth="1"/>
    <col min="7" max="7" width="8.33203125" style="509" bestFit="1" customWidth="1"/>
    <col min="8" max="8" width="42.33203125" style="509" customWidth="1"/>
    <col min="9" max="10" width="8.88671875" style="509"/>
    <col min="11" max="11" width="10" style="509" bestFit="1" customWidth="1"/>
    <col min="12" max="16384" width="8.88671875" style="509"/>
  </cols>
  <sheetData>
    <row r="1" spans="1:11">
      <c r="A1" s="250" t="s">
        <v>431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</row>
    <row r="2" spans="1:11">
      <c r="A2" s="250" t="s">
        <v>479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</row>
    <row r="3" spans="1:11">
      <c r="A3" s="250" t="s">
        <v>923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</row>
    <row r="4" spans="1:11">
      <c r="A4" s="250"/>
      <c r="B4" s="565"/>
      <c r="C4" s="565"/>
      <c r="D4" s="565"/>
      <c r="E4" s="565"/>
      <c r="F4" s="565"/>
      <c r="G4" s="565"/>
      <c r="H4" s="565"/>
      <c r="I4" s="565"/>
      <c r="J4" s="565"/>
      <c r="K4" s="565"/>
    </row>
    <row r="5" spans="1:11">
      <c r="A5" s="565" t="s">
        <v>472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</row>
    <row r="6" spans="1:11">
      <c r="A6" s="565" t="s">
        <v>111</v>
      </c>
      <c r="B6" s="565"/>
      <c r="C6" s="565"/>
      <c r="D6" s="565"/>
      <c r="E6" s="565"/>
      <c r="F6" s="565"/>
      <c r="G6" s="565"/>
      <c r="H6" s="565"/>
      <c r="I6" s="565"/>
      <c r="J6" s="565"/>
      <c r="K6" s="565"/>
    </row>
    <row r="7" spans="1:11">
      <c r="A7" s="566"/>
      <c r="B7" s="565"/>
      <c r="C7" s="565"/>
      <c r="D7" s="565"/>
      <c r="E7" s="565"/>
      <c r="F7" s="565"/>
      <c r="G7" s="565"/>
      <c r="H7" s="565"/>
      <c r="I7" s="565"/>
      <c r="J7" s="565"/>
      <c r="K7" s="565"/>
    </row>
    <row r="8" spans="1:11" ht="43.2">
      <c r="A8" s="567" t="s">
        <v>469</v>
      </c>
      <c r="B8" s="568" t="s">
        <v>471</v>
      </c>
      <c r="C8" s="568" t="s">
        <v>920</v>
      </c>
      <c r="D8" s="569" t="s">
        <v>921</v>
      </c>
      <c r="E8" s="569" t="s">
        <v>922</v>
      </c>
      <c r="F8" s="569" t="s">
        <v>107</v>
      </c>
      <c r="G8" s="567" t="s">
        <v>482</v>
      </c>
      <c r="H8" s="567" t="s">
        <v>475</v>
      </c>
      <c r="I8" s="567" t="s">
        <v>480</v>
      </c>
      <c r="J8" s="567" t="s">
        <v>481</v>
      </c>
      <c r="K8" s="565"/>
    </row>
    <row r="9" spans="1:11">
      <c r="A9" s="566">
        <v>120206</v>
      </c>
      <c r="B9" s="565" t="s">
        <v>341</v>
      </c>
      <c r="C9" s="570">
        <v>26.8</v>
      </c>
      <c r="D9" s="570">
        <v>54.35</v>
      </c>
      <c r="E9" s="570">
        <v>49.249999999999993</v>
      </c>
      <c r="F9" s="570">
        <v>130.4</v>
      </c>
      <c r="G9" s="571">
        <f>AVERAGE(C9:E9)</f>
        <v>43.466666666666669</v>
      </c>
      <c r="H9" s="572" t="str">
        <f>CONCATENATE(A9,".",B9)</f>
        <v>120206.Crew Leader F320O &amp; U335P</v>
      </c>
      <c r="I9" s="573">
        <v>4</v>
      </c>
      <c r="J9" s="571">
        <f t="shared" ref="J9:J21" si="0">G9/I9</f>
        <v>10.866666666666667</v>
      </c>
      <c r="K9" s="565"/>
    </row>
    <row r="10" spans="1:11">
      <c r="A10" s="566">
        <v>120206</v>
      </c>
      <c r="B10" s="565" t="s">
        <v>221</v>
      </c>
      <c r="C10" s="574"/>
      <c r="D10" s="574">
        <v>26.8</v>
      </c>
      <c r="E10" s="574">
        <v>28.4</v>
      </c>
      <c r="F10" s="574">
        <v>55.2</v>
      </c>
      <c r="G10" s="572">
        <f t="shared" ref="G10:G21" si="1">AVERAGE(C10:E10)</f>
        <v>27.6</v>
      </c>
      <c r="H10" s="572" t="str">
        <f t="shared" ref="H10:H21" si="2">CONCATENATE(A10,".",B10)</f>
        <v>120206.Field Service Rep F320O</v>
      </c>
      <c r="I10" s="572">
        <v>4</v>
      </c>
      <c r="J10" s="574">
        <f t="shared" si="0"/>
        <v>6.9</v>
      </c>
      <c r="K10" s="565"/>
    </row>
    <row r="11" spans="1:11">
      <c r="A11" s="566">
        <v>120206</v>
      </c>
      <c r="B11" s="565" t="s">
        <v>814</v>
      </c>
      <c r="C11" s="574"/>
      <c r="D11" s="574">
        <v>12.8</v>
      </c>
      <c r="E11" s="574"/>
      <c r="F11" s="574">
        <v>12.8</v>
      </c>
      <c r="G11" s="572">
        <f t="shared" si="1"/>
        <v>12.8</v>
      </c>
      <c r="H11" s="572" t="str">
        <f t="shared" si="2"/>
        <v>120206.Jr Backhoe/Crew Leader F320O</v>
      </c>
      <c r="I11" s="572">
        <v>2</v>
      </c>
      <c r="J11" s="574">
        <f t="shared" si="0"/>
        <v>6.4</v>
      </c>
      <c r="K11" s="565"/>
    </row>
    <row r="12" spans="1:11">
      <c r="A12" s="566">
        <v>120206</v>
      </c>
      <c r="B12" s="565" t="s">
        <v>306</v>
      </c>
      <c r="C12" s="574"/>
      <c r="D12" s="574">
        <v>26.8</v>
      </c>
      <c r="E12" s="574"/>
      <c r="F12" s="574">
        <v>26.8</v>
      </c>
      <c r="G12" s="572">
        <f t="shared" si="1"/>
        <v>26.8</v>
      </c>
      <c r="H12" s="572" t="str">
        <f t="shared" si="2"/>
        <v>120206.Meter Reader F320O</v>
      </c>
      <c r="I12" s="572">
        <v>2</v>
      </c>
      <c r="J12" s="574">
        <f t="shared" si="0"/>
        <v>13.4</v>
      </c>
      <c r="K12" s="565"/>
    </row>
    <row r="13" spans="1:11">
      <c r="A13" s="566">
        <v>120206</v>
      </c>
      <c r="B13" s="565" t="s">
        <v>390</v>
      </c>
      <c r="C13" s="574">
        <v>106.75000000000003</v>
      </c>
      <c r="D13" s="574">
        <v>160.80000000000001</v>
      </c>
      <c r="E13" s="574">
        <v>131.34999999999997</v>
      </c>
      <c r="F13" s="574">
        <v>398.90000000000003</v>
      </c>
      <c r="G13" s="572">
        <f t="shared" si="1"/>
        <v>132.96666666666667</v>
      </c>
      <c r="H13" s="572" t="str">
        <f t="shared" si="2"/>
        <v>120206.Utility F320O</v>
      </c>
      <c r="I13" s="572">
        <v>16</v>
      </c>
      <c r="J13" s="574">
        <f t="shared" si="0"/>
        <v>8.3104166666666668</v>
      </c>
      <c r="K13" s="565"/>
    </row>
    <row r="14" spans="1:11">
      <c r="A14" s="566">
        <v>120250</v>
      </c>
      <c r="B14" s="565" t="s">
        <v>856</v>
      </c>
      <c r="C14" s="574"/>
      <c r="D14" s="574">
        <v>156.74999999999997</v>
      </c>
      <c r="E14" s="574">
        <v>3.2</v>
      </c>
      <c r="F14" s="574">
        <v>159.94999999999996</v>
      </c>
      <c r="G14" s="572">
        <f t="shared" si="1"/>
        <v>79.97499999999998</v>
      </c>
      <c r="H14" s="572" t="str">
        <f t="shared" si="2"/>
        <v>120250.TREATMENT PLANT OPERATOR 3S F320O</v>
      </c>
      <c r="I14" s="572">
        <v>9</v>
      </c>
      <c r="J14" s="574">
        <f t="shared" si="0"/>
        <v>8.8861111111111093</v>
      </c>
      <c r="K14" s="565"/>
    </row>
    <row r="15" spans="1:11">
      <c r="A15" s="566">
        <v>120250</v>
      </c>
      <c r="B15" s="565" t="s">
        <v>852</v>
      </c>
      <c r="C15" s="574"/>
      <c r="D15" s="574">
        <v>27.25</v>
      </c>
      <c r="E15" s="574"/>
      <c r="F15" s="574">
        <v>27.25</v>
      </c>
      <c r="G15" s="572">
        <f t="shared" si="1"/>
        <v>27.25</v>
      </c>
      <c r="H15" s="572" t="str">
        <f t="shared" si="2"/>
        <v>120250.Treatment Plant Operator Trainee II</v>
      </c>
      <c r="I15" s="572">
        <v>2</v>
      </c>
      <c r="J15" s="574">
        <f t="shared" si="0"/>
        <v>13.625</v>
      </c>
      <c r="K15" s="565"/>
    </row>
    <row r="16" spans="1:11">
      <c r="A16" s="566">
        <v>120250</v>
      </c>
      <c r="B16" s="565" t="s">
        <v>823</v>
      </c>
      <c r="C16" s="574">
        <v>2.4</v>
      </c>
      <c r="D16" s="574">
        <v>2.4000000000000004</v>
      </c>
      <c r="E16" s="574">
        <v>3.6</v>
      </c>
      <c r="F16" s="574">
        <v>8.4</v>
      </c>
      <c r="G16" s="572">
        <f t="shared" si="1"/>
        <v>2.8000000000000003</v>
      </c>
      <c r="H16" s="572" t="str">
        <f t="shared" si="2"/>
        <v>120250.Treatment Plant Operator Util 2S F320O</v>
      </c>
      <c r="I16" s="572">
        <v>3</v>
      </c>
      <c r="J16" s="574">
        <f t="shared" si="0"/>
        <v>0.93333333333333346</v>
      </c>
      <c r="K16" s="565"/>
    </row>
    <row r="17" spans="1:11">
      <c r="A17" s="566">
        <v>120250</v>
      </c>
      <c r="B17" s="565" t="s">
        <v>261</v>
      </c>
      <c r="C17" s="574"/>
      <c r="D17" s="574">
        <v>3.2</v>
      </c>
      <c r="E17" s="574"/>
      <c r="F17" s="574">
        <v>3.2</v>
      </c>
      <c r="G17" s="572">
        <f t="shared" si="1"/>
        <v>3.2</v>
      </c>
      <c r="H17" s="572" t="str">
        <f t="shared" si="2"/>
        <v>120250.Treatment Plt Opr F320O U511</v>
      </c>
      <c r="I17" s="572">
        <v>1</v>
      </c>
      <c r="J17" s="574">
        <f t="shared" si="0"/>
        <v>3.2</v>
      </c>
      <c r="K17" s="565"/>
    </row>
    <row r="18" spans="1:11">
      <c r="A18" s="566">
        <v>120250</v>
      </c>
      <c r="B18" s="565" t="s">
        <v>303</v>
      </c>
      <c r="C18" s="574">
        <v>16.45</v>
      </c>
      <c r="D18" s="574">
        <v>214.4</v>
      </c>
      <c r="E18" s="574">
        <v>1.6</v>
      </c>
      <c r="F18" s="574">
        <v>232.45</v>
      </c>
      <c r="G18" s="572">
        <f t="shared" si="1"/>
        <v>77.483333333333334</v>
      </c>
      <c r="H18" s="572" t="str">
        <f t="shared" si="2"/>
        <v>120250.Treatment Plt Opr Relief F320O</v>
      </c>
      <c r="I18" s="572">
        <v>8</v>
      </c>
      <c r="J18" s="574">
        <f t="shared" si="0"/>
        <v>9.6854166666666668</v>
      </c>
      <c r="K18" s="565"/>
    </row>
    <row r="19" spans="1:11">
      <c r="A19" s="566">
        <v>120250</v>
      </c>
      <c r="B19" s="565" t="s">
        <v>298</v>
      </c>
      <c r="C19" s="574">
        <v>1.3499999999999999</v>
      </c>
      <c r="D19" s="574">
        <v>0.7</v>
      </c>
      <c r="E19" s="574"/>
      <c r="F19" s="574">
        <v>2.0499999999999998</v>
      </c>
      <c r="G19" s="572">
        <f t="shared" si="1"/>
        <v>1.0249999999999999</v>
      </c>
      <c r="H19" s="572" t="str">
        <f t="shared" si="2"/>
        <v>120250.Treatment Plt Opr Utility F320O</v>
      </c>
      <c r="I19" s="572">
        <v>3</v>
      </c>
      <c r="J19" s="574">
        <f t="shared" si="0"/>
        <v>0.34166666666666662</v>
      </c>
      <c r="K19" s="565"/>
    </row>
    <row r="20" spans="1:11">
      <c r="A20" s="566">
        <v>120251</v>
      </c>
      <c r="B20" s="565" t="s">
        <v>261</v>
      </c>
      <c r="C20" s="574">
        <v>124.15</v>
      </c>
      <c r="D20" s="574"/>
      <c r="E20" s="574"/>
      <c r="F20" s="574">
        <v>124.15</v>
      </c>
      <c r="G20" s="572">
        <f t="shared" si="1"/>
        <v>124.15</v>
      </c>
      <c r="H20" s="572" t="str">
        <f t="shared" si="2"/>
        <v>120251.Treatment Plt Opr F320O U511</v>
      </c>
      <c r="I20" s="572">
        <v>4</v>
      </c>
      <c r="J20" s="574">
        <f t="shared" si="0"/>
        <v>31.037500000000001</v>
      </c>
      <c r="K20" s="565"/>
    </row>
    <row r="21" spans="1:11">
      <c r="A21" s="512">
        <v>120250</v>
      </c>
      <c r="B21" s="509" t="s">
        <v>303</v>
      </c>
      <c r="C21" s="513">
        <v>45.75</v>
      </c>
      <c r="D21" s="513"/>
      <c r="E21" s="513"/>
      <c r="F21" s="513">
        <v>45.75</v>
      </c>
      <c r="G21" s="514">
        <f t="shared" si="1"/>
        <v>45.75</v>
      </c>
      <c r="H21" s="508" t="str">
        <f t="shared" si="2"/>
        <v>120250.Treatment Plt Opr Relief F320O</v>
      </c>
      <c r="I21" s="508">
        <v>4</v>
      </c>
      <c r="J21" s="511">
        <f t="shared" si="0"/>
        <v>11.4375</v>
      </c>
    </row>
    <row r="22" spans="1:11">
      <c r="A22" s="510" t="s">
        <v>107</v>
      </c>
      <c r="B22" s="510"/>
      <c r="C22" s="536">
        <f>SUM(C9:C21)</f>
        <v>323.65000000000003</v>
      </c>
      <c r="D22" s="536">
        <f>SUM(D9:D21)</f>
        <v>686.25</v>
      </c>
      <c r="E22" s="536">
        <f>SUM(E9:E21)</f>
        <v>217.39999999999992</v>
      </c>
      <c r="F22" s="536">
        <f>SUM(F9:F21)</f>
        <v>1227.3000000000002</v>
      </c>
      <c r="G22" s="536"/>
    </row>
  </sheetData>
  <pageMargins left="0.7" right="0.7" top="0.75" bottom="0.75" header="0.3" footer="0.3"/>
  <pageSetup scale="88" fitToHeight="0" orientation="landscape" horizontalDpi="1200" verticalDpi="1200" r:id="rId1"/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zoomScale="80" zoomScaleNormal="80" workbookViewId="0"/>
  </sheetViews>
  <sheetFormatPr defaultColWidth="8.88671875" defaultRowHeight="14.4"/>
  <cols>
    <col min="1" max="1" width="16" style="309" customWidth="1"/>
    <col min="2" max="2" width="15.88671875" style="309" bestFit="1" customWidth="1"/>
    <col min="3" max="8" width="10.6640625" style="309" customWidth="1"/>
    <col min="9" max="9" width="13.44140625" style="309" bestFit="1" customWidth="1"/>
    <col min="10" max="10" width="12.6640625" style="317" bestFit="1" customWidth="1"/>
    <col min="11" max="11" width="6" style="317" bestFit="1" customWidth="1"/>
    <col min="12" max="12" width="13.6640625" style="317" bestFit="1" customWidth="1"/>
    <col min="13" max="15" width="8.88671875" style="309"/>
    <col min="16" max="16" width="9.5546875" style="313" bestFit="1" customWidth="1"/>
    <col min="17" max="17" width="10.5546875" style="309" bestFit="1" customWidth="1"/>
    <col min="18" max="18" width="8.33203125" style="461" bestFit="1" customWidth="1"/>
    <col min="19" max="20" width="10.5546875" style="309" bestFit="1" customWidth="1"/>
    <col min="21" max="21" width="15.5546875" style="309" customWidth="1"/>
    <col min="22" max="22" width="10.5546875" style="309" bestFit="1" customWidth="1"/>
    <col min="23" max="16384" width="8.88671875" style="309"/>
  </cols>
  <sheetData>
    <row r="1" spans="1:14">
      <c r="A1" s="19" t="s">
        <v>431</v>
      </c>
    </row>
    <row r="2" spans="1:14">
      <c r="A2" s="19" t="s">
        <v>432</v>
      </c>
    </row>
    <row r="3" spans="1:14">
      <c r="A3" s="19"/>
      <c r="K3" s="464"/>
    </row>
    <row r="4" spans="1:14">
      <c r="A4" s="2" t="s">
        <v>433</v>
      </c>
      <c r="B4" s="33">
        <v>32</v>
      </c>
      <c r="I4" s="302"/>
    </row>
    <row r="5" spans="1:14">
      <c r="A5" s="532"/>
      <c r="B5" s="532"/>
      <c r="C5" s="532"/>
      <c r="D5" s="532"/>
      <c r="E5" s="532"/>
      <c r="F5" s="532"/>
      <c r="G5" s="532"/>
      <c r="H5" s="532"/>
      <c r="I5" s="533" t="s">
        <v>434</v>
      </c>
    </row>
    <row r="6" spans="1:14">
      <c r="A6" s="534" t="s">
        <v>68</v>
      </c>
      <c r="B6" s="534" t="s">
        <v>76</v>
      </c>
      <c r="C6" s="535">
        <v>42309</v>
      </c>
      <c r="D6" s="535">
        <v>42675</v>
      </c>
      <c r="E6" s="535">
        <v>43040</v>
      </c>
      <c r="F6" s="535">
        <v>43405</v>
      </c>
      <c r="G6" s="535">
        <v>43770</v>
      </c>
      <c r="H6" s="535">
        <v>44136</v>
      </c>
      <c r="I6" s="535">
        <v>44012</v>
      </c>
    </row>
    <row r="7" spans="1:14">
      <c r="A7" s="309" t="s">
        <v>430</v>
      </c>
      <c r="B7" s="309" t="s">
        <v>435</v>
      </c>
      <c r="C7" s="537">
        <v>26.61</v>
      </c>
      <c r="D7" s="537">
        <v>27.14</v>
      </c>
      <c r="E7" s="537">
        <v>27.85</v>
      </c>
      <c r="F7" s="537">
        <v>28.59</v>
      </c>
      <c r="G7" s="537">
        <v>29.38</v>
      </c>
      <c r="H7" s="537">
        <v>30.19</v>
      </c>
      <c r="I7" s="538">
        <f>ROUND(SUM(F7*$E$43)+SUM(G7*$E$51),2)</f>
        <v>29.11</v>
      </c>
    </row>
    <row r="8" spans="1:14">
      <c r="B8" s="309" t="s">
        <v>436</v>
      </c>
      <c r="C8" s="310">
        <v>25.41</v>
      </c>
      <c r="D8" s="310">
        <v>25.92</v>
      </c>
      <c r="E8" s="310">
        <v>26.59</v>
      </c>
      <c r="F8" s="310">
        <v>27.29</v>
      </c>
      <c r="G8" s="310">
        <v>28.04</v>
      </c>
      <c r="H8" s="310">
        <v>28.81</v>
      </c>
      <c r="I8" s="316">
        <f>ROUND(SUM(F8*$E$43)+SUM(G8*$E$51),2)</f>
        <v>27.78</v>
      </c>
    </row>
    <row r="9" spans="1:14">
      <c r="B9" s="309" t="s">
        <v>437</v>
      </c>
      <c r="C9" s="310">
        <v>26.61</v>
      </c>
      <c r="D9" s="310">
        <v>27.14</v>
      </c>
      <c r="E9" s="310">
        <v>27.85</v>
      </c>
      <c r="F9" s="310">
        <v>28.59</v>
      </c>
      <c r="G9" s="310">
        <v>29.38</v>
      </c>
      <c r="H9" s="310">
        <v>30.19</v>
      </c>
      <c r="I9" s="316">
        <f t="shared" ref="I9:I36" si="0">ROUND(SUM(F9*$E$43)+SUM(G9*$E$51),2)</f>
        <v>29.11</v>
      </c>
      <c r="N9" s="310"/>
    </row>
    <row r="10" spans="1:14">
      <c r="B10" s="309" t="s">
        <v>438</v>
      </c>
      <c r="C10" s="310">
        <v>26.01</v>
      </c>
      <c r="D10" s="310">
        <v>26.53</v>
      </c>
      <c r="E10" s="310">
        <v>27.22</v>
      </c>
      <c r="F10" s="310">
        <v>27.94</v>
      </c>
      <c r="G10" s="310">
        <v>28.71</v>
      </c>
      <c r="H10" s="310">
        <v>29.5</v>
      </c>
      <c r="I10" s="316">
        <f t="shared" si="0"/>
        <v>28.45</v>
      </c>
      <c r="N10" s="310"/>
    </row>
    <row r="11" spans="1:14">
      <c r="B11" s="309" t="s">
        <v>439</v>
      </c>
      <c r="C11" s="310">
        <v>27.06</v>
      </c>
      <c r="D11" s="310">
        <v>27.6</v>
      </c>
      <c r="E11" s="310">
        <v>29.98</v>
      </c>
      <c r="F11" s="310">
        <v>30.77</v>
      </c>
      <c r="G11" s="310">
        <v>31.62</v>
      </c>
      <c r="H11" s="310">
        <v>32.49</v>
      </c>
      <c r="I11" s="316">
        <f t="shared" si="0"/>
        <v>31.33</v>
      </c>
      <c r="N11" s="310"/>
    </row>
    <row r="12" spans="1:14">
      <c r="B12" s="309" t="s">
        <v>440</v>
      </c>
      <c r="C12" s="310">
        <v>27.06</v>
      </c>
      <c r="D12" s="310">
        <v>27.6</v>
      </c>
      <c r="E12" s="310">
        <v>28.8</v>
      </c>
      <c r="F12" s="310">
        <v>29.56</v>
      </c>
      <c r="G12" s="310">
        <v>30.37</v>
      </c>
      <c r="H12" s="310">
        <v>31.21</v>
      </c>
      <c r="I12" s="316">
        <f t="shared" si="0"/>
        <v>30.09</v>
      </c>
      <c r="N12" s="310"/>
    </row>
    <row r="13" spans="1:14">
      <c r="B13" s="309" t="s">
        <v>441</v>
      </c>
      <c r="C13" s="310">
        <v>24.09</v>
      </c>
      <c r="D13" s="310">
        <v>24.57</v>
      </c>
      <c r="E13" s="310">
        <v>25.21</v>
      </c>
      <c r="F13" s="310">
        <v>25.88</v>
      </c>
      <c r="G13" s="310">
        <v>26.59</v>
      </c>
      <c r="H13" s="310">
        <v>27.32</v>
      </c>
      <c r="I13" s="316">
        <f t="shared" si="0"/>
        <v>26.35</v>
      </c>
      <c r="N13" s="310"/>
    </row>
    <row r="14" spans="1:14">
      <c r="B14" s="309" t="s">
        <v>442</v>
      </c>
      <c r="C14" s="310">
        <v>25.41</v>
      </c>
      <c r="D14" s="310">
        <v>25.92</v>
      </c>
      <c r="E14" s="310">
        <v>26.59</v>
      </c>
      <c r="F14" s="310">
        <v>27.29</v>
      </c>
      <c r="G14" s="310">
        <v>28.04</v>
      </c>
      <c r="H14" s="310">
        <v>28.81</v>
      </c>
      <c r="I14" s="316">
        <f t="shared" si="0"/>
        <v>27.78</v>
      </c>
      <c r="N14" s="310"/>
    </row>
    <row r="15" spans="1:14">
      <c r="B15" s="309" t="s">
        <v>443</v>
      </c>
      <c r="C15" s="316">
        <v>26.61</v>
      </c>
      <c r="D15" s="316">
        <v>27.14</v>
      </c>
      <c r="E15" s="316"/>
      <c r="F15" s="316"/>
      <c r="G15" s="316"/>
      <c r="H15" s="316"/>
      <c r="I15" s="316">
        <f t="shared" si="0"/>
        <v>0</v>
      </c>
    </row>
    <row r="16" spans="1:14">
      <c r="B16" s="309" t="s">
        <v>444</v>
      </c>
      <c r="C16" s="310">
        <v>27.06</v>
      </c>
      <c r="D16" s="310">
        <v>27.6</v>
      </c>
      <c r="E16" s="310">
        <v>28.32</v>
      </c>
      <c r="F16" s="310">
        <v>29.07</v>
      </c>
      <c r="G16" s="310">
        <v>29.87</v>
      </c>
      <c r="H16" s="310">
        <v>30.69</v>
      </c>
      <c r="I16" s="316">
        <f t="shared" si="0"/>
        <v>29.6</v>
      </c>
    </row>
    <row r="17" spans="1:19">
      <c r="A17" s="309" t="s">
        <v>909</v>
      </c>
      <c r="B17" s="460" t="s">
        <v>445</v>
      </c>
      <c r="C17" s="310">
        <v>26.56</v>
      </c>
      <c r="D17" s="310">
        <v>27.09</v>
      </c>
      <c r="E17" s="310">
        <v>27.79</v>
      </c>
      <c r="F17" s="310">
        <v>28.53</v>
      </c>
      <c r="G17" s="310">
        <v>29.31</v>
      </c>
      <c r="H17" s="310">
        <v>30.12</v>
      </c>
      <c r="I17" s="316">
        <f t="shared" si="0"/>
        <v>29.04</v>
      </c>
    </row>
    <row r="18" spans="1:19">
      <c r="A18" s="309" t="s">
        <v>909</v>
      </c>
      <c r="B18" s="460" t="s">
        <v>446</v>
      </c>
      <c r="C18" s="310">
        <v>26.39</v>
      </c>
      <c r="D18" s="310">
        <v>26.92</v>
      </c>
      <c r="E18" s="310">
        <v>27.62</v>
      </c>
      <c r="F18" s="310">
        <v>28.35</v>
      </c>
      <c r="G18" s="310">
        <v>29.13</v>
      </c>
      <c r="H18" s="310">
        <v>29.93</v>
      </c>
      <c r="I18" s="316">
        <f t="shared" si="0"/>
        <v>28.86</v>
      </c>
    </row>
    <row r="19" spans="1:19">
      <c r="B19" s="309" t="s">
        <v>904</v>
      </c>
      <c r="C19" s="310">
        <v>16.36</v>
      </c>
      <c r="D19" s="310">
        <v>16.690000000000001</v>
      </c>
      <c r="E19" s="310">
        <v>18.5</v>
      </c>
      <c r="F19" s="310">
        <v>18.989999999999998</v>
      </c>
      <c r="G19" s="310">
        <v>19.510000000000002</v>
      </c>
      <c r="H19" s="310">
        <v>20.05</v>
      </c>
      <c r="I19" s="316">
        <f t="shared" si="0"/>
        <v>19.329999999999998</v>
      </c>
    </row>
    <row r="20" spans="1:19">
      <c r="B20" s="309" t="s">
        <v>905</v>
      </c>
      <c r="C20" s="310">
        <v>22.5</v>
      </c>
      <c r="D20" s="310">
        <v>22.95</v>
      </c>
      <c r="E20" s="310">
        <v>23.55</v>
      </c>
      <c r="F20" s="310">
        <v>24.17</v>
      </c>
      <c r="G20" s="310">
        <v>24.83</v>
      </c>
      <c r="H20" s="310">
        <v>25.51</v>
      </c>
      <c r="I20" s="316">
        <f t="shared" si="0"/>
        <v>24.6</v>
      </c>
    </row>
    <row r="21" spans="1:19">
      <c r="A21" s="309" t="s">
        <v>909</v>
      </c>
      <c r="B21" s="309" t="s">
        <v>447</v>
      </c>
      <c r="C21" s="310">
        <v>27.06</v>
      </c>
      <c r="D21" s="310">
        <v>27.6</v>
      </c>
      <c r="E21" s="310">
        <v>28.36</v>
      </c>
      <c r="F21" s="310">
        <v>29.11</v>
      </c>
      <c r="G21" s="310">
        <v>29.91</v>
      </c>
      <c r="H21" s="310">
        <v>30.73</v>
      </c>
      <c r="I21" s="316">
        <f t="shared" si="0"/>
        <v>29.64</v>
      </c>
      <c r="N21" s="310"/>
    </row>
    <row r="22" spans="1:19">
      <c r="A22" s="309" t="s">
        <v>909</v>
      </c>
      <c r="B22" s="309" t="s">
        <v>448</v>
      </c>
      <c r="C22" s="316">
        <v>27.89</v>
      </c>
      <c r="D22" s="316">
        <v>28.45</v>
      </c>
      <c r="E22" s="316"/>
      <c r="F22" s="316"/>
      <c r="G22" s="316"/>
      <c r="H22" s="316"/>
      <c r="I22" s="316">
        <f t="shared" si="0"/>
        <v>0</v>
      </c>
      <c r="N22" s="310"/>
    </row>
    <row r="23" spans="1:19">
      <c r="A23" s="309" t="s">
        <v>909</v>
      </c>
      <c r="B23" s="309" t="s">
        <v>449</v>
      </c>
      <c r="C23" s="316">
        <v>28.02</v>
      </c>
      <c r="D23" s="316">
        <v>28.58</v>
      </c>
      <c r="E23" s="316"/>
      <c r="F23" s="316"/>
      <c r="G23" s="316"/>
      <c r="H23" s="316"/>
      <c r="I23" s="316">
        <f t="shared" si="0"/>
        <v>0</v>
      </c>
      <c r="N23" s="310"/>
    </row>
    <row r="24" spans="1:19">
      <c r="A24" s="309" t="s">
        <v>909</v>
      </c>
      <c r="B24" s="309" t="s">
        <v>450</v>
      </c>
      <c r="C24" s="316">
        <v>28.68</v>
      </c>
      <c r="D24" s="316">
        <v>29.25</v>
      </c>
      <c r="E24" s="316"/>
      <c r="F24" s="316"/>
      <c r="G24" s="316"/>
      <c r="H24" s="316"/>
      <c r="I24" s="316">
        <f t="shared" si="0"/>
        <v>0</v>
      </c>
      <c r="N24" s="310"/>
    </row>
    <row r="25" spans="1:19">
      <c r="A25" s="309" t="s">
        <v>909</v>
      </c>
      <c r="B25" s="309" t="s">
        <v>451</v>
      </c>
      <c r="C25" s="310">
        <v>28.2</v>
      </c>
      <c r="D25" s="310">
        <v>28.76</v>
      </c>
      <c r="E25" s="310">
        <v>29.51</v>
      </c>
      <c r="F25" s="310">
        <v>30.29</v>
      </c>
      <c r="G25" s="310">
        <v>31.12</v>
      </c>
      <c r="H25" s="310">
        <v>31.98</v>
      </c>
      <c r="I25" s="316">
        <f t="shared" si="0"/>
        <v>30.84</v>
      </c>
      <c r="N25" s="310"/>
    </row>
    <row r="26" spans="1:19">
      <c r="A26" s="309" t="s">
        <v>909</v>
      </c>
      <c r="B26" s="309" t="s">
        <v>452</v>
      </c>
      <c r="C26" s="310">
        <v>28.68</v>
      </c>
      <c r="D26" s="310">
        <v>29.25</v>
      </c>
      <c r="E26" s="310">
        <v>30.01</v>
      </c>
      <c r="F26" s="310">
        <v>30.81</v>
      </c>
      <c r="G26" s="310">
        <v>31.66</v>
      </c>
      <c r="H26" s="310">
        <v>32.53</v>
      </c>
      <c r="I26" s="316">
        <f t="shared" si="0"/>
        <v>31.37</v>
      </c>
      <c r="N26" s="310"/>
    </row>
    <row r="27" spans="1:19">
      <c r="A27" s="309" t="s">
        <v>909</v>
      </c>
      <c r="B27" s="309" t="s">
        <v>453</v>
      </c>
      <c r="C27" s="310">
        <v>25.75</v>
      </c>
      <c r="D27" s="310">
        <v>26.27</v>
      </c>
      <c r="E27" s="310">
        <v>26.95</v>
      </c>
      <c r="F27" s="310">
        <v>27.66</v>
      </c>
      <c r="G27" s="310">
        <v>28.42</v>
      </c>
      <c r="H27" s="310">
        <v>29.2</v>
      </c>
      <c r="I27" s="316">
        <f t="shared" si="0"/>
        <v>28.16</v>
      </c>
      <c r="K27" s="465"/>
    </row>
    <row r="28" spans="1:19">
      <c r="A28" s="309" t="s">
        <v>909</v>
      </c>
      <c r="B28" s="309" t="s">
        <v>454</v>
      </c>
      <c r="C28" s="310">
        <v>26.71</v>
      </c>
      <c r="D28" s="310">
        <v>27.24</v>
      </c>
      <c r="E28" s="310">
        <v>27.95</v>
      </c>
      <c r="F28" s="310">
        <v>28.69</v>
      </c>
      <c r="G28" s="310">
        <v>29.48</v>
      </c>
      <c r="H28" s="310">
        <v>30.29</v>
      </c>
      <c r="I28" s="316">
        <f t="shared" si="0"/>
        <v>29.21</v>
      </c>
      <c r="K28" s="465"/>
    </row>
    <row r="29" spans="1:19">
      <c r="B29" s="309" t="s">
        <v>455</v>
      </c>
      <c r="C29" s="310">
        <v>28.31</v>
      </c>
      <c r="D29" s="310">
        <v>28.88</v>
      </c>
      <c r="E29" s="310">
        <v>29.63</v>
      </c>
      <c r="F29" s="310">
        <v>30.42</v>
      </c>
      <c r="G29" s="310">
        <v>31.26</v>
      </c>
      <c r="H29" s="310">
        <v>32.119999999999997</v>
      </c>
      <c r="I29" s="316">
        <f t="shared" si="0"/>
        <v>30.97</v>
      </c>
    </row>
    <row r="30" spans="1:19">
      <c r="B30" s="309" t="s">
        <v>456</v>
      </c>
      <c r="C30" s="310">
        <v>25.41</v>
      </c>
      <c r="D30" s="310">
        <v>25.92</v>
      </c>
      <c r="E30" s="310">
        <v>26.68</v>
      </c>
      <c r="F30" s="310">
        <v>27.39</v>
      </c>
      <c r="G30" s="310">
        <v>28.14</v>
      </c>
      <c r="H30" s="310">
        <v>28.91</v>
      </c>
      <c r="I30" s="316">
        <f t="shared" si="0"/>
        <v>27.88</v>
      </c>
    </row>
    <row r="31" spans="1:19">
      <c r="B31" s="309" t="s">
        <v>462</v>
      </c>
      <c r="C31" s="310">
        <v>16.36</v>
      </c>
      <c r="D31" s="310">
        <v>16.690000000000001</v>
      </c>
      <c r="E31" s="310">
        <v>17</v>
      </c>
      <c r="F31" s="310">
        <v>17.45</v>
      </c>
      <c r="G31" s="310">
        <v>17.93</v>
      </c>
      <c r="H31" s="310">
        <v>18.420000000000002</v>
      </c>
      <c r="I31" s="316">
        <f t="shared" si="0"/>
        <v>17.77</v>
      </c>
    </row>
    <row r="32" spans="1:19">
      <c r="B32" s="309" t="s">
        <v>457</v>
      </c>
      <c r="C32" s="310">
        <v>17.38</v>
      </c>
      <c r="D32" s="310">
        <v>17.73</v>
      </c>
      <c r="E32" s="310">
        <v>18.5</v>
      </c>
      <c r="F32" s="310">
        <v>18.989999999999998</v>
      </c>
      <c r="G32" s="310">
        <v>19.510000000000002</v>
      </c>
      <c r="H32" s="310">
        <v>20.05</v>
      </c>
      <c r="I32" s="316">
        <f t="shared" si="0"/>
        <v>19.329999999999998</v>
      </c>
      <c r="P32" s="462" t="s">
        <v>912</v>
      </c>
      <c r="Q32" s="317" t="s">
        <v>913</v>
      </c>
      <c r="R32" s="468" t="s">
        <v>914</v>
      </c>
      <c r="S32" s="317"/>
    </row>
    <row r="33" spans="2:22">
      <c r="B33" s="309" t="s">
        <v>906</v>
      </c>
      <c r="C33" s="310">
        <v>18.41</v>
      </c>
      <c r="D33" s="310">
        <v>18.78</v>
      </c>
      <c r="E33" s="310">
        <v>19.27</v>
      </c>
      <c r="F33" s="310">
        <v>19.78</v>
      </c>
      <c r="G33" s="310">
        <v>20.32</v>
      </c>
      <c r="H33" s="310">
        <v>20.88</v>
      </c>
      <c r="I33" s="316">
        <f t="shared" si="0"/>
        <v>20.14</v>
      </c>
      <c r="P33" s="462" t="s">
        <v>911</v>
      </c>
      <c r="Q33" s="317" t="s">
        <v>910</v>
      </c>
      <c r="R33" s="468" t="s">
        <v>915</v>
      </c>
      <c r="S33" s="317" t="s">
        <v>918</v>
      </c>
    </row>
    <row r="34" spans="2:22">
      <c r="B34" s="309" t="s">
        <v>907</v>
      </c>
      <c r="C34" s="310">
        <v>19.43</v>
      </c>
      <c r="D34" s="310">
        <v>19.82</v>
      </c>
      <c r="E34" s="310">
        <v>20.34</v>
      </c>
      <c r="F34" s="310">
        <v>20.88</v>
      </c>
      <c r="G34" s="310">
        <v>21.45</v>
      </c>
      <c r="H34" s="310">
        <v>22.04</v>
      </c>
      <c r="I34" s="316">
        <f t="shared" si="0"/>
        <v>21.26</v>
      </c>
      <c r="P34" s="463">
        <v>43647</v>
      </c>
      <c r="Q34" s="463">
        <v>43677</v>
      </c>
      <c r="R34" s="461">
        <f>+Q34-P34+1</f>
        <v>31</v>
      </c>
      <c r="S34" s="313"/>
      <c r="U34" s="461"/>
      <c r="V34" s="313"/>
    </row>
    <row r="35" spans="2:22">
      <c r="B35" s="309" t="s">
        <v>908</v>
      </c>
      <c r="C35" s="310">
        <v>21.47</v>
      </c>
      <c r="D35" s="310">
        <v>21.9</v>
      </c>
      <c r="E35" s="310">
        <v>22.47</v>
      </c>
      <c r="F35" s="310">
        <v>23.07</v>
      </c>
      <c r="G35" s="310">
        <v>23.7</v>
      </c>
      <c r="H35" s="310">
        <v>24.35</v>
      </c>
      <c r="I35" s="316">
        <f t="shared" si="0"/>
        <v>23.49</v>
      </c>
      <c r="P35" s="463">
        <v>43678</v>
      </c>
      <c r="Q35" s="463">
        <v>43708</v>
      </c>
      <c r="R35" s="461">
        <f t="shared" ref="R35:R45" si="1">+Q35-P35+1</f>
        <v>31</v>
      </c>
    </row>
    <row r="36" spans="2:22">
      <c r="B36" s="309" t="s">
        <v>663</v>
      </c>
      <c r="C36" s="310">
        <v>24.09</v>
      </c>
      <c r="D36" s="310">
        <v>24.57</v>
      </c>
      <c r="E36" s="310">
        <v>25.21</v>
      </c>
      <c r="F36" s="310">
        <v>25.88</v>
      </c>
      <c r="G36" s="310">
        <v>26.59</v>
      </c>
      <c r="H36" s="310">
        <v>27.32</v>
      </c>
      <c r="I36" s="316">
        <f t="shared" si="0"/>
        <v>26.35</v>
      </c>
      <c r="P36" s="463">
        <v>43709</v>
      </c>
      <c r="Q36" s="463">
        <v>43738</v>
      </c>
      <c r="R36" s="461">
        <f t="shared" si="1"/>
        <v>30</v>
      </c>
      <c r="S36" s="313"/>
      <c r="V36" s="313"/>
    </row>
    <row r="37" spans="2:22">
      <c r="P37" s="463">
        <v>43739</v>
      </c>
      <c r="Q37" s="463">
        <v>43769</v>
      </c>
      <c r="R37" s="461">
        <f t="shared" si="1"/>
        <v>31</v>
      </c>
      <c r="S37" s="313"/>
      <c r="V37" s="313"/>
    </row>
    <row r="38" spans="2:22">
      <c r="C38" s="317" t="s">
        <v>458</v>
      </c>
      <c r="D38" s="317" t="s">
        <v>458</v>
      </c>
      <c r="E38" s="317" t="s">
        <v>459</v>
      </c>
      <c r="P38" s="463">
        <v>43770</v>
      </c>
      <c r="Q38" s="463">
        <v>43799</v>
      </c>
      <c r="R38" s="461">
        <f t="shared" si="1"/>
        <v>30</v>
      </c>
      <c r="S38" s="313"/>
      <c r="T38" s="313"/>
      <c r="V38" s="313"/>
    </row>
    <row r="39" spans="2:22">
      <c r="C39" s="318" t="s">
        <v>460</v>
      </c>
      <c r="D39" s="318" t="s">
        <v>460</v>
      </c>
      <c r="E39" s="318" t="s">
        <v>461</v>
      </c>
      <c r="P39" s="463">
        <v>43800</v>
      </c>
      <c r="Q39" s="463">
        <v>43830</v>
      </c>
      <c r="R39" s="461">
        <f t="shared" si="1"/>
        <v>31</v>
      </c>
      <c r="S39" s="313"/>
      <c r="V39" s="313"/>
    </row>
    <row r="40" spans="2:22">
      <c r="B40" s="91">
        <v>43647</v>
      </c>
      <c r="C40" s="470">
        <f>NETWORKDAYS(P34,Q34,S34)*8</f>
        <v>184</v>
      </c>
      <c r="D40" s="319"/>
      <c r="E40" s="320"/>
      <c r="G40" s="91"/>
      <c r="H40" s="319"/>
      <c r="J40" s="466"/>
      <c r="P40" s="463">
        <v>43831</v>
      </c>
      <c r="Q40" s="463">
        <v>43861</v>
      </c>
      <c r="R40" s="461">
        <f t="shared" si="1"/>
        <v>31</v>
      </c>
      <c r="S40" s="313"/>
      <c r="V40" s="313"/>
    </row>
    <row r="41" spans="2:22">
      <c r="B41" s="91">
        <v>43678</v>
      </c>
      <c r="C41" s="470">
        <f t="shared" ref="C41:C51" si="2">NETWORKDAYS(P35,Q35,S35)*8</f>
        <v>176</v>
      </c>
      <c r="D41" s="319"/>
      <c r="E41" s="320"/>
      <c r="G41" s="91"/>
      <c r="H41" s="319"/>
      <c r="J41" s="466"/>
      <c r="P41" s="463">
        <v>43862</v>
      </c>
      <c r="Q41" s="463">
        <v>43890</v>
      </c>
      <c r="R41" s="461">
        <f t="shared" si="1"/>
        <v>29</v>
      </c>
      <c r="S41" s="313">
        <v>43889</v>
      </c>
      <c r="V41" s="313"/>
    </row>
    <row r="42" spans="2:22">
      <c r="B42" s="91">
        <v>43709</v>
      </c>
      <c r="C42" s="470">
        <f t="shared" si="2"/>
        <v>168</v>
      </c>
      <c r="D42" s="319"/>
      <c r="E42" s="320"/>
      <c r="G42" s="91"/>
      <c r="H42" s="319"/>
      <c r="J42" s="466"/>
      <c r="P42" s="463">
        <v>43891</v>
      </c>
      <c r="Q42" s="463">
        <v>43921</v>
      </c>
      <c r="R42" s="461">
        <f t="shared" si="1"/>
        <v>31</v>
      </c>
    </row>
    <row r="43" spans="2:22">
      <c r="B43" s="91">
        <v>43739</v>
      </c>
      <c r="C43" s="470">
        <f t="shared" si="2"/>
        <v>184</v>
      </c>
      <c r="D43" s="319">
        <f>SUM(C40:C43)</f>
        <v>712</v>
      </c>
      <c r="E43" s="320">
        <f>D43/$D$52</f>
        <v>0.34099616858237547</v>
      </c>
      <c r="G43" s="91"/>
      <c r="H43" s="319"/>
      <c r="J43" s="466"/>
      <c r="P43" s="463">
        <v>43922</v>
      </c>
      <c r="Q43" s="463">
        <v>43951</v>
      </c>
      <c r="R43" s="461">
        <f t="shared" si="1"/>
        <v>30</v>
      </c>
    </row>
    <row r="44" spans="2:22">
      <c r="B44" s="91">
        <v>43770</v>
      </c>
      <c r="C44" s="470">
        <f t="shared" si="2"/>
        <v>168</v>
      </c>
      <c r="D44" s="319"/>
      <c r="E44" s="320"/>
      <c r="G44" s="91"/>
      <c r="H44" s="319"/>
      <c r="J44" s="466"/>
      <c r="P44" s="463">
        <v>43952</v>
      </c>
      <c r="Q44" s="463">
        <v>43982</v>
      </c>
      <c r="R44" s="461">
        <f t="shared" si="1"/>
        <v>31</v>
      </c>
      <c r="S44" s="313"/>
      <c r="V44" s="313"/>
    </row>
    <row r="45" spans="2:22">
      <c r="B45" s="91">
        <v>43800</v>
      </c>
      <c r="C45" s="470">
        <f t="shared" si="2"/>
        <v>176</v>
      </c>
      <c r="D45" s="319"/>
      <c r="E45" s="320"/>
      <c r="G45" s="91"/>
      <c r="H45" s="319"/>
      <c r="J45" s="466"/>
      <c r="P45" s="463">
        <v>43983</v>
      </c>
      <c r="Q45" s="463">
        <v>44012</v>
      </c>
      <c r="R45" s="461">
        <f t="shared" si="1"/>
        <v>30</v>
      </c>
    </row>
    <row r="46" spans="2:22">
      <c r="B46" s="91">
        <v>43831</v>
      </c>
      <c r="C46" s="470">
        <f t="shared" si="2"/>
        <v>184</v>
      </c>
      <c r="D46" s="319"/>
      <c r="E46" s="320"/>
      <c r="G46" s="91"/>
      <c r="H46" s="319"/>
      <c r="J46" s="466"/>
      <c r="R46" s="461">
        <f>SUM(R34:R45)</f>
        <v>366</v>
      </c>
      <c r="S46" s="309" t="s">
        <v>916</v>
      </c>
    </row>
    <row r="47" spans="2:22">
      <c r="B47" s="91">
        <v>43862</v>
      </c>
      <c r="C47" s="470">
        <f t="shared" si="2"/>
        <v>152</v>
      </c>
      <c r="D47" s="319"/>
      <c r="E47" s="320"/>
      <c r="G47" s="91"/>
      <c r="H47" s="319"/>
      <c r="J47" s="466"/>
      <c r="R47" s="461">
        <f>NETWORKDAYS(P34,Q45,0)</f>
        <v>262</v>
      </c>
    </row>
    <row r="48" spans="2:22">
      <c r="B48" s="91">
        <v>43891</v>
      </c>
      <c r="C48" s="470">
        <f t="shared" si="2"/>
        <v>176</v>
      </c>
      <c r="D48" s="319"/>
      <c r="E48" s="320"/>
      <c r="G48" s="91"/>
      <c r="H48" s="319"/>
      <c r="J48" s="466"/>
      <c r="Q48" s="461"/>
    </row>
    <row r="49" spans="2:16">
      <c r="B49" s="91">
        <v>43922</v>
      </c>
      <c r="C49" s="470">
        <f t="shared" si="2"/>
        <v>176</v>
      </c>
      <c r="D49" s="319"/>
      <c r="E49" s="320"/>
      <c r="G49" s="91"/>
      <c r="H49" s="319"/>
      <c r="J49" s="466"/>
      <c r="P49" s="461" t="s">
        <v>917</v>
      </c>
    </row>
    <row r="50" spans="2:16">
      <c r="B50" s="91">
        <v>43952</v>
      </c>
      <c r="C50" s="470">
        <f t="shared" si="2"/>
        <v>168</v>
      </c>
      <c r="D50" s="319"/>
      <c r="E50" s="320"/>
      <c r="G50" s="91"/>
      <c r="H50" s="319"/>
      <c r="J50" s="466"/>
      <c r="P50" s="309" t="s">
        <v>919</v>
      </c>
    </row>
    <row r="51" spans="2:16">
      <c r="B51" s="91">
        <v>43983</v>
      </c>
      <c r="C51" s="470">
        <f t="shared" si="2"/>
        <v>176</v>
      </c>
      <c r="D51" s="319">
        <f>SUM(C44:C51)</f>
        <v>1376</v>
      </c>
      <c r="E51" s="320">
        <f>D51/$D$52</f>
        <v>0.65900383141762453</v>
      </c>
      <c r="G51" s="91"/>
      <c r="H51" s="319"/>
      <c r="J51" s="466"/>
    </row>
    <row r="52" spans="2:16">
      <c r="C52" s="322">
        <f>SUM(C40:C51)</f>
        <v>2088</v>
      </c>
      <c r="D52" s="322">
        <f>SUM(D40:D51)</f>
        <v>2088</v>
      </c>
      <c r="E52" s="323">
        <f>SUM(E40:E51)</f>
        <v>1</v>
      </c>
    </row>
    <row r="53" spans="2:16">
      <c r="J53" s="466"/>
    </row>
    <row r="54" spans="2:16">
      <c r="J54" s="469"/>
      <c r="L54" s="467"/>
    </row>
    <row r="55" spans="2:16">
      <c r="C55" s="321"/>
      <c r="L55" s="467"/>
    </row>
    <row r="56" spans="2:16">
      <c r="C56" s="310"/>
      <c r="D56" s="310"/>
      <c r="E56" s="310"/>
      <c r="F56" s="310"/>
      <c r="G56" s="310"/>
      <c r="H56" s="310"/>
      <c r="L56" s="467"/>
    </row>
    <row r="57" spans="2:16">
      <c r="C57" s="310"/>
      <c r="D57" s="310"/>
      <c r="E57" s="310"/>
      <c r="F57" s="310"/>
      <c r="G57" s="310"/>
      <c r="H57" s="310"/>
      <c r="L57" s="467"/>
    </row>
    <row r="58" spans="2:16">
      <c r="L58" s="467"/>
    </row>
    <row r="59" spans="2:16">
      <c r="L59" s="467"/>
    </row>
  </sheetData>
  <pageMargins left="0.7" right="0.7" top="0.75" bottom="0.75" header="0.3" footer="0.3"/>
  <pageSetup scale="92" orientation="portrait" horizontalDpi="1200" verticalDpi="1200" r:id="rId1"/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/>
  </sheetViews>
  <sheetFormatPr defaultRowHeight="13.8"/>
  <cols>
    <col min="1" max="1" width="3.5546875" customWidth="1"/>
    <col min="2" max="2" width="17.33203125" customWidth="1"/>
    <col min="4" max="4" width="4" customWidth="1"/>
    <col min="5" max="5" width="23.33203125" customWidth="1"/>
    <col min="7" max="7" width="20" bestFit="1" customWidth="1"/>
    <col min="9" max="9" width="9.5546875" bestFit="1" customWidth="1"/>
  </cols>
  <sheetData>
    <row r="1" spans="2:9" ht="14.4">
      <c r="B1" s="93" t="s">
        <v>431</v>
      </c>
    </row>
    <row r="2" spans="2:9">
      <c r="B2" s="83" t="s">
        <v>166</v>
      </c>
    </row>
    <row r="3" spans="2:9">
      <c r="B3" s="83" t="s">
        <v>167</v>
      </c>
      <c r="I3" s="459"/>
    </row>
    <row r="6" spans="2:9" ht="14.4">
      <c r="E6" s="16" t="s">
        <v>105</v>
      </c>
      <c r="F6" s="15"/>
    </row>
    <row r="7" spans="2:9" ht="14.4">
      <c r="B7" s="41" t="s">
        <v>899</v>
      </c>
      <c r="C7" s="301">
        <v>2.8500000000000001E-2</v>
      </c>
      <c r="D7" s="10"/>
      <c r="E7" s="17" t="s">
        <v>901</v>
      </c>
      <c r="F7" s="18">
        <v>275</v>
      </c>
      <c r="G7" s="10">
        <f>F7/F9</f>
        <v>0.75342465753424659</v>
      </c>
      <c r="H7">
        <f>+G7*27.07</f>
        <v>20.395205479452056</v>
      </c>
    </row>
    <row r="8" spans="2:9" ht="14.4">
      <c r="B8" s="41" t="s">
        <v>900</v>
      </c>
      <c r="C8" s="301">
        <v>2.9000000000000001E-2</v>
      </c>
      <c r="D8" s="10"/>
      <c r="E8" s="17" t="s">
        <v>902</v>
      </c>
      <c r="F8" s="18">
        <v>90</v>
      </c>
      <c r="G8" s="10">
        <f>F8/F9</f>
        <v>0.24657534246575341</v>
      </c>
      <c r="H8">
        <f>(27.07*(1+C8)*G8)</f>
        <v>6.868363561643835</v>
      </c>
    </row>
    <row r="9" spans="2:9" ht="14.4">
      <c r="C9" s="11"/>
      <c r="D9" s="11"/>
      <c r="E9" s="17" t="s">
        <v>106</v>
      </c>
      <c r="F9" s="84">
        <f>SUM(F7:F8)</f>
        <v>365</v>
      </c>
      <c r="G9" s="85">
        <f>SUM(G7:G8)</f>
        <v>1</v>
      </c>
      <c r="H9">
        <f>+H7+H8</f>
        <v>27.263569041095892</v>
      </c>
    </row>
    <row r="11" spans="2:9" ht="14.4">
      <c r="E11" s="17"/>
      <c r="G11" s="599"/>
    </row>
    <row r="15" spans="2:9">
      <c r="G15" s="41"/>
    </row>
    <row r="16" spans="2:9">
      <c r="G16" s="41"/>
    </row>
    <row r="17" spans="7:9">
      <c r="G17" s="458"/>
    </row>
    <row r="18" spans="7:9">
      <c r="G18" s="41"/>
    </row>
    <row r="19" spans="7:9">
      <c r="G19" s="41"/>
      <c r="I19" s="41"/>
    </row>
    <row r="20" spans="7:9">
      <c r="G20" s="458"/>
      <c r="I20" s="41"/>
    </row>
    <row r="21" spans="7:9">
      <c r="I21" s="458"/>
    </row>
    <row r="22" spans="7:9">
      <c r="G22" s="458"/>
    </row>
  </sheetData>
  <pageMargins left="1" right="0.25" top="1" bottom="0.25" header="0.25" footer="0.3"/>
  <pageSetup orientation="landscape" horizontalDpi="1200" verticalDpi="1200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zoomScale="80" zoomScaleNormal="80" workbookViewId="0"/>
  </sheetViews>
  <sheetFormatPr defaultRowHeight="13.8"/>
  <cols>
    <col min="2" max="2" width="8.88671875" style="456"/>
  </cols>
  <sheetData>
    <row r="1" spans="2:5" ht="14.4">
      <c r="B1" s="449" t="str">
        <f>+'Payroll tax'!A1</f>
        <v>Kentucky American Water</v>
      </c>
      <c r="C1" s="445"/>
      <c r="D1" s="445"/>
      <c r="E1" s="445"/>
    </row>
    <row r="2" spans="2:5" ht="14.4">
      <c r="B2" s="450" t="s">
        <v>1046</v>
      </c>
      <c r="C2" s="445"/>
      <c r="D2" s="445"/>
      <c r="E2" s="445"/>
    </row>
    <row r="3" spans="2:5" ht="14.4">
      <c r="B3" s="451"/>
      <c r="C3" s="135"/>
      <c r="D3" s="135"/>
      <c r="E3" s="445"/>
    </row>
    <row r="4" spans="2:5" ht="28.8">
      <c r="B4" s="452" t="s">
        <v>1044</v>
      </c>
      <c r="C4" s="134" t="s">
        <v>681</v>
      </c>
      <c r="D4" s="134" t="s">
        <v>682</v>
      </c>
      <c r="E4" s="445"/>
    </row>
    <row r="5" spans="2:5" ht="14.4">
      <c r="B5" s="453">
        <v>70</v>
      </c>
      <c r="C5" s="446">
        <v>0.3</v>
      </c>
      <c r="D5" s="446">
        <v>0.55000000000000004</v>
      </c>
      <c r="E5" s="445"/>
    </row>
    <row r="6" spans="2:5" ht="14.4">
      <c r="B6" s="454">
        <v>65</v>
      </c>
      <c r="C6" s="446">
        <v>0.3</v>
      </c>
      <c r="D6" s="446">
        <v>0.3</v>
      </c>
      <c r="E6" s="445"/>
    </row>
    <row r="7" spans="2:5" ht="14.4">
      <c r="B7" s="454">
        <v>62</v>
      </c>
      <c r="C7" s="446">
        <v>0.3</v>
      </c>
      <c r="D7" s="446">
        <v>0.3</v>
      </c>
      <c r="E7" s="445"/>
    </row>
    <row r="8" spans="2:5" ht="14.4">
      <c r="B8" s="454">
        <v>55</v>
      </c>
      <c r="C8" s="446">
        <v>0.2</v>
      </c>
      <c r="D8" s="446">
        <v>0.1</v>
      </c>
      <c r="E8" s="445"/>
    </row>
    <row r="9" spans="2:5" ht="14.4">
      <c r="B9" s="454">
        <v>50</v>
      </c>
      <c r="C9" s="446">
        <v>0.2</v>
      </c>
      <c r="D9" s="446">
        <v>0.1</v>
      </c>
      <c r="E9" s="445"/>
    </row>
    <row r="10" spans="2:5" ht="14.4">
      <c r="B10" s="453">
        <v>45</v>
      </c>
      <c r="C10" s="447">
        <v>0.2</v>
      </c>
      <c r="D10" s="447">
        <v>0</v>
      </c>
      <c r="E10" s="445"/>
    </row>
    <row r="11" spans="2:5" ht="14.4">
      <c r="B11" s="453">
        <v>40</v>
      </c>
      <c r="C11" s="447">
        <v>0.15</v>
      </c>
      <c r="D11" s="447">
        <v>0</v>
      </c>
      <c r="E11" s="445"/>
    </row>
    <row r="12" spans="2:5" ht="14.4">
      <c r="B12" s="453">
        <v>35</v>
      </c>
      <c r="C12" s="447">
        <v>0.1</v>
      </c>
      <c r="D12" s="447">
        <v>0</v>
      </c>
      <c r="E12" s="445"/>
    </row>
    <row r="13" spans="2:5" ht="14.4">
      <c r="B13" s="453">
        <v>30</v>
      </c>
      <c r="C13" s="447">
        <v>0.1</v>
      </c>
      <c r="D13" s="447">
        <v>0</v>
      </c>
      <c r="E13" s="445"/>
    </row>
    <row r="14" spans="2:5" ht="14.4">
      <c r="B14" s="448">
        <v>25</v>
      </c>
      <c r="C14" s="447">
        <v>0.05</v>
      </c>
      <c r="D14" s="447">
        <v>0</v>
      </c>
      <c r="E14" s="445"/>
    </row>
    <row r="15" spans="2:5" ht="14.4">
      <c r="B15" s="453">
        <v>22</v>
      </c>
      <c r="C15" s="447">
        <v>0.05</v>
      </c>
      <c r="D15" s="447">
        <v>0</v>
      </c>
      <c r="E15" s="445"/>
    </row>
    <row r="16" spans="2:5" ht="14.4">
      <c r="B16" s="451"/>
      <c r="C16" s="445"/>
      <c r="D16" s="445"/>
      <c r="E16" s="445"/>
    </row>
    <row r="17" spans="2:5" ht="28.8">
      <c r="B17" s="452" t="s">
        <v>1045</v>
      </c>
      <c r="C17" s="134" t="s">
        <v>681</v>
      </c>
      <c r="D17" s="134" t="s">
        <v>682</v>
      </c>
      <c r="E17" s="445"/>
    </row>
    <row r="18" spans="2:5" ht="14.4">
      <c r="B18" s="455">
        <v>35</v>
      </c>
      <c r="C18" s="447">
        <v>0.05</v>
      </c>
      <c r="D18" s="447">
        <v>0</v>
      </c>
      <c r="E18" s="445"/>
    </row>
    <row r="19" spans="2:5" ht="14.4">
      <c r="B19" s="453">
        <v>30</v>
      </c>
      <c r="C19" s="447">
        <v>0.05</v>
      </c>
      <c r="D19" s="447">
        <v>0</v>
      </c>
      <c r="E19" s="445"/>
    </row>
    <row r="20" spans="2:5" ht="14.4">
      <c r="B20" s="453">
        <v>25</v>
      </c>
      <c r="C20" s="447">
        <v>0.05</v>
      </c>
      <c r="D20" s="447">
        <v>0</v>
      </c>
      <c r="E20" s="445"/>
    </row>
    <row r="21" spans="2:5" ht="14.4">
      <c r="B21" s="453">
        <v>22</v>
      </c>
      <c r="C21" s="447">
        <v>0.05</v>
      </c>
      <c r="D21" s="447">
        <v>0</v>
      </c>
      <c r="E21" s="445"/>
    </row>
    <row r="22" spans="2:5" ht="14.4">
      <c r="B22" s="453">
        <v>20</v>
      </c>
      <c r="C22" s="447">
        <v>0.05</v>
      </c>
      <c r="D22" s="447">
        <v>0</v>
      </c>
      <c r="E22" s="445"/>
    </row>
    <row r="23" spans="2:5" ht="14.4">
      <c r="B23" s="453">
        <v>17</v>
      </c>
      <c r="C23" s="447">
        <v>0.05</v>
      </c>
      <c r="D23" s="447">
        <v>0</v>
      </c>
      <c r="E23" s="445"/>
    </row>
    <row r="24" spans="2:5" ht="14.4">
      <c r="B24" s="453">
        <v>15</v>
      </c>
      <c r="C24" s="447">
        <v>0.05</v>
      </c>
      <c r="D24" s="447">
        <v>0</v>
      </c>
      <c r="E24" s="445"/>
    </row>
    <row r="25" spans="2:5" ht="14.4">
      <c r="B25" s="453">
        <v>12</v>
      </c>
      <c r="C25" s="447">
        <v>0.05</v>
      </c>
      <c r="D25" s="447">
        <v>0</v>
      </c>
      <c r="E25" s="445"/>
    </row>
    <row r="26" spans="2:5" ht="14.4">
      <c r="B26" s="453">
        <v>10</v>
      </c>
      <c r="C26" s="447">
        <v>0.05</v>
      </c>
      <c r="D26" s="447">
        <v>0</v>
      </c>
      <c r="E26" s="445"/>
    </row>
    <row r="27" spans="2:5" ht="14.4">
      <c r="B27" s="453" t="s">
        <v>45</v>
      </c>
      <c r="C27" s="447">
        <v>0.05</v>
      </c>
      <c r="D27" s="447">
        <v>0</v>
      </c>
      <c r="E27" s="445"/>
    </row>
    <row r="28" spans="2:5" ht="14.4">
      <c r="B28" s="451"/>
      <c r="C28" s="445"/>
      <c r="D28" s="445"/>
      <c r="E28" s="445"/>
    </row>
    <row r="29" spans="2:5" ht="14.4">
      <c r="B29" s="451"/>
      <c r="C29" s="445"/>
      <c r="D29" s="445"/>
      <c r="E29" s="445"/>
    </row>
    <row r="30" spans="2:5" ht="14.4">
      <c r="B30" s="451" t="s">
        <v>764</v>
      </c>
      <c r="C30" s="445"/>
      <c r="D30" s="445"/>
      <c r="E30" s="445"/>
    </row>
    <row r="31" spans="2:5" ht="14.4">
      <c r="B31" s="453" t="s">
        <v>109</v>
      </c>
      <c r="C31" s="447">
        <v>0.03</v>
      </c>
      <c r="D31" s="445"/>
      <c r="E31" s="445"/>
    </row>
    <row r="32" spans="2:5" ht="14.4">
      <c r="B32" s="451"/>
      <c r="C32" s="445"/>
      <c r="D32" s="445"/>
      <c r="E32" s="445"/>
    </row>
  </sheetData>
  <pageMargins left="0.7" right="0.7" top="0.75" bottom="0.75" header="0.3" footer="0.3"/>
  <pageSetup orientation="portrait" verticalDpi="0" r:id="rId1"/>
  <customProperties>
    <customPr name="_pios_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8"/>
  <sheetViews>
    <sheetView zoomScale="80" zoomScaleNormal="80" workbookViewId="0"/>
  </sheetViews>
  <sheetFormatPr defaultColWidth="8.88671875" defaultRowHeight="14.4"/>
  <cols>
    <col min="1" max="1" width="8.88671875" style="39"/>
    <col min="2" max="2" width="17.6640625" style="39" customWidth="1"/>
    <col min="3" max="3" width="10.109375" style="39" bestFit="1" customWidth="1"/>
    <col min="4" max="4" width="10.5546875" style="39" bestFit="1" customWidth="1"/>
    <col min="5" max="5" width="8.88671875" style="39"/>
    <col min="6" max="6" width="11.109375" style="39" bestFit="1" customWidth="1"/>
    <col min="7" max="7" width="11.33203125" style="39" bestFit="1" customWidth="1"/>
    <col min="8" max="8" width="10.109375" style="39" bestFit="1" customWidth="1"/>
    <col min="9" max="9" width="7.109375" style="39" bestFit="1" customWidth="1"/>
    <col min="10" max="10" width="8.88671875" style="39"/>
    <col min="11" max="11" width="11.109375" style="39" bestFit="1" customWidth="1"/>
    <col min="12" max="13" width="10.109375" style="39" bestFit="1" customWidth="1"/>
    <col min="14" max="14" width="7.109375" style="39" bestFit="1" customWidth="1"/>
    <col min="15" max="16384" width="8.88671875" style="39"/>
  </cols>
  <sheetData>
    <row r="1" spans="1:26">
      <c r="A1" s="2" t="s">
        <v>464</v>
      </c>
    </row>
    <row r="2" spans="1:26">
      <c r="A2" s="2" t="s">
        <v>763</v>
      </c>
    </row>
    <row r="4" spans="1:26">
      <c r="A4" s="435" t="s">
        <v>82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Q4" s="444"/>
    </row>
    <row r="5" spans="1:26">
      <c r="A5" s="436">
        <v>1</v>
      </c>
      <c r="B5" s="2" t="s">
        <v>119</v>
      </c>
      <c r="C5" s="437"/>
      <c r="D5" s="437"/>
      <c r="E5" s="437"/>
      <c r="F5" s="2" t="s">
        <v>120</v>
      </c>
      <c r="G5" s="437"/>
      <c r="H5" s="437"/>
      <c r="I5" s="437"/>
      <c r="J5" s="437"/>
      <c r="K5" s="2" t="s">
        <v>121</v>
      </c>
      <c r="L5" s="437"/>
      <c r="M5" s="437"/>
      <c r="N5" s="437"/>
    </row>
    <row r="6" spans="1:26">
      <c r="A6" s="436">
        <v>2</v>
      </c>
      <c r="B6" s="437"/>
      <c r="C6" s="435" t="s">
        <v>122</v>
      </c>
      <c r="D6" s="438" t="s">
        <v>123</v>
      </c>
      <c r="E6" s="437"/>
      <c r="F6" s="437"/>
      <c r="G6" s="435" t="s">
        <v>122</v>
      </c>
      <c r="H6" s="438" t="s">
        <v>123</v>
      </c>
      <c r="I6" s="439" t="s">
        <v>124</v>
      </c>
      <c r="J6" s="437"/>
      <c r="K6" s="437"/>
      <c r="L6" s="435" t="s">
        <v>122</v>
      </c>
      <c r="M6" s="438" t="s">
        <v>123</v>
      </c>
      <c r="N6" s="439" t="s">
        <v>124</v>
      </c>
    </row>
    <row r="7" spans="1:26">
      <c r="A7" s="436">
        <v>3</v>
      </c>
      <c r="B7" s="437" t="s">
        <v>125</v>
      </c>
      <c r="C7" s="440">
        <v>6.2E-2</v>
      </c>
      <c r="D7" s="441">
        <v>128400</v>
      </c>
      <c r="E7" s="437"/>
      <c r="F7" s="437" t="s">
        <v>91</v>
      </c>
      <c r="G7" s="442">
        <f>0.06-0.054</f>
        <v>5.9999999999999984E-3</v>
      </c>
      <c r="H7" s="441">
        <v>7000</v>
      </c>
      <c r="I7" s="441">
        <f>G7*H7</f>
        <v>41.999999999999986</v>
      </c>
      <c r="J7" s="437"/>
      <c r="K7" s="437" t="s">
        <v>90</v>
      </c>
      <c r="L7" s="442">
        <v>1.2E-2</v>
      </c>
      <c r="M7" s="441">
        <v>10200</v>
      </c>
      <c r="N7" s="441">
        <f>L7*M7</f>
        <v>122.4</v>
      </c>
    </row>
    <row r="8" spans="1:26">
      <c r="A8" s="436">
        <v>4</v>
      </c>
      <c r="B8" s="437" t="s">
        <v>89</v>
      </c>
      <c r="C8" s="440">
        <v>1.4500000000000001E-2</v>
      </c>
      <c r="D8" s="443" t="s">
        <v>126</v>
      </c>
      <c r="E8" s="437"/>
      <c r="F8" s="437"/>
      <c r="G8" s="440"/>
      <c r="H8" s="443"/>
      <c r="I8" s="437"/>
      <c r="J8" s="437"/>
      <c r="K8" s="437"/>
      <c r="L8" s="437"/>
      <c r="M8" s="437"/>
      <c r="N8" s="437"/>
    </row>
    <row r="10" spans="1:26">
      <c r="Z10" s="40"/>
    </row>
    <row r="58" spans="2:2">
      <c r="B58" s="92"/>
    </row>
  </sheetData>
  <pageMargins left="0.7" right="0.7" top="0.75" bottom="0.75" header="0.3" footer="0.3"/>
  <pageSetup scale="95" orientation="landscape" r:id="rId1"/>
  <customProperties>
    <customPr name="_pios_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4"/>
  <sheetViews>
    <sheetView topLeftCell="N1" zoomScale="80" zoomScaleNormal="80" workbookViewId="0">
      <pane ySplit="2" topLeftCell="A3" activePane="bottomLeft" state="frozen"/>
      <selection pane="bottomLeft" activeCell="Y27" sqref="Y27"/>
    </sheetView>
  </sheetViews>
  <sheetFormatPr defaultColWidth="8.88671875" defaultRowHeight="14.4"/>
  <cols>
    <col min="1" max="1" width="3" style="460" customWidth="1"/>
    <col min="2" max="2" width="12.44140625" style="460" customWidth="1"/>
    <col min="3" max="3" width="14.33203125" style="600" bestFit="1" customWidth="1"/>
    <col min="4" max="4" width="5.33203125" style="460" customWidth="1"/>
    <col min="5" max="5" width="25.5546875" style="460" customWidth="1"/>
    <col min="6" max="6" width="10.109375" style="460" bestFit="1" customWidth="1"/>
    <col min="7" max="7" width="30" style="460" customWidth="1"/>
    <col min="8" max="8" width="14.5546875" style="460" bestFit="1" customWidth="1"/>
    <col min="9" max="9" width="16.109375" style="460" customWidth="1"/>
    <col min="10" max="10" width="5.88671875" style="460" customWidth="1"/>
    <col min="11" max="11" width="14.5546875" style="460" customWidth="1"/>
    <col min="12" max="12" width="5.44140625" style="460" customWidth="1"/>
    <col min="13" max="13" width="18.33203125" style="460" customWidth="1"/>
    <col min="14" max="14" width="7.5546875" style="460" customWidth="1"/>
    <col min="15" max="15" width="18.33203125" style="460" customWidth="1"/>
    <col min="16" max="16" width="6" style="460" customWidth="1"/>
    <col min="17" max="17" width="21.44140625" style="460" customWidth="1"/>
    <col min="18" max="18" width="5.6640625" style="460" customWidth="1"/>
    <col min="19" max="19" width="15.5546875" style="460" customWidth="1"/>
    <col min="20" max="20" width="9" style="460" customWidth="1"/>
    <col min="21" max="21" width="32.5546875" style="460" customWidth="1"/>
    <col min="22" max="22" width="9" style="460" customWidth="1"/>
    <col min="23" max="23" width="29.109375" style="460" bestFit="1" customWidth="1"/>
    <col min="24" max="24" width="9" style="460" bestFit="1" customWidth="1"/>
    <col min="25" max="25" width="28.44140625" style="460" bestFit="1" customWidth="1"/>
    <col min="26" max="26" width="16.5546875" style="524" bestFit="1" customWidth="1"/>
    <col min="27" max="27" width="5" style="460" bestFit="1" customWidth="1"/>
    <col min="28" max="28" width="15.33203125" style="526" bestFit="1" customWidth="1"/>
    <col min="29" max="29" width="9.88671875" style="517" bestFit="1" customWidth="1"/>
    <col min="30" max="30" width="19" style="460" bestFit="1" customWidth="1"/>
    <col min="31" max="31" width="3.44140625" style="460" bestFit="1" customWidth="1"/>
    <col min="32" max="32" width="14.109375" style="460" bestFit="1" customWidth="1"/>
    <col min="33" max="33" width="10.33203125" style="518" bestFit="1" customWidth="1"/>
    <col min="34" max="34" width="8.33203125" style="517" bestFit="1" customWidth="1"/>
    <col min="35" max="35" width="8.33203125" style="460" bestFit="1" customWidth="1"/>
    <col min="36" max="36" width="15.44140625" style="526" bestFit="1" customWidth="1"/>
    <col min="37" max="37" width="12" style="526" bestFit="1" customWidth="1"/>
    <col min="38" max="38" width="11.109375" style="526" bestFit="1" customWidth="1"/>
    <col min="39" max="39" width="10" style="460" bestFit="1" customWidth="1"/>
    <col min="40" max="40" width="10.5546875" style="460" bestFit="1" customWidth="1"/>
    <col min="41" max="41" width="10.109375" style="524" bestFit="1" customWidth="1"/>
    <col min="42" max="42" width="12.6640625" style="524" bestFit="1" customWidth="1"/>
    <col min="43" max="43" width="19.33203125" style="524" bestFit="1" customWidth="1"/>
    <col min="44" max="44" width="8.88671875" style="460"/>
    <col min="45" max="45" width="12.33203125" style="460" bestFit="1" customWidth="1"/>
    <col min="46" max="46" width="18.5546875" style="460" bestFit="1" customWidth="1"/>
    <col min="47" max="16384" width="8.88671875" style="460"/>
  </cols>
  <sheetData>
    <row r="1" spans="1:46">
      <c r="B1" s="702" t="s">
        <v>1134</v>
      </c>
      <c r="C1" s="600">
        <v>1</v>
      </c>
      <c r="D1" s="460">
        <f>+C1+1</f>
        <v>2</v>
      </c>
      <c r="E1" s="460">
        <f t="shared" ref="E1:AQ1" si="0">+D1+1</f>
        <v>3</v>
      </c>
      <c r="F1" s="460">
        <f t="shared" si="0"/>
        <v>4</v>
      </c>
      <c r="G1" s="460">
        <f t="shared" si="0"/>
        <v>5</v>
      </c>
      <c r="H1" s="460">
        <f t="shared" si="0"/>
        <v>6</v>
      </c>
      <c r="I1" s="460">
        <f t="shared" si="0"/>
        <v>7</v>
      </c>
      <c r="J1" s="460">
        <f t="shared" si="0"/>
        <v>8</v>
      </c>
      <c r="K1" s="460">
        <f t="shared" si="0"/>
        <v>9</v>
      </c>
      <c r="L1" s="460">
        <f t="shared" si="0"/>
        <v>10</v>
      </c>
      <c r="M1" s="460">
        <f t="shared" si="0"/>
        <v>11</v>
      </c>
      <c r="N1" s="460">
        <f t="shared" si="0"/>
        <v>12</v>
      </c>
      <c r="O1" s="460">
        <f t="shared" si="0"/>
        <v>13</v>
      </c>
      <c r="P1" s="460">
        <f t="shared" si="0"/>
        <v>14</v>
      </c>
      <c r="Q1" s="460">
        <f t="shared" si="0"/>
        <v>15</v>
      </c>
      <c r="R1" s="460">
        <f t="shared" si="0"/>
        <v>16</v>
      </c>
      <c r="S1" s="460">
        <f t="shared" si="0"/>
        <v>17</v>
      </c>
      <c r="T1" s="460">
        <f t="shared" si="0"/>
        <v>18</v>
      </c>
      <c r="U1" s="460">
        <f t="shared" si="0"/>
        <v>19</v>
      </c>
      <c r="V1" s="460">
        <f t="shared" si="0"/>
        <v>20</v>
      </c>
      <c r="W1" s="460">
        <f t="shared" si="0"/>
        <v>21</v>
      </c>
      <c r="X1" s="460">
        <f t="shared" si="0"/>
        <v>22</v>
      </c>
      <c r="Y1" s="460">
        <f t="shared" si="0"/>
        <v>23</v>
      </c>
      <c r="Z1" s="460">
        <f t="shared" si="0"/>
        <v>24</v>
      </c>
      <c r="AA1" s="460">
        <f t="shared" si="0"/>
        <v>25</v>
      </c>
      <c r="AB1" s="460">
        <f t="shared" si="0"/>
        <v>26</v>
      </c>
      <c r="AC1" s="517">
        <f t="shared" si="0"/>
        <v>27</v>
      </c>
      <c r="AD1" s="460">
        <f t="shared" si="0"/>
        <v>28</v>
      </c>
      <c r="AE1" s="460">
        <f t="shared" si="0"/>
        <v>29</v>
      </c>
      <c r="AF1" s="460">
        <f t="shared" si="0"/>
        <v>30</v>
      </c>
      <c r="AG1" s="518">
        <f t="shared" si="0"/>
        <v>31</v>
      </c>
      <c r="AH1" s="517">
        <f t="shared" si="0"/>
        <v>32</v>
      </c>
      <c r="AI1" s="460">
        <f t="shared" si="0"/>
        <v>33</v>
      </c>
      <c r="AJ1" s="460">
        <f t="shared" si="0"/>
        <v>34</v>
      </c>
      <c r="AK1" s="460">
        <f t="shared" si="0"/>
        <v>35</v>
      </c>
      <c r="AL1" s="460">
        <f t="shared" si="0"/>
        <v>36</v>
      </c>
      <c r="AM1" s="460">
        <f t="shared" si="0"/>
        <v>37</v>
      </c>
      <c r="AN1" s="460">
        <f t="shared" si="0"/>
        <v>38</v>
      </c>
      <c r="AO1" s="645">
        <f t="shared" si="0"/>
        <v>39</v>
      </c>
      <c r="AP1" s="460">
        <f t="shared" si="0"/>
        <v>40</v>
      </c>
      <c r="AQ1" s="460">
        <f t="shared" si="0"/>
        <v>41</v>
      </c>
    </row>
    <row r="2" spans="1:46" ht="28.8">
      <c r="A2" s="528" t="s">
        <v>168</v>
      </c>
      <c r="B2" s="528" t="s">
        <v>169</v>
      </c>
      <c r="C2" s="601" t="s">
        <v>20</v>
      </c>
      <c r="D2" s="528" t="s">
        <v>170</v>
      </c>
      <c r="E2" s="528" t="s">
        <v>171</v>
      </c>
      <c r="F2" s="528" t="s">
        <v>172</v>
      </c>
      <c r="G2" s="528" t="s">
        <v>173</v>
      </c>
      <c r="H2" s="528" t="s">
        <v>174</v>
      </c>
      <c r="I2" s="528" t="s">
        <v>3</v>
      </c>
      <c r="J2" s="528" t="s">
        <v>175</v>
      </c>
      <c r="K2" s="528" t="s">
        <v>176</v>
      </c>
      <c r="L2" s="528" t="s">
        <v>177</v>
      </c>
      <c r="M2" s="528" t="s">
        <v>178</v>
      </c>
      <c r="N2" s="528" t="s">
        <v>22</v>
      </c>
      <c r="O2" s="528" t="s">
        <v>2</v>
      </c>
      <c r="P2" s="528" t="s">
        <v>179</v>
      </c>
      <c r="Q2" s="528" t="s">
        <v>180</v>
      </c>
      <c r="R2" s="528" t="s">
        <v>181</v>
      </c>
      <c r="S2" s="528" t="s">
        <v>182</v>
      </c>
      <c r="T2" s="528" t="s">
        <v>183</v>
      </c>
      <c r="U2" s="528" t="s">
        <v>184</v>
      </c>
      <c r="V2" s="528" t="s">
        <v>0</v>
      </c>
      <c r="W2" s="528" t="s">
        <v>0</v>
      </c>
      <c r="X2" s="528" t="s">
        <v>1</v>
      </c>
      <c r="Y2" s="528" t="s">
        <v>1</v>
      </c>
      <c r="Z2" s="529" t="s">
        <v>185</v>
      </c>
      <c r="AA2" s="528" t="s">
        <v>186</v>
      </c>
      <c r="AB2" s="530" t="s">
        <v>187</v>
      </c>
      <c r="AC2" s="528" t="s">
        <v>23</v>
      </c>
      <c r="AD2" s="528" t="s">
        <v>24</v>
      </c>
      <c r="AE2" s="528" t="s">
        <v>25</v>
      </c>
      <c r="AF2" s="528" t="s">
        <v>26</v>
      </c>
      <c r="AG2" s="531" t="s">
        <v>27</v>
      </c>
      <c r="AH2" s="528" t="s">
        <v>28</v>
      </c>
      <c r="AI2" s="528" t="s">
        <v>188</v>
      </c>
      <c r="AJ2" s="530" t="s">
        <v>29</v>
      </c>
      <c r="AK2" s="530" t="s">
        <v>189</v>
      </c>
      <c r="AL2" s="530" t="s">
        <v>190</v>
      </c>
      <c r="AM2" s="528" t="s">
        <v>191</v>
      </c>
      <c r="AN2" s="528" t="s">
        <v>191</v>
      </c>
      <c r="AO2" s="529" t="s">
        <v>192</v>
      </c>
      <c r="AP2" s="529" t="s">
        <v>670</v>
      </c>
      <c r="AQ2" s="529" t="s">
        <v>193</v>
      </c>
    </row>
    <row r="3" spans="1:46">
      <c r="A3" s="519" t="s">
        <v>194</v>
      </c>
      <c r="B3" s="519" t="s">
        <v>195</v>
      </c>
      <c r="C3" s="707"/>
      <c r="D3" s="519" t="s">
        <v>196</v>
      </c>
      <c r="E3" s="519" t="s">
        <v>197</v>
      </c>
      <c r="F3" s="519" t="s">
        <v>359</v>
      </c>
      <c r="G3" s="519" t="s">
        <v>360</v>
      </c>
      <c r="H3" s="519" t="s">
        <v>780</v>
      </c>
      <c r="I3" s="519" t="s">
        <v>781</v>
      </c>
      <c r="J3" s="519" t="s">
        <v>201</v>
      </c>
      <c r="K3" s="519" t="s">
        <v>202</v>
      </c>
      <c r="L3" s="519" t="s">
        <v>30</v>
      </c>
      <c r="M3" s="519" t="s">
        <v>225</v>
      </c>
      <c r="N3" s="519" t="s">
        <v>314</v>
      </c>
      <c r="O3" s="519" t="s">
        <v>315</v>
      </c>
      <c r="P3" s="519" t="s">
        <v>205</v>
      </c>
      <c r="Q3" s="519" t="s">
        <v>206</v>
      </c>
      <c r="R3" s="519" t="s">
        <v>31</v>
      </c>
      <c r="S3" s="519" t="s">
        <v>207</v>
      </c>
      <c r="T3" s="519" t="s">
        <v>316</v>
      </c>
      <c r="U3" s="519" t="s">
        <v>317</v>
      </c>
      <c r="V3" s="519" t="s">
        <v>340</v>
      </c>
      <c r="W3" s="725"/>
      <c r="X3" s="519" t="s">
        <v>319</v>
      </c>
      <c r="Y3" s="725"/>
      <c r="Z3" s="646">
        <v>26.32</v>
      </c>
      <c r="AA3" s="519" t="s">
        <v>210</v>
      </c>
      <c r="AB3" s="522">
        <v>43213</v>
      </c>
      <c r="AC3" s="523" t="s">
        <v>32</v>
      </c>
      <c r="AD3" s="519" t="s">
        <v>33</v>
      </c>
      <c r="AE3" s="519" t="s">
        <v>34</v>
      </c>
      <c r="AF3" s="519" t="s">
        <v>35</v>
      </c>
      <c r="AG3" s="520">
        <v>20</v>
      </c>
      <c r="AH3" s="523" t="s">
        <v>36</v>
      </c>
      <c r="AI3" s="522" t="s">
        <v>765</v>
      </c>
      <c r="AJ3" s="729"/>
      <c r="AK3" s="729"/>
      <c r="AL3" s="729"/>
      <c r="AM3" s="519" t="s">
        <v>231</v>
      </c>
      <c r="AN3" s="519" t="s">
        <v>232</v>
      </c>
      <c r="AO3" s="646">
        <v>26.32</v>
      </c>
      <c r="AP3" s="646">
        <f t="shared" ref="AP3:AP30" si="1">ROUND(IF(AO3&lt;100,AO3,AO3/80),2)</f>
        <v>26.32</v>
      </c>
      <c r="AQ3" s="724"/>
      <c r="AS3" s="460" t="s">
        <v>738</v>
      </c>
    </row>
    <row r="4" spans="1:46">
      <c r="A4" s="519" t="s">
        <v>194</v>
      </c>
      <c r="B4" s="519" t="s">
        <v>195</v>
      </c>
      <c r="C4" s="707"/>
      <c r="D4" s="519" t="s">
        <v>196</v>
      </c>
      <c r="E4" s="519" t="s">
        <v>197</v>
      </c>
      <c r="F4" s="519" t="s">
        <v>359</v>
      </c>
      <c r="G4" s="519" t="s">
        <v>360</v>
      </c>
      <c r="H4" s="519" t="s">
        <v>780</v>
      </c>
      <c r="I4" s="519" t="s">
        <v>781</v>
      </c>
      <c r="J4" s="519" t="s">
        <v>201</v>
      </c>
      <c r="K4" s="519" t="s">
        <v>202</v>
      </c>
      <c r="L4" s="519" t="s">
        <v>30</v>
      </c>
      <c r="M4" s="519" t="s">
        <v>225</v>
      </c>
      <c r="N4" s="519" t="s">
        <v>794</v>
      </c>
      <c r="O4" s="519" t="s">
        <v>795</v>
      </c>
      <c r="P4" s="519" t="s">
        <v>205</v>
      </c>
      <c r="Q4" s="519" t="s">
        <v>206</v>
      </c>
      <c r="R4" s="519" t="s">
        <v>31</v>
      </c>
      <c r="S4" s="519" t="s">
        <v>207</v>
      </c>
      <c r="T4" s="519" t="s">
        <v>337</v>
      </c>
      <c r="U4" s="519" t="s">
        <v>338</v>
      </c>
      <c r="V4" s="519" t="s">
        <v>361</v>
      </c>
      <c r="W4" s="725"/>
      <c r="X4" s="519" t="s">
        <v>797</v>
      </c>
      <c r="Y4" s="725"/>
      <c r="Z4" s="647">
        <v>29.75</v>
      </c>
      <c r="AA4" s="519" t="s">
        <v>210</v>
      </c>
      <c r="AB4" s="522">
        <v>43283</v>
      </c>
      <c r="AC4" s="523" t="s">
        <v>32</v>
      </c>
      <c r="AD4" s="519" t="s">
        <v>33</v>
      </c>
      <c r="AE4" s="519" t="s">
        <v>34</v>
      </c>
      <c r="AF4" s="519" t="s">
        <v>35</v>
      </c>
      <c r="AG4" s="520">
        <v>22</v>
      </c>
      <c r="AH4" s="523" t="s">
        <v>36</v>
      </c>
      <c r="AI4" s="522" t="s">
        <v>765</v>
      </c>
      <c r="AJ4" s="729"/>
      <c r="AK4" s="729"/>
      <c r="AL4" s="729"/>
      <c r="AM4" s="519" t="s">
        <v>231</v>
      </c>
      <c r="AN4" s="519" t="s">
        <v>232</v>
      </c>
      <c r="AO4" s="643">
        <v>29.75</v>
      </c>
      <c r="AP4" s="524">
        <f t="shared" si="1"/>
        <v>29.75</v>
      </c>
      <c r="AQ4" s="724"/>
      <c r="AS4" s="460" t="s">
        <v>281</v>
      </c>
    </row>
    <row r="5" spans="1:46">
      <c r="A5" s="519" t="s">
        <v>194</v>
      </c>
      <c r="B5" s="519" t="s">
        <v>195</v>
      </c>
      <c r="C5" s="707"/>
      <c r="D5" s="519" t="s">
        <v>196</v>
      </c>
      <c r="E5" s="519" t="s">
        <v>197</v>
      </c>
      <c r="F5" s="519" t="s">
        <v>198</v>
      </c>
      <c r="G5" s="519" t="s">
        <v>199</v>
      </c>
      <c r="H5" s="519" t="s">
        <v>780</v>
      </c>
      <c r="I5" s="519" t="s">
        <v>781</v>
      </c>
      <c r="J5" s="519" t="s">
        <v>201</v>
      </c>
      <c r="K5" s="519" t="s">
        <v>202</v>
      </c>
      <c r="L5" s="519" t="s">
        <v>30</v>
      </c>
      <c r="M5" s="519" t="s">
        <v>225</v>
      </c>
      <c r="N5" s="519" t="s">
        <v>263</v>
      </c>
      <c r="O5" s="519" t="s">
        <v>264</v>
      </c>
      <c r="P5" s="519" t="s">
        <v>205</v>
      </c>
      <c r="Q5" s="519" t="s">
        <v>206</v>
      </c>
      <c r="R5" s="519" t="s">
        <v>31</v>
      </c>
      <c r="S5" s="519" t="s">
        <v>207</v>
      </c>
      <c r="T5" s="519" t="s">
        <v>280</v>
      </c>
      <c r="U5" s="519" t="s">
        <v>281</v>
      </c>
      <c r="V5" s="519" t="s">
        <v>374</v>
      </c>
      <c r="W5" s="725"/>
      <c r="X5" s="519" t="s">
        <v>375</v>
      </c>
      <c r="Y5" s="725"/>
      <c r="Z5" s="647">
        <v>29.93</v>
      </c>
      <c r="AA5" s="519" t="s">
        <v>210</v>
      </c>
      <c r="AB5" s="522">
        <v>43213</v>
      </c>
      <c r="AC5" s="523" t="s">
        <v>32</v>
      </c>
      <c r="AD5" s="519" t="s">
        <v>33</v>
      </c>
      <c r="AE5" s="519" t="s">
        <v>34</v>
      </c>
      <c r="AF5" s="519" t="s">
        <v>35</v>
      </c>
      <c r="AG5" s="519" t="s">
        <v>45</v>
      </c>
      <c r="AH5" s="523" t="s">
        <v>46</v>
      </c>
      <c r="AI5" s="522" t="s">
        <v>765</v>
      </c>
      <c r="AJ5" s="729"/>
      <c r="AK5" s="729"/>
      <c r="AL5" s="729"/>
      <c r="AM5" s="519" t="s">
        <v>231</v>
      </c>
      <c r="AN5" s="519" t="s">
        <v>232</v>
      </c>
      <c r="AO5" s="643">
        <v>29.93</v>
      </c>
      <c r="AP5" s="524">
        <f t="shared" si="1"/>
        <v>29.93</v>
      </c>
      <c r="AQ5" s="724"/>
      <c r="AS5" s="460" t="s">
        <v>281</v>
      </c>
    </row>
    <row r="6" spans="1:46">
      <c r="A6" s="519" t="s">
        <v>194</v>
      </c>
      <c r="B6" s="519" t="s">
        <v>195</v>
      </c>
      <c r="C6" s="707"/>
      <c r="D6" s="519" t="s">
        <v>196</v>
      </c>
      <c r="E6" s="519" t="s">
        <v>197</v>
      </c>
      <c r="F6" s="519" t="s">
        <v>359</v>
      </c>
      <c r="G6" s="519" t="s">
        <v>360</v>
      </c>
      <c r="H6" s="519" t="s">
        <v>780</v>
      </c>
      <c r="I6" s="519" t="s">
        <v>781</v>
      </c>
      <c r="J6" s="519" t="s">
        <v>201</v>
      </c>
      <c r="K6" s="519" t="s">
        <v>202</v>
      </c>
      <c r="L6" s="519" t="s">
        <v>30</v>
      </c>
      <c r="M6" s="519" t="s">
        <v>225</v>
      </c>
      <c r="N6" s="519" t="s">
        <v>383</v>
      </c>
      <c r="O6" s="519" t="s">
        <v>384</v>
      </c>
      <c r="P6" s="519" t="s">
        <v>205</v>
      </c>
      <c r="Q6" s="519" t="s">
        <v>206</v>
      </c>
      <c r="R6" s="519" t="s">
        <v>31</v>
      </c>
      <c r="S6" s="519" t="s">
        <v>207</v>
      </c>
      <c r="T6" s="519" t="s">
        <v>337</v>
      </c>
      <c r="U6" s="519" t="s">
        <v>338</v>
      </c>
      <c r="V6" s="519" t="s">
        <v>385</v>
      </c>
      <c r="W6" s="725"/>
      <c r="X6" s="519" t="s">
        <v>386</v>
      </c>
      <c r="Y6" s="725"/>
      <c r="Z6" s="647">
        <v>29.61</v>
      </c>
      <c r="AA6" s="519" t="s">
        <v>210</v>
      </c>
      <c r="AB6" s="522">
        <v>43213</v>
      </c>
      <c r="AC6" s="523" t="s">
        <v>32</v>
      </c>
      <c r="AD6" s="519" t="s">
        <v>33</v>
      </c>
      <c r="AE6" s="519" t="s">
        <v>34</v>
      </c>
      <c r="AF6" s="519" t="s">
        <v>35</v>
      </c>
      <c r="AG6" s="520">
        <v>25</v>
      </c>
      <c r="AH6" s="523" t="s">
        <v>36</v>
      </c>
      <c r="AI6" s="522" t="s">
        <v>765</v>
      </c>
      <c r="AJ6" s="729"/>
      <c r="AK6" s="729"/>
      <c r="AL6" s="729"/>
      <c r="AM6" s="519" t="s">
        <v>231</v>
      </c>
      <c r="AN6" s="519" t="s">
        <v>232</v>
      </c>
      <c r="AO6" s="643">
        <v>29.61</v>
      </c>
      <c r="AP6" s="524">
        <f t="shared" si="1"/>
        <v>29.61</v>
      </c>
      <c r="AQ6" s="724"/>
      <c r="AS6" s="460" t="s">
        <v>281</v>
      </c>
    </row>
    <row r="7" spans="1:46">
      <c r="A7" s="519" t="s">
        <v>194</v>
      </c>
      <c r="B7" s="519" t="s">
        <v>195</v>
      </c>
      <c r="C7" s="707"/>
      <c r="D7" s="519" t="s">
        <v>196</v>
      </c>
      <c r="E7" s="519" t="s">
        <v>197</v>
      </c>
      <c r="F7" s="519" t="s">
        <v>378</v>
      </c>
      <c r="G7" s="519" t="s">
        <v>379</v>
      </c>
      <c r="H7" s="519" t="s">
        <v>780</v>
      </c>
      <c r="I7" s="519" t="s">
        <v>781</v>
      </c>
      <c r="J7" s="519" t="s">
        <v>201</v>
      </c>
      <c r="K7" s="519" t="s">
        <v>202</v>
      </c>
      <c r="L7" s="519" t="s">
        <v>30</v>
      </c>
      <c r="M7" s="519" t="s">
        <v>225</v>
      </c>
      <c r="N7" s="519" t="s">
        <v>356</v>
      </c>
      <c r="O7" s="519" t="s">
        <v>357</v>
      </c>
      <c r="P7" s="519" t="s">
        <v>205</v>
      </c>
      <c r="Q7" s="519" t="s">
        <v>206</v>
      </c>
      <c r="R7" s="519" t="s">
        <v>31</v>
      </c>
      <c r="S7" s="519" t="s">
        <v>207</v>
      </c>
      <c r="T7" s="519" t="s">
        <v>816</v>
      </c>
      <c r="U7" s="519" t="s">
        <v>817</v>
      </c>
      <c r="V7" s="519" t="s">
        <v>396</v>
      </c>
      <c r="W7" s="725"/>
      <c r="X7" s="519" t="s">
        <v>797</v>
      </c>
      <c r="Y7" s="725"/>
      <c r="Z7" s="647">
        <v>29.82</v>
      </c>
      <c r="AA7" s="519" t="s">
        <v>210</v>
      </c>
      <c r="AB7" s="522">
        <v>43283</v>
      </c>
      <c r="AC7" s="523" t="s">
        <v>32</v>
      </c>
      <c r="AD7" s="519" t="s">
        <v>33</v>
      </c>
      <c r="AE7" s="519" t="s">
        <v>34</v>
      </c>
      <c r="AF7" s="519" t="s">
        <v>35</v>
      </c>
      <c r="AG7" s="520">
        <v>22</v>
      </c>
      <c r="AH7" s="523" t="s">
        <v>36</v>
      </c>
      <c r="AI7" s="522" t="s">
        <v>765</v>
      </c>
      <c r="AJ7" s="729"/>
      <c r="AK7" s="729"/>
      <c r="AL7" s="729"/>
      <c r="AM7" s="519" t="s">
        <v>231</v>
      </c>
      <c r="AN7" s="519" t="s">
        <v>232</v>
      </c>
      <c r="AO7" s="643">
        <v>29.82</v>
      </c>
      <c r="AP7" s="524">
        <f t="shared" si="1"/>
        <v>29.82</v>
      </c>
      <c r="AQ7" s="724"/>
      <c r="AS7" s="460" t="s">
        <v>281</v>
      </c>
    </row>
    <row r="8" spans="1:46">
      <c r="A8" s="519" t="s">
        <v>194</v>
      </c>
      <c r="B8" s="519" t="s">
        <v>195</v>
      </c>
      <c r="C8" s="707"/>
      <c r="D8" s="519" t="s">
        <v>196</v>
      </c>
      <c r="E8" s="519" t="s">
        <v>197</v>
      </c>
      <c r="F8" s="519" t="s">
        <v>359</v>
      </c>
      <c r="G8" s="519" t="s">
        <v>360</v>
      </c>
      <c r="H8" s="519" t="s">
        <v>780</v>
      </c>
      <c r="I8" s="519" t="s">
        <v>781</v>
      </c>
      <c r="J8" s="519" t="s">
        <v>201</v>
      </c>
      <c r="K8" s="519" t="s">
        <v>202</v>
      </c>
      <c r="L8" s="519" t="s">
        <v>30</v>
      </c>
      <c r="M8" s="519" t="s">
        <v>225</v>
      </c>
      <c r="N8" s="519" t="s">
        <v>314</v>
      </c>
      <c r="O8" s="519" t="s">
        <v>315</v>
      </c>
      <c r="P8" s="519" t="s">
        <v>205</v>
      </c>
      <c r="Q8" s="519" t="s">
        <v>206</v>
      </c>
      <c r="R8" s="519" t="s">
        <v>31</v>
      </c>
      <c r="S8" s="519" t="s">
        <v>207</v>
      </c>
      <c r="T8" s="519" t="s">
        <v>316</v>
      </c>
      <c r="U8" s="519" t="s">
        <v>317</v>
      </c>
      <c r="V8" s="519" t="s">
        <v>400</v>
      </c>
      <c r="W8" s="725"/>
      <c r="X8" s="519" t="s">
        <v>319</v>
      </c>
      <c r="Y8" s="725"/>
      <c r="Z8" s="647">
        <v>26.83</v>
      </c>
      <c r="AA8" s="519" t="s">
        <v>210</v>
      </c>
      <c r="AB8" s="522">
        <v>43213</v>
      </c>
      <c r="AC8" s="523" t="s">
        <v>32</v>
      </c>
      <c r="AD8" s="519" t="s">
        <v>33</v>
      </c>
      <c r="AE8" s="519" t="s">
        <v>34</v>
      </c>
      <c r="AF8" s="519" t="s">
        <v>35</v>
      </c>
      <c r="AG8" s="520">
        <v>20</v>
      </c>
      <c r="AH8" s="523" t="s">
        <v>36</v>
      </c>
      <c r="AI8" s="522" t="s">
        <v>765</v>
      </c>
      <c r="AJ8" s="729"/>
      <c r="AK8" s="729"/>
      <c r="AL8" s="729"/>
      <c r="AM8" s="519" t="s">
        <v>231</v>
      </c>
      <c r="AN8" s="519" t="s">
        <v>232</v>
      </c>
      <c r="AO8" s="643">
        <v>26.83</v>
      </c>
      <c r="AP8" s="524">
        <f t="shared" si="1"/>
        <v>26.83</v>
      </c>
      <c r="AQ8" s="724"/>
      <c r="AS8" s="460" t="s">
        <v>738</v>
      </c>
    </row>
    <row r="9" spans="1:46">
      <c r="A9" s="519" t="s">
        <v>194</v>
      </c>
      <c r="B9" s="519" t="s">
        <v>195</v>
      </c>
      <c r="C9" s="707"/>
      <c r="D9" s="519" t="s">
        <v>196</v>
      </c>
      <c r="E9" s="519" t="s">
        <v>197</v>
      </c>
      <c r="F9" s="519" t="s">
        <v>378</v>
      </c>
      <c r="G9" s="519" t="s">
        <v>379</v>
      </c>
      <c r="H9" s="519" t="s">
        <v>780</v>
      </c>
      <c r="I9" s="519" t="s">
        <v>781</v>
      </c>
      <c r="J9" s="519" t="s">
        <v>201</v>
      </c>
      <c r="K9" s="519" t="s">
        <v>202</v>
      </c>
      <c r="L9" s="519" t="s">
        <v>30</v>
      </c>
      <c r="M9" s="519" t="s">
        <v>225</v>
      </c>
      <c r="N9" s="519" t="s">
        <v>356</v>
      </c>
      <c r="O9" s="519" t="s">
        <v>357</v>
      </c>
      <c r="P9" s="519" t="s">
        <v>205</v>
      </c>
      <c r="Q9" s="519" t="s">
        <v>206</v>
      </c>
      <c r="R9" s="519" t="s">
        <v>31</v>
      </c>
      <c r="S9" s="519" t="s">
        <v>207</v>
      </c>
      <c r="T9" s="519" t="s">
        <v>316</v>
      </c>
      <c r="U9" s="519" t="s">
        <v>317</v>
      </c>
      <c r="V9" s="519" t="s">
        <v>824</v>
      </c>
      <c r="W9" s="725"/>
      <c r="X9" s="519" t="s">
        <v>319</v>
      </c>
      <c r="Y9" s="725"/>
      <c r="Z9" s="647">
        <v>26.8</v>
      </c>
      <c r="AA9" s="519" t="s">
        <v>210</v>
      </c>
      <c r="AB9" s="522">
        <v>43318</v>
      </c>
      <c r="AC9" s="523" t="s">
        <v>32</v>
      </c>
      <c r="AD9" s="519" t="s">
        <v>33</v>
      </c>
      <c r="AE9" s="519" t="s">
        <v>34</v>
      </c>
      <c r="AF9" s="519" t="s">
        <v>35</v>
      </c>
      <c r="AG9" s="520">
        <v>20</v>
      </c>
      <c r="AH9" s="523" t="s">
        <v>36</v>
      </c>
      <c r="AI9" s="522" t="s">
        <v>765</v>
      </c>
      <c r="AJ9" s="729"/>
      <c r="AK9" s="729"/>
      <c r="AL9" s="729"/>
      <c r="AM9" s="519" t="s">
        <v>231</v>
      </c>
      <c r="AN9" s="519" t="s">
        <v>232</v>
      </c>
      <c r="AO9" s="643">
        <v>26.8</v>
      </c>
      <c r="AP9" s="524">
        <f t="shared" si="1"/>
        <v>26.8</v>
      </c>
      <c r="AQ9" s="724"/>
      <c r="AS9" s="460" t="s">
        <v>738</v>
      </c>
    </row>
    <row r="10" spans="1:46">
      <c r="A10" s="519" t="s">
        <v>194</v>
      </c>
      <c r="B10" s="519" t="s">
        <v>195</v>
      </c>
      <c r="C10" s="707"/>
      <c r="D10" s="519" t="s">
        <v>196</v>
      </c>
      <c r="E10" s="519" t="s">
        <v>197</v>
      </c>
      <c r="F10" s="519" t="s">
        <v>378</v>
      </c>
      <c r="G10" s="519" t="s">
        <v>379</v>
      </c>
      <c r="H10" s="519" t="s">
        <v>780</v>
      </c>
      <c r="I10" s="519" t="s">
        <v>781</v>
      </c>
      <c r="J10" s="519" t="s">
        <v>201</v>
      </c>
      <c r="K10" s="519" t="s">
        <v>202</v>
      </c>
      <c r="L10" s="519" t="s">
        <v>30</v>
      </c>
      <c r="M10" s="519" t="s">
        <v>225</v>
      </c>
      <c r="N10" s="519" t="s">
        <v>356</v>
      </c>
      <c r="O10" s="519" t="s">
        <v>357</v>
      </c>
      <c r="P10" s="519" t="s">
        <v>205</v>
      </c>
      <c r="Q10" s="519" t="s">
        <v>206</v>
      </c>
      <c r="R10" s="519" t="s">
        <v>31</v>
      </c>
      <c r="S10" s="519" t="s">
        <v>207</v>
      </c>
      <c r="T10" s="519" t="s">
        <v>337</v>
      </c>
      <c r="U10" s="519" t="s">
        <v>338</v>
      </c>
      <c r="V10" s="519" t="s">
        <v>407</v>
      </c>
      <c r="W10" s="725"/>
      <c r="X10" s="519" t="s">
        <v>386</v>
      </c>
      <c r="Y10" s="725"/>
      <c r="Z10" s="647">
        <v>29.9</v>
      </c>
      <c r="AA10" s="519" t="s">
        <v>210</v>
      </c>
      <c r="AB10" s="522">
        <v>43213</v>
      </c>
      <c r="AC10" s="523" t="s">
        <v>32</v>
      </c>
      <c r="AD10" s="519" t="s">
        <v>33</v>
      </c>
      <c r="AE10" s="519" t="s">
        <v>34</v>
      </c>
      <c r="AF10" s="519" t="s">
        <v>35</v>
      </c>
      <c r="AG10" s="520">
        <v>25</v>
      </c>
      <c r="AH10" s="523" t="s">
        <v>36</v>
      </c>
      <c r="AI10" s="522" t="s">
        <v>765</v>
      </c>
      <c r="AJ10" s="729"/>
      <c r="AK10" s="729"/>
      <c r="AL10" s="729"/>
      <c r="AM10" s="519" t="s">
        <v>231</v>
      </c>
      <c r="AN10" s="519" t="s">
        <v>232</v>
      </c>
      <c r="AO10" s="643">
        <v>29.9</v>
      </c>
      <c r="AP10" s="524">
        <f t="shared" si="1"/>
        <v>29.9</v>
      </c>
      <c r="AQ10" s="724"/>
      <c r="AS10" s="460" t="s">
        <v>281</v>
      </c>
    </row>
    <row r="11" spans="1:46">
      <c r="A11" s="519" t="s">
        <v>194</v>
      </c>
      <c r="B11" s="519" t="s">
        <v>195</v>
      </c>
      <c r="C11" s="707"/>
      <c r="D11" s="519" t="s">
        <v>196</v>
      </c>
      <c r="E11" s="519" t="s">
        <v>197</v>
      </c>
      <c r="F11" s="519" t="s">
        <v>378</v>
      </c>
      <c r="G11" s="519" t="s">
        <v>379</v>
      </c>
      <c r="H11" s="519" t="s">
        <v>780</v>
      </c>
      <c r="I11" s="519" t="s">
        <v>781</v>
      </c>
      <c r="J11" s="519" t="s">
        <v>201</v>
      </c>
      <c r="K11" s="519" t="s">
        <v>202</v>
      </c>
      <c r="L11" s="519" t="s">
        <v>30</v>
      </c>
      <c r="M11" s="519" t="s">
        <v>225</v>
      </c>
      <c r="N11" s="519" t="s">
        <v>356</v>
      </c>
      <c r="O11" s="519" t="s">
        <v>357</v>
      </c>
      <c r="P11" s="519" t="s">
        <v>205</v>
      </c>
      <c r="Q11" s="519" t="s">
        <v>206</v>
      </c>
      <c r="R11" s="519" t="s">
        <v>31</v>
      </c>
      <c r="S11" s="519" t="s">
        <v>207</v>
      </c>
      <c r="T11" s="519" t="s">
        <v>816</v>
      </c>
      <c r="U11" s="519" t="s">
        <v>817</v>
      </c>
      <c r="V11" s="519" t="s">
        <v>424</v>
      </c>
      <c r="W11" s="725"/>
      <c r="X11" s="519" t="s">
        <v>797</v>
      </c>
      <c r="Y11" s="725"/>
      <c r="Z11" s="647">
        <v>28.19</v>
      </c>
      <c r="AA11" s="519" t="s">
        <v>210</v>
      </c>
      <c r="AB11" s="522">
        <v>43283</v>
      </c>
      <c r="AC11" s="523" t="s">
        <v>32</v>
      </c>
      <c r="AD11" s="519" t="s">
        <v>33</v>
      </c>
      <c r="AE11" s="519" t="s">
        <v>34</v>
      </c>
      <c r="AF11" s="519" t="s">
        <v>35</v>
      </c>
      <c r="AG11" s="520">
        <v>22</v>
      </c>
      <c r="AH11" s="523" t="s">
        <v>36</v>
      </c>
      <c r="AI11" s="522" t="s">
        <v>765</v>
      </c>
      <c r="AJ11" s="729"/>
      <c r="AK11" s="729"/>
      <c r="AL11" s="729"/>
      <c r="AM11" s="519" t="s">
        <v>231</v>
      </c>
      <c r="AN11" s="519" t="s">
        <v>232</v>
      </c>
      <c r="AO11" s="643">
        <v>28.19</v>
      </c>
      <c r="AP11" s="524">
        <f t="shared" si="1"/>
        <v>28.19</v>
      </c>
      <c r="AQ11" s="724"/>
      <c r="AS11" s="460" t="s">
        <v>281</v>
      </c>
    </row>
    <row r="12" spans="1:46">
      <c r="A12" s="519" t="s">
        <v>194</v>
      </c>
      <c r="B12" s="519" t="s">
        <v>195</v>
      </c>
      <c r="C12" s="707"/>
      <c r="D12" s="519" t="s">
        <v>196</v>
      </c>
      <c r="E12" s="519" t="s">
        <v>197</v>
      </c>
      <c r="F12" s="519" t="s">
        <v>359</v>
      </c>
      <c r="G12" s="519" t="s">
        <v>360</v>
      </c>
      <c r="H12" s="519" t="s">
        <v>780</v>
      </c>
      <c r="I12" s="519" t="s">
        <v>781</v>
      </c>
      <c r="J12" s="519" t="s">
        <v>201</v>
      </c>
      <c r="K12" s="519" t="s">
        <v>202</v>
      </c>
      <c r="L12" s="519" t="s">
        <v>30</v>
      </c>
      <c r="M12" s="519" t="s">
        <v>225</v>
      </c>
      <c r="N12" s="519" t="s">
        <v>314</v>
      </c>
      <c r="O12" s="519" t="s">
        <v>315</v>
      </c>
      <c r="P12" s="519" t="s">
        <v>205</v>
      </c>
      <c r="Q12" s="519" t="s">
        <v>206</v>
      </c>
      <c r="R12" s="519" t="s">
        <v>31</v>
      </c>
      <c r="S12" s="519" t="s">
        <v>207</v>
      </c>
      <c r="T12" s="519" t="s">
        <v>316</v>
      </c>
      <c r="U12" s="519" t="s">
        <v>317</v>
      </c>
      <c r="V12" s="519" t="s">
        <v>403</v>
      </c>
      <c r="W12" s="725"/>
      <c r="X12" s="519" t="s">
        <v>319</v>
      </c>
      <c r="Y12" s="725"/>
      <c r="Z12" s="647">
        <v>24.13</v>
      </c>
      <c r="AA12" s="519" t="s">
        <v>210</v>
      </c>
      <c r="AB12" s="522">
        <v>43213</v>
      </c>
      <c r="AC12" s="523" t="s">
        <v>32</v>
      </c>
      <c r="AD12" s="519" t="s">
        <v>33</v>
      </c>
      <c r="AE12" s="519" t="s">
        <v>34</v>
      </c>
      <c r="AF12" s="519" t="s">
        <v>35</v>
      </c>
      <c r="AG12" s="520">
        <v>20</v>
      </c>
      <c r="AH12" s="523" t="s">
        <v>36</v>
      </c>
      <c r="AI12" s="522" t="s">
        <v>765</v>
      </c>
      <c r="AJ12" s="729"/>
      <c r="AK12" s="729"/>
      <c r="AL12" s="729"/>
      <c r="AM12" s="519" t="s">
        <v>231</v>
      </c>
      <c r="AN12" s="519" t="s">
        <v>232</v>
      </c>
      <c r="AO12" s="643">
        <v>24.13</v>
      </c>
      <c r="AP12" s="524">
        <f t="shared" si="1"/>
        <v>24.13</v>
      </c>
      <c r="AQ12" s="724"/>
      <c r="AS12" s="460" t="s">
        <v>738</v>
      </c>
    </row>
    <row r="13" spans="1:46">
      <c r="A13" s="519" t="s">
        <v>194</v>
      </c>
      <c r="B13" s="519" t="s">
        <v>195</v>
      </c>
      <c r="C13" s="707"/>
      <c r="D13" s="519" t="s">
        <v>196</v>
      </c>
      <c r="E13" s="519" t="s">
        <v>197</v>
      </c>
      <c r="F13" s="519" t="s">
        <v>378</v>
      </c>
      <c r="G13" s="519" t="s">
        <v>379</v>
      </c>
      <c r="H13" s="519" t="s">
        <v>780</v>
      </c>
      <c r="I13" s="519" t="s">
        <v>781</v>
      </c>
      <c r="J13" s="519" t="s">
        <v>201</v>
      </c>
      <c r="K13" s="519" t="s">
        <v>202</v>
      </c>
      <c r="L13" s="519" t="s">
        <v>30</v>
      </c>
      <c r="M13" s="519" t="s">
        <v>225</v>
      </c>
      <c r="N13" s="519" t="s">
        <v>356</v>
      </c>
      <c r="O13" s="519" t="s">
        <v>357</v>
      </c>
      <c r="P13" s="519" t="s">
        <v>205</v>
      </c>
      <c r="Q13" s="519" t="s">
        <v>206</v>
      </c>
      <c r="R13" s="519" t="s">
        <v>31</v>
      </c>
      <c r="S13" s="519" t="s">
        <v>207</v>
      </c>
      <c r="T13" s="519" t="s">
        <v>816</v>
      </c>
      <c r="U13" s="519" t="s">
        <v>817</v>
      </c>
      <c r="V13" s="519" t="s">
        <v>890</v>
      </c>
      <c r="W13" s="725"/>
      <c r="X13" s="519" t="s">
        <v>797</v>
      </c>
      <c r="Y13" s="725"/>
      <c r="Z13" s="647">
        <v>27.5</v>
      </c>
      <c r="AA13" s="519" t="s">
        <v>210</v>
      </c>
      <c r="AB13" s="522">
        <v>43283</v>
      </c>
      <c r="AC13" s="523" t="s">
        <v>32</v>
      </c>
      <c r="AD13" s="519" t="s">
        <v>33</v>
      </c>
      <c r="AE13" s="519" t="s">
        <v>34</v>
      </c>
      <c r="AF13" s="519" t="s">
        <v>35</v>
      </c>
      <c r="AG13" s="520">
        <v>22</v>
      </c>
      <c r="AH13" s="523" t="s">
        <v>36</v>
      </c>
      <c r="AI13" s="522" t="s">
        <v>765</v>
      </c>
      <c r="AJ13" s="729"/>
      <c r="AK13" s="729"/>
      <c r="AL13" s="729"/>
      <c r="AM13" s="519" t="s">
        <v>231</v>
      </c>
      <c r="AN13" s="519" t="s">
        <v>232</v>
      </c>
      <c r="AO13" s="643">
        <v>27.5</v>
      </c>
      <c r="AP13" s="524">
        <f t="shared" si="1"/>
        <v>27.5</v>
      </c>
      <c r="AQ13" s="724"/>
      <c r="AS13" s="460" t="s">
        <v>281</v>
      </c>
      <c r="AT13" s="604"/>
    </row>
    <row r="14" spans="1:46">
      <c r="A14" s="519" t="s">
        <v>194</v>
      </c>
      <c r="B14" s="519" t="s">
        <v>195</v>
      </c>
      <c r="C14" s="707"/>
      <c r="D14" s="519" t="s">
        <v>196</v>
      </c>
      <c r="E14" s="519" t="s">
        <v>197</v>
      </c>
      <c r="F14" s="519" t="s">
        <v>378</v>
      </c>
      <c r="G14" s="519" t="s">
        <v>379</v>
      </c>
      <c r="H14" s="519" t="s">
        <v>780</v>
      </c>
      <c r="I14" s="519" t="s">
        <v>781</v>
      </c>
      <c r="J14" s="519" t="s">
        <v>201</v>
      </c>
      <c r="K14" s="519" t="s">
        <v>202</v>
      </c>
      <c r="L14" s="519" t="s">
        <v>30</v>
      </c>
      <c r="M14" s="519" t="s">
        <v>225</v>
      </c>
      <c r="N14" s="519" t="s">
        <v>356</v>
      </c>
      <c r="O14" s="519" t="s">
        <v>357</v>
      </c>
      <c r="P14" s="519" t="s">
        <v>205</v>
      </c>
      <c r="Q14" s="519" t="s">
        <v>206</v>
      </c>
      <c r="R14" s="519" t="s">
        <v>31</v>
      </c>
      <c r="S14" s="519" t="s">
        <v>207</v>
      </c>
      <c r="T14" s="519" t="s">
        <v>816</v>
      </c>
      <c r="U14" s="519" t="s">
        <v>817</v>
      </c>
      <c r="V14" s="519" t="s">
        <v>363</v>
      </c>
      <c r="W14" s="725"/>
      <c r="X14" s="519" t="s">
        <v>797</v>
      </c>
      <c r="Y14" s="725"/>
      <c r="Z14" s="647">
        <v>29</v>
      </c>
      <c r="AA14" s="519" t="s">
        <v>210</v>
      </c>
      <c r="AB14" s="522">
        <v>43283</v>
      </c>
      <c r="AC14" s="523" t="s">
        <v>32</v>
      </c>
      <c r="AD14" s="519" t="s">
        <v>33</v>
      </c>
      <c r="AE14" s="519" t="s">
        <v>34</v>
      </c>
      <c r="AF14" s="519" t="s">
        <v>35</v>
      </c>
      <c r="AG14" s="520">
        <v>22</v>
      </c>
      <c r="AH14" s="523" t="s">
        <v>36</v>
      </c>
      <c r="AI14" s="522" t="s">
        <v>765</v>
      </c>
      <c r="AJ14" s="729"/>
      <c r="AK14" s="729"/>
      <c r="AL14" s="729"/>
      <c r="AM14" s="519" t="s">
        <v>231</v>
      </c>
      <c r="AN14" s="519" t="s">
        <v>232</v>
      </c>
      <c r="AO14" s="643">
        <v>29</v>
      </c>
      <c r="AP14" s="524">
        <f t="shared" si="1"/>
        <v>29</v>
      </c>
      <c r="AQ14" s="724"/>
      <c r="AS14" s="460" t="s">
        <v>281</v>
      </c>
      <c r="AT14" s="604"/>
    </row>
    <row r="15" spans="1:46">
      <c r="A15" s="519" t="s">
        <v>194</v>
      </c>
      <c r="B15" s="519" t="s">
        <v>195</v>
      </c>
      <c r="C15" s="707"/>
      <c r="D15" s="519" t="s">
        <v>196</v>
      </c>
      <c r="E15" s="519" t="s">
        <v>197</v>
      </c>
      <c r="F15" s="519" t="s">
        <v>198</v>
      </c>
      <c r="G15" s="519" t="s">
        <v>199</v>
      </c>
      <c r="H15" s="519" t="s">
        <v>200</v>
      </c>
      <c r="I15" s="519" t="s">
        <v>6</v>
      </c>
      <c r="J15" s="519" t="s">
        <v>201</v>
      </c>
      <c r="K15" s="519" t="s">
        <v>202</v>
      </c>
      <c r="L15" s="519" t="s">
        <v>37</v>
      </c>
      <c r="M15" s="519" t="s">
        <v>203</v>
      </c>
      <c r="N15" s="519" t="s">
        <v>239</v>
      </c>
      <c r="O15" s="519" t="s">
        <v>18</v>
      </c>
      <c r="P15" s="519" t="s">
        <v>205</v>
      </c>
      <c r="Q15" s="519" t="s">
        <v>206</v>
      </c>
      <c r="R15" s="519" t="s">
        <v>31</v>
      </c>
      <c r="S15" s="519" t="s">
        <v>207</v>
      </c>
      <c r="T15" s="519" t="s">
        <v>240</v>
      </c>
      <c r="U15" s="519" t="s">
        <v>241</v>
      </c>
      <c r="V15" s="519" t="s">
        <v>242</v>
      </c>
      <c r="W15" s="725"/>
      <c r="X15" s="519" t="s">
        <v>243</v>
      </c>
      <c r="Y15" s="725"/>
      <c r="Z15" s="647">
        <v>115766.82</v>
      </c>
      <c r="AA15" s="519" t="s">
        <v>210</v>
      </c>
      <c r="AB15" s="522">
        <v>43171</v>
      </c>
      <c r="AC15" s="523" t="s">
        <v>38</v>
      </c>
      <c r="AD15" s="519" t="s">
        <v>39</v>
      </c>
      <c r="AE15" s="519" t="s">
        <v>40</v>
      </c>
      <c r="AF15" s="519" t="s">
        <v>39</v>
      </c>
      <c r="AG15" s="520">
        <v>40</v>
      </c>
      <c r="AH15" s="523" t="s">
        <v>46</v>
      </c>
      <c r="AI15" s="522" t="s">
        <v>765</v>
      </c>
      <c r="AJ15" s="729"/>
      <c r="AK15" s="729"/>
      <c r="AL15" s="729"/>
      <c r="AM15" s="519" t="s">
        <v>211</v>
      </c>
      <c r="AN15" s="519" t="s">
        <v>212</v>
      </c>
      <c r="AO15" s="643">
        <v>4452.57</v>
      </c>
      <c r="AP15" s="524">
        <f t="shared" si="1"/>
        <v>55.66</v>
      </c>
      <c r="AQ15" s="724"/>
      <c r="AS15" s="460" t="s">
        <v>903</v>
      </c>
    </row>
    <row r="16" spans="1:46">
      <c r="A16" s="519" t="s">
        <v>194</v>
      </c>
      <c r="B16" s="519" t="s">
        <v>195</v>
      </c>
      <c r="C16" s="707"/>
      <c r="D16" s="519" t="s">
        <v>196</v>
      </c>
      <c r="E16" s="519" t="s">
        <v>197</v>
      </c>
      <c r="F16" s="519" t="s">
        <v>198</v>
      </c>
      <c r="G16" s="519" t="s">
        <v>199</v>
      </c>
      <c r="H16" s="519" t="s">
        <v>200</v>
      </c>
      <c r="I16" s="519" t="s">
        <v>6</v>
      </c>
      <c r="J16" s="519" t="s">
        <v>201</v>
      </c>
      <c r="K16" s="519" t="s">
        <v>202</v>
      </c>
      <c r="L16" s="519" t="s">
        <v>37</v>
      </c>
      <c r="M16" s="519" t="s">
        <v>203</v>
      </c>
      <c r="N16" s="519" t="s">
        <v>246</v>
      </c>
      <c r="O16" s="519" t="s">
        <v>247</v>
      </c>
      <c r="P16" s="519" t="s">
        <v>205</v>
      </c>
      <c r="Q16" s="519" t="s">
        <v>206</v>
      </c>
      <c r="R16" s="519" t="s">
        <v>31</v>
      </c>
      <c r="S16" s="519" t="s">
        <v>207</v>
      </c>
      <c r="T16" s="519" t="s">
        <v>768</v>
      </c>
      <c r="U16" s="519" t="s">
        <v>769</v>
      </c>
      <c r="V16" s="519" t="s">
        <v>250</v>
      </c>
      <c r="W16" s="725"/>
      <c r="X16" s="519" t="s">
        <v>251</v>
      </c>
      <c r="Y16" s="725"/>
      <c r="Z16" s="647">
        <v>71730.880000000005</v>
      </c>
      <c r="AA16" s="519" t="s">
        <v>210</v>
      </c>
      <c r="AB16" s="522">
        <v>43241</v>
      </c>
      <c r="AC16" s="523" t="s">
        <v>38</v>
      </c>
      <c r="AD16" s="519" t="s">
        <v>39</v>
      </c>
      <c r="AE16" s="519" t="s">
        <v>40</v>
      </c>
      <c r="AF16" s="519" t="s">
        <v>39</v>
      </c>
      <c r="AG16" s="520">
        <v>25</v>
      </c>
      <c r="AH16" s="523" t="s">
        <v>36</v>
      </c>
      <c r="AI16" s="522" t="s">
        <v>765</v>
      </c>
      <c r="AJ16" s="729"/>
      <c r="AK16" s="729"/>
      <c r="AL16" s="729"/>
      <c r="AM16" s="519" t="s">
        <v>211</v>
      </c>
      <c r="AN16" s="519" t="s">
        <v>212</v>
      </c>
      <c r="AO16" s="643">
        <v>2758.88</v>
      </c>
      <c r="AP16" s="524">
        <f t="shared" si="1"/>
        <v>34.49</v>
      </c>
      <c r="AQ16" s="724"/>
      <c r="AS16" s="460" t="s">
        <v>281</v>
      </c>
    </row>
    <row r="17" spans="1:45">
      <c r="A17" s="519" t="s">
        <v>194</v>
      </c>
      <c r="B17" s="519" t="s">
        <v>195</v>
      </c>
      <c r="C17" s="707"/>
      <c r="D17" s="519" t="s">
        <v>196</v>
      </c>
      <c r="E17" s="519" t="s">
        <v>197</v>
      </c>
      <c r="F17" s="519" t="s">
        <v>198</v>
      </c>
      <c r="G17" s="519" t="s">
        <v>199</v>
      </c>
      <c r="H17" s="519" t="s">
        <v>200</v>
      </c>
      <c r="I17" s="519" t="s">
        <v>6</v>
      </c>
      <c r="J17" s="519" t="s">
        <v>201</v>
      </c>
      <c r="K17" s="519" t="s">
        <v>202</v>
      </c>
      <c r="L17" s="519" t="s">
        <v>37</v>
      </c>
      <c r="M17" s="519" t="s">
        <v>203</v>
      </c>
      <c r="N17" s="519" t="s">
        <v>226</v>
      </c>
      <c r="O17" s="519" t="s">
        <v>9</v>
      </c>
      <c r="P17" s="519" t="s">
        <v>205</v>
      </c>
      <c r="Q17" s="519" t="s">
        <v>206</v>
      </c>
      <c r="R17" s="519" t="s">
        <v>31</v>
      </c>
      <c r="S17" s="519" t="s">
        <v>207</v>
      </c>
      <c r="T17" s="519" t="s">
        <v>326</v>
      </c>
      <c r="U17" s="519" t="s">
        <v>327</v>
      </c>
      <c r="V17" s="519" t="s">
        <v>771</v>
      </c>
      <c r="W17" s="725"/>
      <c r="X17" s="519" t="s">
        <v>773</v>
      </c>
      <c r="Y17" s="725"/>
      <c r="Z17" s="647">
        <v>78832.259999999995</v>
      </c>
      <c r="AA17" s="519" t="s">
        <v>210</v>
      </c>
      <c r="AB17" s="522">
        <v>43241</v>
      </c>
      <c r="AC17" s="523" t="s">
        <v>38</v>
      </c>
      <c r="AD17" s="519" t="s">
        <v>39</v>
      </c>
      <c r="AE17" s="519" t="s">
        <v>40</v>
      </c>
      <c r="AF17" s="519" t="s">
        <v>39</v>
      </c>
      <c r="AG17" s="520">
        <v>30</v>
      </c>
      <c r="AH17" s="523" t="s">
        <v>41</v>
      </c>
      <c r="AI17" s="522" t="s">
        <v>765</v>
      </c>
      <c r="AJ17" s="729"/>
      <c r="AK17" s="729"/>
      <c r="AL17" s="729"/>
      <c r="AM17" s="519" t="s">
        <v>211</v>
      </c>
      <c r="AN17" s="519" t="s">
        <v>212</v>
      </c>
      <c r="AO17" s="643">
        <v>3032.01</v>
      </c>
      <c r="AP17" s="524">
        <f t="shared" si="1"/>
        <v>37.9</v>
      </c>
      <c r="AQ17" s="724"/>
      <c r="AS17" s="460" t="s">
        <v>903</v>
      </c>
    </row>
    <row r="18" spans="1:45">
      <c r="A18" s="519" t="s">
        <v>194</v>
      </c>
      <c r="B18" s="519" t="s">
        <v>195</v>
      </c>
      <c r="C18" s="707"/>
      <c r="D18" s="519" t="s">
        <v>196</v>
      </c>
      <c r="E18" s="519" t="s">
        <v>197</v>
      </c>
      <c r="F18" s="519" t="s">
        <v>198</v>
      </c>
      <c r="G18" s="519" t="s">
        <v>199</v>
      </c>
      <c r="H18" s="519" t="s">
        <v>200</v>
      </c>
      <c r="I18" s="519" t="s">
        <v>6</v>
      </c>
      <c r="J18" s="519" t="s">
        <v>201</v>
      </c>
      <c r="K18" s="519" t="s">
        <v>202</v>
      </c>
      <c r="L18" s="519" t="s">
        <v>37</v>
      </c>
      <c r="M18" s="519" t="s">
        <v>203</v>
      </c>
      <c r="N18" s="519" t="s">
        <v>204</v>
      </c>
      <c r="O18" s="519" t="s">
        <v>5</v>
      </c>
      <c r="P18" s="519" t="s">
        <v>205</v>
      </c>
      <c r="Q18" s="519" t="s">
        <v>206</v>
      </c>
      <c r="R18" s="519" t="s">
        <v>31</v>
      </c>
      <c r="S18" s="519" t="s">
        <v>207</v>
      </c>
      <c r="T18" s="519" t="s">
        <v>774</v>
      </c>
      <c r="U18" s="519" t="s">
        <v>775</v>
      </c>
      <c r="V18" s="519" t="s">
        <v>776</v>
      </c>
      <c r="W18" s="725"/>
      <c r="X18" s="519" t="s">
        <v>214</v>
      </c>
      <c r="Y18" s="725"/>
      <c r="Z18" s="647">
        <v>86423.22</v>
      </c>
      <c r="AA18" s="519" t="s">
        <v>210</v>
      </c>
      <c r="AB18" s="522">
        <v>43171</v>
      </c>
      <c r="AC18" s="523" t="s">
        <v>38</v>
      </c>
      <c r="AD18" s="519" t="s">
        <v>39</v>
      </c>
      <c r="AE18" s="519" t="s">
        <v>40</v>
      </c>
      <c r="AF18" s="519" t="s">
        <v>39</v>
      </c>
      <c r="AG18" s="520">
        <v>35</v>
      </c>
      <c r="AH18" s="523" t="s">
        <v>36</v>
      </c>
      <c r="AI18" s="522" t="s">
        <v>765</v>
      </c>
      <c r="AJ18" s="729"/>
      <c r="AK18" s="729"/>
      <c r="AL18" s="729"/>
      <c r="AM18" s="519" t="s">
        <v>211</v>
      </c>
      <c r="AN18" s="519" t="s">
        <v>212</v>
      </c>
      <c r="AO18" s="643">
        <v>3323.97</v>
      </c>
      <c r="AP18" s="524">
        <f t="shared" si="1"/>
        <v>41.55</v>
      </c>
      <c r="AQ18" s="724"/>
      <c r="AS18" s="460" t="s">
        <v>903</v>
      </c>
    </row>
    <row r="19" spans="1:45">
      <c r="A19" s="519" t="s">
        <v>194</v>
      </c>
      <c r="B19" s="519" t="s">
        <v>195</v>
      </c>
      <c r="C19" s="707"/>
      <c r="D19" s="519" t="s">
        <v>196</v>
      </c>
      <c r="E19" s="519" t="s">
        <v>197</v>
      </c>
      <c r="F19" s="519" t="s">
        <v>198</v>
      </c>
      <c r="G19" s="519" t="s">
        <v>199</v>
      </c>
      <c r="H19" s="519" t="s">
        <v>200</v>
      </c>
      <c r="I19" s="519" t="s">
        <v>6</v>
      </c>
      <c r="J19" s="519" t="s">
        <v>201</v>
      </c>
      <c r="K19" s="519" t="s">
        <v>202</v>
      </c>
      <c r="L19" s="519" t="s">
        <v>37</v>
      </c>
      <c r="M19" s="519" t="s">
        <v>203</v>
      </c>
      <c r="N19" s="519" t="s">
        <v>285</v>
      </c>
      <c r="O19" s="519" t="s">
        <v>286</v>
      </c>
      <c r="P19" s="519" t="s">
        <v>205</v>
      </c>
      <c r="Q19" s="519" t="s">
        <v>206</v>
      </c>
      <c r="R19" s="519" t="s">
        <v>31</v>
      </c>
      <c r="S19" s="519" t="s">
        <v>207</v>
      </c>
      <c r="T19" s="519" t="s">
        <v>766</v>
      </c>
      <c r="U19" s="519" t="s">
        <v>767</v>
      </c>
      <c r="V19" s="519" t="s">
        <v>777</v>
      </c>
      <c r="W19" s="725"/>
      <c r="X19" s="519" t="s">
        <v>779</v>
      </c>
      <c r="Y19" s="725"/>
      <c r="Z19" s="647">
        <v>107683.68</v>
      </c>
      <c r="AA19" s="519" t="s">
        <v>210</v>
      </c>
      <c r="AB19" s="522">
        <v>43171</v>
      </c>
      <c r="AC19" s="523" t="s">
        <v>38</v>
      </c>
      <c r="AD19" s="519" t="s">
        <v>39</v>
      </c>
      <c r="AE19" s="519" t="s">
        <v>40</v>
      </c>
      <c r="AF19" s="519" t="s">
        <v>39</v>
      </c>
      <c r="AG19" s="520">
        <v>40</v>
      </c>
      <c r="AH19" s="523" t="s">
        <v>46</v>
      </c>
      <c r="AI19" s="522" t="s">
        <v>765</v>
      </c>
      <c r="AJ19" s="729"/>
      <c r="AK19" s="729"/>
      <c r="AL19" s="729"/>
      <c r="AM19" s="519" t="s">
        <v>211</v>
      </c>
      <c r="AN19" s="519" t="s">
        <v>212</v>
      </c>
      <c r="AO19" s="643">
        <v>4141.68</v>
      </c>
      <c r="AP19" s="524">
        <f t="shared" si="1"/>
        <v>51.77</v>
      </c>
      <c r="AQ19" s="724"/>
      <c r="AS19" s="460" t="s">
        <v>738</v>
      </c>
    </row>
    <row r="20" spans="1:45">
      <c r="A20" s="519" t="s">
        <v>194</v>
      </c>
      <c r="B20" s="519" t="s">
        <v>195</v>
      </c>
      <c r="C20" s="707"/>
      <c r="D20" s="519" t="s">
        <v>196</v>
      </c>
      <c r="E20" s="519" t="s">
        <v>197</v>
      </c>
      <c r="F20" s="519" t="s">
        <v>198</v>
      </c>
      <c r="G20" s="519" t="s">
        <v>199</v>
      </c>
      <c r="H20" s="519" t="s">
        <v>200</v>
      </c>
      <c r="I20" s="519" t="s">
        <v>6</v>
      </c>
      <c r="J20" s="519" t="s">
        <v>201</v>
      </c>
      <c r="K20" s="519" t="s">
        <v>202</v>
      </c>
      <c r="L20" s="519" t="s">
        <v>37</v>
      </c>
      <c r="M20" s="519" t="s">
        <v>203</v>
      </c>
      <c r="N20" s="519" t="s">
        <v>255</v>
      </c>
      <c r="O20" s="519" t="s">
        <v>256</v>
      </c>
      <c r="P20" s="519" t="s">
        <v>205</v>
      </c>
      <c r="Q20" s="519" t="s">
        <v>206</v>
      </c>
      <c r="R20" s="519" t="s">
        <v>31</v>
      </c>
      <c r="S20" s="519" t="s">
        <v>207</v>
      </c>
      <c r="T20" s="519" t="s">
        <v>257</v>
      </c>
      <c r="U20" s="519" t="s">
        <v>258</v>
      </c>
      <c r="V20" s="519" t="s">
        <v>311</v>
      </c>
      <c r="W20" s="725"/>
      <c r="X20" s="519" t="s">
        <v>312</v>
      </c>
      <c r="Y20" s="725"/>
      <c r="Z20" s="647">
        <v>84679.14</v>
      </c>
      <c r="AA20" s="519" t="s">
        <v>210</v>
      </c>
      <c r="AB20" s="522">
        <v>43171</v>
      </c>
      <c r="AC20" s="523" t="s">
        <v>38</v>
      </c>
      <c r="AD20" s="519" t="s">
        <v>39</v>
      </c>
      <c r="AE20" s="519" t="s">
        <v>40</v>
      </c>
      <c r="AF20" s="519" t="s">
        <v>39</v>
      </c>
      <c r="AG20" s="520">
        <v>30</v>
      </c>
      <c r="AH20" s="523" t="s">
        <v>46</v>
      </c>
      <c r="AI20" s="522" t="s">
        <v>765</v>
      </c>
      <c r="AJ20" s="729"/>
      <c r="AK20" s="729"/>
      <c r="AL20" s="729"/>
      <c r="AM20" s="519" t="s">
        <v>211</v>
      </c>
      <c r="AN20" s="519" t="s">
        <v>212</v>
      </c>
      <c r="AO20" s="643">
        <v>3256.89</v>
      </c>
      <c r="AP20" s="524">
        <f t="shared" si="1"/>
        <v>40.71</v>
      </c>
      <c r="AQ20" s="724"/>
      <c r="AS20" s="460" t="s">
        <v>281</v>
      </c>
    </row>
    <row r="21" spans="1:45">
      <c r="A21" s="519" t="s">
        <v>194</v>
      </c>
      <c r="B21" s="519" t="s">
        <v>195</v>
      </c>
      <c r="C21" s="707"/>
      <c r="D21" s="519" t="s">
        <v>196</v>
      </c>
      <c r="E21" s="519" t="s">
        <v>197</v>
      </c>
      <c r="F21" s="519" t="s">
        <v>198</v>
      </c>
      <c r="G21" s="519" t="s">
        <v>199</v>
      </c>
      <c r="H21" s="519" t="s">
        <v>200</v>
      </c>
      <c r="I21" s="519" t="s">
        <v>6</v>
      </c>
      <c r="J21" s="519" t="s">
        <v>201</v>
      </c>
      <c r="K21" s="519" t="s">
        <v>202</v>
      </c>
      <c r="L21" s="519" t="s">
        <v>37</v>
      </c>
      <c r="M21" s="519" t="s">
        <v>203</v>
      </c>
      <c r="N21" s="519" t="s">
        <v>285</v>
      </c>
      <c r="O21" s="519" t="s">
        <v>286</v>
      </c>
      <c r="P21" s="519" t="s">
        <v>205</v>
      </c>
      <c r="Q21" s="519" t="s">
        <v>206</v>
      </c>
      <c r="R21" s="519" t="s">
        <v>31</v>
      </c>
      <c r="S21" s="519" t="s">
        <v>207</v>
      </c>
      <c r="T21" s="519" t="s">
        <v>320</v>
      </c>
      <c r="U21" s="519" t="s">
        <v>785</v>
      </c>
      <c r="V21" s="519" t="s">
        <v>293</v>
      </c>
      <c r="W21" s="725"/>
      <c r="X21" s="519" t="s">
        <v>294</v>
      </c>
      <c r="Y21" s="725"/>
      <c r="Z21" s="647">
        <v>68428.36</v>
      </c>
      <c r="AA21" s="519" t="s">
        <v>210</v>
      </c>
      <c r="AB21" s="522">
        <v>43171</v>
      </c>
      <c r="AC21" s="523" t="s">
        <v>38</v>
      </c>
      <c r="AD21" s="519" t="s">
        <v>39</v>
      </c>
      <c r="AE21" s="519" t="s">
        <v>40</v>
      </c>
      <c r="AF21" s="519" t="s">
        <v>39</v>
      </c>
      <c r="AG21" s="520">
        <v>30</v>
      </c>
      <c r="AH21" s="523" t="s">
        <v>36</v>
      </c>
      <c r="AI21" s="522" t="s">
        <v>765</v>
      </c>
      <c r="AJ21" s="729"/>
      <c r="AK21" s="729"/>
      <c r="AL21" s="729"/>
      <c r="AM21" s="519" t="s">
        <v>211</v>
      </c>
      <c r="AN21" s="519" t="s">
        <v>212</v>
      </c>
      <c r="AO21" s="643">
        <v>2631.86</v>
      </c>
      <c r="AP21" s="524">
        <f t="shared" si="1"/>
        <v>32.9</v>
      </c>
      <c r="AQ21" s="724"/>
      <c r="AS21" s="460" t="s">
        <v>738</v>
      </c>
    </row>
    <row r="22" spans="1:45">
      <c r="A22" s="519" t="s">
        <v>194</v>
      </c>
      <c r="B22" s="519" t="s">
        <v>195</v>
      </c>
      <c r="C22" s="707"/>
      <c r="D22" s="519" t="s">
        <v>196</v>
      </c>
      <c r="E22" s="519" t="s">
        <v>197</v>
      </c>
      <c r="F22" s="519" t="s">
        <v>198</v>
      </c>
      <c r="G22" s="519" t="s">
        <v>199</v>
      </c>
      <c r="H22" s="519" t="s">
        <v>200</v>
      </c>
      <c r="I22" s="519" t="s">
        <v>6</v>
      </c>
      <c r="J22" s="519" t="s">
        <v>201</v>
      </c>
      <c r="K22" s="519" t="s">
        <v>202</v>
      </c>
      <c r="L22" s="519" t="s">
        <v>37</v>
      </c>
      <c r="M22" s="519" t="s">
        <v>203</v>
      </c>
      <c r="N22" s="519" t="s">
        <v>285</v>
      </c>
      <c r="O22" s="519" t="s">
        <v>286</v>
      </c>
      <c r="P22" s="519" t="s">
        <v>205</v>
      </c>
      <c r="Q22" s="519" t="s">
        <v>206</v>
      </c>
      <c r="R22" s="519" t="s">
        <v>31</v>
      </c>
      <c r="S22" s="519" t="s">
        <v>207</v>
      </c>
      <c r="T22" s="519" t="s">
        <v>307</v>
      </c>
      <c r="U22" s="519" t="s">
        <v>308</v>
      </c>
      <c r="V22" s="519" t="s">
        <v>787</v>
      </c>
      <c r="W22" s="725"/>
      <c r="X22" s="519" t="s">
        <v>789</v>
      </c>
      <c r="Y22" s="725"/>
      <c r="Z22" s="647">
        <v>104550.16</v>
      </c>
      <c r="AA22" s="519" t="s">
        <v>210</v>
      </c>
      <c r="AB22" s="522">
        <v>43283</v>
      </c>
      <c r="AC22" s="523" t="s">
        <v>38</v>
      </c>
      <c r="AD22" s="519" t="s">
        <v>39</v>
      </c>
      <c r="AE22" s="519" t="s">
        <v>40</v>
      </c>
      <c r="AF22" s="519" t="s">
        <v>39</v>
      </c>
      <c r="AG22" s="520">
        <v>45</v>
      </c>
      <c r="AH22" s="523" t="s">
        <v>41</v>
      </c>
      <c r="AI22" s="522" t="s">
        <v>765</v>
      </c>
      <c r="AJ22" s="729"/>
      <c r="AK22" s="729"/>
      <c r="AL22" s="729"/>
      <c r="AM22" s="519" t="s">
        <v>211</v>
      </c>
      <c r="AN22" s="519" t="s">
        <v>212</v>
      </c>
      <c r="AO22" s="643">
        <v>4021.16</v>
      </c>
      <c r="AP22" s="524">
        <f t="shared" si="1"/>
        <v>50.26</v>
      </c>
      <c r="AQ22" s="724"/>
      <c r="AS22" s="460" t="s">
        <v>738</v>
      </c>
    </row>
    <row r="23" spans="1:45">
      <c r="A23" s="519" t="s">
        <v>194</v>
      </c>
      <c r="B23" s="519" t="s">
        <v>195</v>
      </c>
      <c r="C23" s="707"/>
      <c r="D23" s="519" t="s">
        <v>196</v>
      </c>
      <c r="E23" s="519" t="s">
        <v>197</v>
      </c>
      <c r="F23" s="519" t="s">
        <v>378</v>
      </c>
      <c r="G23" s="519" t="s">
        <v>379</v>
      </c>
      <c r="H23" s="519" t="s">
        <v>200</v>
      </c>
      <c r="I23" s="519" t="s">
        <v>6</v>
      </c>
      <c r="J23" s="519" t="s">
        <v>201</v>
      </c>
      <c r="K23" s="519" t="s">
        <v>202</v>
      </c>
      <c r="L23" s="519" t="s">
        <v>37</v>
      </c>
      <c r="M23" s="519" t="s">
        <v>203</v>
      </c>
      <c r="N23" s="519" t="s">
        <v>335</v>
      </c>
      <c r="O23" s="519" t="s">
        <v>336</v>
      </c>
      <c r="P23" s="519" t="s">
        <v>205</v>
      </c>
      <c r="Q23" s="519" t="s">
        <v>206</v>
      </c>
      <c r="R23" s="519" t="s">
        <v>31</v>
      </c>
      <c r="S23" s="519" t="s">
        <v>207</v>
      </c>
      <c r="T23" s="519" t="s">
        <v>337</v>
      </c>
      <c r="U23" s="519" t="s">
        <v>338</v>
      </c>
      <c r="V23" s="519" t="s">
        <v>793</v>
      </c>
      <c r="W23" s="725"/>
      <c r="X23" s="519" t="s">
        <v>779</v>
      </c>
      <c r="Y23" s="725"/>
      <c r="Z23" s="647">
        <v>84000.02</v>
      </c>
      <c r="AA23" s="519" t="s">
        <v>210</v>
      </c>
      <c r="AB23" s="522">
        <v>43185</v>
      </c>
      <c r="AC23" s="523" t="s">
        <v>38</v>
      </c>
      <c r="AD23" s="519" t="s">
        <v>39</v>
      </c>
      <c r="AE23" s="519" t="s">
        <v>40</v>
      </c>
      <c r="AF23" s="519" t="s">
        <v>39</v>
      </c>
      <c r="AG23" s="520">
        <v>40</v>
      </c>
      <c r="AH23" s="523" t="s">
        <v>41</v>
      </c>
      <c r="AI23" s="522" t="s">
        <v>765</v>
      </c>
      <c r="AJ23" s="729"/>
      <c r="AK23" s="729"/>
      <c r="AL23" s="729"/>
      <c r="AM23" s="519" t="s">
        <v>211</v>
      </c>
      <c r="AN23" s="519" t="s">
        <v>212</v>
      </c>
      <c r="AO23" s="643">
        <v>3230.77</v>
      </c>
      <c r="AP23" s="524">
        <f t="shared" si="1"/>
        <v>40.380000000000003</v>
      </c>
      <c r="AQ23" s="724"/>
      <c r="AS23" s="460" t="s">
        <v>903</v>
      </c>
    </row>
    <row r="24" spans="1:45">
      <c r="A24" s="519" t="s">
        <v>194</v>
      </c>
      <c r="B24" s="519" t="s">
        <v>195</v>
      </c>
      <c r="C24" s="707"/>
      <c r="D24" s="519" t="s">
        <v>196</v>
      </c>
      <c r="E24" s="519" t="s">
        <v>197</v>
      </c>
      <c r="F24" s="519" t="s">
        <v>198</v>
      </c>
      <c r="G24" s="519" t="s">
        <v>199</v>
      </c>
      <c r="H24" s="519" t="s">
        <v>200</v>
      </c>
      <c r="I24" s="519" t="s">
        <v>6</v>
      </c>
      <c r="J24" s="519" t="s">
        <v>201</v>
      </c>
      <c r="K24" s="519" t="s">
        <v>202</v>
      </c>
      <c r="L24" s="519" t="s">
        <v>37</v>
      </c>
      <c r="M24" s="519" t="s">
        <v>203</v>
      </c>
      <c r="N24" s="519" t="s">
        <v>263</v>
      </c>
      <c r="O24" s="519" t="s">
        <v>264</v>
      </c>
      <c r="P24" s="519" t="s">
        <v>205</v>
      </c>
      <c r="Q24" s="519" t="s">
        <v>206</v>
      </c>
      <c r="R24" s="519" t="s">
        <v>31</v>
      </c>
      <c r="S24" s="519" t="s">
        <v>207</v>
      </c>
      <c r="T24" s="519" t="s">
        <v>265</v>
      </c>
      <c r="U24" s="519" t="s">
        <v>266</v>
      </c>
      <c r="V24" s="519" t="s">
        <v>353</v>
      </c>
      <c r="W24" s="725"/>
      <c r="X24" s="519" t="s">
        <v>294</v>
      </c>
      <c r="Y24" s="725"/>
      <c r="Z24" s="647">
        <v>78658.06</v>
      </c>
      <c r="AA24" s="519" t="s">
        <v>210</v>
      </c>
      <c r="AB24" s="522">
        <v>43171</v>
      </c>
      <c r="AC24" s="523" t="s">
        <v>38</v>
      </c>
      <c r="AD24" s="519" t="s">
        <v>39</v>
      </c>
      <c r="AE24" s="519" t="s">
        <v>40</v>
      </c>
      <c r="AF24" s="519" t="s">
        <v>39</v>
      </c>
      <c r="AG24" s="520">
        <v>30</v>
      </c>
      <c r="AH24" s="523" t="s">
        <v>36</v>
      </c>
      <c r="AI24" s="522" t="s">
        <v>765</v>
      </c>
      <c r="AJ24" s="729"/>
      <c r="AK24" s="729"/>
      <c r="AL24" s="729"/>
      <c r="AM24" s="519" t="s">
        <v>211</v>
      </c>
      <c r="AN24" s="519" t="s">
        <v>212</v>
      </c>
      <c r="AO24" s="643">
        <v>3025.31</v>
      </c>
      <c r="AP24" s="524">
        <f t="shared" si="1"/>
        <v>37.82</v>
      </c>
      <c r="AQ24" s="724"/>
      <c r="AS24" s="460" t="s">
        <v>281</v>
      </c>
    </row>
    <row r="25" spans="1:45">
      <c r="A25" s="519" t="s">
        <v>194</v>
      </c>
      <c r="B25" s="519" t="s">
        <v>195</v>
      </c>
      <c r="C25" s="707"/>
      <c r="D25" s="519" t="s">
        <v>196</v>
      </c>
      <c r="E25" s="519" t="s">
        <v>197</v>
      </c>
      <c r="F25" s="519" t="s">
        <v>198</v>
      </c>
      <c r="G25" s="519" t="s">
        <v>199</v>
      </c>
      <c r="H25" s="519" t="s">
        <v>200</v>
      </c>
      <c r="I25" s="519" t="s">
        <v>6</v>
      </c>
      <c r="J25" s="519" t="s">
        <v>201</v>
      </c>
      <c r="K25" s="519" t="s">
        <v>202</v>
      </c>
      <c r="L25" s="519" t="s">
        <v>37</v>
      </c>
      <c r="M25" s="519" t="s">
        <v>203</v>
      </c>
      <c r="N25" s="519" t="s">
        <v>285</v>
      </c>
      <c r="O25" s="519" t="s">
        <v>286</v>
      </c>
      <c r="P25" s="519" t="s">
        <v>205</v>
      </c>
      <c r="Q25" s="519" t="s">
        <v>206</v>
      </c>
      <c r="R25" s="519" t="s">
        <v>31</v>
      </c>
      <c r="S25" s="519" t="s">
        <v>207</v>
      </c>
      <c r="T25" s="519" t="s">
        <v>365</v>
      </c>
      <c r="U25" s="519" t="s">
        <v>804</v>
      </c>
      <c r="V25" s="519" t="s">
        <v>805</v>
      </c>
      <c r="W25" s="725"/>
      <c r="X25" s="519" t="s">
        <v>779</v>
      </c>
      <c r="Y25" s="725"/>
      <c r="Z25" s="647">
        <v>95600.44</v>
      </c>
      <c r="AA25" s="519" t="s">
        <v>210</v>
      </c>
      <c r="AB25" s="522">
        <v>43171</v>
      </c>
      <c r="AC25" s="523" t="s">
        <v>38</v>
      </c>
      <c r="AD25" s="519" t="s">
        <v>39</v>
      </c>
      <c r="AE25" s="519" t="s">
        <v>40</v>
      </c>
      <c r="AF25" s="519" t="s">
        <v>39</v>
      </c>
      <c r="AG25" s="520">
        <v>40</v>
      </c>
      <c r="AH25" s="523" t="s">
        <v>36</v>
      </c>
      <c r="AI25" s="522" t="s">
        <v>765</v>
      </c>
      <c r="AJ25" s="729"/>
      <c r="AK25" s="729"/>
      <c r="AL25" s="729"/>
      <c r="AM25" s="519" t="s">
        <v>211</v>
      </c>
      <c r="AN25" s="519" t="s">
        <v>212</v>
      </c>
      <c r="AO25" s="643">
        <v>3676.94</v>
      </c>
      <c r="AP25" s="524">
        <f t="shared" si="1"/>
        <v>45.96</v>
      </c>
      <c r="AQ25" s="724"/>
      <c r="AS25" s="460" t="s">
        <v>738</v>
      </c>
    </row>
    <row r="26" spans="1:45">
      <c r="A26" s="519" t="s">
        <v>194</v>
      </c>
      <c r="B26" s="519" t="s">
        <v>195</v>
      </c>
      <c r="C26" s="707"/>
      <c r="D26" s="519" t="s">
        <v>196</v>
      </c>
      <c r="E26" s="519" t="s">
        <v>197</v>
      </c>
      <c r="F26" s="519" t="s">
        <v>198</v>
      </c>
      <c r="G26" s="519" t="s">
        <v>199</v>
      </c>
      <c r="H26" s="519" t="s">
        <v>200</v>
      </c>
      <c r="I26" s="519" t="s">
        <v>6</v>
      </c>
      <c r="J26" s="519" t="s">
        <v>201</v>
      </c>
      <c r="K26" s="519" t="s">
        <v>202</v>
      </c>
      <c r="L26" s="519" t="s">
        <v>37</v>
      </c>
      <c r="M26" s="519" t="s">
        <v>203</v>
      </c>
      <c r="N26" s="519" t="s">
        <v>263</v>
      </c>
      <c r="O26" s="519" t="s">
        <v>264</v>
      </c>
      <c r="P26" s="519" t="s">
        <v>205</v>
      </c>
      <c r="Q26" s="519" t="s">
        <v>206</v>
      </c>
      <c r="R26" s="519" t="s">
        <v>31</v>
      </c>
      <c r="S26" s="519" t="s">
        <v>207</v>
      </c>
      <c r="T26" s="519" t="s">
        <v>280</v>
      </c>
      <c r="U26" s="519" t="s">
        <v>281</v>
      </c>
      <c r="V26" s="519" t="s">
        <v>808</v>
      </c>
      <c r="W26" s="725"/>
      <c r="X26" s="519" t="s">
        <v>310</v>
      </c>
      <c r="Y26" s="725"/>
      <c r="Z26" s="647">
        <v>96579.34</v>
      </c>
      <c r="AA26" s="519" t="s">
        <v>210</v>
      </c>
      <c r="AB26" s="522">
        <v>43171</v>
      </c>
      <c r="AC26" s="523" t="s">
        <v>38</v>
      </c>
      <c r="AD26" s="519" t="s">
        <v>39</v>
      </c>
      <c r="AE26" s="519" t="s">
        <v>40</v>
      </c>
      <c r="AF26" s="519" t="s">
        <v>39</v>
      </c>
      <c r="AG26" s="520">
        <v>40</v>
      </c>
      <c r="AH26" s="523" t="s">
        <v>36</v>
      </c>
      <c r="AI26" s="522" t="s">
        <v>765</v>
      </c>
      <c r="AJ26" s="729"/>
      <c r="AK26" s="729"/>
      <c r="AL26" s="729"/>
      <c r="AM26" s="519" t="s">
        <v>211</v>
      </c>
      <c r="AN26" s="519" t="s">
        <v>212</v>
      </c>
      <c r="AO26" s="643">
        <v>3714.59</v>
      </c>
      <c r="AP26" s="524">
        <f t="shared" si="1"/>
        <v>46.43</v>
      </c>
      <c r="AQ26" s="724"/>
      <c r="AS26" s="460" t="s">
        <v>281</v>
      </c>
    </row>
    <row r="27" spans="1:45">
      <c r="A27" s="519" t="s">
        <v>194</v>
      </c>
      <c r="B27" s="519" t="s">
        <v>195</v>
      </c>
      <c r="C27" s="707"/>
      <c r="D27" s="519" t="s">
        <v>196</v>
      </c>
      <c r="E27" s="519" t="s">
        <v>197</v>
      </c>
      <c r="F27" s="519" t="s">
        <v>198</v>
      </c>
      <c r="G27" s="519" t="s">
        <v>199</v>
      </c>
      <c r="H27" s="519" t="s">
        <v>200</v>
      </c>
      <c r="I27" s="519" t="s">
        <v>6</v>
      </c>
      <c r="J27" s="519" t="s">
        <v>201</v>
      </c>
      <c r="K27" s="519" t="s">
        <v>202</v>
      </c>
      <c r="L27" s="519" t="s">
        <v>37</v>
      </c>
      <c r="M27" s="519" t="s">
        <v>203</v>
      </c>
      <c r="N27" s="519" t="s">
        <v>204</v>
      </c>
      <c r="O27" s="519" t="s">
        <v>5</v>
      </c>
      <c r="P27" s="519" t="s">
        <v>205</v>
      </c>
      <c r="Q27" s="519" t="s">
        <v>206</v>
      </c>
      <c r="R27" s="519" t="s">
        <v>31</v>
      </c>
      <c r="S27" s="519" t="s">
        <v>207</v>
      </c>
      <c r="T27" s="519" t="s">
        <v>344</v>
      </c>
      <c r="U27" s="519" t="s">
        <v>345</v>
      </c>
      <c r="V27" s="519" t="s">
        <v>346</v>
      </c>
      <c r="W27" s="734" t="s">
        <v>812</v>
      </c>
      <c r="X27" s="519" t="s">
        <v>811</v>
      </c>
      <c r="Y27" s="734" t="s">
        <v>812</v>
      </c>
      <c r="Z27" s="647">
        <v>154884.34</v>
      </c>
      <c r="AA27" s="519" t="s">
        <v>210</v>
      </c>
      <c r="AB27" s="522">
        <v>43171</v>
      </c>
      <c r="AC27" s="523" t="s">
        <v>38</v>
      </c>
      <c r="AD27" s="519" t="s">
        <v>39</v>
      </c>
      <c r="AE27" s="519" t="s">
        <v>40</v>
      </c>
      <c r="AF27" s="519" t="s">
        <v>39</v>
      </c>
      <c r="AG27" s="520">
        <v>55</v>
      </c>
      <c r="AH27" s="523" t="s">
        <v>41</v>
      </c>
      <c r="AI27" s="522" t="s">
        <v>765</v>
      </c>
      <c r="AJ27" s="729"/>
      <c r="AK27" s="729"/>
      <c r="AL27" s="729"/>
      <c r="AM27" s="519" t="s">
        <v>211</v>
      </c>
      <c r="AN27" s="519" t="s">
        <v>212</v>
      </c>
      <c r="AO27" s="643">
        <v>5957.09</v>
      </c>
      <c r="AP27" s="524">
        <f t="shared" si="1"/>
        <v>74.459999999999994</v>
      </c>
      <c r="AQ27" s="724"/>
      <c r="AS27" s="460" t="s">
        <v>903</v>
      </c>
    </row>
    <row r="28" spans="1:45">
      <c r="A28" s="519" t="s">
        <v>194</v>
      </c>
      <c r="B28" s="519" t="s">
        <v>195</v>
      </c>
      <c r="C28" s="707"/>
      <c r="D28" s="519" t="s">
        <v>196</v>
      </c>
      <c r="E28" s="519" t="s">
        <v>197</v>
      </c>
      <c r="F28" s="519" t="s">
        <v>198</v>
      </c>
      <c r="G28" s="519" t="s">
        <v>199</v>
      </c>
      <c r="H28" s="519" t="s">
        <v>200</v>
      </c>
      <c r="I28" s="519" t="s">
        <v>6</v>
      </c>
      <c r="J28" s="519" t="s">
        <v>201</v>
      </c>
      <c r="K28" s="519" t="s">
        <v>202</v>
      </c>
      <c r="L28" s="519" t="s">
        <v>37</v>
      </c>
      <c r="M28" s="519" t="s">
        <v>203</v>
      </c>
      <c r="N28" s="519" t="s">
        <v>239</v>
      </c>
      <c r="O28" s="519" t="s">
        <v>18</v>
      </c>
      <c r="P28" s="519" t="s">
        <v>205</v>
      </c>
      <c r="Q28" s="519" t="s">
        <v>206</v>
      </c>
      <c r="R28" s="519" t="s">
        <v>31</v>
      </c>
      <c r="S28" s="519" t="s">
        <v>207</v>
      </c>
      <c r="T28" s="519" t="s">
        <v>240</v>
      </c>
      <c r="U28" s="519" t="s">
        <v>241</v>
      </c>
      <c r="V28" s="519" t="s">
        <v>398</v>
      </c>
      <c r="W28" s="725"/>
      <c r="X28" s="519" t="s">
        <v>399</v>
      </c>
      <c r="Y28" s="725"/>
      <c r="Z28" s="647">
        <v>64511.46</v>
      </c>
      <c r="AA28" s="519" t="s">
        <v>210</v>
      </c>
      <c r="AB28" s="522">
        <v>43171</v>
      </c>
      <c r="AC28" s="523" t="s">
        <v>38</v>
      </c>
      <c r="AD28" s="519" t="s">
        <v>39</v>
      </c>
      <c r="AE28" s="519" t="s">
        <v>40</v>
      </c>
      <c r="AF28" s="519" t="s">
        <v>39</v>
      </c>
      <c r="AG28" s="520">
        <v>30</v>
      </c>
      <c r="AH28" s="523" t="s">
        <v>41</v>
      </c>
      <c r="AI28" s="522" t="s">
        <v>765</v>
      </c>
      <c r="AJ28" s="729"/>
      <c r="AK28" s="729"/>
      <c r="AL28" s="729"/>
      <c r="AM28" s="519" t="s">
        <v>211</v>
      </c>
      <c r="AN28" s="519" t="s">
        <v>212</v>
      </c>
      <c r="AO28" s="643">
        <v>2481.21</v>
      </c>
      <c r="AP28" s="524">
        <f t="shared" si="1"/>
        <v>31.02</v>
      </c>
      <c r="AQ28" s="724"/>
      <c r="AS28" s="460" t="s">
        <v>903</v>
      </c>
    </row>
    <row r="29" spans="1:45">
      <c r="A29" s="519" t="s">
        <v>194</v>
      </c>
      <c r="B29" s="519" t="s">
        <v>195</v>
      </c>
      <c r="C29" s="707"/>
      <c r="D29" s="519" t="s">
        <v>196</v>
      </c>
      <c r="E29" s="519" t="s">
        <v>197</v>
      </c>
      <c r="F29" s="519" t="s">
        <v>198</v>
      </c>
      <c r="G29" s="519" t="s">
        <v>199</v>
      </c>
      <c r="H29" s="519" t="s">
        <v>200</v>
      </c>
      <c r="I29" s="519" t="s">
        <v>6</v>
      </c>
      <c r="J29" s="519" t="s">
        <v>201</v>
      </c>
      <c r="K29" s="519" t="s">
        <v>202</v>
      </c>
      <c r="L29" s="519" t="s">
        <v>37</v>
      </c>
      <c r="M29" s="519" t="s">
        <v>203</v>
      </c>
      <c r="N29" s="519" t="s">
        <v>226</v>
      </c>
      <c r="O29" s="519" t="s">
        <v>9</v>
      </c>
      <c r="P29" s="519" t="s">
        <v>205</v>
      </c>
      <c r="Q29" s="519" t="s">
        <v>206</v>
      </c>
      <c r="R29" s="519" t="s">
        <v>31</v>
      </c>
      <c r="S29" s="519" t="s">
        <v>207</v>
      </c>
      <c r="T29" s="519" t="s">
        <v>790</v>
      </c>
      <c r="U29" s="519" t="s">
        <v>791</v>
      </c>
      <c r="V29" s="519" t="s">
        <v>825</v>
      </c>
      <c r="W29" s="725"/>
      <c r="X29" s="519" t="s">
        <v>405</v>
      </c>
      <c r="Y29" s="725"/>
      <c r="Z29" s="647">
        <v>71659.899999999994</v>
      </c>
      <c r="AA29" s="519" t="s">
        <v>210</v>
      </c>
      <c r="AB29" s="522">
        <v>43171</v>
      </c>
      <c r="AC29" s="523" t="s">
        <v>38</v>
      </c>
      <c r="AD29" s="519" t="s">
        <v>39</v>
      </c>
      <c r="AE29" s="519" t="s">
        <v>40</v>
      </c>
      <c r="AF29" s="519" t="s">
        <v>39</v>
      </c>
      <c r="AG29" s="520">
        <v>35</v>
      </c>
      <c r="AH29" s="523" t="s">
        <v>41</v>
      </c>
      <c r="AI29" s="522" t="s">
        <v>765</v>
      </c>
      <c r="AJ29" s="729"/>
      <c r="AK29" s="729"/>
      <c r="AL29" s="729"/>
      <c r="AM29" s="519" t="s">
        <v>211</v>
      </c>
      <c r="AN29" s="519" t="s">
        <v>212</v>
      </c>
      <c r="AO29" s="643">
        <v>2756.15</v>
      </c>
      <c r="AP29" s="524">
        <f t="shared" si="1"/>
        <v>34.450000000000003</v>
      </c>
      <c r="AQ29" s="724"/>
      <c r="AS29" s="460" t="s">
        <v>903</v>
      </c>
    </row>
    <row r="30" spans="1:45">
      <c r="A30" s="519" t="s">
        <v>194</v>
      </c>
      <c r="B30" s="519" t="s">
        <v>195</v>
      </c>
      <c r="C30" s="707"/>
      <c r="D30" s="519" t="s">
        <v>196</v>
      </c>
      <c r="E30" s="519" t="s">
        <v>197</v>
      </c>
      <c r="F30" s="519" t="s">
        <v>198</v>
      </c>
      <c r="G30" s="519" t="s">
        <v>199</v>
      </c>
      <c r="H30" s="519" t="s">
        <v>200</v>
      </c>
      <c r="I30" s="519" t="s">
        <v>6</v>
      </c>
      <c r="J30" s="519" t="s">
        <v>201</v>
      </c>
      <c r="K30" s="519" t="s">
        <v>202</v>
      </c>
      <c r="L30" s="519" t="s">
        <v>37</v>
      </c>
      <c r="M30" s="519" t="s">
        <v>203</v>
      </c>
      <c r="N30" s="519" t="s">
        <v>226</v>
      </c>
      <c r="O30" s="519" t="s">
        <v>9</v>
      </c>
      <c r="P30" s="519" t="s">
        <v>205</v>
      </c>
      <c r="Q30" s="519" t="s">
        <v>206</v>
      </c>
      <c r="R30" s="519" t="s">
        <v>31</v>
      </c>
      <c r="S30" s="519" t="s">
        <v>207</v>
      </c>
      <c r="T30" s="519" t="s">
        <v>233</v>
      </c>
      <c r="U30" s="519" t="s">
        <v>234</v>
      </c>
      <c r="V30" s="519" t="s">
        <v>413</v>
      </c>
      <c r="W30" s="725"/>
      <c r="X30" s="519" t="s">
        <v>414</v>
      </c>
      <c r="Y30" s="725"/>
      <c r="Z30" s="647">
        <v>107270.8</v>
      </c>
      <c r="AA30" s="519" t="s">
        <v>210</v>
      </c>
      <c r="AB30" s="522">
        <v>43171</v>
      </c>
      <c r="AC30" s="523" t="s">
        <v>38</v>
      </c>
      <c r="AD30" s="519" t="s">
        <v>39</v>
      </c>
      <c r="AE30" s="519" t="s">
        <v>40</v>
      </c>
      <c r="AF30" s="519" t="s">
        <v>39</v>
      </c>
      <c r="AG30" s="520">
        <v>40</v>
      </c>
      <c r="AH30" s="523" t="s">
        <v>36</v>
      </c>
      <c r="AI30" s="522" t="s">
        <v>765</v>
      </c>
      <c r="AJ30" s="729"/>
      <c r="AK30" s="729"/>
      <c r="AL30" s="729"/>
      <c r="AM30" s="519" t="s">
        <v>211</v>
      </c>
      <c r="AN30" s="519" t="s">
        <v>212</v>
      </c>
      <c r="AO30" s="643">
        <v>4125.8</v>
      </c>
      <c r="AP30" s="524">
        <f t="shared" si="1"/>
        <v>51.57</v>
      </c>
      <c r="AQ30" s="724"/>
      <c r="AS30" s="460" t="s">
        <v>903</v>
      </c>
    </row>
    <row r="31" spans="1:45">
      <c r="A31" s="519" t="s">
        <v>194</v>
      </c>
      <c r="B31" s="519" t="s">
        <v>195</v>
      </c>
      <c r="C31" s="707"/>
      <c r="D31" s="519" t="s">
        <v>196</v>
      </c>
      <c r="E31" s="519" t="s">
        <v>197</v>
      </c>
      <c r="F31" s="519" t="s">
        <v>253</v>
      </c>
      <c r="G31" s="519" t="s">
        <v>254</v>
      </c>
      <c r="H31" s="519" t="s">
        <v>200</v>
      </c>
      <c r="I31" s="519" t="s">
        <v>6</v>
      </c>
      <c r="J31" s="519" t="s">
        <v>201</v>
      </c>
      <c r="K31" s="519" t="s">
        <v>202</v>
      </c>
      <c r="L31" s="519" t="s">
        <v>37</v>
      </c>
      <c r="M31" s="519" t="s">
        <v>203</v>
      </c>
      <c r="N31" s="519" t="s">
        <v>246</v>
      </c>
      <c r="O31" s="519" t="s">
        <v>247</v>
      </c>
      <c r="P31" s="519" t="s">
        <v>205</v>
      </c>
      <c r="Q31" s="519" t="s">
        <v>206</v>
      </c>
      <c r="R31" s="519" t="s">
        <v>31</v>
      </c>
      <c r="S31" s="519" t="s">
        <v>207</v>
      </c>
      <c r="T31" s="519" t="s">
        <v>768</v>
      </c>
      <c r="U31" s="519" t="s">
        <v>769</v>
      </c>
      <c r="V31" s="519" t="s">
        <v>417</v>
      </c>
      <c r="W31" s="725"/>
      <c r="X31" s="519" t="s">
        <v>251</v>
      </c>
      <c r="Y31" s="725"/>
      <c r="Z31" s="647">
        <v>56408.82</v>
      </c>
      <c r="AA31" s="519" t="s">
        <v>210</v>
      </c>
      <c r="AB31" s="522">
        <v>43241</v>
      </c>
      <c r="AC31" s="523" t="s">
        <v>38</v>
      </c>
      <c r="AD31" s="519" t="s">
        <v>39</v>
      </c>
      <c r="AE31" s="519" t="s">
        <v>40</v>
      </c>
      <c r="AF31" s="519" t="s">
        <v>39</v>
      </c>
      <c r="AG31" s="520">
        <v>25</v>
      </c>
      <c r="AH31" s="523" t="s">
        <v>41</v>
      </c>
      <c r="AI31" s="522" t="s">
        <v>765</v>
      </c>
      <c r="AJ31" s="729"/>
      <c r="AK31" s="729"/>
      <c r="AL31" s="729"/>
      <c r="AM31" s="519" t="s">
        <v>211</v>
      </c>
      <c r="AN31" s="519" t="s">
        <v>212</v>
      </c>
      <c r="AO31" s="643">
        <v>2169.5700000000002</v>
      </c>
      <c r="AP31" s="524">
        <f t="shared" ref="AP31:AP62" si="2">ROUND(IF(AO31&lt;100,AO31,AO31/80),2)</f>
        <v>27.12</v>
      </c>
      <c r="AQ31" s="724"/>
      <c r="AS31" s="460" t="s">
        <v>281</v>
      </c>
    </row>
    <row r="32" spans="1:45">
      <c r="A32" s="519" t="s">
        <v>194</v>
      </c>
      <c r="B32" s="519" t="s">
        <v>195</v>
      </c>
      <c r="C32" s="707"/>
      <c r="D32" s="519" t="s">
        <v>196</v>
      </c>
      <c r="E32" s="519" t="s">
        <v>197</v>
      </c>
      <c r="F32" s="519" t="s">
        <v>198</v>
      </c>
      <c r="G32" s="519" t="s">
        <v>199</v>
      </c>
      <c r="H32" s="519" t="s">
        <v>200</v>
      </c>
      <c r="I32" s="519" t="s">
        <v>6</v>
      </c>
      <c r="J32" s="519" t="s">
        <v>201</v>
      </c>
      <c r="K32" s="519" t="s">
        <v>202</v>
      </c>
      <c r="L32" s="519" t="s">
        <v>37</v>
      </c>
      <c r="M32" s="519" t="s">
        <v>203</v>
      </c>
      <c r="N32" s="519" t="s">
        <v>218</v>
      </c>
      <c r="O32" s="519" t="s">
        <v>219</v>
      </c>
      <c r="P32" s="519" t="s">
        <v>205</v>
      </c>
      <c r="Q32" s="519" t="s">
        <v>206</v>
      </c>
      <c r="R32" s="519" t="s">
        <v>31</v>
      </c>
      <c r="S32" s="519" t="s">
        <v>207</v>
      </c>
      <c r="T32" s="519" t="s">
        <v>371</v>
      </c>
      <c r="U32" s="519" t="s">
        <v>372</v>
      </c>
      <c r="V32" s="519" t="s">
        <v>392</v>
      </c>
      <c r="W32" s="725"/>
      <c r="X32" s="519" t="s">
        <v>832</v>
      </c>
      <c r="Y32" s="725"/>
      <c r="Z32" s="647">
        <v>85954.7</v>
      </c>
      <c r="AA32" s="519" t="s">
        <v>210</v>
      </c>
      <c r="AB32" s="522">
        <v>43283</v>
      </c>
      <c r="AC32" s="523" t="s">
        <v>38</v>
      </c>
      <c r="AD32" s="519" t="s">
        <v>39</v>
      </c>
      <c r="AE32" s="519" t="s">
        <v>40</v>
      </c>
      <c r="AF32" s="519" t="s">
        <v>39</v>
      </c>
      <c r="AG32" s="520">
        <v>35</v>
      </c>
      <c r="AH32" s="523" t="s">
        <v>36</v>
      </c>
      <c r="AI32" s="522" t="s">
        <v>765</v>
      </c>
      <c r="AJ32" s="729"/>
      <c r="AK32" s="729"/>
      <c r="AL32" s="729"/>
      <c r="AM32" s="519" t="s">
        <v>211</v>
      </c>
      <c r="AN32" s="519" t="s">
        <v>212</v>
      </c>
      <c r="AO32" s="643">
        <v>3305.95</v>
      </c>
      <c r="AP32" s="524">
        <f t="shared" si="2"/>
        <v>41.32</v>
      </c>
      <c r="AQ32" s="724"/>
      <c r="AS32" s="460" t="s">
        <v>739</v>
      </c>
    </row>
    <row r="33" spans="1:46">
      <c r="A33" s="519" t="s">
        <v>194</v>
      </c>
      <c r="B33" s="519" t="s">
        <v>195</v>
      </c>
      <c r="C33" s="707"/>
      <c r="D33" s="519" t="s">
        <v>196</v>
      </c>
      <c r="E33" s="519" t="s">
        <v>197</v>
      </c>
      <c r="F33" s="519" t="s">
        <v>198</v>
      </c>
      <c r="G33" s="519" t="s">
        <v>199</v>
      </c>
      <c r="H33" s="519" t="s">
        <v>200</v>
      </c>
      <c r="I33" s="519" t="s">
        <v>6</v>
      </c>
      <c r="J33" s="519" t="s">
        <v>201</v>
      </c>
      <c r="K33" s="519" t="s">
        <v>202</v>
      </c>
      <c r="L33" s="519" t="s">
        <v>37</v>
      </c>
      <c r="M33" s="519" t="s">
        <v>203</v>
      </c>
      <c r="N33" s="519" t="s">
        <v>246</v>
      </c>
      <c r="O33" s="519" t="s">
        <v>247</v>
      </c>
      <c r="P33" s="519" t="s">
        <v>205</v>
      </c>
      <c r="Q33" s="519" t="s">
        <v>206</v>
      </c>
      <c r="R33" s="519" t="s">
        <v>31</v>
      </c>
      <c r="S33" s="519" t="s">
        <v>207</v>
      </c>
      <c r="T33" s="519" t="s">
        <v>768</v>
      </c>
      <c r="U33" s="519" t="s">
        <v>769</v>
      </c>
      <c r="V33" s="519" t="s">
        <v>836</v>
      </c>
      <c r="W33" s="725"/>
      <c r="X33" s="519" t="s">
        <v>837</v>
      </c>
      <c r="Y33" s="725"/>
      <c r="Z33" s="647">
        <v>92128.4</v>
      </c>
      <c r="AA33" s="519" t="s">
        <v>210</v>
      </c>
      <c r="AB33" s="522">
        <v>43171</v>
      </c>
      <c r="AC33" s="523" t="s">
        <v>38</v>
      </c>
      <c r="AD33" s="519" t="s">
        <v>39</v>
      </c>
      <c r="AE33" s="519" t="s">
        <v>40</v>
      </c>
      <c r="AF33" s="519" t="s">
        <v>39</v>
      </c>
      <c r="AG33" s="520">
        <v>40</v>
      </c>
      <c r="AH33" s="523" t="s">
        <v>36</v>
      </c>
      <c r="AI33" s="522" t="s">
        <v>765</v>
      </c>
      <c r="AJ33" s="729"/>
      <c r="AK33" s="729"/>
      <c r="AL33" s="729"/>
      <c r="AM33" s="519" t="s">
        <v>211</v>
      </c>
      <c r="AN33" s="519" t="s">
        <v>212</v>
      </c>
      <c r="AO33" s="643">
        <v>3543.4</v>
      </c>
      <c r="AP33" s="524">
        <f t="shared" si="2"/>
        <v>44.29</v>
      </c>
      <c r="AQ33" s="724"/>
      <c r="AS33" s="460" t="s">
        <v>281</v>
      </c>
    </row>
    <row r="34" spans="1:46">
      <c r="A34" s="519" t="s">
        <v>194</v>
      </c>
      <c r="B34" s="519" t="s">
        <v>195</v>
      </c>
      <c r="C34" s="707"/>
      <c r="D34" s="519" t="s">
        <v>196</v>
      </c>
      <c r="E34" s="519" t="s">
        <v>197</v>
      </c>
      <c r="F34" s="519" t="s">
        <v>253</v>
      </c>
      <c r="G34" s="519" t="s">
        <v>254</v>
      </c>
      <c r="H34" s="519" t="s">
        <v>200</v>
      </c>
      <c r="I34" s="519" t="s">
        <v>6</v>
      </c>
      <c r="J34" s="519" t="s">
        <v>201</v>
      </c>
      <c r="K34" s="519" t="s">
        <v>202</v>
      </c>
      <c r="L34" s="519" t="s">
        <v>37</v>
      </c>
      <c r="M34" s="519" t="s">
        <v>203</v>
      </c>
      <c r="N34" s="519" t="s">
        <v>246</v>
      </c>
      <c r="O34" s="519" t="s">
        <v>247</v>
      </c>
      <c r="P34" s="519" t="s">
        <v>205</v>
      </c>
      <c r="Q34" s="519" t="s">
        <v>206</v>
      </c>
      <c r="R34" s="519" t="s">
        <v>31</v>
      </c>
      <c r="S34" s="519" t="s">
        <v>207</v>
      </c>
      <c r="T34" s="519" t="s">
        <v>248</v>
      </c>
      <c r="U34" s="519" t="s">
        <v>249</v>
      </c>
      <c r="V34" s="519" t="s">
        <v>839</v>
      </c>
      <c r="W34" s="725"/>
      <c r="X34" s="519" t="s">
        <v>841</v>
      </c>
      <c r="Y34" s="725"/>
      <c r="Z34" s="647">
        <v>60824.92</v>
      </c>
      <c r="AA34" s="519" t="s">
        <v>210</v>
      </c>
      <c r="AB34" s="522">
        <v>43171</v>
      </c>
      <c r="AC34" s="523" t="s">
        <v>38</v>
      </c>
      <c r="AD34" s="519" t="s">
        <v>39</v>
      </c>
      <c r="AE34" s="519" t="s">
        <v>40</v>
      </c>
      <c r="AF34" s="519" t="s">
        <v>39</v>
      </c>
      <c r="AG34" s="520">
        <v>30</v>
      </c>
      <c r="AH34" s="523" t="s">
        <v>41</v>
      </c>
      <c r="AI34" s="522" t="s">
        <v>765</v>
      </c>
      <c r="AJ34" s="729"/>
      <c r="AK34" s="729"/>
      <c r="AL34" s="729"/>
      <c r="AM34" s="519" t="s">
        <v>211</v>
      </c>
      <c r="AN34" s="519" t="s">
        <v>212</v>
      </c>
      <c r="AO34" s="643">
        <v>2339.42</v>
      </c>
      <c r="AP34" s="524">
        <f t="shared" si="2"/>
        <v>29.24</v>
      </c>
      <c r="AQ34" s="724"/>
      <c r="AS34" s="460" t="s">
        <v>281</v>
      </c>
    </row>
    <row r="35" spans="1:46">
      <c r="A35" s="519" t="s">
        <v>194</v>
      </c>
      <c r="B35" s="519" t="s">
        <v>195</v>
      </c>
      <c r="C35" s="707"/>
      <c r="D35" s="519" t="s">
        <v>196</v>
      </c>
      <c r="E35" s="519" t="s">
        <v>197</v>
      </c>
      <c r="F35" s="519" t="s">
        <v>198</v>
      </c>
      <c r="G35" s="519" t="s">
        <v>199</v>
      </c>
      <c r="H35" s="519" t="s">
        <v>200</v>
      </c>
      <c r="I35" s="519" t="s">
        <v>6</v>
      </c>
      <c r="J35" s="519" t="s">
        <v>201</v>
      </c>
      <c r="K35" s="519" t="s">
        <v>202</v>
      </c>
      <c r="L35" s="519" t="s">
        <v>37</v>
      </c>
      <c r="M35" s="519" t="s">
        <v>203</v>
      </c>
      <c r="N35" s="519" t="s">
        <v>204</v>
      </c>
      <c r="O35" s="519" t="s">
        <v>5</v>
      </c>
      <c r="P35" s="519" t="s">
        <v>205</v>
      </c>
      <c r="Q35" s="519" t="s">
        <v>206</v>
      </c>
      <c r="R35" s="519" t="s">
        <v>31</v>
      </c>
      <c r="S35" s="519" t="s">
        <v>207</v>
      </c>
      <c r="T35" s="519" t="s">
        <v>344</v>
      </c>
      <c r="U35" s="519" t="s">
        <v>345</v>
      </c>
      <c r="V35" s="519" t="s">
        <v>842</v>
      </c>
      <c r="W35" s="725"/>
      <c r="X35" s="519" t="s">
        <v>843</v>
      </c>
      <c r="Y35" s="725"/>
      <c r="Z35" s="647">
        <v>91462.8</v>
      </c>
      <c r="AA35" s="519" t="s">
        <v>210</v>
      </c>
      <c r="AB35" s="522">
        <v>43171</v>
      </c>
      <c r="AC35" s="523" t="s">
        <v>38</v>
      </c>
      <c r="AD35" s="519" t="s">
        <v>39</v>
      </c>
      <c r="AE35" s="519" t="s">
        <v>40</v>
      </c>
      <c r="AF35" s="519" t="s">
        <v>39</v>
      </c>
      <c r="AG35" s="520">
        <v>40</v>
      </c>
      <c r="AH35" s="523" t="s">
        <v>36</v>
      </c>
      <c r="AI35" s="522" t="s">
        <v>765</v>
      </c>
      <c r="AJ35" s="729"/>
      <c r="AK35" s="729"/>
      <c r="AL35" s="729"/>
      <c r="AM35" s="519" t="s">
        <v>211</v>
      </c>
      <c r="AN35" s="519" t="s">
        <v>212</v>
      </c>
      <c r="AO35" s="643">
        <v>3517.8</v>
      </c>
      <c r="AP35" s="524">
        <f t="shared" si="2"/>
        <v>43.97</v>
      </c>
      <c r="AQ35" s="724"/>
      <c r="AS35" s="460" t="s">
        <v>903</v>
      </c>
    </row>
    <row r="36" spans="1:46">
      <c r="A36" s="519" t="s">
        <v>194</v>
      </c>
      <c r="B36" s="519" t="s">
        <v>195</v>
      </c>
      <c r="C36" s="707"/>
      <c r="D36" s="519" t="s">
        <v>196</v>
      </c>
      <c r="E36" s="519" t="s">
        <v>197</v>
      </c>
      <c r="F36" s="519" t="s">
        <v>253</v>
      </c>
      <c r="G36" s="519" t="s">
        <v>254</v>
      </c>
      <c r="H36" s="519" t="s">
        <v>200</v>
      </c>
      <c r="I36" s="519" t="s">
        <v>6</v>
      </c>
      <c r="J36" s="519" t="s">
        <v>201</v>
      </c>
      <c r="K36" s="519" t="s">
        <v>202</v>
      </c>
      <c r="L36" s="519" t="s">
        <v>37</v>
      </c>
      <c r="M36" s="519" t="s">
        <v>203</v>
      </c>
      <c r="N36" s="519" t="s">
        <v>246</v>
      </c>
      <c r="O36" s="519" t="s">
        <v>247</v>
      </c>
      <c r="P36" s="519" t="s">
        <v>205</v>
      </c>
      <c r="Q36" s="519" t="s">
        <v>206</v>
      </c>
      <c r="R36" s="519" t="s">
        <v>31</v>
      </c>
      <c r="S36" s="519" t="s">
        <v>207</v>
      </c>
      <c r="T36" s="519" t="s">
        <v>768</v>
      </c>
      <c r="U36" s="519" t="s">
        <v>769</v>
      </c>
      <c r="V36" s="519" t="s">
        <v>846</v>
      </c>
      <c r="W36" s="725"/>
      <c r="X36" s="519" t="s">
        <v>251</v>
      </c>
      <c r="Y36" s="725"/>
      <c r="Z36" s="647">
        <v>51013.56</v>
      </c>
      <c r="AA36" s="519" t="s">
        <v>210</v>
      </c>
      <c r="AB36" s="522">
        <v>43241</v>
      </c>
      <c r="AC36" s="523" t="s">
        <v>38</v>
      </c>
      <c r="AD36" s="519" t="s">
        <v>39</v>
      </c>
      <c r="AE36" s="519" t="s">
        <v>40</v>
      </c>
      <c r="AF36" s="519" t="s">
        <v>39</v>
      </c>
      <c r="AG36" s="520">
        <v>25</v>
      </c>
      <c r="AH36" s="523" t="s">
        <v>41</v>
      </c>
      <c r="AI36" s="522" t="s">
        <v>765</v>
      </c>
      <c r="AJ36" s="729"/>
      <c r="AK36" s="729"/>
      <c r="AL36" s="729"/>
      <c r="AM36" s="519" t="s">
        <v>211</v>
      </c>
      <c r="AN36" s="519" t="s">
        <v>212</v>
      </c>
      <c r="AO36" s="643">
        <v>1962.06</v>
      </c>
      <c r="AP36" s="524">
        <f t="shared" si="2"/>
        <v>24.53</v>
      </c>
      <c r="AQ36" s="724"/>
      <c r="AS36" s="460" t="s">
        <v>281</v>
      </c>
    </row>
    <row r="37" spans="1:46">
      <c r="A37" s="519" t="s">
        <v>194</v>
      </c>
      <c r="B37" s="519" t="s">
        <v>195</v>
      </c>
      <c r="C37" s="707"/>
      <c r="D37" s="519" t="s">
        <v>196</v>
      </c>
      <c r="E37" s="519" t="s">
        <v>197</v>
      </c>
      <c r="F37" s="519" t="s">
        <v>198</v>
      </c>
      <c r="G37" s="519" t="s">
        <v>199</v>
      </c>
      <c r="H37" s="519" t="s">
        <v>200</v>
      </c>
      <c r="I37" s="519" t="s">
        <v>6</v>
      </c>
      <c r="J37" s="519" t="s">
        <v>201</v>
      </c>
      <c r="K37" s="519" t="s">
        <v>202</v>
      </c>
      <c r="L37" s="519" t="s">
        <v>37</v>
      </c>
      <c r="M37" s="519" t="s">
        <v>203</v>
      </c>
      <c r="N37" s="519" t="s">
        <v>285</v>
      </c>
      <c r="O37" s="519" t="s">
        <v>286</v>
      </c>
      <c r="P37" s="519" t="s">
        <v>205</v>
      </c>
      <c r="Q37" s="519" t="s">
        <v>206</v>
      </c>
      <c r="R37" s="519" t="s">
        <v>31</v>
      </c>
      <c r="S37" s="519" t="s">
        <v>207</v>
      </c>
      <c r="T37" s="519" t="s">
        <v>348</v>
      </c>
      <c r="U37" s="519" t="s">
        <v>349</v>
      </c>
      <c r="V37" s="519" t="s">
        <v>847</v>
      </c>
      <c r="W37" s="725"/>
      <c r="X37" s="519" t="s">
        <v>832</v>
      </c>
      <c r="Y37" s="725"/>
      <c r="Z37" s="647">
        <v>70000.06</v>
      </c>
      <c r="AA37" s="519" t="s">
        <v>210</v>
      </c>
      <c r="AB37" s="522">
        <v>43213</v>
      </c>
      <c r="AC37" s="523" t="s">
        <v>38</v>
      </c>
      <c r="AD37" s="519" t="s">
        <v>39</v>
      </c>
      <c r="AE37" s="519" t="s">
        <v>40</v>
      </c>
      <c r="AF37" s="519" t="s">
        <v>39</v>
      </c>
      <c r="AG37" s="520">
        <v>35</v>
      </c>
      <c r="AH37" s="523" t="s">
        <v>41</v>
      </c>
      <c r="AI37" s="522" t="s">
        <v>765</v>
      </c>
      <c r="AJ37" s="729"/>
      <c r="AK37" s="729"/>
      <c r="AL37" s="729"/>
      <c r="AM37" s="519" t="s">
        <v>211</v>
      </c>
      <c r="AN37" s="519" t="s">
        <v>212</v>
      </c>
      <c r="AO37" s="643">
        <v>2692.31</v>
      </c>
      <c r="AP37" s="524">
        <f t="shared" si="2"/>
        <v>33.65</v>
      </c>
      <c r="AQ37" s="724"/>
      <c r="AS37" s="460" t="s">
        <v>738</v>
      </c>
      <c r="AT37" s="604"/>
    </row>
    <row r="38" spans="1:46">
      <c r="A38" s="519" t="s">
        <v>194</v>
      </c>
      <c r="B38" s="519" t="s">
        <v>195</v>
      </c>
      <c r="C38" s="707"/>
      <c r="D38" s="519" t="s">
        <v>196</v>
      </c>
      <c r="E38" s="519" t="s">
        <v>197</v>
      </c>
      <c r="F38" s="519" t="s">
        <v>359</v>
      </c>
      <c r="G38" s="519" t="s">
        <v>360</v>
      </c>
      <c r="H38" s="519" t="s">
        <v>200</v>
      </c>
      <c r="I38" s="519" t="s">
        <v>6</v>
      </c>
      <c r="J38" s="519" t="s">
        <v>201</v>
      </c>
      <c r="K38" s="519" t="s">
        <v>202</v>
      </c>
      <c r="L38" s="519" t="s">
        <v>37</v>
      </c>
      <c r="M38" s="519" t="s">
        <v>203</v>
      </c>
      <c r="N38" s="519" t="s">
        <v>314</v>
      </c>
      <c r="O38" s="519" t="s">
        <v>315</v>
      </c>
      <c r="P38" s="519" t="s">
        <v>205</v>
      </c>
      <c r="Q38" s="519" t="s">
        <v>206</v>
      </c>
      <c r="R38" s="519" t="s">
        <v>31</v>
      </c>
      <c r="S38" s="519" t="s">
        <v>207</v>
      </c>
      <c r="T38" s="519" t="s">
        <v>316</v>
      </c>
      <c r="U38" s="519" t="s">
        <v>317</v>
      </c>
      <c r="V38" s="519" t="s">
        <v>420</v>
      </c>
      <c r="W38" s="725"/>
      <c r="X38" s="519" t="s">
        <v>421</v>
      </c>
      <c r="Y38" s="725"/>
      <c r="Z38" s="647">
        <v>73585.2</v>
      </c>
      <c r="AA38" s="519" t="s">
        <v>210</v>
      </c>
      <c r="AB38" s="522">
        <v>43171</v>
      </c>
      <c r="AC38" s="523" t="s">
        <v>38</v>
      </c>
      <c r="AD38" s="519" t="s">
        <v>39</v>
      </c>
      <c r="AE38" s="519" t="s">
        <v>40</v>
      </c>
      <c r="AF38" s="519" t="s">
        <v>39</v>
      </c>
      <c r="AG38" s="520">
        <v>30</v>
      </c>
      <c r="AH38" s="523" t="s">
        <v>36</v>
      </c>
      <c r="AI38" s="522" t="s">
        <v>765</v>
      </c>
      <c r="AJ38" s="729"/>
      <c r="AK38" s="729"/>
      <c r="AL38" s="729"/>
      <c r="AM38" s="519" t="s">
        <v>211</v>
      </c>
      <c r="AN38" s="519" t="s">
        <v>212</v>
      </c>
      <c r="AO38" s="643">
        <v>2830.2</v>
      </c>
      <c r="AP38" s="524">
        <f t="shared" si="2"/>
        <v>35.380000000000003</v>
      </c>
      <c r="AQ38" s="724"/>
      <c r="AS38" s="460" t="s">
        <v>738</v>
      </c>
    </row>
    <row r="39" spans="1:46">
      <c r="A39" s="519" t="s">
        <v>194</v>
      </c>
      <c r="B39" s="519" t="s">
        <v>195</v>
      </c>
      <c r="C39" s="707"/>
      <c r="D39" s="519" t="s">
        <v>196</v>
      </c>
      <c r="E39" s="519" t="s">
        <v>197</v>
      </c>
      <c r="F39" s="519" t="s">
        <v>198</v>
      </c>
      <c r="G39" s="519" t="s">
        <v>199</v>
      </c>
      <c r="H39" s="519" t="s">
        <v>200</v>
      </c>
      <c r="I39" s="519" t="s">
        <v>6</v>
      </c>
      <c r="J39" s="519" t="s">
        <v>201</v>
      </c>
      <c r="K39" s="519" t="s">
        <v>202</v>
      </c>
      <c r="L39" s="519" t="s">
        <v>37</v>
      </c>
      <c r="M39" s="519" t="s">
        <v>203</v>
      </c>
      <c r="N39" s="519" t="s">
        <v>272</v>
      </c>
      <c r="O39" s="519" t="s">
        <v>273</v>
      </c>
      <c r="P39" s="519" t="s">
        <v>205</v>
      </c>
      <c r="Q39" s="519" t="s">
        <v>206</v>
      </c>
      <c r="R39" s="519" t="s">
        <v>31</v>
      </c>
      <c r="S39" s="519" t="s">
        <v>207</v>
      </c>
      <c r="T39" s="519" t="s">
        <v>274</v>
      </c>
      <c r="U39" s="519" t="s">
        <v>275</v>
      </c>
      <c r="V39" s="519" t="s">
        <v>352</v>
      </c>
      <c r="W39" s="725"/>
      <c r="X39" s="519" t="s">
        <v>312</v>
      </c>
      <c r="Y39" s="725"/>
      <c r="Z39" s="647">
        <v>74971</v>
      </c>
      <c r="AA39" s="519" t="s">
        <v>210</v>
      </c>
      <c r="AB39" s="522">
        <v>43171</v>
      </c>
      <c r="AC39" s="523" t="s">
        <v>38</v>
      </c>
      <c r="AD39" s="519" t="s">
        <v>39</v>
      </c>
      <c r="AE39" s="519" t="s">
        <v>40</v>
      </c>
      <c r="AF39" s="519" t="s">
        <v>39</v>
      </c>
      <c r="AG39" s="520">
        <v>30</v>
      </c>
      <c r="AH39" s="523" t="s">
        <v>36</v>
      </c>
      <c r="AI39" s="522" t="s">
        <v>765</v>
      </c>
      <c r="AJ39" s="729"/>
      <c r="AK39" s="729"/>
      <c r="AL39" s="729"/>
      <c r="AM39" s="519" t="s">
        <v>211</v>
      </c>
      <c r="AN39" s="519" t="s">
        <v>212</v>
      </c>
      <c r="AO39" s="643">
        <v>2883.5</v>
      </c>
      <c r="AP39" s="524">
        <f t="shared" si="2"/>
        <v>36.04</v>
      </c>
      <c r="AQ39" s="724"/>
      <c r="AS39" s="460" t="s">
        <v>281</v>
      </c>
    </row>
    <row r="40" spans="1:46">
      <c r="A40" s="519" t="s">
        <v>194</v>
      </c>
      <c r="B40" s="519" t="s">
        <v>195</v>
      </c>
      <c r="C40" s="707"/>
      <c r="D40" s="519" t="s">
        <v>196</v>
      </c>
      <c r="E40" s="519" t="s">
        <v>197</v>
      </c>
      <c r="F40" s="519" t="s">
        <v>198</v>
      </c>
      <c r="G40" s="519" t="s">
        <v>199</v>
      </c>
      <c r="H40" s="519" t="s">
        <v>200</v>
      </c>
      <c r="I40" s="519" t="s">
        <v>6</v>
      </c>
      <c r="J40" s="519" t="s">
        <v>201</v>
      </c>
      <c r="K40" s="519" t="s">
        <v>202</v>
      </c>
      <c r="L40" s="519" t="s">
        <v>37</v>
      </c>
      <c r="M40" s="519" t="s">
        <v>203</v>
      </c>
      <c r="N40" s="519" t="s">
        <v>204</v>
      </c>
      <c r="O40" s="519" t="s">
        <v>5</v>
      </c>
      <c r="P40" s="519" t="s">
        <v>205</v>
      </c>
      <c r="Q40" s="519" t="s">
        <v>206</v>
      </c>
      <c r="R40" s="519" t="s">
        <v>31</v>
      </c>
      <c r="S40" s="519" t="s">
        <v>207</v>
      </c>
      <c r="T40" s="519" t="s">
        <v>774</v>
      </c>
      <c r="U40" s="519" t="s">
        <v>775</v>
      </c>
      <c r="V40" s="519" t="s">
        <v>864</v>
      </c>
      <c r="W40" s="725"/>
      <c r="X40" s="519" t="s">
        <v>866</v>
      </c>
      <c r="Y40" s="725"/>
      <c r="Z40" s="647">
        <v>120982.16</v>
      </c>
      <c r="AA40" s="519" t="s">
        <v>210</v>
      </c>
      <c r="AB40" s="522">
        <v>43171</v>
      </c>
      <c r="AC40" s="523" t="s">
        <v>38</v>
      </c>
      <c r="AD40" s="519" t="s">
        <v>39</v>
      </c>
      <c r="AE40" s="519" t="s">
        <v>40</v>
      </c>
      <c r="AF40" s="519" t="s">
        <v>39</v>
      </c>
      <c r="AG40" s="520">
        <v>45</v>
      </c>
      <c r="AH40" s="523" t="s">
        <v>36</v>
      </c>
      <c r="AI40" s="522" t="s">
        <v>765</v>
      </c>
      <c r="AJ40" s="729"/>
      <c r="AK40" s="729"/>
      <c r="AL40" s="729"/>
      <c r="AM40" s="519" t="s">
        <v>211</v>
      </c>
      <c r="AN40" s="519" t="s">
        <v>212</v>
      </c>
      <c r="AO40" s="643">
        <v>4653.16</v>
      </c>
      <c r="AP40" s="524">
        <f t="shared" si="2"/>
        <v>58.16</v>
      </c>
      <c r="AQ40" s="724"/>
      <c r="AS40" s="460" t="s">
        <v>903</v>
      </c>
    </row>
    <row r="41" spans="1:46">
      <c r="A41" s="519" t="s">
        <v>194</v>
      </c>
      <c r="B41" s="519" t="s">
        <v>195</v>
      </c>
      <c r="C41" s="707"/>
      <c r="D41" s="519" t="s">
        <v>196</v>
      </c>
      <c r="E41" s="519" t="s">
        <v>197</v>
      </c>
      <c r="F41" s="519" t="s">
        <v>198</v>
      </c>
      <c r="G41" s="519" t="s">
        <v>199</v>
      </c>
      <c r="H41" s="519" t="s">
        <v>200</v>
      </c>
      <c r="I41" s="519" t="s">
        <v>6</v>
      </c>
      <c r="J41" s="519" t="s">
        <v>201</v>
      </c>
      <c r="K41" s="519" t="s">
        <v>202</v>
      </c>
      <c r="L41" s="519" t="s">
        <v>37</v>
      </c>
      <c r="M41" s="519" t="s">
        <v>203</v>
      </c>
      <c r="N41" s="519" t="s">
        <v>226</v>
      </c>
      <c r="O41" s="519" t="s">
        <v>9</v>
      </c>
      <c r="P41" s="519" t="s">
        <v>205</v>
      </c>
      <c r="Q41" s="519" t="s">
        <v>206</v>
      </c>
      <c r="R41" s="519" t="s">
        <v>31</v>
      </c>
      <c r="S41" s="519" t="s">
        <v>207</v>
      </c>
      <c r="T41" s="519" t="s">
        <v>326</v>
      </c>
      <c r="U41" s="519" t="s">
        <v>327</v>
      </c>
      <c r="V41" s="519" t="s">
        <v>404</v>
      </c>
      <c r="W41" s="725"/>
      <c r="X41" s="519" t="s">
        <v>405</v>
      </c>
      <c r="Y41" s="725"/>
      <c r="Z41" s="647">
        <v>74880</v>
      </c>
      <c r="AA41" s="519" t="s">
        <v>210</v>
      </c>
      <c r="AB41" s="522">
        <v>43171</v>
      </c>
      <c r="AC41" s="523" t="s">
        <v>38</v>
      </c>
      <c r="AD41" s="519" t="s">
        <v>39</v>
      </c>
      <c r="AE41" s="519" t="s">
        <v>40</v>
      </c>
      <c r="AF41" s="519" t="s">
        <v>39</v>
      </c>
      <c r="AG41" s="520">
        <v>35</v>
      </c>
      <c r="AH41" s="523" t="s">
        <v>41</v>
      </c>
      <c r="AI41" s="522" t="s">
        <v>765</v>
      </c>
      <c r="AJ41" s="729"/>
      <c r="AK41" s="729"/>
      <c r="AL41" s="729"/>
      <c r="AM41" s="519" t="s">
        <v>211</v>
      </c>
      <c r="AN41" s="519" t="s">
        <v>212</v>
      </c>
      <c r="AO41" s="643">
        <v>2880</v>
      </c>
      <c r="AP41" s="524">
        <f t="shared" si="2"/>
        <v>36</v>
      </c>
      <c r="AQ41" s="724"/>
      <c r="AS41" s="460" t="s">
        <v>903</v>
      </c>
    </row>
    <row r="42" spans="1:46">
      <c r="A42" s="519" t="s">
        <v>194</v>
      </c>
      <c r="B42" s="519" t="s">
        <v>195</v>
      </c>
      <c r="C42" s="707"/>
      <c r="D42" s="519" t="s">
        <v>196</v>
      </c>
      <c r="E42" s="519" t="s">
        <v>197</v>
      </c>
      <c r="F42" s="519" t="s">
        <v>378</v>
      </c>
      <c r="G42" s="519" t="s">
        <v>379</v>
      </c>
      <c r="H42" s="519" t="s">
        <v>200</v>
      </c>
      <c r="I42" s="519" t="s">
        <v>6</v>
      </c>
      <c r="J42" s="519" t="s">
        <v>201</v>
      </c>
      <c r="K42" s="519" t="s">
        <v>202</v>
      </c>
      <c r="L42" s="519" t="s">
        <v>37</v>
      </c>
      <c r="M42" s="519" t="s">
        <v>203</v>
      </c>
      <c r="N42" s="519" t="s">
        <v>356</v>
      </c>
      <c r="O42" s="519" t="s">
        <v>357</v>
      </c>
      <c r="P42" s="519" t="s">
        <v>205</v>
      </c>
      <c r="Q42" s="519" t="s">
        <v>206</v>
      </c>
      <c r="R42" s="519" t="s">
        <v>31</v>
      </c>
      <c r="S42" s="519" t="s">
        <v>207</v>
      </c>
      <c r="T42" s="519" t="s">
        <v>816</v>
      </c>
      <c r="U42" s="519" t="s">
        <v>817</v>
      </c>
      <c r="V42" s="519" t="s">
        <v>893</v>
      </c>
      <c r="W42" s="725"/>
      <c r="X42" s="519" t="s">
        <v>312</v>
      </c>
      <c r="Y42" s="725"/>
      <c r="Z42" s="647">
        <v>71999.98</v>
      </c>
      <c r="AA42" s="519" t="s">
        <v>210</v>
      </c>
      <c r="AB42" s="522">
        <v>43339</v>
      </c>
      <c r="AC42" s="523" t="s">
        <v>38</v>
      </c>
      <c r="AD42" s="519" t="s">
        <v>39</v>
      </c>
      <c r="AE42" s="519" t="s">
        <v>40</v>
      </c>
      <c r="AF42" s="519" t="s">
        <v>39</v>
      </c>
      <c r="AG42" s="520">
        <v>30</v>
      </c>
      <c r="AH42" s="523" t="s">
        <v>36</v>
      </c>
      <c r="AI42" s="522" t="s">
        <v>765</v>
      </c>
      <c r="AJ42" s="729"/>
      <c r="AK42" s="729"/>
      <c r="AL42" s="729"/>
      <c r="AM42" s="519" t="s">
        <v>211</v>
      </c>
      <c r="AN42" s="519" t="s">
        <v>212</v>
      </c>
      <c r="AO42" s="643">
        <v>2769.23</v>
      </c>
      <c r="AP42" s="524">
        <f t="shared" si="2"/>
        <v>34.619999999999997</v>
      </c>
      <c r="AQ42" s="724"/>
      <c r="AS42" s="460" t="s">
        <v>281</v>
      </c>
      <c r="AT42" s="604"/>
    </row>
    <row r="43" spans="1:46">
      <c r="A43" s="519" t="s">
        <v>194</v>
      </c>
      <c r="B43" s="519" t="s">
        <v>195</v>
      </c>
      <c r="C43" s="707"/>
      <c r="D43" s="519" t="s">
        <v>196</v>
      </c>
      <c r="E43" s="519" t="s">
        <v>197</v>
      </c>
      <c r="F43" s="519" t="s">
        <v>198</v>
      </c>
      <c r="G43" s="519" t="s">
        <v>199</v>
      </c>
      <c r="H43" s="519" t="s">
        <v>200</v>
      </c>
      <c r="I43" s="519" t="s">
        <v>6</v>
      </c>
      <c r="J43" s="519" t="s">
        <v>873</v>
      </c>
      <c r="K43" s="519" t="s">
        <v>874</v>
      </c>
      <c r="L43" s="519" t="s">
        <v>31</v>
      </c>
      <c r="M43" s="519" t="s">
        <v>875</v>
      </c>
      <c r="N43" s="519" t="s">
        <v>410</v>
      </c>
      <c r="O43" s="519" t="s">
        <v>411</v>
      </c>
      <c r="P43" s="519" t="s">
        <v>205</v>
      </c>
      <c r="Q43" s="519" t="s">
        <v>206</v>
      </c>
      <c r="R43" s="519" t="s">
        <v>31</v>
      </c>
      <c r="S43" s="519" t="s">
        <v>207</v>
      </c>
      <c r="T43" s="519" t="s">
        <v>326</v>
      </c>
      <c r="U43" s="519" t="s">
        <v>327</v>
      </c>
      <c r="V43" s="519" t="s">
        <v>876</v>
      </c>
      <c r="W43" s="725"/>
      <c r="X43" s="519" t="s">
        <v>877</v>
      </c>
      <c r="Y43" s="725"/>
      <c r="Z43" s="647">
        <v>18</v>
      </c>
      <c r="AA43" s="519" t="s">
        <v>210</v>
      </c>
      <c r="AB43" s="522">
        <v>42870</v>
      </c>
      <c r="AC43" s="523" t="s">
        <v>32</v>
      </c>
      <c r="AD43" s="519" t="s">
        <v>33</v>
      </c>
      <c r="AE43" s="519" t="s">
        <v>34</v>
      </c>
      <c r="AF43" s="519" t="s">
        <v>35</v>
      </c>
      <c r="AG43" s="519" t="s">
        <v>45</v>
      </c>
      <c r="AH43" s="523" t="s">
        <v>36</v>
      </c>
      <c r="AI43" s="522" t="s">
        <v>765</v>
      </c>
      <c r="AJ43" s="729"/>
      <c r="AK43" s="729"/>
      <c r="AL43" s="729"/>
      <c r="AM43" s="519" t="s">
        <v>231</v>
      </c>
      <c r="AN43" s="519" t="s">
        <v>232</v>
      </c>
      <c r="AO43" s="643">
        <v>18</v>
      </c>
      <c r="AP43" s="524">
        <f t="shared" si="2"/>
        <v>18</v>
      </c>
      <c r="AQ43" s="724"/>
      <c r="AS43" s="460" t="s">
        <v>903</v>
      </c>
    </row>
    <row r="44" spans="1:46">
      <c r="A44" s="519" t="s">
        <v>194</v>
      </c>
      <c r="B44" s="519" t="s">
        <v>195</v>
      </c>
      <c r="C44" s="707"/>
      <c r="D44" s="519" t="s">
        <v>196</v>
      </c>
      <c r="E44" s="519" t="s">
        <v>197</v>
      </c>
      <c r="F44" s="519" t="s">
        <v>198</v>
      </c>
      <c r="G44" s="519" t="s">
        <v>199</v>
      </c>
      <c r="H44" s="519" t="s">
        <v>200</v>
      </c>
      <c r="I44" s="519" t="s">
        <v>6</v>
      </c>
      <c r="J44" s="519" t="s">
        <v>201</v>
      </c>
      <c r="K44" s="519" t="s">
        <v>202</v>
      </c>
      <c r="L44" s="519" t="s">
        <v>30</v>
      </c>
      <c r="M44" s="519" t="s">
        <v>225</v>
      </c>
      <c r="N44" s="519" t="s">
        <v>226</v>
      </c>
      <c r="O44" s="519" t="s">
        <v>9</v>
      </c>
      <c r="P44" s="519" t="s">
        <v>205</v>
      </c>
      <c r="Q44" s="519" t="s">
        <v>206</v>
      </c>
      <c r="R44" s="519" t="s">
        <v>31</v>
      </c>
      <c r="S44" s="519" t="s">
        <v>207</v>
      </c>
      <c r="T44" s="519" t="s">
        <v>227</v>
      </c>
      <c r="U44" s="519" t="s">
        <v>228</v>
      </c>
      <c r="V44" s="519" t="s">
        <v>229</v>
      </c>
      <c r="W44" s="725"/>
      <c r="X44" s="519" t="s">
        <v>230</v>
      </c>
      <c r="Y44" s="725"/>
      <c r="Z44" s="647">
        <v>28.82</v>
      </c>
      <c r="AA44" s="519" t="s">
        <v>210</v>
      </c>
      <c r="AB44" s="522">
        <v>43171</v>
      </c>
      <c r="AC44" s="523" t="s">
        <v>32</v>
      </c>
      <c r="AD44" s="519" t="s">
        <v>33</v>
      </c>
      <c r="AE44" s="519" t="s">
        <v>34</v>
      </c>
      <c r="AF44" s="519" t="s">
        <v>35</v>
      </c>
      <c r="AG44" s="520">
        <v>25</v>
      </c>
      <c r="AH44" s="523" t="s">
        <v>41</v>
      </c>
      <c r="AI44" s="522" t="s">
        <v>765</v>
      </c>
      <c r="AJ44" s="729"/>
      <c r="AK44" s="729"/>
      <c r="AL44" s="729"/>
      <c r="AM44" s="519" t="s">
        <v>231</v>
      </c>
      <c r="AN44" s="519" t="s">
        <v>232</v>
      </c>
      <c r="AO44" s="643">
        <v>28.82</v>
      </c>
      <c r="AP44" s="524">
        <f t="shared" si="2"/>
        <v>28.82</v>
      </c>
      <c r="AQ44" s="724"/>
      <c r="AS44" s="460" t="s">
        <v>903</v>
      </c>
    </row>
    <row r="45" spans="1:46">
      <c r="A45" s="519" t="s">
        <v>194</v>
      </c>
      <c r="B45" s="519" t="s">
        <v>195</v>
      </c>
      <c r="C45" s="707"/>
      <c r="D45" s="519" t="s">
        <v>196</v>
      </c>
      <c r="E45" s="519" t="s">
        <v>197</v>
      </c>
      <c r="F45" s="519" t="s">
        <v>198</v>
      </c>
      <c r="G45" s="519" t="s">
        <v>199</v>
      </c>
      <c r="H45" s="519" t="s">
        <v>200</v>
      </c>
      <c r="I45" s="519" t="s">
        <v>6</v>
      </c>
      <c r="J45" s="519" t="s">
        <v>201</v>
      </c>
      <c r="K45" s="519" t="s">
        <v>202</v>
      </c>
      <c r="L45" s="519" t="s">
        <v>30</v>
      </c>
      <c r="M45" s="519" t="s">
        <v>225</v>
      </c>
      <c r="N45" s="519" t="s">
        <v>226</v>
      </c>
      <c r="O45" s="519" t="s">
        <v>9</v>
      </c>
      <c r="P45" s="519" t="s">
        <v>205</v>
      </c>
      <c r="Q45" s="519" t="s">
        <v>206</v>
      </c>
      <c r="R45" s="519" t="s">
        <v>31</v>
      </c>
      <c r="S45" s="519" t="s">
        <v>207</v>
      </c>
      <c r="T45" s="519" t="s">
        <v>233</v>
      </c>
      <c r="U45" s="519" t="s">
        <v>234</v>
      </c>
      <c r="V45" s="519" t="s">
        <v>277</v>
      </c>
      <c r="W45" s="725"/>
      <c r="X45" s="519" t="s">
        <v>237</v>
      </c>
      <c r="Y45" s="725"/>
      <c r="Z45" s="647">
        <v>32.369999999999997</v>
      </c>
      <c r="AA45" s="519" t="s">
        <v>210</v>
      </c>
      <c r="AB45" s="522">
        <v>43171</v>
      </c>
      <c r="AC45" s="523" t="s">
        <v>32</v>
      </c>
      <c r="AD45" s="519" t="s">
        <v>33</v>
      </c>
      <c r="AE45" s="519" t="s">
        <v>34</v>
      </c>
      <c r="AF45" s="519" t="s">
        <v>35</v>
      </c>
      <c r="AG45" s="520">
        <v>22</v>
      </c>
      <c r="AH45" s="523" t="s">
        <v>46</v>
      </c>
      <c r="AI45" s="522" t="s">
        <v>765</v>
      </c>
      <c r="AJ45" s="729"/>
      <c r="AK45" s="729"/>
      <c r="AL45" s="729"/>
      <c r="AM45" s="519" t="s">
        <v>231</v>
      </c>
      <c r="AN45" s="519" t="s">
        <v>232</v>
      </c>
      <c r="AO45" s="643">
        <v>32.369999999999997</v>
      </c>
      <c r="AP45" s="524">
        <f t="shared" si="2"/>
        <v>32.369999999999997</v>
      </c>
      <c r="AQ45" s="724"/>
      <c r="AS45" s="460" t="s">
        <v>903</v>
      </c>
    </row>
    <row r="46" spans="1:46">
      <c r="A46" s="519" t="s">
        <v>194</v>
      </c>
      <c r="B46" s="519" t="s">
        <v>195</v>
      </c>
      <c r="C46" s="707"/>
      <c r="D46" s="519" t="s">
        <v>196</v>
      </c>
      <c r="E46" s="519" t="s">
        <v>197</v>
      </c>
      <c r="F46" s="519" t="s">
        <v>198</v>
      </c>
      <c r="G46" s="519" t="s">
        <v>199</v>
      </c>
      <c r="H46" s="519" t="s">
        <v>200</v>
      </c>
      <c r="I46" s="519" t="s">
        <v>6</v>
      </c>
      <c r="J46" s="519" t="s">
        <v>201</v>
      </c>
      <c r="K46" s="519" t="s">
        <v>202</v>
      </c>
      <c r="L46" s="519" t="s">
        <v>30</v>
      </c>
      <c r="M46" s="519" t="s">
        <v>225</v>
      </c>
      <c r="N46" s="519" t="s">
        <v>263</v>
      </c>
      <c r="O46" s="519" t="s">
        <v>264</v>
      </c>
      <c r="P46" s="519" t="s">
        <v>205</v>
      </c>
      <c r="Q46" s="519" t="s">
        <v>206</v>
      </c>
      <c r="R46" s="519" t="s">
        <v>31</v>
      </c>
      <c r="S46" s="519" t="s">
        <v>207</v>
      </c>
      <c r="T46" s="519" t="s">
        <v>280</v>
      </c>
      <c r="U46" s="519" t="s">
        <v>281</v>
      </c>
      <c r="V46" s="519" t="s">
        <v>282</v>
      </c>
      <c r="W46" s="725"/>
      <c r="X46" s="519" t="s">
        <v>284</v>
      </c>
      <c r="Y46" s="725"/>
      <c r="Z46" s="647">
        <v>26.37</v>
      </c>
      <c r="AA46" s="519" t="s">
        <v>210</v>
      </c>
      <c r="AB46" s="522">
        <v>43171</v>
      </c>
      <c r="AC46" s="523" t="s">
        <v>32</v>
      </c>
      <c r="AD46" s="519" t="s">
        <v>33</v>
      </c>
      <c r="AE46" s="519" t="s">
        <v>34</v>
      </c>
      <c r="AF46" s="519" t="s">
        <v>35</v>
      </c>
      <c r="AG46" s="520">
        <v>20</v>
      </c>
      <c r="AH46" s="523" t="s">
        <v>36</v>
      </c>
      <c r="AI46" s="522" t="s">
        <v>765</v>
      </c>
      <c r="AJ46" s="729"/>
      <c r="AK46" s="729"/>
      <c r="AL46" s="729"/>
      <c r="AM46" s="519" t="s">
        <v>231</v>
      </c>
      <c r="AN46" s="519" t="s">
        <v>232</v>
      </c>
      <c r="AO46" s="643">
        <v>26.37</v>
      </c>
      <c r="AP46" s="524">
        <f t="shared" si="2"/>
        <v>26.37</v>
      </c>
      <c r="AQ46" s="724"/>
      <c r="AS46" s="460" t="s">
        <v>281</v>
      </c>
    </row>
    <row r="47" spans="1:46">
      <c r="A47" s="519" t="s">
        <v>194</v>
      </c>
      <c r="B47" s="519" t="s">
        <v>195</v>
      </c>
      <c r="C47" s="707"/>
      <c r="D47" s="519" t="s">
        <v>196</v>
      </c>
      <c r="E47" s="519" t="s">
        <v>197</v>
      </c>
      <c r="F47" s="519" t="s">
        <v>198</v>
      </c>
      <c r="G47" s="519" t="s">
        <v>199</v>
      </c>
      <c r="H47" s="519" t="s">
        <v>200</v>
      </c>
      <c r="I47" s="519" t="s">
        <v>6</v>
      </c>
      <c r="J47" s="519" t="s">
        <v>201</v>
      </c>
      <c r="K47" s="519" t="s">
        <v>202</v>
      </c>
      <c r="L47" s="519" t="s">
        <v>30</v>
      </c>
      <c r="M47" s="519" t="s">
        <v>225</v>
      </c>
      <c r="N47" s="519" t="s">
        <v>285</v>
      </c>
      <c r="O47" s="519" t="s">
        <v>286</v>
      </c>
      <c r="P47" s="519" t="s">
        <v>205</v>
      </c>
      <c r="Q47" s="519" t="s">
        <v>206</v>
      </c>
      <c r="R47" s="519" t="s">
        <v>31</v>
      </c>
      <c r="S47" s="519" t="s">
        <v>207</v>
      </c>
      <c r="T47" s="519" t="s">
        <v>672</v>
      </c>
      <c r="U47" s="519" t="s">
        <v>770</v>
      </c>
      <c r="V47" s="519" t="s">
        <v>291</v>
      </c>
      <c r="W47" s="725"/>
      <c r="X47" s="519" t="s">
        <v>230</v>
      </c>
      <c r="Y47" s="725"/>
      <c r="Z47" s="647">
        <v>31</v>
      </c>
      <c r="AA47" s="519" t="s">
        <v>210</v>
      </c>
      <c r="AB47" s="522">
        <v>43171</v>
      </c>
      <c r="AC47" s="523" t="s">
        <v>32</v>
      </c>
      <c r="AD47" s="519" t="s">
        <v>33</v>
      </c>
      <c r="AE47" s="519" t="s">
        <v>34</v>
      </c>
      <c r="AF47" s="519" t="s">
        <v>35</v>
      </c>
      <c r="AG47" s="520">
        <v>25</v>
      </c>
      <c r="AH47" s="523" t="s">
        <v>36</v>
      </c>
      <c r="AI47" s="522" t="s">
        <v>765</v>
      </c>
      <c r="AJ47" s="729"/>
      <c r="AK47" s="729"/>
      <c r="AL47" s="729"/>
      <c r="AM47" s="519" t="s">
        <v>231</v>
      </c>
      <c r="AN47" s="519" t="s">
        <v>232</v>
      </c>
      <c r="AO47" s="643">
        <v>31</v>
      </c>
      <c r="AP47" s="524">
        <f t="shared" si="2"/>
        <v>31</v>
      </c>
      <c r="AQ47" s="724"/>
      <c r="AS47" s="460" t="s">
        <v>738</v>
      </c>
    </row>
    <row r="48" spans="1:46">
      <c r="A48" s="519" t="s">
        <v>194</v>
      </c>
      <c r="B48" s="519" t="s">
        <v>195</v>
      </c>
      <c r="C48" s="707"/>
      <c r="D48" s="519" t="s">
        <v>196</v>
      </c>
      <c r="E48" s="519" t="s">
        <v>197</v>
      </c>
      <c r="F48" s="519" t="s">
        <v>198</v>
      </c>
      <c r="G48" s="519" t="s">
        <v>199</v>
      </c>
      <c r="H48" s="519" t="s">
        <v>200</v>
      </c>
      <c r="I48" s="519" t="s">
        <v>6</v>
      </c>
      <c r="J48" s="519" t="s">
        <v>201</v>
      </c>
      <c r="K48" s="519" t="s">
        <v>202</v>
      </c>
      <c r="L48" s="519" t="s">
        <v>30</v>
      </c>
      <c r="M48" s="519" t="s">
        <v>225</v>
      </c>
      <c r="N48" s="519" t="s">
        <v>285</v>
      </c>
      <c r="O48" s="519" t="s">
        <v>286</v>
      </c>
      <c r="P48" s="519" t="s">
        <v>205</v>
      </c>
      <c r="Q48" s="519" t="s">
        <v>206</v>
      </c>
      <c r="R48" s="519" t="s">
        <v>31</v>
      </c>
      <c r="S48" s="519" t="s">
        <v>207</v>
      </c>
      <c r="T48" s="519" t="s">
        <v>348</v>
      </c>
      <c r="U48" s="519" t="s">
        <v>349</v>
      </c>
      <c r="V48" s="519" t="s">
        <v>300</v>
      </c>
      <c r="W48" s="725"/>
      <c r="X48" s="519" t="s">
        <v>302</v>
      </c>
      <c r="Y48" s="725"/>
      <c r="Z48" s="647">
        <v>22.72</v>
      </c>
      <c r="AA48" s="519" t="s">
        <v>210</v>
      </c>
      <c r="AB48" s="522">
        <v>43171</v>
      </c>
      <c r="AC48" s="523" t="s">
        <v>32</v>
      </c>
      <c r="AD48" s="519" t="s">
        <v>33</v>
      </c>
      <c r="AE48" s="519" t="s">
        <v>34</v>
      </c>
      <c r="AF48" s="519" t="s">
        <v>35</v>
      </c>
      <c r="AG48" s="520">
        <v>15</v>
      </c>
      <c r="AH48" s="523" t="s">
        <v>46</v>
      </c>
      <c r="AI48" s="522" t="s">
        <v>765</v>
      </c>
      <c r="AJ48" s="729"/>
      <c r="AK48" s="729"/>
      <c r="AL48" s="729"/>
      <c r="AM48" s="519" t="s">
        <v>231</v>
      </c>
      <c r="AN48" s="519" t="s">
        <v>232</v>
      </c>
      <c r="AO48" s="643">
        <v>22.72</v>
      </c>
      <c r="AP48" s="524">
        <f t="shared" si="2"/>
        <v>22.72</v>
      </c>
      <c r="AQ48" s="724"/>
      <c r="AS48" s="460" t="s">
        <v>738</v>
      </c>
    </row>
    <row r="49" spans="1:45">
      <c r="A49" s="519" t="s">
        <v>194</v>
      </c>
      <c r="B49" s="519" t="s">
        <v>195</v>
      </c>
      <c r="C49" s="707"/>
      <c r="D49" s="519" t="s">
        <v>196</v>
      </c>
      <c r="E49" s="519" t="s">
        <v>197</v>
      </c>
      <c r="F49" s="519" t="s">
        <v>198</v>
      </c>
      <c r="G49" s="519" t="s">
        <v>199</v>
      </c>
      <c r="H49" s="519" t="s">
        <v>200</v>
      </c>
      <c r="I49" s="519" t="s">
        <v>6</v>
      </c>
      <c r="J49" s="519" t="s">
        <v>201</v>
      </c>
      <c r="K49" s="519" t="s">
        <v>202</v>
      </c>
      <c r="L49" s="519" t="s">
        <v>30</v>
      </c>
      <c r="M49" s="519" t="s">
        <v>225</v>
      </c>
      <c r="N49" s="519" t="s">
        <v>218</v>
      </c>
      <c r="O49" s="519" t="s">
        <v>219</v>
      </c>
      <c r="P49" s="519" t="s">
        <v>205</v>
      </c>
      <c r="Q49" s="519" t="s">
        <v>206</v>
      </c>
      <c r="R49" s="519" t="s">
        <v>31</v>
      </c>
      <c r="S49" s="519" t="s">
        <v>207</v>
      </c>
      <c r="T49" s="519" t="s">
        <v>371</v>
      </c>
      <c r="U49" s="519" t="s">
        <v>372</v>
      </c>
      <c r="V49" s="519" t="s">
        <v>304</v>
      </c>
      <c r="W49" s="725"/>
      <c r="X49" s="519" t="s">
        <v>230</v>
      </c>
      <c r="Y49" s="725"/>
      <c r="Z49" s="647">
        <v>32.46</v>
      </c>
      <c r="AA49" s="519" t="s">
        <v>210</v>
      </c>
      <c r="AB49" s="522">
        <v>43171</v>
      </c>
      <c r="AC49" s="523" t="s">
        <v>32</v>
      </c>
      <c r="AD49" s="519" t="s">
        <v>33</v>
      </c>
      <c r="AE49" s="519" t="s">
        <v>34</v>
      </c>
      <c r="AF49" s="519" t="s">
        <v>35</v>
      </c>
      <c r="AG49" s="520">
        <v>25</v>
      </c>
      <c r="AH49" s="523" t="s">
        <v>36</v>
      </c>
      <c r="AI49" s="522" t="s">
        <v>765</v>
      </c>
      <c r="AJ49" s="729"/>
      <c r="AK49" s="729"/>
      <c r="AL49" s="729"/>
      <c r="AM49" s="519" t="s">
        <v>231</v>
      </c>
      <c r="AN49" s="519" t="s">
        <v>232</v>
      </c>
      <c r="AO49" s="643">
        <v>32.46</v>
      </c>
      <c r="AP49" s="524">
        <f t="shared" si="2"/>
        <v>32.46</v>
      </c>
      <c r="AQ49" s="724"/>
      <c r="AS49" s="460" t="s">
        <v>739</v>
      </c>
    </row>
    <row r="50" spans="1:45">
      <c r="A50" s="519" t="s">
        <v>194</v>
      </c>
      <c r="B50" s="519" t="s">
        <v>195</v>
      </c>
      <c r="C50" s="707"/>
      <c r="D50" s="519" t="s">
        <v>196</v>
      </c>
      <c r="E50" s="519" t="s">
        <v>197</v>
      </c>
      <c r="F50" s="519" t="s">
        <v>198</v>
      </c>
      <c r="G50" s="519" t="s">
        <v>199</v>
      </c>
      <c r="H50" s="519" t="s">
        <v>200</v>
      </c>
      <c r="I50" s="519" t="s">
        <v>6</v>
      </c>
      <c r="J50" s="519" t="s">
        <v>201</v>
      </c>
      <c r="K50" s="519" t="s">
        <v>202</v>
      </c>
      <c r="L50" s="519" t="s">
        <v>30</v>
      </c>
      <c r="M50" s="519" t="s">
        <v>225</v>
      </c>
      <c r="N50" s="519" t="s">
        <v>263</v>
      </c>
      <c r="O50" s="519" t="s">
        <v>264</v>
      </c>
      <c r="P50" s="519" t="s">
        <v>205</v>
      </c>
      <c r="Q50" s="519" t="s">
        <v>206</v>
      </c>
      <c r="R50" s="519" t="s">
        <v>31</v>
      </c>
      <c r="S50" s="519" t="s">
        <v>207</v>
      </c>
      <c r="T50" s="519" t="s">
        <v>280</v>
      </c>
      <c r="U50" s="519" t="s">
        <v>281</v>
      </c>
      <c r="V50" s="519" t="s">
        <v>322</v>
      </c>
      <c r="W50" s="725"/>
      <c r="X50" s="519" t="s">
        <v>230</v>
      </c>
      <c r="Y50" s="725"/>
      <c r="Z50" s="647">
        <v>32.020000000000003</v>
      </c>
      <c r="AA50" s="519" t="s">
        <v>210</v>
      </c>
      <c r="AB50" s="522">
        <v>43171</v>
      </c>
      <c r="AC50" s="523" t="s">
        <v>32</v>
      </c>
      <c r="AD50" s="519" t="s">
        <v>33</v>
      </c>
      <c r="AE50" s="519" t="s">
        <v>34</v>
      </c>
      <c r="AF50" s="519" t="s">
        <v>35</v>
      </c>
      <c r="AG50" s="520">
        <v>25</v>
      </c>
      <c r="AH50" s="523" t="s">
        <v>36</v>
      </c>
      <c r="AI50" s="522" t="s">
        <v>765</v>
      </c>
      <c r="AJ50" s="729"/>
      <c r="AK50" s="729"/>
      <c r="AL50" s="729"/>
      <c r="AM50" s="519" t="s">
        <v>231</v>
      </c>
      <c r="AN50" s="519" t="s">
        <v>232</v>
      </c>
      <c r="AO50" s="643">
        <v>32.020000000000003</v>
      </c>
      <c r="AP50" s="524">
        <f t="shared" si="2"/>
        <v>32.020000000000003</v>
      </c>
      <c r="AQ50" s="724"/>
      <c r="AS50" s="460" t="s">
        <v>281</v>
      </c>
    </row>
    <row r="51" spans="1:45">
      <c r="A51" s="519" t="s">
        <v>194</v>
      </c>
      <c r="B51" s="519" t="s">
        <v>195</v>
      </c>
      <c r="C51" s="707"/>
      <c r="D51" s="519" t="s">
        <v>196</v>
      </c>
      <c r="E51" s="519" t="s">
        <v>197</v>
      </c>
      <c r="F51" s="519" t="s">
        <v>198</v>
      </c>
      <c r="G51" s="519" t="s">
        <v>199</v>
      </c>
      <c r="H51" s="519" t="s">
        <v>200</v>
      </c>
      <c r="I51" s="519" t="s">
        <v>6</v>
      </c>
      <c r="J51" s="519" t="s">
        <v>201</v>
      </c>
      <c r="K51" s="519" t="s">
        <v>202</v>
      </c>
      <c r="L51" s="519" t="s">
        <v>30</v>
      </c>
      <c r="M51" s="519" t="s">
        <v>225</v>
      </c>
      <c r="N51" s="519" t="s">
        <v>285</v>
      </c>
      <c r="O51" s="519" t="s">
        <v>286</v>
      </c>
      <c r="P51" s="519" t="s">
        <v>205</v>
      </c>
      <c r="Q51" s="519" t="s">
        <v>206</v>
      </c>
      <c r="R51" s="519" t="s">
        <v>31</v>
      </c>
      <c r="S51" s="519" t="s">
        <v>207</v>
      </c>
      <c r="T51" s="519" t="s">
        <v>348</v>
      </c>
      <c r="U51" s="519" t="s">
        <v>349</v>
      </c>
      <c r="V51" s="519" t="s">
        <v>323</v>
      </c>
      <c r="W51" s="725"/>
      <c r="X51" s="519" t="s">
        <v>230</v>
      </c>
      <c r="Y51" s="725"/>
      <c r="Z51" s="647">
        <v>29.11</v>
      </c>
      <c r="AA51" s="519" t="s">
        <v>210</v>
      </c>
      <c r="AB51" s="522">
        <v>43171</v>
      </c>
      <c r="AC51" s="523" t="s">
        <v>32</v>
      </c>
      <c r="AD51" s="519" t="s">
        <v>33</v>
      </c>
      <c r="AE51" s="519" t="s">
        <v>34</v>
      </c>
      <c r="AF51" s="519" t="s">
        <v>35</v>
      </c>
      <c r="AG51" s="520">
        <v>25</v>
      </c>
      <c r="AH51" s="523" t="s">
        <v>41</v>
      </c>
      <c r="AI51" s="522" t="s">
        <v>765</v>
      </c>
      <c r="AJ51" s="729"/>
      <c r="AK51" s="729"/>
      <c r="AL51" s="729"/>
      <c r="AM51" s="519" t="s">
        <v>231</v>
      </c>
      <c r="AN51" s="519" t="s">
        <v>232</v>
      </c>
      <c r="AO51" s="643">
        <v>29.11</v>
      </c>
      <c r="AP51" s="524">
        <f t="shared" si="2"/>
        <v>29.11</v>
      </c>
      <c r="AQ51" s="724"/>
      <c r="AS51" s="460" t="s">
        <v>738</v>
      </c>
    </row>
    <row r="52" spans="1:45">
      <c r="A52" s="519" t="s">
        <v>194</v>
      </c>
      <c r="B52" s="519" t="s">
        <v>195</v>
      </c>
      <c r="C52" s="707"/>
      <c r="D52" s="519" t="s">
        <v>196</v>
      </c>
      <c r="E52" s="519" t="s">
        <v>197</v>
      </c>
      <c r="F52" s="519" t="s">
        <v>198</v>
      </c>
      <c r="G52" s="519" t="s">
        <v>199</v>
      </c>
      <c r="H52" s="519" t="s">
        <v>200</v>
      </c>
      <c r="I52" s="519" t="s">
        <v>6</v>
      </c>
      <c r="J52" s="519" t="s">
        <v>201</v>
      </c>
      <c r="K52" s="519" t="s">
        <v>202</v>
      </c>
      <c r="L52" s="519" t="s">
        <v>30</v>
      </c>
      <c r="M52" s="519" t="s">
        <v>225</v>
      </c>
      <c r="N52" s="519" t="s">
        <v>226</v>
      </c>
      <c r="O52" s="519" t="s">
        <v>9</v>
      </c>
      <c r="P52" s="519" t="s">
        <v>205</v>
      </c>
      <c r="Q52" s="519" t="s">
        <v>206</v>
      </c>
      <c r="R52" s="519" t="s">
        <v>31</v>
      </c>
      <c r="S52" s="519" t="s">
        <v>207</v>
      </c>
      <c r="T52" s="519" t="s">
        <v>326</v>
      </c>
      <c r="U52" s="519" t="s">
        <v>327</v>
      </c>
      <c r="V52" s="519" t="s">
        <v>328</v>
      </c>
      <c r="W52" s="725"/>
      <c r="X52" s="519" t="s">
        <v>329</v>
      </c>
      <c r="Y52" s="725"/>
      <c r="Z52" s="647">
        <v>28.54</v>
      </c>
      <c r="AA52" s="519" t="s">
        <v>210</v>
      </c>
      <c r="AB52" s="522">
        <v>43171</v>
      </c>
      <c r="AC52" s="523" t="s">
        <v>32</v>
      </c>
      <c r="AD52" s="519" t="s">
        <v>33</v>
      </c>
      <c r="AE52" s="519" t="s">
        <v>34</v>
      </c>
      <c r="AF52" s="519" t="s">
        <v>35</v>
      </c>
      <c r="AG52" s="520">
        <v>22</v>
      </c>
      <c r="AH52" s="523" t="s">
        <v>36</v>
      </c>
      <c r="AI52" s="522" t="s">
        <v>765</v>
      </c>
      <c r="AJ52" s="729"/>
      <c r="AK52" s="729"/>
      <c r="AL52" s="729"/>
      <c r="AM52" s="519" t="s">
        <v>231</v>
      </c>
      <c r="AN52" s="519" t="s">
        <v>232</v>
      </c>
      <c r="AO52" s="643">
        <v>28.54</v>
      </c>
      <c r="AP52" s="524">
        <f t="shared" si="2"/>
        <v>28.54</v>
      </c>
      <c r="AQ52" s="724"/>
      <c r="AS52" s="460" t="s">
        <v>903</v>
      </c>
    </row>
    <row r="53" spans="1:45">
      <c r="A53" s="519" t="s">
        <v>194</v>
      </c>
      <c r="B53" s="519" t="s">
        <v>195</v>
      </c>
      <c r="C53" s="707"/>
      <c r="D53" s="519" t="s">
        <v>196</v>
      </c>
      <c r="E53" s="519" t="s">
        <v>197</v>
      </c>
      <c r="F53" s="519" t="s">
        <v>378</v>
      </c>
      <c r="G53" s="519" t="s">
        <v>379</v>
      </c>
      <c r="H53" s="519" t="s">
        <v>200</v>
      </c>
      <c r="I53" s="519" t="s">
        <v>6</v>
      </c>
      <c r="J53" s="519" t="s">
        <v>201</v>
      </c>
      <c r="K53" s="519" t="s">
        <v>202</v>
      </c>
      <c r="L53" s="519" t="s">
        <v>30</v>
      </c>
      <c r="M53" s="519" t="s">
        <v>225</v>
      </c>
      <c r="N53" s="519" t="s">
        <v>335</v>
      </c>
      <c r="O53" s="519" t="s">
        <v>336</v>
      </c>
      <c r="P53" s="519" t="s">
        <v>205</v>
      </c>
      <c r="Q53" s="519" t="s">
        <v>206</v>
      </c>
      <c r="R53" s="519" t="s">
        <v>31</v>
      </c>
      <c r="S53" s="519" t="s">
        <v>207</v>
      </c>
      <c r="T53" s="519" t="s">
        <v>337</v>
      </c>
      <c r="U53" s="519" t="s">
        <v>338</v>
      </c>
      <c r="V53" s="519" t="s">
        <v>339</v>
      </c>
      <c r="W53" s="725"/>
      <c r="X53" s="519" t="s">
        <v>302</v>
      </c>
      <c r="Y53" s="725"/>
      <c r="Z53" s="647">
        <v>20.63</v>
      </c>
      <c r="AA53" s="519" t="s">
        <v>210</v>
      </c>
      <c r="AB53" s="522">
        <v>43171</v>
      </c>
      <c r="AC53" s="523" t="s">
        <v>32</v>
      </c>
      <c r="AD53" s="519" t="s">
        <v>33</v>
      </c>
      <c r="AE53" s="519" t="s">
        <v>34</v>
      </c>
      <c r="AF53" s="519" t="s">
        <v>35</v>
      </c>
      <c r="AG53" s="520">
        <v>15</v>
      </c>
      <c r="AH53" s="523" t="s">
        <v>36</v>
      </c>
      <c r="AI53" s="522" t="s">
        <v>765</v>
      </c>
      <c r="AJ53" s="729"/>
      <c r="AK53" s="729"/>
      <c r="AL53" s="729"/>
      <c r="AM53" s="519" t="s">
        <v>231</v>
      </c>
      <c r="AN53" s="519" t="s">
        <v>232</v>
      </c>
      <c r="AO53" s="643">
        <v>20.63</v>
      </c>
      <c r="AP53" s="524">
        <f t="shared" si="2"/>
        <v>20.63</v>
      </c>
      <c r="AQ53" s="724"/>
      <c r="AS53" s="460" t="s">
        <v>903</v>
      </c>
    </row>
    <row r="54" spans="1:45">
      <c r="A54" s="519" t="s">
        <v>194</v>
      </c>
      <c r="B54" s="519" t="s">
        <v>195</v>
      </c>
      <c r="C54" s="707"/>
      <c r="D54" s="519" t="s">
        <v>196</v>
      </c>
      <c r="E54" s="519" t="s">
        <v>197</v>
      </c>
      <c r="F54" s="519" t="s">
        <v>198</v>
      </c>
      <c r="G54" s="519" t="s">
        <v>199</v>
      </c>
      <c r="H54" s="519" t="s">
        <v>200</v>
      </c>
      <c r="I54" s="519" t="s">
        <v>6</v>
      </c>
      <c r="J54" s="519" t="s">
        <v>201</v>
      </c>
      <c r="K54" s="519" t="s">
        <v>202</v>
      </c>
      <c r="L54" s="519" t="s">
        <v>30</v>
      </c>
      <c r="M54" s="519" t="s">
        <v>225</v>
      </c>
      <c r="N54" s="519" t="s">
        <v>226</v>
      </c>
      <c r="O54" s="519" t="s">
        <v>9</v>
      </c>
      <c r="P54" s="519" t="s">
        <v>205</v>
      </c>
      <c r="Q54" s="519" t="s">
        <v>206</v>
      </c>
      <c r="R54" s="519" t="s">
        <v>31</v>
      </c>
      <c r="S54" s="519" t="s">
        <v>207</v>
      </c>
      <c r="T54" s="519" t="s">
        <v>790</v>
      </c>
      <c r="U54" s="519" t="s">
        <v>791</v>
      </c>
      <c r="V54" s="519" t="s">
        <v>792</v>
      </c>
      <c r="W54" s="725"/>
      <c r="X54" s="519" t="s">
        <v>329</v>
      </c>
      <c r="Y54" s="725"/>
      <c r="Z54" s="647">
        <v>25.5</v>
      </c>
      <c r="AA54" s="519" t="s">
        <v>210</v>
      </c>
      <c r="AB54" s="522">
        <v>43171</v>
      </c>
      <c r="AC54" s="523" t="s">
        <v>32</v>
      </c>
      <c r="AD54" s="519" t="s">
        <v>33</v>
      </c>
      <c r="AE54" s="519" t="s">
        <v>34</v>
      </c>
      <c r="AF54" s="519" t="s">
        <v>35</v>
      </c>
      <c r="AG54" s="520">
        <v>22</v>
      </c>
      <c r="AH54" s="523" t="s">
        <v>41</v>
      </c>
      <c r="AI54" s="522" t="s">
        <v>765</v>
      </c>
      <c r="AJ54" s="729"/>
      <c r="AK54" s="729"/>
      <c r="AL54" s="729"/>
      <c r="AM54" s="519" t="s">
        <v>231</v>
      </c>
      <c r="AN54" s="519" t="s">
        <v>232</v>
      </c>
      <c r="AO54" s="643">
        <v>25.5</v>
      </c>
      <c r="AP54" s="524">
        <f t="shared" si="2"/>
        <v>25.5</v>
      </c>
      <c r="AQ54" s="724"/>
      <c r="AS54" s="460" t="s">
        <v>903</v>
      </c>
    </row>
    <row r="55" spans="1:45">
      <c r="A55" s="519" t="s">
        <v>194</v>
      </c>
      <c r="B55" s="519" t="s">
        <v>195</v>
      </c>
      <c r="C55" s="707"/>
      <c r="D55" s="519" t="s">
        <v>196</v>
      </c>
      <c r="E55" s="519" t="s">
        <v>197</v>
      </c>
      <c r="F55" s="519" t="s">
        <v>378</v>
      </c>
      <c r="G55" s="519" t="s">
        <v>379</v>
      </c>
      <c r="H55" s="519" t="s">
        <v>200</v>
      </c>
      <c r="I55" s="519" t="s">
        <v>6</v>
      </c>
      <c r="J55" s="519" t="s">
        <v>201</v>
      </c>
      <c r="K55" s="519" t="s">
        <v>202</v>
      </c>
      <c r="L55" s="519" t="s">
        <v>30</v>
      </c>
      <c r="M55" s="519" t="s">
        <v>225</v>
      </c>
      <c r="N55" s="519" t="s">
        <v>335</v>
      </c>
      <c r="O55" s="519" t="s">
        <v>336</v>
      </c>
      <c r="P55" s="519" t="s">
        <v>205</v>
      </c>
      <c r="Q55" s="519" t="s">
        <v>206</v>
      </c>
      <c r="R55" s="519" t="s">
        <v>31</v>
      </c>
      <c r="S55" s="519" t="s">
        <v>207</v>
      </c>
      <c r="T55" s="519" t="s">
        <v>337</v>
      </c>
      <c r="U55" s="519" t="s">
        <v>338</v>
      </c>
      <c r="V55" s="519" t="s">
        <v>362</v>
      </c>
      <c r="W55" s="725"/>
      <c r="X55" s="519" t="s">
        <v>302</v>
      </c>
      <c r="Y55" s="725"/>
      <c r="Z55" s="647">
        <v>19.850000000000001</v>
      </c>
      <c r="AA55" s="519" t="s">
        <v>210</v>
      </c>
      <c r="AB55" s="522">
        <v>43171</v>
      </c>
      <c r="AC55" s="523" t="s">
        <v>32</v>
      </c>
      <c r="AD55" s="519" t="s">
        <v>33</v>
      </c>
      <c r="AE55" s="519" t="s">
        <v>34</v>
      </c>
      <c r="AF55" s="519" t="s">
        <v>35</v>
      </c>
      <c r="AG55" s="520">
        <v>15</v>
      </c>
      <c r="AH55" s="523" t="s">
        <v>36</v>
      </c>
      <c r="AI55" s="522" t="s">
        <v>765</v>
      </c>
      <c r="AJ55" s="729"/>
      <c r="AK55" s="729"/>
      <c r="AL55" s="729"/>
      <c r="AM55" s="519" t="s">
        <v>231</v>
      </c>
      <c r="AN55" s="519" t="s">
        <v>232</v>
      </c>
      <c r="AO55" s="643">
        <v>19.850000000000001</v>
      </c>
      <c r="AP55" s="524">
        <f t="shared" si="2"/>
        <v>19.850000000000001</v>
      </c>
      <c r="AQ55" s="724"/>
      <c r="AS55" s="460" t="s">
        <v>903</v>
      </c>
    </row>
    <row r="56" spans="1:45">
      <c r="A56" s="519" t="s">
        <v>194</v>
      </c>
      <c r="B56" s="519" t="s">
        <v>195</v>
      </c>
      <c r="C56" s="707"/>
      <c r="D56" s="519" t="s">
        <v>196</v>
      </c>
      <c r="E56" s="519" t="s">
        <v>197</v>
      </c>
      <c r="F56" s="519" t="s">
        <v>198</v>
      </c>
      <c r="G56" s="519" t="s">
        <v>199</v>
      </c>
      <c r="H56" s="519" t="s">
        <v>200</v>
      </c>
      <c r="I56" s="519" t="s">
        <v>6</v>
      </c>
      <c r="J56" s="519" t="s">
        <v>201</v>
      </c>
      <c r="K56" s="519" t="s">
        <v>202</v>
      </c>
      <c r="L56" s="519" t="s">
        <v>30</v>
      </c>
      <c r="M56" s="519" t="s">
        <v>225</v>
      </c>
      <c r="N56" s="519" t="s">
        <v>218</v>
      </c>
      <c r="O56" s="519" t="s">
        <v>219</v>
      </c>
      <c r="P56" s="519" t="s">
        <v>205</v>
      </c>
      <c r="Q56" s="519" t="s">
        <v>206</v>
      </c>
      <c r="R56" s="519" t="s">
        <v>31</v>
      </c>
      <c r="S56" s="519" t="s">
        <v>207</v>
      </c>
      <c r="T56" s="519" t="s">
        <v>371</v>
      </c>
      <c r="U56" s="519" t="s">
        <v>372</v>
      </c>
      <c r="V56" s="519" t="s">
        <v>799</v>
      </c>
      <c r="W56" s="725"/>
      <c r="X56" s="519" t="s">
        <v>801</v>
      </c>
      <c r="Y56" s="725"/>
      <c r="Z56" s="647">
        <v>24.68</v>
      </c>
      <c r="AA56" s="519" t="s">
        <v>210</v>
      </c>
      <c r="AB56" s="522">
        <v>43171</v>
      </c>
      <c r="AC56" s="523" t="s">
        <v>32</v>
      </c>
      <c r="AD56" s="519" t="s">
        <v>33</v>
      </c>
      <c r="AE56" s="519" t="s">
        <v>34</v>
      </c>
      <c r="AF56" s="519" t="s">
        <v>35</v>
      </c>
      <c r="AG56" s="520">
        <v>22</v>
      </c>
      <c r="AH56" s="523" t="s">
        <v>41</v>
      </c>
      <c r="AI56" s="522" t="s">
        <v>765</v>
      </c>
      <c r="AJ56" s="729"/>
      <c r="AK56" s="729"/>
      <c r="AL56" s="729"/>
      <c r="AM56" s="519" t="s">
        <v>231</v>
      </c>
      <c r="AN56" s="519" t="s">
        <v>232</v>
      </c>
      <c r="AO56" s="643">
        <v>24.68</v>
      </c>
      <c r="AP56" s="524">
        <f t="shared" si="2"/>
        <v>24.68</v>
      </c>
      <c r="AQ56" s="724"/>
      <c r="AS56" s="460" t="s">
        <v>739</v>
      </c>
    </row>
    <row r="57" spans="1:45">
      <c r="A57" s="519" t="s">
        <v>194</v>
      </c>
      <c r="B57" s="519" t="s">
        <v>195</v>
      </c>
      <c r="C57" s="707"/>
      <c r="D57" s="519" t="s">
        <v>196</v>
      </c>
      <c r="E57" s="519" t="s">
        <v>197</v>
      </c>
      <c r="F57" s="519" t="s">
        <v>198</v>
      </c>
      <c r="G57" s="519" t="s">
        <v>199</v>
      </c>
      <c r="H57" s="519" t="s">
        <v>200</v>
      </c>
      <c r="I57" s="519" t="s">
        <v>6</v>
      </c>
      <c r="J57" s="519" t="s">
        <v>201</v>
      </c>
      <c r="K57" s="519" t="s">
        <v>202</v>
      </c>
      <c r="L57" s="519" t="s">
        <v>30</v>
      </c>
      <c r="M57" s="519" t="s">
        <v>225</v>
      </c>
      <c r="N57" s="519" t="s">
        <v>285</v>
      </c>
      <c r="O57" s="519" t="s">
        <v>286</v>
      </c>
      <c r="P57" s="519" t="s">
        <v>205</v>
      </c>
      <c r="Q57" s="519" t="s">
        <v>206</v>
      </c>
      <c r="R57" s="519" t="s">
        <v>31</v>
      </c>
      <c r="S57" s="519" t="s">
        <v>207</v>
      </c>
      <c r="T57" s="519" t="s">
        <v>348</v>
      </c>
      <c r="U57" s="519" t="s">
        <v>349</v>
      </c>
      <c r="V57" s="519" t="s">
        <v>373</v>
      </c>
      <c r="W57" s="725"/>
      <c r="X57" s="519" t="s">
        <v>302</v>
      </c>
      <c r="Y57" s="725"/>
      <c r="Z57" s="647">
        <v>22.57</v>
      </c>
      <c r="AA57" s="519" t="s">
        <v>210</v>
      </c>
      <c r="AB57" s="522">
        <v>43171</v>
      </c>
      <c r="AC57" s="523" t="s">
        <v>32</v>
      </c>
      <c r="AD57" s="519" t="s">
        <v>33</v>
      </c>
      <c r="AE57" s="519" t="s">
        <v>34</v>
      </c>
      <c r="AF57" s="519" t="s">
        <v>35</v>
      </c>
      <c r="AG57" s="520">
        <v>15</v>
      </c>
      <c r="AH57" s="523" t="s">
        <v>46</v>
      </c>
      <c r="AI57" s="522" t="s">
        <v>765</v>
      </c>
      <c r="AJ57" s="729"/>
      <c r="AK57" s="729"/>
      <c r="AL57" s="729"/>
      <c r="AM57" s="519" t="s">
        <v>231</v>
      </c>
      <c r="AN57" s="519" t="s">
        <v>232</v>
      </c>
      <c r="AO57" s="643">
        <v>22.57</v>
      </c>
      <c r="AP57" s="524">
        <f t="shared" si="2"/>
        <v>22.57</v>
      </c>
      <c r="AQ57" s="724"/>
      <c r="AS57" s="460" t="s">
        <v>738</v>
      </c>
    </row>
    <row r="58" spans="1:45">
      <c r="A58" s="519" t="s">
        <v>194</v>
      </c>
      <c r="B58" s="519" t="s">
        <v>195</v>
      </c>
      <c r="C58" s="707"/>
      <c r="D58" s="519" t="s">
        <v>196</v>
      </c>
      <c r="E58" s="519" t="s">
        <v>197</v>
      </c>
      <c r="F58" s="519" t="s">
        <v>198</v>
      </c>
      <c r="G58" s="519" t="s">
        <v>199</v>
      </c>
      <c r="H58" s="519" t="s">
        <v>200</v>
      </c>
      <c r="I58" s="519" t="s">
        <v>6</v>
      </c>
      <c r="J58" s="519" t="s">
        <v>201</v>
      </c>
      <c r="K58" s="519" t="s">
        <v>202</v>
      </c>
      <c r="L58" s="519" t="s">
        <v>30</v>
      </c>
      <c r="M58" s="519" t="s">
        <v>225</v>
      </c>
      <c r="N58" s="519" t="s">
        <v>239</v>
      </c>
      <c r="O58" s="519" t="s">
        <v>18</v>
      </c>
      <c r="P58" s="519" t="s">
        <v>205</v>
      </c>
      <c r="Q58" s="519" t="s">
        <v>206</v>
      </c>
      <c r="R58" s="519" t="s">
        <v>31</v>
      </c>
      <c r="S58" s="519" t="s">
        <v>207</v>
      </c>
      <c r="T58" s="519" t="s">
        <v>240</v>
      </c>
      <c r="U58" s="519" t="s">
        <v>241</v>
      </c>
      <c r="V58" s="519" t="s">
        <v>380</v>
      </c>
      <c r="W58" s="725"/>
      <c r="X58" s="519" t="s">
        <v>284</v>
      </c>
      <c r="Y58" s="725"/>
      <c r="Z58" s="647">
        <v>26.66</v>
      </c>
      <c r="AA58" s="519" t="s">
        <v>210</v>
      </c>
      <c r="AB58" s="522">
        <v>43171</v>
      </c>
      <c r="AC58" s="523" t="s">
        <v>32</v>
      </c>
      <c r="AD58" s="519" t="s">
        <v>33</v>
      </c>
      <c r="AE58" s="519" t="s">
        <v>34</v>
      </c>
      <c r="AF58" s="519" t="s">
        <v>35</v>
      </c>
      <c r="AG58" s="520">
        <v>20</v>
      </c>
      <c r="AH58" s="523" t="s">
        <v>36</v>
      </c>
      <c r="AI58" s="522" t="s">
        <v>765</v>
      </c>
      <c r="AJ58" s="729"/>
      <c r="AK58" s="729"/>
      <c r="AL58" s="729"/>
      <c r="AM58" s="519" t="s">
        <v>231</v>
      </c>
      <c r="AN58" s="519" t="s">
        <v>232</v>
      </c>
      <c r="AO58" s="643">
        <v>26.66</v>
      </c>
      <c r="AP58" s="524">
        <f t="shared" si="2"/>
        <v>26.66</v>
      </c>
      <c r="AQ58" s="724"/>
      <c r="AS58" s="460" t="s">
        <v>903</v>
      </c>
    </row>
    <row r="59" spans="1:45">
      <c r="A59" s="519" t="s">
        <v>194</v>
      </c>
      <c r="B59" s="519" t="s">
        <v>195</v>
      </c>
      <c r="C59" s="707"/>
      <c r="D59" s="519" t="s">
        <v>196</v>
      </c>
      <c r="E59" s="519" t="s">
        <v>197</v>
      </c>
      <c r="F59" s="519" t="s">
        <v>198</v>
      </c>
      <c r="G59" s="519" t="s">
        <v>199</v>
      </c>
      <c r="H59" s="519" t="s">
        <v>200</v>
      </c>
      <c r="I59" s="519" t="s">
        <v>6</v>
      </c>
      <c r="J59" s="519" t="s">
        <v>201</v>
      </c>
      <c r="K59" s="519" t="s">
        <v>202</v>
      </c>
      <c r="L59" s="519" t="s">
        <v>30</v>
      </c>
      <c r="M59" s="519" t="s">
        <v>225</v>
      </c>
      <c r="N59" s="519" t="s">
        <v>285</v>
      </c>
      <c r="O59" s="519" t="s">
        <v>286</v>
      </c>
      <c r="P59" s="519" t="s">
        <v>205</v>
      </c>
      <c r="Q59" s="519" t="s">
        <v>206</v>
      </c>
      <c r="R59" s="519" t="s">
        <v>31</v>
      </c>
      <c r="S59" s="519" t="s">
        <v>207</v>
      </c>
      <c r="T59" s="519" t="s">
        <v>307</v>
      </c>
      <c r="U59" s="519" t="s">
        <v>308</v>
      </c>
      <c r="V59" s="519" t="s">
        <v>809</v>
      </c>
      <c r="W59" s="725"/>
      <c r="X59" s="519" t="s">
        <v>230</v>
      </c>
      <c r="Y59" s="725"/>
      <c r="Z59" s="647">
        <v>24.25</v>
      </c>
      <c r="AA59" s="519" t="s">
        <v>210</v>
      </c>
      <c r="AB59" s="522">
        <v>43101</v>
      </c>
      <c r="AC59" s="523" t="s">
        <v>32</v>
      </c>
      <c r="AD59" s="519" t="s">
        <v>33</v>
      </c>
      <c r="AE59" s="519" t="s">
        <v>34</v>
      </c>
      <c r="AF59" s="519" t="s">
        <v>35</v>
      </c>
      <c r="AG59" s="520">
        <v>25</v>
      </c>
      <c r="AH59" s="523" t="s">
        <v>41</v>
      </c>
      <c r="AI59" s="522" t="s">
        <v>765</v>
      </c>
      <c r="AJ59" s="729"/>
      <c r="AK59" s="729"/>
      <c r="AL59" s="729"/>
      <c r="AM59" s="519" t="s">
        <v>231</v>
      </c>
      <c r="AN59" s="519" t="s">
        <v>232</v>
      </c>
      <c r="AO59" s="643">
        <v>24.25</v>
      </c>
      <c r="AP59" s="524">
        <f t="shared" si="2"/>
        <v>24.25</v>
      </c>
      <c r="AQ59" s="724"/>
      <c r="AS59" s="460" t="s">
        <v>738</v>
      </c>
    </row>
    <row r="60" spans="1:45">
      <c r="A60" s="519" t="s">
        <v>194</v>
      </c>
      <c r="B60" s="519" t="s">
        <v>195</v>
      </c>
      <c r="C60" s="707"/>
      <c r="D60" s="519" t="s">
        <v>196</v>
      </c>
      <c r="E60" s="519" t="s">
        <v>197</v>
      </c>
      <c r="F60" s="519" t="s">
        <v>198</v>
      </c>
      <c r="G60" s="519" t="s">
        <v>199</v>
      </c>
      <c r="H60" s="519" t="s">
        <v>200</v>
      </c>
      <c r="I60" s="519" t="s">
        <v>6</v>
      </c>
      <c r="J60" s="519" t="s">
        <v>201</v>
      </c>
      <c r="K60" s="519" t="s">
        <v>202</v>
      </c>
      <c r="L60" s="519" t="s">
        <v>30</v>
      </c>
      <c r="M60" s="519" t="s">
        <v>225</v>
      </c>
      <c r="N60" s="519" t="s">
        <v>218</v>
      </c>
      <c r="O60" s="519" t="s">
        <v>219</v>
      </c>
      <c r="P60" s="519" t="s">
        <v>205</v>
      </c>
      <c r="Q60" s="519" t="s">
        <v>206</v>
      </c>
      <c r="R60" s="519" t="s">
        <v>31</v>
      </c>
      <c r="S60" s="519" t="s">
        <v>207</v>
      </c>
      <c r="T60" s="519" t="s">
        <v>371</v>
      </c>
      <c r="U60" s="519" t="s">
        <v>372</v>
      </c>
      <c r="V60" s="519" t="s">
        <v>387</v>
      </c>
      <c r="W60" s="725"/>
      <c r="X60" s="519" t="s">
        <v>302</v>
      </c>
      <c r="Y60" s="725"/>
      <c r="Z60" s="647">
        <v>21.44</v>
      </c>
      <c r="AA60" s="519" t="s">
        <v>210</v>
      </c>
      <c r="AB60" s="522">
        <v>43171</v>
      </c>
      <c r="AC60" s="523" t="s">
        <v>32</v>
      </c>
      <c r="AD60" s="519" t="s">
        <v>33</v>
      </c>
      <c r="AE60" s="519" t="s">
        <v>34</v>
      </c>
      <c r="AF60" s="519" t="s">
        <v>35</v>
      </c>
      <c r="AG60" s="520">
        <v>15</v>
      </c>
      <c r="AH60" s="523" t="s">
        <v>46</v>
      </c>
      <c r="AI60" s="522" t="s">
        <v>765</v>
      </c>
      <c r="AJ60" s="729"/>
      <c r="AK60" s="729"/>
      <c r="AL60" s="729"/>
      <c r="AM60" s="519" t="s">
        <v>231</v>
      </c>
      <c r="AN60" s="519" t="s">
        <v>232</v>
      </c>
      <c r="AO60" s="643">
        <v>21.44</v>
      </c>
      <c r="AP60" s="524">
        <f t="shared" si="2"/>
        <v>21.44</v>
      </c>
      <c r="AQ60" s="724"/>
      <c r="AS60" s="460" t="s">
        <v>739</v>
      </c>
    </row>
    <row r="61" spans="1:45">
      <c r="A61" s="519" t="s">
        <v>194</v>
      </c>
      <c r="B61" s="519" t="s">
        <v>195</v>
      </c>
      <c r="C61" s="707"/>
      <c r="D61" s="519" t="s">
        <v>196</v>
      </c>
      <c r="E61" s="519" t="s">
        <v>197</v>
      </c>
      <c r="F61" s="519" t="s">
        <v>198</v>
      </c>
      <c r="G61" s="519" t="s">
        <v>199</v>
      </c>
      <c r="H61" s="519" t="s">
        <v>200</v>
      </c>
      <c r="I61" s="519" t="s">
        <v>6</v>
      </c>
      <c r="J61" s="519" t="s">
        <v>201</v>
      </c>
      <c r="K61" s="519" t="s">
        <v>202</v>
      </c>
      <c r="L61" s="519" t="s">
        <v>30</v>
      </c>
      <c r="M61" s="519" t="s">
        <v>225</v>
      </c>
      <c r="N61" s="519" t="s">
        <v>218</v>
      </c>
      <c r="O61" s="519" t="s">
        <v>219</v>
      </c>
      <c r="P61" s="519" t="s">
        <v>205</v>
      </c>
      <c r="Q61" s="519" t="s">
        <v>206</v>
      </c>
      <c r="R61" s="519" t="s">
        <v>31</v>
      </c>
      <c r="S61" s="519" t="s">
        <v>207</v>
      </c>
      <c r="T61" s="519" t="s">
        <v>371</v>
      </c>
      <c r="U61" s="519" t="s">
        <v>372</v>
      </c>
      <c r="V61" s="519" t="s">
        <v>810</v>
      </c>
      <c r="W61" s="725"/>
      <c r="X61" s="519" t="s">
        <v>801</v>
      </c>
      <c r="Y61" s="725"/>
      <c r="Z61" s="647">
        <v>21.72</v>
      </c>
      <c r="AA61" s="519" t="s">
        <v>210</v>
      </c>
      <c r="AB61" s="522">
        <v>43171</v>
      </c>
      <c r="AC61" s="523" t="s">
        <v>32</v>
      </c>
      <c r="AD61" s="519" t="s">
        <v>33</v>
      </c>
      <c r="AE61" s="519" t="s">
        <v>34</v>
      </c>
      <c r="AF61" s="519" t="s">
        <v>35</v>
      </c>
      <c r="AG61" s="520">
        <v>22</v>
      </c>
      <c r="AH61" s="523" t="s">
        <v>41</v>
      </c>
      <c r="AI61" s="522" t="s">
        <v>765</v>
      </c>
      <c r="AJ61" s="729"/>
      <c r="AK61" s="729"/>
      <c r="AL61" s="729"/>
      <c r="AM61" s="519" t="s">
        <v>231</v>
      </c>
      <c r="AN61" s="519" t="s">
        <v>232</v>
      </c>
      <c r="AO61" s="643">
        <v>21.72</v>
      </c>
      <c r="AP61" s="524">
        <f t="shared" si="2"/>
        <v>21.72</v>
      </c>
      <c r="AQ61" s="724"/>
      <c r="AS61" s="460" t="s">
        <v>739</v>
      </c>
    </row>
    <row r="62" spans="1:45">
      <c r="A62" s="519" t="s">
        <v>194</v>
      </c>
      <c r="B62" s="519" t="s">
        <v>195</v>
      </c>
      <c r="C62" s="707"/>
      <c r="D62" s="519" t="s">
        <v>196</v>
      </c>
      <c r="E62" s="519" t="s">
        <v>197</v>
      </c>
      <c r="F62" s="519" t="s">
        <v>198</v>
      </c>
      <c r="G62" s="519" t="s">
        <v>199</v>
      </c>
      <c r="H62" s="519" t="s">
        <v>200</v>
      </c>
      <c r="I62" s="519" t="s">
        <v>6</v>
      </c>
      <c r="J62" s="519" t="s">
        <v>201</v>
      </c>
      <c r="K62" s="519" t="s">
        <v>202</v>
      </c>
      <c r="L62" s="519" t="s">
        <v>30</v>
      </c>
      <c r="M62" s="519" t="s">
        <v>225</v>
      </c>
      <c r="N62" s="519" t="s">
        <v>226</v>
      </c>
      <c r="O62" s="519" t="s">
        <v>9</v>
      </c>
      <c r="P62" s="519" t="s">
        <v>205</v>
      </c>
      <c r="Q62" s="519" t="s">
        <v>206</v>
      </c>
      <c r="R62" s="519" t="s">
        <v>31</v>
      </c>
      <c r="S62" s="519" t="s">
        <v>207</v>
      </c>
      <c r="T62" s="519" t="s">
        <v>233</v>
      </c>
      <c r="U62" s="519" t="s">
        <v>234</v>
      </c>
      <c r="V62" s="519" t="s">
        <v>235</v>
      </c>
      <c r="W62" s="725"/>
      <c r="X62" s="519" t="s">
        <v>237</v>
      </c>
      <c r="Y62" s="725"/>
      <c r="Z62" s="647">
        <v>27.73</v>
      </c>
      <c r="AA62" s="519" t="s">
        <v>210</v>
      </c>
      <c r="AB62" s="522">
        <v>43171</v>
      </c>
      <c r="AC62" s="523" t="s">
        <v>32</v>
      </c>
      <c r="AD62" s="519" t="s">
        <v>33</v>
      </c>
      <c r="AE62" s="519" t="s">
        <v>34</v>
      </c>
      <c r="AF62" s="519" t="s">
        <v>35</v>
      </c>
      <c r="AG62" s="520">
        <v>22</v>
      </c>
      <c r="AH62" s="523" t="s">
        <v>36</v>
      </c>
      <c r="AI62" s="522" t="s">
        <v>765</v>
      </c>
      <c r="AJ62" s="729"/>
      <c r="AK62" s="729"/>
      <c r="AL62" s="729"/>
      <c r="AM62" s="519" t="s">
        <v>231</v>
      </c>
      <c r="AN62" s="519" t="s">
        <v>232</v>
      </c>
      <c r="AO62" s="643">
        <v>27.73</v>
      </c>
      <c r="AP62" s="524">
        <f t="shared" si="2"/>
        <v>27.73</v>
      </c>
      <c r="AQ62" s="724"/>
      <c r="AS62" s="460" t="s">
        <v>903</v>
      </c>
    </row>
    <row r="63" spans="1:45">
      <c r="A63" s="519" t="s">
        <v>194</v>
      </c>
      <c r="B63" s="519" t="s">
        <v>195</v>
      </c>
      <c r="C63" s="707"/>
      <c r="D63" s="519" t="s">
        <v>196</v>
      </c>
      <c r="E63" s="519" t="s">
        <v>197</v>
      </c>
      <c r="F63" s="519" t="s">
        <v>198</v>
      </c>
      <c r="G63" s="519" t="s">
        <v>199</v>
      </c>
      <c r="H63" s="519" t="s">
        <v>200</v>
      </c>
      <c r="I63" s="519" t="s">
        <v>6</v>
      </c>
      <c r="J63" s="519" t="s">
        <v>201</v>
      </c>
      <c r="K63" s="519" t="s">
        <v>202</v>
      </c>
      <c r="L63" s="519" t="s">
        <v>30</v>
      </c>
      <c r="M63" s="519" t="s">
        <v>225</v>
      </c>
      <c r="N63" s="519" t="s">
        <v>285</v>
      </c>
      <c r="O63" s="519" t="s">
        <v>286</v>
      </c>
      <c r="P63" s="519" t="s">
        <v>205</v>
      </c>
      <c r="Q63" s="519" t="s">
        <v>206</v>
      </c>
      <c r="R63" s="519" t="s">
        <v>31</v>
      </c>
      <c r="S63" s="519" t="s">
        <v>207</v>
      </c>
      <c r="T63" s="519" t="s">
        <v>320</v>
      </c>
      <c r="U63" s="519" t="s">
        <v>785</v>
      </c>
      <c r="V63" s="519" t="s">
        <v>671</v>
      </c>
      <c r="W63" s="725"/>
      <c r="X63" s="519" t="s">
        <v>230</v>
      </c>
      <c r="Y63" s="725"/>
      <c r="Z63" s="647">
        <v>27.03</v>
      </c>
      <c r="AA63" s="519" t="s">
        <v>210</v>
      </c>
      <c r="AB63" s="522">
        <v>43101</v>
      </c>
      <c r="AC63" s="523" t="s">
        <v>32</v>
      </c>
      <c r="AD63" s="519" t="s">
        <v>33</v>
      </c>
      <c r="AE63" s="519" t="s">
        <v>34</v>
      </c>
      <c r="AF63" s="519" t="s">
        <v>35</v>
      </c>
      <c r="AG63" s="520">
        <v>25</v>
      </c>
      <c r="AH63" s="523" t="s">
        <v>41</v>
      </c>
      <c r="AI63" s="522" t="s">
        <v>765</v>
      </c>
      <c r="AJ63" s="729"/>
      <c r="AK63" s="729"/>
      <c r="AL63" s="729"/>
      <c r="AM63" s="519" t="s">
        <v>231</v>
      </c>
      <c r="AN63" s="519" t="s">
        <v>232</v>
      </c>
      <c r="AO63" s="643">
        <v>27.03</v>
      </c>
      <c r="AP63" s="524">
        <f t="shared" ref="AP63:AP94" si="3">ROUND(IF(AO63&lt;100,AO63,AO63/80),2)</f>
        <v>27.03</v>
      </c>
      <c r="AQ63" s="724"/>
      <c r="AS63" s="460" t="s">
        <v>738</v>
      </c>
    </row>
    <row r="64" spans="1:45">
      <c r="A64" s="519" t="s">
        <v>194</v>
      </c>
      <c r="B64" s="519" t="s">
        <v>195</v>
      </c>
      <c r="C64" s="707"/>
      <c r="D64" s="519" t="s">
        <v>196</v>
      </c>
      <c r="E64" s="519" t="s">
        <v>197</v>
      </c>
      <c r="F64" s="519" t="s">
        <v>198</v>
      </c>
      <c r="G64" s="519" t="s">
        <v>199</v>
      </c>
      <c r="H64" s="519" t="s">
        <v>200</v>
      </c>
      <c r="I64" s="519" t="s">
        <v>6</v>
      </c>
      <c r="J64" s="519" t="s">
        <v>201</v>
      </c>
      <c r="K64" s="519" t="s">
        <v>202</v>
      </c>
      <c r="L64" s="519" t="s">
        <v>30</v>
      </c>
      <c r="M64" s="519" t="s">
        <v>225</v>
      </c>
      <c r="N64" s="519" t="s">
        <v>828</v>
      </c>
      <c r="O64" s="519" t="s">
        <v>829</v>
      </c>
      <c r="P64" s="519" t="s">
        <v>205</v>
      </c>
      <c r="Q64" s="519" t="s">
        <v>206</v>
      </c>
      <c r="R64" s="519" t="s">
        <v>31</v>
      </c>
      <c r="S64" s="519" t="s">
        <v>207</v>
      </c>
      <c r="T64" s="519" t="s">
        <v>265</v>
      </c>
      <c r="U64" s="519" t="s">
        <v>266</v>
      </c>
      <c r="V64" s="519" t="s">
        <v>830</v>
      </c>
      <c r="W64" s="725"/>
      <c r="X64" s="519" t="s">
        <v>230</v>
      </c>
      <c r="Y64" s="725"/>
      <c r="Z64" s="647">
        <v>30</v>
      </c>
      <c r="AA64" s="519" t="s">
        <v>210</v>
      </c>
      <c r="AB64" s="522">
        <v>43325</v>
      </c>
      <c r="AC64" s="523" t="s">
        <v>32</v>
      </c>
      <c r="AD64" s="519" t="s">
        <v>33</v>
      </c>
      <c r="AE64" s="519" t="s">
        <v>34</v>
      </c>
      <c r="AF64" s="519" t="s">
        <v>35</v>
      </c>
      <c r="AG64" s="520">
        <v>25</v>
      </c>
      <c r="AH64" s="523" t="s">
        <v>36</v>
      </c>
      <c r="AI64" s="522" t="s">
        <v>765</v>
      </c>
      <c r="AJ64" s="729"/>
      <c r="AK64" s="729"/>
      <c r="AL64" s="729"/>
      <c r="AM64" s="519" t="s">
        <v>231</v>
      </c>
      <c r="AN64" s="519" t="s">
        <v>232</v>
      </c>
      <c r="AO64" s="643">
        <v>30</v>
      </c>
      <c r="AP64" s="524">
        <f t="shared" si="3"/>
        <v>30</v>
      </c>
      <c r="AQ64" s="724"/>
      <c r="AS64" s="460" t="s">
        <v>738</v>
      </c>
    </row>
    <row r="65" spans="1:45">
      <c r="A65" s="519" t="s">
        <v>194</v>
      </c>
      <c r="B65" s="519" t="s">
        <v>195</v>
      </c>
      <c r="C65" s="707"/>
      <c r="D65" s="519" t="s">
        <v>196</v>
      </c>
      <c r="E65" s="519" t="s">
        <v>197</v>
      </c>
      <c r="F65" s="519" t="s">
        <v>198</v>
      </c>
      <c r="G65" s="519" t="s">
        <v>199</v>
      </c>
      <c r="H65" s="519" t="s">
        <v>200</v>
      </c>
      <c r="I65" s="519" t="s">
        <v>6</v>
      </c>
      <c r="J65" s="519" t="s">
        <v>201</v>
      </c>
      <c r="K65" s="519" t="s">
        <v>202</v>
      </c>
      <c r="L65" s="519" t="s">
        <v>30</v>
      </c>
      <c r="M65" s="519" t="s">
        <v>225</v>
      </c>
      <c r="N65" s="519" t="s">
        <v>204</v>
      </c>
      <c r="O65" s="519" t="s">
        <v>5</v>
      </c>
      <c r="P65" s="519" t="s">
        <v>205</v>
      </c>
      <c r="Q65" s="519" t="s">
        <v>206</v>
      </c>
      <c r="R65" s="519" t="s">
        <v>31</v>
      </c>
      <c r="S65" s="519" t="s">
        <v>207</v>
      </c>
      <c r="T65" s="519" t="s">
        <v>208</v>
      </c>
      <c r="U65" s="519" t="s">
        <v>209</v>
      </c>
      <c r="V65" s="519" t="s">
        <v>858</v>
      </c>
      <c r="W65" s="725"/>
      <c r="X65" s="519" t="s">
        <v>244</v>
      </c>
      <c r="Y65" s="725"/>
      <c r="Z65" s="647">
        <v>29.65</v>
      </c>
      <c r="AA65" s="519" t="s">
        <v>210</v>
      </c>
      <c r="AB65" s="522">
        <v>43129</v>
      </c>
      <c r="AC65" s="523" t="s">
        <v>32</v>
      </c>
      <c r="AD65" s="519" t="s">
        <v>33</v>
      </c>
      <c r="AE65" s="519" t="s">
        <v>34</v>
      </c>
      <c r="AF65" s="519" t="s">
        <v>35</v>
      </c>
      <c r="AG65" s="525">
        <v>22</v>
      </c>
      <c r="AH65" s="523" t="s">
        <v>36</v>
      </c>
      <c r="AI65" s="522" t="s">
        <v>765</v>
      </c>
      <c r="AJ65" s="729"/>
      <c r="AK65" s="729"/>
      <c r="AL65" s="729"/>
      <c r="AM65" s="519" t="s">
        <v>231</v>
      </c>
      <c r="AN65" s="519" t="s">
        <v>232</v>
      </c>
      <c r="AO65" s="643">
        <v>29.65</v>
      </c>
      <c r="AP65" s="524">
        <f t="shared" si="3"/>
        <v>29.65</v>
      </c>
      <c r="AQ65" s="724"/>
      <c r="AS65" s="460" t="s">
        <v>903</v>
      </c>
    </row>
    <row r="66" spans="1:45">
      <c r="A66" s="519" t="s">
        <v>194</v>
      </c>
      <c r="B66" s="519" t="s">
        <v>195</v>
      </c>
      <c r="C66" s="707"/>
      <c r="D66" s="519" t="s">
        <v>196</v>
      </c>
      <c r="E66" s="519" t="s">
        <v>197</v>
      </c>
      <c r="F66" s="519" t="s">
        <v>198</v>
      </c>
      <c r="G66" s="519" t="s">
        <v>199</v>
      </c>
      <c r="H66" s="519" t="s">
        <v>200</v>
      </c>
      <c r="I66" s="519" t="s">
        <v>6</v>
      </c>
      <c r="J66" s="519" t="s">
        <v>201</v>
      </c>
      <c r="K66" s="519" t="s">
        <v>202</v>
      </c>
      <c r="L66" s="519" t="s">
        <v>30</v>
      </c>
      <c r="M66" s="519" t="s">
        <v>225</v>
      </c>
      <c r="N66" s="519" t="s">
        <v>226</v>
      </c>
      <c r="O66" s="519" t="s">
        <v>9</v>
      </c>
      <c r="P66" s="519" t="s">
        <v>205</v>
      </c>
      <c r="Q66" s="519" t="s">
        <v>206</v>
      </c>
      <c r="R66" s="519" t="s">
        <v>31</v>
      </c>
      <c r="S66" s="519" t="s">
        <v>207</v>
      </c>
      <c r="T66" s="519" t="s">
        <v>354</v>
      </c>
      <c r="U66" s="519" t="s">
        <v>355</v>
      </c>
      <c r="V66" s="519" t="s">
        <v>868</v>
      </c>
      <c r="W66" s="725"/>
      <c r="X66" s="519" t="s">
        <v>329</v>
      </c>
      <c r="Y66" s="725"/>
      <c r="Z66" s="647">
        <v>27.1</v>
      </c>
      <c r="AA66" s="519" t="s">
        <v>210</v>
      </c>
      <c r="AB66" s="522">
        <v>43171</v>
      </c>
      <c r="AC66" s="523" t="s">
        <v>32</v>
      </c>
      <c r="AD66" s="519" t="s">
        <v>33</v>
      </c>
      <c r="AE66" s="519" t="s">
        <v>34</v>
      </c>
      <c r="AF66" s="519" t="s">
        <v>35</v>
      </c>
      <c r="AG66" s="520">
        <v>22</v>
      </c>
      <c r="AH66" s="523" t="s">
        <v>36</v>
      </c>
      <c r="AI66" s="522" t="s">
        <v>765</v>
      </c>
      <c r="AJ66" s="729"/>
      <c r="AK66" s="729"/>
      <c r="AL66" s="729"/>
      <c r="AM66" s="519" t="s">
        <v>231</v>
      </c>
      <c r="AN66" s="519" t="s">
        <v>232</v>
      </c>
      <c r="AO66" s="643">
        <v>27.1</v>
      </c>
      <c r="AP66" s="524">
        <f t="shared" si="3"/>
        <v>27.1</v>
      </c>
      <c r="AQ66" s="724"/>
      <c r="AS66" s="460" t="s">
        <v>903</v>
      </c>
    </row>
    <row r="67" spans="1:45">
      <c r="A67" s="519" t="s">
        <v>194</v>
      </c>
      <c r="B67" s="519" t="s">
        <v>195</v>
      </c>
      <c r="C67" s="707"/>
      <c r="D67" s="519" t="s">
        <v>196</v>
      </c>
      <c r="E67" s="519" t="s">
        <v>197</v>
      </c>
      <c r="F67" s="519" t="s">
        <v>198</v>
      </c>
      <c r="G67" s="519" t="s">
        <v>199</v>
      </c>
      <c r="H67" s="519" t="s">
        <v>200</v>
      </c>
      <c r="I67" s="519" t="s">
        <v>6</v>
      </c>
      <c r="J67" s="519" t="s">
        <v>201</v>
      </c>
      <c r="K67" s="519" t="s">
        <v>202</v>
      </c>
      <c r="L67" s="519" t="s">
        <v>30</v>
      </c>
      <c r="M67" s="519" t="s">
        <v>225</v>
      </c>
      <c r="N67" s="519" t="s">
        <v>263</v>
      </c>
      <c r="O67" s="519" t="s">
        <v>264</v>
      </c>
      <c r="P67" s="519" t="s">
        <v>205</v>
      </c>
      <c r="Q67" s="519" t="s">
        <v>206</v>
      </c>
      <c r="R67" s="519" t="s">
        <v>31</v>
      </c>
      <c r="S67" s="519" t="s">
        <v>207</v>
      </c>
      <c r="T67" s="519" t="s">
        <v>265</v>
      </c>
      <c r="U67" s="519" t="s">
        <v>266</v>
      </c>
      <c r="V67" s="519" t="s">
        <v>869</v>
      </c>
      <c r="W67" s="725"/>
      <c r="X67" s="519" t="s">
        <v>871</v>
      </c>
      <c r="Y67" s="725"/>
      <c r="Z67" s="647">
        <v>35.51</v>
      </c>
      <c r="AA67" s="519" t="s">
        <v>210</v>
      </c>
      <c r="AB67" s="522">
        <v>43171</v>
      </c>
      <c r="AC67" s="523" t="s">
        <v>32</v>
      </c>
      <c r="AD67" s="519" t="s">
        <v>33</v>
      </c>
      <c r="AE67" s="519" t="s">
        <v>34</v>
      </c>
      <c r="AF67" s="519" t="s">
        <v>35</v>
      </c>
      <c r="AG67" s="520">
        <v>30</v>
      </c>
      <c r="AH67" s="523" t="s">
        <v>36</v>
      </c>
      <c r="AI67" s="522" t="s">
        <v>765</v>
      </c>
      <c r="AJ67" s="729"/>
      <c r="AK67" s="729"/>
      <c r="AL67" s="729"/>
      <c r="AM67" s="519" t="s">
        <v>231</v>
      </c>
      <c r="AN67" s="519" t="s">
        <v>232</v>
      </c>
      <c r="AO67" s="643">
        <v>35.51</v>
      </c>
      <c r="AP67" s="524">
        <f t="shared" si="3"/>
        <v>35.51</v>
      </c>
      <c r="AQ67" s="724"/>
      <c r="AS67" s="460" t="s">
        <v>281</v>
      </c>
    </row>
    <row r="68" spans="1:45">
      <c r="A68" s="519" t="s">
        <v>194</v>
      </c>
      <c r="B68" s="519" t="s">
        <v>195</v>
      </c>
      <c r="C68" s="707"/>
      <c r="D68" s="519" t="s">
        <v>196</v>
      </c>
      <c r="E68" s="519" t="s">
        <v>197</v>
      </c>
      <c r="F68" s="519" t="s">
        <v>198</v>
      </c>
      <c r="G68" s="519" t="s">
        <v>199</v>
      </c>
      <c r="H68" s="519" t="s">
        <v>200</v>
      </c>
      <c r="I68" s="519" t="s">
        <v>6</v>
      </c>
      <c r="J68" s="519" t="s">
        <v>201</v>
      </c>
      <c r="K68" s="519" t="s">
        <v>202</v>
      </c>
      <c r="L68" s="519" t="s">
        <v>30</v>
      </c>
      <c r="M68" s="519" t="s">
        <v>225</v>
      </c>
      <c r="N68" s="519" t="s">
        <v>226</v>
      </c>
      <c r="O68" s="519" t="s">
        <v>9</v>
      </c>
      <c r="P68" s="519" t="s">
        <v>205</v>
      </c>
      <c r="Q68" s="519" t="s">
        <v>206</v>
      </c>
      <c r="R68" s="519" t="s">
        <v>31</v>
      </c>
      <c r="S68" s="519" t="s">
        <v>207</v>
      </c>
      <c r="T68" s="519" t="s">
        <v>790</v>
      </c>
      <c r="U68" s="519" t="s">
        <v>791</v>
      </c>
      <c r="V68" s="519" t="s">
        <v>879</v>
      </c>
      <c r="W68" s="725"/>
      <c r="X68" s="519" t="s">
        <v>329</v>
      </c>
      <c r="Y68" s="725"/>
      <c r="Z68" s="647">
        <v>27.1</v>
      </c>
      <c r="AA68" s="519" t="s">
        <v>210</v>
      </c>
      <c r="AB68" s="522">
        <v>43171</v>
      </c>
      <c r="AC68" s="523" t="s">
        <v>32</v>
      </c>
      <c r="AD68" s="519" t="s">
        <v>33</v>
      </c>
      <c r="AE68" s="519" t="s">
        <v>34</v>
      </c>
      <c r="AF68" s="519" t="s">
        <v>35</v>
      </c>
      <c r="AG68" s="520">
        <v>22</v>
      </c>
      <c r="AH68" s="523" t="s">
        <v>36</v>
      </c>
      <c r="AI68" s="522" t="s">
        <v>765</v>
      </c>
      <c r="AJ68" s="729"/>
      <c r="AK68" s="729"/>
      <c r="AL68" s="729"/>
      <c r="AM68" s="519" t="s">
        <v>231</v>
      </c>
      <c r="AN68" s="519" t="s">
        <v>232</v>
      </c>
      <c r="AO68" s="643">
        <v>27.1</v>
      </c>
      <c r="AP68" s="524">
        <f t="shared" si="3"/>
        <v>27.1</v>
      </c>
      <c r="AQ68" s="724"/>
      <c r="AS68" s="460" t="s">
        <v>903</v>
      </c>
    </row>
    <row r="69" spans="1:45">
      <c r="A69" s="519" t="s">
        <v>194</v>
      </c>
      <c r="B69" s="519" t="s">
        <v>195</v>
      </c>
      <c r="C69" s="707"/>
      <c r="D69" s="519" t="s">
        <v>196</v>
      </c>
      <c r="E69" s="519" t="s">
        <v>197</v>
      </c>
      <c r="F69" s="519" t="s">
        <v>198</v>
      </c>
      <c r="G69" s="519" t="s">
        <v>199</v>
      </c>
      <c r="H69" s="519" t="s">
        <v>200</v>
      </c>
      <c r="I69" s="519" t="s">
        <v>6</v>
      </c>
      <c r="J69" s="519" t="s">
        <v>201</v>
      </c>
      <c r="K69" s="519" t="s">
        <v>202</v>
      </c>
      <c r="L69" s="519" t="s">
        <v>30</v>
      </c>
      <c r="M69" s="519" t="s">
        <v>225</v>
      </c>
      <c r="N69" s="519" t="s">
        <v>218</v>
      </c>
      <c r="O69" s="519" t="s">
        <v>219</v>
      </c>
      <c r="P69" s="519" t="s">
        <v>205</v>
      </c>
      <c r="Q69" s="519" t="s">
        <v>206</v>
      </c>
      <c r="R69" s="519" t="s">
        <v>31</v>
      </c>
      <c r="S69" s="519" t="s">
        <v>207</v>
      </c>
      <c r="T69" s="519" t="s">
        <v>371</v>
      </c>
      <c r="U69" s="519" t="s">
        <v>372</v>
      </c>
      <c r="V69" s="519" t="s">
        <v>880</v>
      </c>
      <c r="W69" s="725"/>
      <c r="X69" s="519" t="s">
        <v>801</v>
      </c>
      <c r="Y69" s="725"/>
      <c r="Z69" s="647">
        <v>21.29</v>
      </c>
      <c r="AA69" s="519" t="s">
        <v>210</v>
      </c>
      <c r="AB69" s="522">
        <v>43096</v>
      </c>
      <c r="AC69" s="523" t="s">
        <v>32</v>
      </c>
      <c r="AD69" s="519" t="s">
        <v>33</v>
      </c>
      <c r="AE69" s="519" t="s">
        <v>34</v>
      </c>
      <c r="AF69" s="519" t="s">
        <v>35</v>
      </c>
      <c r="AG69" s="520">
        <v>22</v>
      </c>
      <c r="AH69" s="523" t="s">
        <v>41</v>
      </c>
      <c r="AI69" s="522" t="s">
        <v>765</v>
      </c>
      <c r="AJ69" s="729"/>
      <c r="AK69" s="729"/>
      <c r="AL69" s="729"/>
      <c r="AM69" s="519" t="s">
        <v>231</v>
      </c>
      <c r="AN69" s="519" t="s">
        <v>232</v>
      </c>
      <c r="AO69" s="643">
        <v>21.29</v>
      </c>
      <c r="AP69" s="524">
        <f t="shared" si="3"/>
        <v>21.29</v>
      </c>
      <c r="AQ69" s="724"/>
      <c r="AS69" s="460" t="s">
        <v>739</v>
      </c>
    </row>
    <row r="70" spans="1:45">
      <c r="A70" s="519" t="s">
        <v>194</v>
      </c>
      <c r="B70" s="519" t="s">
        <v>195</v>
      </c>
      <c r="C70" s="707"/>
      <c r="D70" s="519" t="s">
        <v>196</v>
      </c>
      <c r="E70" s="519" t="s">
        <v>197</v>
      </c>
      <c r="F70" s="519" t="s">
        <v>881</v>
      </c>
      <c r="G70" s="519" t="s">
        <v>882</v>
      </c>
      <c r="H70" s="519" t="s">
        <v>200</v>
      </c>
      <c r="I70" s="519" t="s">
        <v>6</v>
      </c>
      <c r="J70" s="519" t="s">
        <v>201</v>
      </c>
      <c r="K70" s="519" t="s">
        <v>202</v>
      </c>
      <c r="L70" s="519" t="s">
        <v>30</v>
      </c>
      <c r="M70" s="519" t="s">
        <v>225</v>
      </c>
      <c r="N70" s="519" t="s">
        <v>883</v>
      </c>
      <c r="O70" s="519" t="s">
        <v>884</v>
      </c>
      <c r="P70" s="519" t="s">
        <v>205</v>
      </c>
      <c r="Q70" s="519" t="s">
        <v>206</v>
      </c>
      <c r="R70" s="519" t="s">
        <v>31</v>
      </c>
      <c r="S70" s="519" t="s">
        <v>207</v>
      </c>
      <c r="T70" s="519" t="s">
        <v>371</v>
      </c>
      <c r="U70" s="519" t="s">
        <v>372</v>
      </c>
      <c r="V70" s="519" t="s">
        <v>885</v>
      </c>
      <c r="W70" s="725"/>
      <c r="X70" s="519" t="s">
        <v>302</v>
      </c>
      <c r="Y70" s="725"/>
      <c r="Z70" s="647">
        <v>20.5</v>
      </c>
      <c r="AA70" s="519" t="s">
        <v>210</v>
      </c>
      <c r="AB70" s="522">
        <v>43159</v>
      </c>
      <c r="AC70" s="523" t="s">
        <v>32</v>
      </c>
      <c r="AD70" s="519" t="s">
        <v>33</v>
      </c>
      <c r="AE70" s="519" t="s">
        <v>34</v>
      </c>
      <c r="AF70" s="519" t="s">
        <v>35</v>
      </c>
      <c r="AG70" s="520">
        <v>15</v>
      </c>
      <c r="AH70" s="523" t="s">
        <v>36</v>
      </c>
      <c r="AI70" s="522" t="s">
        <v>765</v>
      </c>
      <c r="AJ70" s="729"/>
      <c r="AK70" s="729"/>
      <c r="AL70" s="729"/>
      <c r="AM70" s="519" t="s">
        <v>231</v>
      </c>
      <c r="AN70" s="519" t="s">
        <v>232</v>
      </c>
      <c r="AO70" s="643">
        <v>20.5</v>
      </c>
      <c r="AP70" s="524">
        <f t="shared" si="3"/>
        <v>20.5</v>
      </c>
      <c r="AQ70" s="724"/>
      <c r="AS70" s="460" t="s">
        <v>738</v>
      </c>
    </row>
    <row r="71" spans="1:45">
      <c r="A71" s="519" t="s">
        <v>194</v>
      </c>
      <c r="B71" s="519" t="s">
        <v>195</v>
      </c>
      <c r="C71" s="707"/>
      <c r="D71" s="519" t="s">
        <v>196</v>
      </c>
      <c r="E71" s="519" t="s">
        <v>197</v>
      </c>
      <c r="F71" s="519" t="s">
        <v>881</v>
      </c>
      <c r="G71" s="519" t="s">
        <v>882</v>
      </c>
      <c r="H71" s="519" t="s">
        <v>200</v>
      </c>
      <c r="I71" s="519" t="s">
        <v>6</v>
      </c>
      <c r="J71" s="519" t="s">
        <v>201</v>
      </c>
      <c r="K71" s="519" t="s">
        <v>202</v>
      </c>
      <c r="L71" s="519" t="s">
        <v>30</v>
      </c>
      <c r="M71" s="519" t="s">
        <v>225</v>
      </c>
      <c r="N71" s="519" t="s">
        <v>883</v>
      </c>
      <c r="O71" s="519" t="s">
        <v>884</v>
      </c>
      <c r="P71" s="519" t="s">
        <v>205</v>
      </c>
      <c r="Q71" s="519" t="s">
        <v>206</v>
      </c>
      <c r="R71" s="519" t="s">
        <v>31</v>
      </c>
      <c r="S71" s="519" t="s">
        <v>207</v>
      </c>
      <c r="T71" s="519" t="s">
        <v>886</v>
      </c>
      <c r="U71" s="519" t="s">
        <v>887</v>
      </c>
      <c r="V71" s="519" t="s">
        <v>888</v>
      </c>
      <c r="W71" s="725"/>
      <c r="X71" s="519" t="s">
        <v>319</v>
      </c>
      <c r="Y71" s="725"/>
      <c r="Z71" s="647">
        <v>25.75</v>
      </c>
      <c r="AA71" s="519" t="s">
        <v>210</v>
      </c>
      <c r="AB71" s="522">
        <v>43159</v>
      </c>
      <c r="AC71" s="523" t="s">
        <v>32</v>
      </c>
      <c r="AD71" s="519" t="s">
        <v>33</v>
      </c>
      <c r="AE71" s="519" t="s">
        <v>34</v>
      </c>
      <c r="AF71" s="519" t="s">
        <v>35</v>
      </c>
      <c r="AG71" s="520">
        <v>20</v>
      </c>
      <c r="AH71" s="523" t="s">
        <v>36</v>
      </c>
      <c r="AI71" s="522" t="s">
        <v>765</v>
      </c>
      <c r="AJ71" s="729"/>
      <c r="AK71" s="729"/>
      <c r="AL71" s="729"/>
      <c r="AM71" s="519" t="s">
        <v>231</v>
      </c>
      <c r="AN71" s="519" t="s">
        <v>232</v>
      </c>
      <c r="AO71" s="643">
        <v>25.75</v>
      </c>
      <c r="AP71" s="524">
        <f t="shared" si="3"/>
        <v>25.75</v>
      </c>
      <c r="AQ71" s="724"/>
      <c r="AS71" s="460" t="s">
        <v>738</v>
      </c>
    </row>
    <row r="72" spans="1:45">
      <c r="A72" s="519" t="s">
        <v>194</v>
      </c>
      <c r="B72" s="519" t="s">
        <v>195</v>
      </c>
      <c r="C72" s="707"/>
      <c r="D72" s="519" t="s">
        <v>196</v>
      </c>
      <c r="E72" s="519" t="s">
        <v>197</v>
      </c>
      <c r="F72" s="519" t="s">
        <v>198</v>
      </c>
      <c r="G72" s="519" t="s">
        <v>199</v>
      </c>
      <c r="H72" s="519" t="s">
        <v>200</v>
      </c>
      <c r="I72" s="519" t="s">
        <v>6</v>
      </c>
      <c r="J72" s="519" t="s">
        <v>201</v>
      </c>
      <c r="K72" s="519" t="s">
        <v>202</v>
      </c>
      <c r="L72" s="519" t="s">
        <v>30</v>
      </c>
      <c r="M72" s="519" t="s">
        <v>225</v>
      </c>
      <c r="N72" s="519" t="s">
        <v>218</v>
      </c>
      <c r="O72" s="519" t="s">
        <v>219</v>
      </c>
      <c r="P72" s="519" t="s">
        <v>205</v>
      </c>
      <c r="Q72" s="519" t="s">
        <v>206</v>
      </c>
      <c r="R72" s="519" t="s">
        <v>31</v>
      </c>
      <c r="S72" s="519" t="s">
        <v>207</v>
      </c>
      <c r="T72" s="519" t="s">
        <v>371</v>
      </c>
      <c r="U72" s="519" t="s">
        <v>372</v>
      </c>
      <c r="V72" s="519" t="s">
        <v>889</v>
      </c>
      <c r="W72" s="725"/>
      <c r="X72" s="519" t="s">
        <v>801</v>
      </c>
      <c r="Y72" s="725"/>
      <c r="Z72" s="647">
        <v>21.29</v>
      </c>
      <c r="AA72" s="519" t="s">
        <v>210</v>
      </c>
      <c r="AB72" s="522">
        <v>43199</v>
      </c>
      <c r="AC72" s="523" t="s">
        <v>32</v>
      </c>
      <c r="AD72" s="519" t="s">
        <v>33</v>
      </c>
      <c r="AE72" s="519" t="s">
        <v>34</v>
      </c>
      <c r="AF72" s="519" t="s">
        <v>35</v>
      </c>
      <c r="AG72" s="520">
        <v>22</v>
      </c>
      <c r="AH72" s="523" t="s">
        <v>41</v>
      </c>
      <c r="AI72" s="522" t="s">
        <v>765</v>
      </c>
      <c r="AJ72" s="729"/>
      <c r="AK72" s="729"/>
      <c r="AL72" s="729"/>
      <c r="AM72" s="519" t="s">
        <v>231</v>
      </c>
      <c r="AN72" s="519" t="s">
        <v>232</v>
      </c>
      <c r="AO72" s="643">
        <v>21.29</v>
      </c>
      <c r="AP72" s="524">
        <f t="shared" si="3"/>
        <v>21.29</v>
      </c>
      <c r="AQ72" s="724"/>
      <c r="AS72" s="460" t="s">
        <v>739</v>
      </c>
    </row>
    <row r="73" spans="1:45">
      <c r="A73" s="519" t="s">
        <v>194</v>
      </c>
      <c r="B73" s="519" t="s">
        <v>195</v>
      </c>
      <c r="C73" s="707"/>
      <c r="D73" s="519" t="s">
        <v>196</v>
      </c>
      <c r="E73" s="519" t="s">
        <v>197</v>
      </c>
      <c r="F73" s="519" t="s">
        <v>198</v>
      </c>
      <c r="G73" s="519" t="s">
        <v>199</v>
      </c>
      <c r="H73" s="519" t="s">
        <v>215</v>
      </c>
      <c r="I73" s="519" t="s">
        <v>216</v>
      </c>
      <c r="J73" s="519" t="s">
        <v>201</v>
      </c>
      <c r="K73" s="519" t="s">
        <v>202</v>
      </c>
      <c r="L73" s="519" t="s">
        <v>42</v>
      </c>
      <c r="M73" s="519" t="s">
        <v>217</v>
      </c>
      <c r="N73" s="519" t="s">
        <v>285</v>
      </c>
      <c r="O73" s="519" t="s">
        <v>286</v>
      </c>
      <c r="P73" s="519" t="s">
        <v>205</v>
      </c>
      <c r="Q73" s="519" t="s">
        <v>206</v>
      </c>
      <c r="R73" s="519" t="s">
        <v>31</v>
      </c>
      <c r="S73" s="519" t="s">
        <v>207</v>
      </c>
      <c r="T73" s="519" t="s">
        <v>766</v>
      </c>
      <c r="U73" s="519" t="s">
        <v>767</v>
      </c>
      <c r="V73" s="519" t="s">
        <v>238</v>
      </c>
      <c r="W73" s="725"/>
      <c r="X73" s="519" t="s">
        <v>220</v>
      </c>
      <c r="Y73" s="725"/>
      <c r="Z73" s="647">
        <v>27.85</v>
      </c>
      <c r="AA73" s="519" t="s">
        <v>210</v>
      </c>
      <c r="AB73" s="522">
        <v>43040</v>
      </c>
      <c r="AC73" s="523" t="s">
        <v>222</v>
      </c>
      <c r="AD73" s="519" t="s">
        <v>216</v>
      </c>
      <c r="AE73" s="519" t="s">
        <v>43</v>
      </c>
      <c r="AF73" s="519" t="s">
        <v>44</v>
      </c>
      <c r="AG73" s="519" t="s">
        <v>47</v>
      </c>
      <c r="AH73" s="523" t="s">
        <v>37</v>
      </c>
      <c r="AI73" s="522" t="s">
        <v>765</v>
      </c>
      <c r="AJ73" s="729"/>
      <c r="AK73" s="729"/>
      <c r="AL73" s="729"/>
      <c r="AM73" s="519" t="s">
        <v>223</v>
      </c>
      <c r="AN73" s="519" t="s">
        <v>224</v>
      </c>
      <c r="AO73" s="643">
        <v>27.85</v>
      </c>
      <c r="AP73" s="524">
        <f t="shared" si="3"/>
        <v>27.85</v>
      </c>
      <c r="AQ73" s="724"/>
      <c r="AS73" s="460" t="s">
        <v>739</v>
      </c>
    </row>
    <row r="74" spans="1:45">
      <c r="A74" s="519" t="s">
        <v>194</v>
      </c>
      <c r="B74" s="519" t="s">
        <v>195</v>
      </c>
      <c r="C74" s="707"/>
      <c r="D74" s="519" t="s">
        <v>196</v>
      </c>
      <c r="E74" s="519" t="s">
        <v>197</v>
      </c>
      <c r="F74" s="519" t="s">
        <v>198</v>
      </c>
      <c r="G74" s="519" t="s">
        <v>199</v>
      </c>
      <c r="H74" s="519" t="s">
        <v>215</v>
      </c>
      <c r="I74" s="519" t="s">
        <v>216</v>
      </c>
      <c r="J74" s="519" t="s">
        <v>201</v>
      </c>
      <c r="K74" s="519" t="s">
        <v>202</v>
      </c>
      <c r="L74" s="519" t="s">
        <v>42</v>
      </c>
      <c r="M74" s="519" t="s">
        <v>217</v>
      </c>
      <c r="N74" s="519" t="s">
        <v>285</v>
      </c>
      <c r="O74" s="519" t="s">
        <v>286</v>
      </c>
      <c r="P74" s="519" t="s">
        <v>205</v>
      </c>
      <c r="Q74" s="519" t="s">
        <v>206</v>
      </c>
      <c r="R74" s="519" t="s">
        <v>31</v>
      </c>
      <c r="S74" s="519" t="s">
        <v>207</v>
      </c>
      <c r="T74" s="519" t="s">
        <v>766</v>
      </c>
      <c r="U74" s="519" t="s">
        <v>767</v>
      </c>
      <c r="V74" s="519" t="s">
        <v>245</v>
      </c>
      <c r="W74" s="725"/>
      <c r="X74" s="519" t="s">
        <v>220</v>
      </c>
      <c r="Y74" s="725"/>
      <c r="Z74" s="647">
        <v>27.85</v>
      </c>
      <c r="AA74" s="519" t="s">
        <v>210</v>
      </c>
      <c r="AB74" s="522">
        <v>43040</v>
      </c>
      <c r="AC74" s="523" t="s">
        <v>222</v>
      </c>
      <c r="AD74" s="519" t="s">
        <v>216</v>
      </c>
      <c r="AE74" s="519" t="s">
        <v>43</v>
      </c>
      <c r="AF74" s="519" t="s">
        <v>44</v>
      </c>
      <c r="AG74" s="519" t="s">
        <v>47</v>
      </c>
      <c r="AH74" s="523" t="s">
        <v>37</v>
      </c>
      <c r="AI74" s="522" t="s">
        <v>765</v>
      </c>
      <c r="AJ74" s="729"/>
      <c r="AK74" s="729"/>
      <c r="AL74" s="729"/>
      <c r="AM74" s="519" t="s">
        <v>223</v>
      </c>
      <c r="AN74" s="519" t="s">
        <v>224</v>
      </c>
      <c r="AO74" s="643">
        <v>27.85</v>
      </c>
      <c r="AP74" s="524">
        <f t="shared" si="3"/>
        <v>27.85</v>
      </c>
      <c r="AQ74" s="724"/>
      <c r="AS74" s="460" t="s">
        <v>739</v>
      </c>
    </row>
    <row r="75" spans="1:45">
      <c r="A75" s="519" t="s">
        <v>194</v>
      </c>
      <c r="B75" s="519" t="s">
        <v>195</v>
      </c>
      <c r="C75" s="707"/>
      <c r="D75" s="519" t="s">
        <v>196</v>
      </c>
      <c r="E75" s="519" t="s">
        <v>197</v>
      </c>
      <c r="F75" s="519" t="s">
        <v>253</v>
      </c>
      <c r="G75" s="519" t="s">
        <v>254</v>
      </c>
      <c r="H75" s="519" t="s">
        <v>215</v>
      </c>
      <c r="I75" s="519" t="s">
        <v>216</v>
      </c>
      <c r="J75" s="519" t="s">
        <v>201</v>
      </c>
      <c r="K75" s="519" t="s">
        <v>202</v>
      </c>
      <c r="L75" s="519" t="s">
        <v>42</v>
      </c>
      <c r="M75" s="519" t="s">
        <v>217</v>
      </c>
      <c r="N75" s="519" t="s">
        <v>255</v>
      </c>
      <c r="O75" s="519" t="s">
        <v>256</v>
      </c>
      <c r="P75" s="519" t="s">
        <v>205</v>
      </c>
      <c r="Q75" s="519" t="s">
        <v>206</v>
      </c>
      <c r="R75" s="519" t="s">
        <v>31</v>
      </c>
      <c r="S75" s="519" t="s">
        <v>207</v>
      </c>
      <c r="T75" s="519" t="s">
        <v>257</v>
      </c>
      <c r="U75" s="519" t="s">
        <v>258</v>
      </c>
      <c r="V75" s="519" t="s">
        <v>259</v>
      </c>
      <c r="W75" s="725"/>
      <c r="X75" s="519" t="s">
        <v>260</v>
      </c>
      <c r="Y75" s="725"/>
      <c r="Z75" s="647">
        <v>28.36</v>
      </c>
      <c r="AA75" s="519" t="s">
        <v>210</v>
      </c>
      <c r="AB75" s="522">
        <v>43040</v>
      </c>
      <c r="AC75" s="523" t="s">
        <v>222</v>
      </c>
      <c r="AD75" s="519" t="s">
        <v>216</v>
      </c>
      <c r="AE75" s="519" t="s">
        <v>43</v>
      </c>
      <c r="AF75" s="519" t="s">
        <v>44</v>
      </c>
      <c r="AG75" s="519" t="s">
        <v>262</v>
      </c>
      <c r="AH75" s="523" t="s">
        <v>37</v>
      </c>
      <c r="AI75" s="522" t="s">
        <v>765</v>
      </c>
      <c r="AJ75" s="729"/>
      <c r="AK75" s="729"/>
      <c r="AL75" s="729"/>
      <c r="AM75" s="519" t="s">
        <v>223</v>
      </c>
      <c r="AN75" s="519" t="s">
        <v>224</v>
      </c>
      <c r="AO75" s="643">
        <v>28.36</v>
      </c>
      <c r="AP75" s="524">
        <f t="shared" si="3"/>
        <v>28.36</v>
      </c>
      <c r="AQ75" s="724"/>
      <c r="AS75" s="460" t="s">
        <v>281</v>
      </c>
    </row>
    <row r="76" spans="1:45">
      <c r="A76" s="519" t="s">
        <v>194</v>
      </c>
      <c r="B76" s="519" t="s">
        <v>195</v>
      </c>
      <c r="C76" s="707"/>
      <c r="D76" s="519" t="s">
        <v>196</v>
      </c>
      <c r="E76" s="519" t="s">
        <v>197</v>
      </c>
      <c r="F76" s="519" t="s">
        <v>198</v>
      </c>
      <c r="G76" s="519" t="s">
        <v>199</v>
      </c>
      <c r="H76" s="519" t="s">
        <v>215</v>
      </c>
      <c r="I76" s="519" t="s">
        <v>216</v>
      </c>
      <c r="J76" s="519" t="s">
        <v>201</v>
      </c>
      <c r="K76" s="519" t="s">
        <v>202</v>
      </c>
      <c r="L76" s="519" t="s">
        <v>42</v>
      </c>
      <c r="M76" s="519" t="s">
        <v>217</v>
      </c>
      <c r="N76" s="519" t="s">
        <v>285</v>
      </c>
      <c r="O76" s="519" t="s">
        <v>286</v>
      </c>
      <c r="P76" s="519" t="s">
        <v>205</v>
      </c>
      <c r="Q76" s="519" t="s">
        <v>206</v>
      </c>
      <c r="R76" s="519" t="s">
        <v>31</v>
      </c>
      <c r="S76" s="519" t="s">
        <v>207</v>
      </c>
      <c r="T76" s="519" t="s">
        <v>766</v>
      </c>
      <c r="U76" s="519" t="s">
        <v>767</v>
      </c>
      <c r="V76" s="519" t="s">
        <v>270</v>
      </c>
      <c r="W76" s="725"/>
      <c r="X76" s="519" t="s">
        <v>220</v>
      </c>
      <c r="Y76" s="725"/>
      <c r="Z76" s="647">
        <v>27.85</v>
      </c>
      <c r="AA76" s="519" t="s">
        <v>210</v>
      </c>
      <c r="AB76" s="522">
        <v>43040</v>
      </c>
      <c r="AC76" s="523" t="s">
        <v>222</v>
      </c>
      <c r="AD76" s="519" t="s">
        <v>216</v>
      </c>
      <c r="AE76" s="519" t="s">
        <v>43</v>
      </c>
      <c r="AF76" s="519" t="s">
        <v>44</v>
      </c>
      <c r="AG76" s="519" t="s">
        <v>47</v>
      </c>
      <c r="AH76" s="523" t="s">
        <v>37</v>
      </c>
      <c r="AI76" s="522" t="s">
        <v>765</v>
      </c>
      <c r="AJ76" s="729"/>
      <c r="AK76" s="729"/>
      <c r="AL76" s="729"/>
      <c r="AM76" s="519" t="s">
        <v>223</v>
      </c>
      <c r="AN76" s="519" t="s">
        <v>224</v>
      </c>
      <c r="AO76" s="643">
        <v>27.85</v>
      </c>
      <c r="AP76" s="524">
        <f t="shared" si="3"/>
        <v>27.85</v>
      </c>
      <c r="AQ76" s="724"/>
      <c r="AS76" s="460" t="s">
        <v>739</v>
      </c>
    </row>
    <row r="77" spans="1:45">
      <c r="A77" s="519" t="s">
        <v>194</v>
      </c>
      <c r="B77" s="519" t="s">
        <v>195</v>
      </c>
      <c r="C77" s="707"/>
      <c r="D77" s="519" t="s">
        <v>196</v>
      </c>
      <c r="E77" s="519" t="s">
        <v>197</v>
      </c>
      <c r="F77" s="519" t="s">
        <v>198</v>
      </c>
      <c r="G77" s="519" t="s">
        <v>199</v>
      </c>
      <c r="H77" s="519" t="s">
        <v>215</v>
      </c>
      <c r="I77" s="519" t="s">
        <v>216</v>
      </c>
      <c r="J77" s="519" t="s">
        <v>201</v>
      </c>
      <c r="K77" s="519" t="s">
        <v>202</v>
      </c>
      <c r="L77" s="519" t="s">
        <v>42</v>
      </c>
      <c r="M77" s="519" t="s">
        <v>217</v>
      </c>
      <c r="N77" s="519" t="s">
        <v>285</v>
      </c>
      <c r="O77" s="519" t="s">
        <v>286</v>
      </c>
      <c r="P77" s="519" t="s">
        <v>205</v>
      </c>
      <c r="Q77" s="519" t="s">
        <v>206</v>
      </c>
      <c r="R77" s="519" t="s">
        <v>31</v>
      </c>
      <c r="S77" s="519" t="s">
        <v>207</v>
      </c>
      <c r="T77" s="519" t="s">
        <v>766</v>
      </c>
      <c r="U77" s="519" t="s">
        <v>767</v>
      </c>
      <c r="V77" s="519" t="s">
        <v>271</v>
      </c>
      <c r="W77" s="725"/>
      <c r="X77" s="519" t="s">
        <v>220</v>
      </c>
      <c r="Y77" s="725"/>
      <c r="Z77" s="647">
        <v>27.85</v>
      </c>
      <c r="AA77" s="519" t="s">
        <v>210</v>
      </c>
      <c r="AB77" s="522">
        <v>43040</v>
      </c>
      <c r="AC77" s="523" t="s">
        <v>222</v>
      </c>
      <c r="AD77" s="519" t="s">
        <v>216</v>
      </c>
      <c r="AE77" s="519" t="s">
        <v>43</v>
      </c>
      <c r="AF77" s="519" t="s">
        <v>44</v>
      </c>
      <c r="AG77" s="519" t="s">
        <v>47</v>
      </c>
      <c r="AH77" s="523" t="s">
        <v>37</v>
      </c>
      <c r="AI77" s="522" t="s">
        <v>765</v>
      </c>
      <c r="AJ77" s="729"/>
      <c r="AK77" s="729"/>
      <c r="AL77" s="729"/>
      <c r="AM77" s="519" t="s">
        <v>223</v>
      </c>
      <c r="AN77" s="519" t="s">
        <v>224</v>
      </c>
      <c r="AO77" s="643">
        <v>27.85</v>
      </c>
      <c r="AP77" s="524">
        <f t="shared" si="3"/>
        <v>27.85</v>
      </c>
      <c r="AQ77" s="724"/>
      <c r="AS77" s="460" t="s">
        <v>739</v>
      </c>
    </row>
    <row r="78" spans="1:45">
      <c r="A78" s="519" t="s">
        <v>194</v>
      </c>
      <c r="B78" s="519" t="s">
        <v>195</v>
      </c>
      <c r="C78" s="707"/>
      <c r="D78" s="519" t="s">
        <v>196</v>
      </c>
      <c r="E78" s="519" t="s">
        <v>197</v>
      </c>
      <c r="F78" s="519" t="s">
        <v>253</v>
      </c>
      <c r="G78" s="519" t="s">
        <v>254</v>
      </c>
      <c r="H78" s="519" t="s">
        <v>215</v>
      </c>
      <c r="I78" s="519" t="s">
        <v>216</v>
      </c>
      <c r="J78" s="519" t="s">
        <v>201</v>
      </c>
      <c r="K78" s="519" t="s">
        <v>202</v>
      </c>
      <c r="L78" s="519" t="s">
        <v>42</v>
      </c>
      <c r="M78" s="519" t="s">
        <v>217</v>
      </c>
      <c r="N78" s="519" t="s">
        <v>255</v>
      </c>
      <c r="O78" s="519" t="s">
        <v>256</v>
      </c>
      <c r="P78" s="519" t="s">
        <v>205</v>
      </c>
      <c r="Q78" s="519" t="s">
        <v>206</v>
      </c>
      <c r="R78" s="519" t="s">
        <v>31</v>
      </c>
      <c r="S78" s="519" t="s">
        <v>207</v>
      </c>
      <c r="T78" s="519" t="s">
        <v>257</v>
      </c>
      <c r="U78" s="519" t="s">
        <v>258</v>
      </c>
      <c r="V78" s="519" t="s">
        <v>278</v>
      </c>
      <c r="W78" s="725"/>
      <c r="X78" s="519" t="s">
        <v>260</v>
      </c>
      <c r="Y78" s="725"/>
      <c r="Z78" s="647">
        <v>29.51</v>
      </c>
      <c r="AA78" s="519" t="s">
        <v>210</v>
      </c>
      <c r="AB78" s="522">
        <v>43040</v>
      </c>
      <c r="AC78" s="523" t="s">
        <v>222</v>
      </c>
      <c r="AD78" s="519" t="s">
        <v>216</v>
      </c>
      <c r="AE78" s="519" t="s">
        <v>43</v>
      </c>
      <c r="AF78" s="519" t="s">
        <v>44</v>
      </c>
      <c r="AG78" s="519" t="s">
        <v>276</v>
      </c>
      <c r="AH78" s="523" t="s">
        <v>37</v>
      </c>
      <c r="AI78" s="522" t="s">
        <v>765</v>
      </c>
      <c r="AJ78" s="729"/>
      <c r="AK78" s="729"/>
      <c r="AL78" s="729"/>
      <c r="AM78" s="519" t="s">
        <v>223</v>
      </c>
      <c r="AN78" s="519" t="s">
        <v>224</v>
      </c>
      <c r="AO78" s="643">
        <v>29.51</v>
      </c>
      <c r="AP78" s="524">
        <f t="shared" si="3"/>
        <v>29.51</v>
      </c>
      <c r="AQ78" s="724"/>
      <c r="AS78" s="460" t="s">
        <v>281</v>
      </c>
    </row>
    <row r="79" spans="1:45">
      <c r="A79" s="519" t="s">
        <v>194</v>
      </c>
      <c r="B79" s="519" t="s">
        <v>195</v>
      </c>
      <c r="C79" s="707"/>
      <c r="D79" s="519" t="s">
        <v>196</v>
      </c>
      <c r="E79" s="519" t="s">
        <v>197</v>
      </c>
      <c r="F79" s="519" t="s">
        <v>198</v>
      </c>
      <c r="G79" s="519" t="s">
        <v>199</v>
      </c>
      <c r="H79" s="519" t="s">
        <v>215</v>
      </c>
      <c r="I79" s="519" t="s">
        <v>216</v>
      </c>
      <c r="J79" s="519" t="s">
        <v>201</v>
      </c>
      <c r="K79" s="519" t="s">
        <v>202</v>
      </c>
      <c r="L79" s="519" t="s">
        <v>42</v>
      </c>
      <c r="M79" s="519" t="s">
        <v>217</v>
      </c>
      <c r="N79" s="519" t="s">
        <v>285</v>
      </c>
      <c r="O79" s="519" t="s">
        <v>286</v>
      </c>
      <c r="P79" s="519" t="s">
        <v>205</v>
      </c>
      <c r="Q79" s="519" t="s">
        <v>206</v>
      </c>
      <c r="R79" s="519" t="s">
        <v>31</v>
      </c>
      <c r="S79" s="519" t="s">
        <v>207</v>
      </c>
      <c r="T79" s="519" t="s">
        <v>766</v>
      </c>
      <c r="U79" s="519" t="s">
        <v>767</v>
      </c>
      <c r="V79" s="519" t="s">
        <v>279</v>
      </c>
      <c r="W79" s="725"/>
      <c r="X79" s="519" t="s">
        <v>220</v>
      </c>
      <c r="Y79" s="725"/>
      <c r="Z79" s="647">
        <v>27.85</v>
      </c>
      <c r="AA79" s="519" t="s">
        <v>210</v>
      </c>
      <c r="AB79" s="522">
        <v>43040</v>
      </c>
      <c r="AC79" s="523" t="s">
        <v>222</v>
      </c>
      <c r="AD79" s="519" t="s">
        <v>216</v>
      </c>
      <c r="AE79" s="519" t="s">
        <v>43</v>
      </c>
      <c r="AF79" s="519" t="s">
        <v>44</v>
      </c>
      <c r="AG79" s="519" t="s">
        <v>47</v>
      </c>
      <c r="AH79" s="523" t="s">
        <v>37</v>
      </c>
      <c r="AI79" s="522" t="s">
        <v>765</v>
      </c>
      <c r="AJ79" s="729"/>
      <c r="AK79" s="729"/>
      <c r="AL79" s="729"/>
      <c r="AM79" s="519" t="s">
        <v>223</v>
      </c>
      <c r="AN79" s="519" t="s">
        <v>224</v>
      </c>
      <c r="AO79" s="643">
        <v>27.85</v>
      </c>
      <c r="AP79" s="524">
        <f t="shared" si="3"/>
        <v>27.85</v>
      </c>
      <c r="AQ79" s="724"/>
      <c r="AS79" s="460" t="s">
        <v>739</v>
      </c>
    </row>
    <row r="80" spans="1:45">
      <c r="A80" s="519" t="s">
        <v>194</v>
      </c>
      <c r="B80" s="519" t="s">
        <v>195</v>
      </c>
      <c r="C80" s="707"/>
      <c r="D80" s="519" t="s">
        <v>196</v>
      </c>
      <c r="E80" s="519" t="s">
        <v>197</v>
      </c>
      <c r="F80" s="519" t="s">
        <v>198</v>
      </c>
      <c r="G80" s="519" t="s">
        <v>199</v>
      </c>
      <c r="H80" s="519" t="s">
        <v>215</v>
      </c>
      <c r="I80" s="519" t="s">
        <v>216</v>
      </c>
      <c r="J80" s="519" t="s">
        <v>201</v>
      </c>
      <c r="K80" s="519" t="s">
        <v>202</v>
      </c>
      <c r="L80" s="519" t="s">
        <v>42</v>
      </c>
      <c r="M80" s="519" t="s">
        <v>217</v>
      </c>
      <c r="N80" s="519" t="s">
        <v>285</v>
      </c>
      <c r="O80" s="519" t="s">
        <v>286</v>
      </c>
      <c r="P80" s="519" t="s">
        <v>205</v>
      </c>
      <c r="Q80" s="519" t="s">
        <v>206</v>
      </c>
      <c r="R80" s="519" t="s">
        <v>31</v>
      </c>
      <c r="S80" s="519" t="s">
        <v>207</v>
      </c>
      <c r="T80" s="519" t="s">
        <v>766</v>
      </c>
      <c r="U80" s="519" t="s">
        <v>767</v>
      </c>
      <c r="V80" s="519" t="s">
        <v>287</v>
      </c>
      <c r="W80" s="725"/>
      <c r="X80" s="519" t="s">
        <v>288</v>
      </c>
      <c r="Y80" s="725"/>
      <c r="Z80" s="647">
        <v>28.32</v>
      </c>
      <c r="AA80" s="519" t="s">
        <v>210</v>
      </c>
      <c r="AB80" s="522">
        <v>43040</v>
      </c>
      <c r="AC80" s="523" t="s">
        <v>222</v>
      </c>
      <c r="AD80" s="519" t="s">
        <v>216</v>
      </c>
      <c r="AE80" s="519" t="s">
        <v>43</v>
      </c>
      <c r="AF80" s="519" t="s">
        <v>44</v>
      </c>
      <c r="AG80" s="519" t="s">
        <v>290</v>
      </c>
      <c r="AH80" s="523" t="s">
        <v>37</v>
      </c>
      <c r="AI80" s="522" t="s">
        <v>765</v>
      </c>
      <c r="AJ80" s="729"/>
      <c r="AK80" s="729"/>
      <c r="AL80" s="729"/>
      <c r="AM80" s="519" t="s">
        <v>223</v>
      </c>
      <c r="AN80" s="519" t="s">
        <v>224</v>
      </c>
      <c r="AO80" s="643">
        <v>28.32</v>
      </c>
      <c r="AP80" s="524">
        <f t="shared" si="3"/>
        <v>28.32</v>
      </c>
      <c r="AQ80" s="724"/>
      <c r="AS80" s="460" t="s">
        <v>738</v>
      </c>
    </row>
    <row r="81" spans="1:45">
      <c r="A81" s="519" t="s">
        <v>194</v>
      </c>
      <c r="B81" s="519" t="s">
        <v>195</v>
      </c>
      <c r="C81" s="707"/>
      <c r="D81" s="519" t="s">
        <v>196</v>
      </c>
      <c r="E81" s="519" t="s">
        <v>197</v>
      </c>
      <c r="F81" s="519" t="s">
        <v>198</v>
      </c>
      <c r="G81" s="519" t="s">
        <v>199</v>
      </c>
      <c r="H81" s="519" t="s">
        <v>215</v>
      </c>
      <c r="I81" s="519" t="s">
        <v>216</v>
      </c>
      <c r="J81" s="519" t="s">
        <v>201</v>
      </c>
      <c r="K81" s="519" t="s">
        <v>202</v>
      </c>
      <c r="L81" s="519" t="s">
        <v>42</v>
      </c>
      <c r="M81" s="519" t="s">
        <v>217</v>
      </c>
      <c r="N81" s="519" t="s">
        <v>272</v>
      </c>
      <c r="O81" s="519" t="s">
        <v>273</v>
      </c>
      <c r="P81" s="519" t="s">
        <v>205</v>
      </c>
      <c r="Q81" s="519" t="s">
        <v>206</v>
      </c>
      <c r="R81" s="519" t="s">
        <v>31</v>
      </c>
      <c r="S81" s="519" t="s">
        <v>207</v>
      </c>
      <c r="T81" s="519" t="s">
        <v>274</v>
      </c>
      <c r="U81" s="519" t="s">
        <v>275</v>
      </c>
      <c r="V81" s="519" t="s">
        <v>295</v>
      </c>
      <c r="W81" s="725"/>
      <c r="X81" s="519" t="s">
        <v>260</v>
      </c>
      <c r="Y81" s="725"/>
      <c r="Z81" s="647">
        <v>29.51</v>
      </c>
      <c r="AA81" s="519" t="s">
        <v>210</v>
      </c>
      <c r="AB81" s="522">
        <v>43040</v>
      </c>
      <c r="AC81" s="523" t="s">
        <v>222</v>
      </c>
      <c r="AD81" s="519" t="s">
        <v>216</v>
      </c>
      <c r="AE81" s="519" t="s">
        <v>43</v>
      </c>
      <c r="AF81" s="519" t="s">
        <v>44</v>
      </c>
      <c r="AG81" s="519" t="s">
        <v>276</v>
      </c>
      <c r="AH81" s="523" t="s">
        <v>37</v>
      </c>
      <c r="AI81" s="522" t="s">
        <v>765</v>
      </c>
      <c r="AJ81" s="729"/>
      <c r="AK81" s="729"/>
      <c r="AL81" s="729"/>
      <c r="AM81" s="519" t="s">
        <v>223</v>
      </c>
      <c r="AN81" s="519" t="s">
        <v>224</v>
      </c>
      <c r="AO81" s="643">
        <v>29.51</v>
      </c>
      <c r="AP81" s="524">
        <f t="shared" si="3"/>
        <v>29.51</v>
      </c>
      <c r="AQ81" s="724"/>
      <c r="AS81" s="460" t="s">
        <v>281</v>
      </c>
    </row>
    <row r="82" spans="1:45">
      <c r="A82" s="519" t="s">
        <v>194</v>
      </c>
      <c r="B82" s="519" t="s">
        <v>195</v>
      </c>
      <c r="C82" s="707"/>
      <c r="D82" s="519" t="s">
        <v>196</v>
      </c>
      <c r="E82" s="519" t="s">
        <v>197</v>
      </c>
      <c r="F82" s="519" t="s">
        <v>253</v>
      </c>
      <c r="G82" s="519" t="s">
        <v>254</v>
      </c>
      <c r="H82" s="519" t="s">
        <v>215</v>
      </c>
      <c r="I82" s="519" t="s">
        <v>216</v>
      </c>
      <c r="J82" s="519" t="s">
        <v>201</v>
      </c>
      <c r="K82" s="519" t="s">
        <v>202</v>
      </c>
      <c r="L82" s="519" t="s">
        <v>42</v>
      </c>
      <c r="M82" s="519" t="s">
        <v>217</v>
      </c>
      <c r="N82" s="519" t="s">
        <v>255</v>
      </c>
      <c r="O82" s="519" t="s">
        <v>256</v>
      </c>
      <c r="P82" s="519" t="s">
        <v>205</v>
      </c>
      <c r="Q82" s="519" t="s">
        <v>206</v>
      </c>
      <c r="R82" s="519" t="s">
        <v>31</v>
      </c>
      <c r="S82" s="519" t="s">
        <v>207</v>
      </c>
      <c r="T82" s="519" t="s">
        <v>257</v>
      </c>
      <c r="U82" s="519" t="s">
        <v>258</v>
      </c>
      <c r="V82" s="519" t="s">
        <v>296</v>
      </c>
      <c r="W82" s="725"/>
      <c r="X82" s="519" t="s">
        <v>297</v>
      </c>
      <c r="Y82" s="725"/>
      <c r="Z82" s="647">
        <v>26.68</v>
      </c>
      <c r="AA82" s="519" t="s">
        <v>210</v>
      </c>
      <c r="AB82" s="522">
        <v>43040</v>
      </c>
      <c r="AC82" s="523" t="s">
        <v>222</v>
      </c>
      <c r="AD82" s="519" t="s">
        <v>216</v>
      </c>
      <c r="AE82" s="519" t="s">
        <v>43</v>
      </c>
      <c r="AF82" s="519" t="s">
        <v>44</v>
      </c>
      <c r="AG82" s="519" t="s">
        <v>299</v>
      </c>
      <c r="AH82" s="523" t="s">
        <v>37</v>
      </c>
      <c r="AI82" s="522" t="s">
        <v>765</v>
      </c>
      <c r="AJ82" s="729"/>
      <c r="AK82" s="729"/>
      <c r="AL82" s="729"/>
      <c r="AM82" s="519" t="s">
        <v>223</v>
      </c>
      <c r="AN82" s="519" t="s">
        <v>224</v>
      </c>
      <c r="AO82" s="643">
        <v>26.68</v>
      </c>
      <c r="AP82" s="524">
        <f t="shared" si="3"/>
        <v>26.68</v>
      </c>
      <c r="AQ82" s="724"/>
      <c r="AS82" s="460" t="s">
        <v>281</v>
      </c>
    </row>
    <row r="83" spans="1:45">
      <c r="A83" s="519" t="s">
        <v>194</v>
      </c>
      <c r="B83" s="519" t="s">
        <v>195</v>
      </c>
      <c r="C83" s="707"/>
      <c r="D83" s="519" t="s">
        <v>196</v>
      </c>
      <c r="E83" s="519" t="s">
        <v>197</v>
      </c>
      <c r="F83" s="519" t="s">
        <v>198</v>
      </c>
      <c r="G83" s="519" t="s">
        <v>199</v>
      </c>
      <c r="H83" s="519" t="s">
        <v>215</v>
      </c>
      <c r="I83" s="519" t="s">
        <v>216</v>
      </c>
      <c r="J83" s="519" t="s">
        <v>201</v>
      </c>
      <c r="K83" s="519" t="s">
        <v>202</v>
      </c>
      <c r="L83" s="519" t="s">
        <v>42</v>
      </c>
      <c r="M83" s="519" t="s">
        <v>217</v>
      </c>
      <c r="N83" s="519" t="s">
        <v>272</v>
      </c>
      <c r="O83" s="519" t="s">
        <v>273</v>
      </c>
      <c r="P83" s="519" t="s">
        <v>205</v>
      </c>
      <c r="Q83" s="519" t="s">
        <v>206</v>
      </c>
      <c r="R83" s="519" t="s">
        <v>31</v>
      </c>
      <c r="S83" s="519" t="s">
        <v>207</v>
      </c>
      <c r="T83" s="519" t="s">
        <v>274</v>
      </c>
      <c r="U83" s="519" t="s">
        <v>275</v>
      </c>
      <c r="V83" s="519" t="s">
        <v>668</v>
      </c>
      <c r="W83" s="725"/>
      <c r="X83" s="519" t="s">
        <v>260</v>
      </c>
      <c r="Y83" s="725"/>
      <c r="Z83" s="647">
        <v>28.36</v>
      </c>
      <c r="AA83" s="519" t="s">
        <v>210</v>
      </c>
      <c r="AB83" s="522">
        <v>43040</v>
      </c>
      <c r="AC83" s="523" t="s">
        <v>222</v>
      </c>
      <c r="AD83" s="519" t="s">
        <v>216</v>
      </c>
      <c r="AE83" s="519" t="s">
        <v>43</v>
      </c>
      <c r="AF83" s="519" t="s">
        <v>44</v>
      </c>
      <c r="AG83" s="519" t="s">
        <v>262</v>
      </c>
      <c r="AH83" s="523" t="s">
        <v>37</v>
      </c>
      <c r="AI83" s="522" t="s">
        <v>765</v>
      </c>
      <c r="AJ83" s="729"/>
      <c r="AK83" s="729"/>
      <c r="AL83" s="729"/>
      <c r="AM83" s="519" t="s">
        <v>223</v>
      </c>
      <c r="AN83" s="519" t="s">
        <v>224</v>
      </c>
      <c r="AO83" s="643">
        <v>28.36</v>
      </c>
      <c r="AP83" s="524">
        <f t="shared" si="3"/>
        <v>28.36</v>
      </c>
      <c r="AQ83" s="724"/>
      <c r="AS83" s="460" t="s">
        <v>281</v>
      </c>
    </row>
    <row r="84" spans="1:45">
      <c r="A84" s="519" t="s">
        <v>194</v>
      </c>
      <c r="B84" s="519" t="s">
        <v>195</v>
      </c>
      <c r="C84" s="707"/>
      <c r="D84" s="519" t="s">
        <v>196</v>
      </c>
      <c r="E84" s="519" t="s">
        <v>197</v>
      </c>
      <c r="F84" s="519" t="s">
        <v>198</v>
      </c>
      <c r="G84" s="519" t="s">
        <v>199</v>
      </c>
      <c r="H84" s="519" t="s">
        <v>215</v>
      </c>
      <c r="I84" s="519" t="s">
        <v>216</v>
      </c>
      <c r="J84" s="519" t="s">
        <v>201</v>
      </c>
      <c r="K84" s="519" t="s">
        <v>202</v>
      </c>
      <c r="L84" s="519" t="s">
        <v>42</v>
      </c>
      <c r="M84" s="519" t="s">
        <v>217</v>
      </c>
      <c r="N84" s="519" t="s">
        <v>285</v>
      </c>
      <c r="O84" s="519" t="s">
        <v>286</v>
      </c>
      <c r="P84" s="519" t="s">
        <v>205</v>
      </c>
      <c r="Q84" s="519" t="s">
        <v>206</v>
      </c>
      <c r="R84" s="519" t="s">
        <v>31</v>
      </c>
      <c r="S84" s="519" t="s">
        <v>207</v>
      </c>
      <c r="T84" s="519" t="s">
        <v>766</v>
      </c>
      <c r="U84" s="519" t="s">
        <v>767</v>
      </c>
      <c r="V84" s="519" t="s">
        <v>313</v>
      </c>
      <c r="W84" s="725"/>
      <c r="X84" s="519" t="s">
        <v>220</v>
      </c>
      <c r="Y84" s="725"/>
      <c r="Z84" s="647">
        <v>27.85</v>
      </c>
      <c r="AA84" s="519" t="s">
        <v>210</v>
      </c>
      <c r="AB84" s="522">
        <v>43040</v>
      </c>
      <c r="AC84" s="523" t="s">
        <v>222</v>
      </c>
      <c r="AD84" s="519" t="s">
        <v>216</v>
      </c>
      <c r="AE84" s="519" t="s">
        <v>43</v>
      </c>
      <c r="AF84" s="519" t="s">
        <v>44</v>
      </c>
      <c r="AG84" s="519" t="s">
        <v>47</v>
      </c>
      <c r="AH84" s="523" t="s">
        <v>37</v>
      </c>
      <c r="AI84" s="522" t="s">
        <v>765</v>
      </c>
      <c r="AJ84" s="729"/>
      <c r="AK84" s="729"/>
      <c r="AL84" s="729"/>
      <c r="AM84" s="519" t="s">
        <v>223</v>
      </c>
      <c r="AN84" s="519" t="s">
        <v>224</v>
      </c>
      <c r="AO84" s="643">
        <v>27.85</v>
      </c>
      <c r="AP84" s="524">
        <f t="shared" si="3"/>
        <v>27.85</v>
      </c>
      <c r="AQ84" s="724"/>
      <c r="AS84" s="460" t="s">
        <v>739</v>
      </c>
    </row>
    <row r="85" spans="1:45">
      <c r="A85" s="519" t="s">
        <v>194</v>
      </c>
      <c r="B85" s="519" t="s">
        <v>195</v>
      </c>
      <c r="C85" s="707"/>
      <c r="D85" s="519" t="s">
        <v>196</v>
      </c>
      <c r="E85" s="519" t="s">
        <v>197</v>
      </c>
      <c r="F85" s="519" t="s">
        <v>198</v>
      </c>
      <c r="G85" s="519" t="s">
        <v>199</v>
      </c>
      <c r="H85" s="519" t="s">
        <v>215</v>
      </c>
      <c r="I85" s="519" t="s">
        <v>216</v>
      </c>
      <c r="J85" s="519" t="s">
        <v>201</v>
      </c>
      <c r="K85" s="519" t="s">
        <v>202</v>
      </c>
      <c r="L85" s="519" t="s">
        <v>42</v>
      </c>
      <c r="M85" s="519" t="s">
        <v>217</v>
      </c>
      <c r="N85" s="519" t="s">
        <v>285</v>
      </c>
      <c r="O85" s="519" t="s">
        <v>286</v>
      </c>
      <c r="P85" s="519" t="s">
        <v>205</v>
      </c>
      <c r="Q85" s="519" t="s">
        <v>206</v>
      </c>
      <c r="R85" s="519" t="s">
        <v>31</v>
      </c>
      <c r="S85" s="519" t="s">
        <v>207</v>
      </c>
      <c r="T85" s="519" t="s">
        <v>766</v>
      </c>
      <c r="U85" s="519" t="s">
        <v>767</v>
      </c>
      <c r="V85" s="519" t="s">
        <v>321</v>
      </c>
      <c r="W85" s="725"/>
      <c r="X85" s="519" t="s">
        <v>220</v>
      </c>
      <c r="Y85" s="725"/>
      <c r="Z85" s="647">
        <v>27.85</v>
      </c>
      <c r="AA85" s="519" t="s">
        <v>210</v>
      </c>
      <c r="AB85" s="522">
        <v>43040</v>
      </c>
      <c r="AC85" s="523" t="s">
        <v>222</v>
      </c>
      <c r="AD85" s="519" t="s">
        <v>216</v>
      </c>
      <c r="AE85" s="519" t="s">
        <v>43</v>
      </c>
      <c r="AF85" s="519" t="s">
        <v>44</v>
      </c>
      <c r="AG85" s="519" t="s">
        <v>47</v>
      </c>
      <c r="AH85" s="523" t="s">
        <v>37</v>
      </c>
      <c r="AI85" s="522" t="s">
        <v>765</v>
      </c>
      <c r="AJ85" s="729"/>
      <c r="AK85" s="729"/>
      <c r="AL85" s="729"/>
      <c r="AM85" s="519" t="s">
        <v>223</v>
      </c>
      <c r="AN85" s="519" t="s">
        <v>224</v>
      </c>
      <c r="AO85" s="643">
        <v>27.85</v>
      </c>
      <c r="AP85" s="524">
        <f t="shared" si="3"/>
        <v>27.85</v>
      </c>
      <c r="AQ85" s="724"/>
      <c r="AS85" s="460" t="s">
        <v>739</v>
      </c>
    </row>
    <row r="86" spans="1:45">
      <c r="A86" s="519" t="s">
        <v>194</v>
      </c>
      <c r="B86" s="519" t="s">
        <v>195</v>
      </c>
      <c r="C86" s="707"/>
      <c r="D86" s="519" t="s">
        <v>196</v>
      </c>
      <c r="E86" s="519" t="s">
        <v>197</v>
      </c>
      <c r="F86" s="519" t="s">
        <v>198</v>
      </c>
      <c r="G86" s="519" t="s">
        <v>199</v>
      </c>
      <c r="H86" s="519" t="s">
        <v>215</v>
      </c>
      <c r="I86" s="519" t="s">
        <v>216</v>
      </c>
      <c r="J86" s="519" t="s">
        <v>201</v>
      </c>
      <c r="K86" s="519" t="s">
        <v>202</v>
      </c>
      <c r="L86" s="519" t="s">
        <v>42</v>
      </c>
      <c r="M86" s="519" t="s">
        <v>217</v>
      </c>
      <c r="N86" s="519" t="s">
        <v>285</v>
      </c>
      <c r="O86" s="519" t="s">
        <v>286</v>
      </c>
      <c r="P86" s="519" t="s">
        <v>205</v>
      </c>
      <c r="Q86" s="519" t="s">
        <v>206</v>
      </c>
      <c r="R86" s="519" t="s">
        <v>31</v>
      </c>
      <c r="S86" s="519" t="s">
        <v>207</v>
      </c>
      <c r="T86" s="519" t="s">
        <v>766</v>
      </c>
      <c r="U86" s="519" t="s">
        <v>767</v>
      </c>
      <c r="V86" s="519" t="s">
        <v>783</v>
      </c>
      <c r="W86" s="725"/>
      <c r="X86" s="519" t="s">
        <v>220</v>
      </c>
      <c r="Y86" s="725"/>
      <c r="Z86" s="647">
        <v>27.85</v>
      </c>
      <c r="AA86" s="519" t="s">
        <v>210</v>
      </c>
      <c r="AB86" s="522">
        <v>43040</v>
      </c>
      <c r="AC86" s="523" t="s">
        <v>222</v>
      </c>
      <c r="AD86" s="519" t="s">
        <v>216</v>
      </c>
      <c r="AE86" s="519" t="s">
        <v>43</v>
      </c>
      <c r="AF86" s="519" t="s">
        <v>44</v>
      </c>
      <c r="AG86" s="519" t="s">
        <v>47</v>
      </c>
      <c r="AH86" s="523" t="s">
        <v>37</v>
      </c>
      <c r="AI86" s="522" t="s">
        <v>765</v>
      </c>
      <c r="AJ86" s="729"/>
      <c r="AK86" s="729"/>
      <c r="AL86" s="729"/>
      <c r="AM86" s="519" t="s">
        <v>223</v>
      </c>
      <c r="AN86" s="519" t="s">
        <v>224</v>
      </c>
      <c r="AO86" s="643">
        <v>27.85</v>
      </c>
      <c r="AP86" s="524">
        <f t="shared" si="3"/>
        <v>27.85</v>
      </c>
      <c r="AQ86" s="724"/>
      <c r="AS86" s="460" t="s">
        <v>739</v>
      </c>
    </row>
    <row r="87" spans="1:45">
      <c r="A87" s="519" t="s">
        <v>194</v>
      </c>
      <c r="B87" s="519" t="s">
        <v>195</v>
      </c>
      <c r="C87" s="707"/>
      <c r="D87" s="519" t="s">
        <v>196</v>
      </c>
      <c r="E87" s="519" t="s">
        <v>197</v>
      </c>
      <c r="F87" s="519" t="s">
        <v>198</v>
      </c>
      <c r="G87" s="519" t="s">
        <v>199</v>
      </c>
      <c r="H87" s="519" t="s">
        <v>215</v>
      </c>
      <c r="I87" s="519" t="s">
        <v>216</v>
      </c>
      <c r="J87" s="519" t="s">
        <v>201</v>
      </c>
      <c r="K87" s="519" t="s">
        <v>202</v>
      </c>
      <c r="L87" s="519" t="s">
        <v>42</v>
      </c>
      <c r="M87" s="519" t="s">
        <v>217</v>
      </c>
      <c r="N87" s="519" t="s">
        <v>285</v>
      </c>
      <c r="O87" s="519" t="s">
        <v>286</v>
      </c>
      <c r="P87" s="519" t="s">
        <v>205</v>
      </c>
      <c r="Q87" s="519" t="s">
        <v>206</v>
      </c>
      <c r="R87" s="519" t="s">
        <v>31</v>
      </c>
      <c r="S87" s="519" t="s">
        <v>207</v>
      </c>
      <c r="T87" s="519" t="s">
        <v>766</v>
      </c>
      <c r="U87" s="519" t="s">
        <v>767</v>
      </c>
      <c r="V87" s="519" t="s">
        <v>330</v>
      </c>
      <c r="W87" s="725"/>
      <c r="X87" s="519" t="s">
        <v>220</v>
      </c>
      <c r="Y87" s="725"/>
      <c r="Z87" s="647">
        <v>27.85</v>
      </c>
      <c r="AA87" s="519" t="s">
        <v>210</v>
      </c>
      <c r="AB87" s="522">
        <v>43040</v>
      </c>
      <c r="AC87" s="523" t="s">
        <v>222</v>
      </c>
      <c r="AD87" s="519" t="s">
        <v>216</v>
      </c>
      <c r="AE87" s="519" t="s">
        <v>43</v>
      </c>
      <c r="AF87" s="519" t="s">
        <v>44</v>
      </c>
      <c r="AG87" s="519" t="s">
        <v>47</v>
      </c>
      <c r="AH87" s="523" t="s">
        <v>37</v>
      </c>
      <c r="AI87" s="522" t="s">
        <v>765</v>
      </c>
      <c r="AJ87" s="729"/>
      <c r="AK87" s="729"/>
      <c r="AL87" s="729"/>
      <c r="AM87" s="519" t="s">
        <v>223</v>
      </c>
      <c r="AN87" s="519" t="s">
        <v>224</v>
      </c>
      <c r="AO87" s="643">
        <v>27.85</v>
      </c>
      <c r="AP87" s="524">
        <f t="shared" si="3"/>
        <v>27.85</v>
      </c>
      <c r="AQ87" s="724"/>
      <c r="AS87" s="460" t="s">
        <v>739</v>
      </c>
    </row>
    <row r="88" spans="1:45">
      <c r="A88" s="519" t="s">
        <v>194</v>
      </c>
      <c r="B88" s="519" t="s">
        <v>195</v>
      </c>
      <c r="C88" s="707"/>
      <c r="D88" s="519" t="s">
        <v>196</v>
      </c>
      <c r="E88" s="519" t="s">
        <v>197</v>
      </c>
      <c r="F88" s="519" t="s">
        <v>198</v>
      </c>
      <c r="G88" s="519" t="s">
        <v>199</v>
      </c>
      <c r="H88" s="519" t="s">
        <v>215</v>
      </c>
      <c r="I88" s="519" t="s">
        <v>216</v>
      </c>
      <c r="J88" s="519" t="s">
        <v>201</v>
      </c>
      <c r="K88" s="519" t="s">
        <v>202</v>
      </c>
      <c r="L88" s="519" t="s">
        <v>42</v>
      </c>
      <c r="M88" s="519" t="s">
        <v>217</v>
      </c>
      <c r="N88" s="519" t="s">
        <v>285</v>
      </c>
      <c r="O88" s="519" t="s">
        <v>286</v>
      </c>
      <c r="P88" s="519" t="s">
        <v>205</v>
      </c>
      <c r="Q88" s="519" t="s">
        <v>206</v>
      </c>
      <c r="R88" s="519" t="s">
        <v>31</v>
      </c>
      <c r="S88" s="519" t="s">
        <v>207</v>
      </c>
      <c r="T88" s="519" t="s">
        <v>766</v>
      </c>
      <c r="U88" s="519" t="s">
        <v>767</v>
      </c>
      <c r="V88" s="519" t="s">
        <v>331</v>
      </c>
      <c r="W88" s="725"/>
      <c r="X88" s="519" t="s">
        <v>220</v>
      </c>
      <c r="Y88" s="725"/>
      <c r="Z88" s="647">
        <v>27.85</v>
      </c>
      <c r="AA88" s="519" t="s">
        <v>210</v>
      </c>
      <c r="AB88" s="522">
        <v>43040</v>
      </c>
      <c r="AC88" s="523" t="s">
        <v>222</v>
      </c>
      <c r="AD88" s="519" t="s">
        <v>216</v>
      </c>
      <c r="AE88" s="519" t="s">
        <v>43</v>
      </c>
      <c r="AF88" s="519" t="s">
        <v>44</v>
      </c>
      <c r="AG88" s="519" t="s">
        <v>47</v>
      </c>
      <c r="AH88" s="523" t="s">
        <v>37</v>
      </c>
      <c r="AI88" s="522" t="s">
        <v>765</v>
      </c>
      <c r="AJ88" s="729"/>
      <c r="AK88" s="729"/>
      <c r="AL88" s="729"/>
      <c r="AM88" s="519" t="s">
        <v>223</v>
      </c>
      <c r="AN88" s="519" t="s">
        <v>224</v>
      </c>
      <c r="AO88" s="643">
        <v>27.85</v>
      </c>
      <c r="AP88" s="524">
        <f t="shared" si="3"/>
        <v>27.85</v>
      </c>
      <c r="AQ88" s="724"/>
      <c r="AS88" s="460" t="s">
        <v>738</v>
      </c>
    </row>
    <row r="89" spans="1:45">
      <c r="A89" s="519" t="s">
        <v>194</v>
      </c>
      <c r="B89" s="519" t="s">
        <v>195</v>
      </c>
      <c r="C89" s="707"/>
      <c r="D89" s="519" t="s">
        <v>196</v>
      </c>
      <c r="E89" s="519" t="s">
        <v>197</v>
      </c>
      <c r="F89" s="519" t="s">
        <v>253</v>
      </c>
      <c r="G89" s="519" t="s">
        <v>254</v>
      </c>
      <c r="H89" s="519" t="s">
        <v>215</v>
      </c>
      <c r="I89" s="519" t="s">
        <v>216</v>
      </c>
      <c r="J89" s="519" t="s">
        <v>201</v>
      </c>
      <c r="K89" s="519" t="s">
        <v>202</v>
      </c>
      <c r="L89" s="519" t="s">
        <v>42</v>
      </c>
      <c r="M89" s="519" t="s">
        <v>217</v>
      </c>
      <c r="N89" s="519" t="s">
        <v>255</v>
      </c>
      <c r="O89" s="519" t="s">
        <v>256</v>
      </c>
      <c r="P89" s="519" t="s">
        <v>205</v>
      </c>
      <c r="Q89" s="519" t="s">
        <v>206</v>
      </c>
      <c r="R89" s="519" t="s">
        <v>31</v>
      </c>
      <c r="S89" s="519" t="s">
        <v>207</v>
      </c>
      <c r="T89" s="519" t="s">
        <v>257</v>
      </c>
      <c r="U89" s="519" t="s">
        <v>258</v>
      </c>
      <c r="V89" s="519" t="s">
        <v>332</v>
      </c>
      <c r="W89" s="725"/>
      <c r="X89" s="519" t="s">
        <v>260</v>
      </c>
      <c r="Y89" s="725"/>
      <c r="Z89" s="647">
        <v>29.63</v>
      </c>
      <c r="AA89" s="519" t="s">
        <v>210</v>
      </c>
      <c r="AB89" s="522">
        <v>43040</v>
      </c>
      <c r="AC89" s="523" t="s">
        <v>222</v>
      </c>
      <c r="AD89" s="519" t="s">
        <v>216</v>
      </c>
      <c r="AE89" s="519" t="s">
        <v>43</v>
      </c>
      <c r="AF89" s="519" t="s">
        <v>44</v>
      </c>
      <c r="AG89" s="519" t="s">
        <v>333</v>
      </c>
      <c r="AH89" s="523" t="s">
        <v>37</v>
      </c>
      <c r="AI89" s="522" t="s">
        <v>765</v>
      </c>
      <c r="AJ89" s="729"/>
      <c r="AK89" s="729"/>
      <c r="AL89" s="729"/>
      <c r="AM89" s="519" t="s">
        <v>223</v>
      </c>
      <c r="AN89" s="519" t="s">
        <v>224</v>
      </c>
      <c r="AO89" s="643">
        <v>29.63</v>
      </c>
      <c r="AP89" s="524">
        <f t="shared" si="3"/>
        <v>29.63</v>
      </c>
      <c r="AQ89" s="724"/>
      <c r="AS89" s="460" t="s">
        <v>281</v>
      </c>
    </row>
    <row r="90" spans="1:45">
      <c r="A90" s="519" t="s">
        <v>194</v>
      </c>
      <c r="B90" s="519" t="s">
        <v>195</v>
      </c>
      <c r="C90" s="707"/>
      <c r="D90" s="519" t="s">
        <v>196</v>
      </c>
      <c r="E90" s="519" t="s">
        <v>197</v>
      </c>
      <c r="F90" s="519" t="s">
        <v>198</v>
      </c>
      <c r="G90" s="519" t="s">
        <v>199</v>
      </c>
      <c r="H90" s="519" t="s">
        <v>215</v>
      </c>
      <c r="I90" s="519" t="s">
        <v>216</v>
      </c>
      <c r="J90" s="519" t="s">
        <v>201</v>
      </c>
      <c r="K90" s="519" t="s">
        <v>202</v>
      </c>
      <c r="L90" s="519" t="s">
        <v>42</v>
      </c>
      <c r="M90" s="519" t="s">
        <v>217</v>
      </c>
      <c r="N90" s="519" t="s">
        <v>285</v>
      </c>
      <c r="O90" s="519" t="s">
        <v>286</v>
      </c>
      <c r="P90" s="519" t="s">
        <v>205</v>
      </c>
      <c r="Q90" s="519" t="s">
        <v>206</v>
      </c>
      <c r="R90" s="519" t="s">
        <v>31</v>
      </c>
      <c r="S90" s="519" t="s">
        <v>207</v>
      </c>
      <c r="T90" s="519" t="s">
        <v>766</v>
      </c>
      <c r="U90" s="519" t="s">
        <v>767</v>
      </c>
      <c r="V90" s="519" t="s">
        <v>665</v>
      </c>
      <c r="W90" s="725"/>
      <c r="X90" s="519" t="s">
        <v>220</v>
      </c>
      <c r="Y90" s="725"/>
      <c r="Z90" s="647">
        <v>27.85</v>
      </c>
      <c r="AA90" s="519" t="s">
        <v>210</v>
      </c>
      <c r="AB90" s="522">
        <v>43040</v>
      </c>
      <c r="AC90" s="523" t="s">
        <v>222</v>
      </c>
      <c r="AD90" s="519" t="s">
        <v>216</v>
      </c>
      <c r="AE90" s="519" t="s">
        <v>43</v>
      </c>
      <c r="AF90" s="519" t="s">
        <v>44</v>
      </c>
      <c r="AG90" s="519" t="s">
        <v>47</v>
      </c>
      <c r="AH90" s="523" t="s">
        <v>37</v>
      </c>
      <c r="AI90" s="522" t="s">
        <v>765</v>
      </c>
      <c r="AJ90" s="729"/>
      <c r="AK90" s="729"/>
      <c r="AL90" s="729"/>
      <c r="AM90" s="519" t="s">
        <v>223</v>
      </c>
      <c r="AN90" s="519" t="s">
        <v>224</v>
      </c>
      <c r="AO90" s="643">
        <v>27.85</v>
      </c>
      <c r="AP90" s="524">
        <f t="shared" si="3"/>
        <v>27.85</v>
      </c>
      <c r="AQ90" s="724"/>
      <c r="AS90" s="460" t="s">
        <v>739</v>
      </c>
    </row>
    <row r="91" spans="1:45">
      <c r="A91" s="519" t="s">
        <v>194</v>
      </c>
      <c r="B91" s="519" t="s">
        <v>195</v>
      </c>
      <c r="C91" s="707"/>
      <c r="D91" s="519" t="s">
        <v>196</v>
      </c>
      <c r="E91" s="519" t="s">
        <v>197</v>
      </c>
      <c r="F91" s="519" t="s">
        <v>198</v>
      </c>
      <c r="G91" s="519" t="s">
        <v>199</v>
      </c>
      <c r="H91" s="519" t="s">
        <v>215</v>
      </c>
      <c r="I91" s="519" t="s">
        <v>216</v>
      </c>
      <c r="J91" s="519" t="s">
        <v>201</v>
      </c>
      <c r="K91" s="519" t="s">
        <v>202</v>
      </c>
      <c r="L91" s="519" t="s">
        <v>42</v>
      </c>
      <c r="M91" s="519" t="s">
        <v>217</v>
      </c>
      <c r="N91" s="519" t="s">
        <v>285</v>
      </c>
      <c r="O91" s="519" t="s">
        <v>286</v>
      </c>
      <c r="P91" s="519" t="s">
        <v>205</v>
      </c>
      <c r="Q91" s="519" t="s">
        <v>206</v>
      </c>
      <c r="R91" s="519" t="s">
        <v>31</v>
      </c>
      <c r="S91" s="519" t="s">
        <v>207</v>
      </c>
      <c r="T91" s="519" t="s">
        <v>348</v>
      </c>
      <c r="U91" s="519" t="s">
        <v>349</v>
      </c>
      <c r="V91" s="519" t="s">
        <v>350</v>
      </c>
      <c r="W91" s="725"/>
      <c r="X91" s="519" t="s">
        <v>305</v>
      </c>
      <c r="Y91" s="725"/>
      <c r="Z91" s="647">
        <v>25.21</v>
      </c>
      <c r="AA91" s="519" t="s">
        <v>210</v>
      </c>
      <c r="AB91" s="522">
        <v>43040</v>
      </c>
      <c r="AC91" s="523" t="s">
        <v>222</v>
      </c>
      <c r="AD91" s="519" t="s">
        <v>216</v>
      </c>
      <c r="AE91" s="519" t="s">
        <v>43</v>
      </c>
      <c r="AF91" s="519" t="s">
        <v>44</v>
      </c>
      <c r="AG91" s="519" t="s">
        <v>48</v>
      </c>
      <c r="AH91" s="523" t="s">
        <v>49</v>
      </c>
      <c r="AI91" s="522" t="s">
        <v>765</v>
      </c>
      <c r="AJ91" s="729"/>
      <c r="AK91" s="729"/>
      <c r="AL91" s="729"/>
      <c r="AM91" s="519" t="s">
        <v>223</v>
      </c>
      <c r="AN91" s="519" t="s">
        <v>224</v>
      </c>
      <c r="AO91" s="643">
        <v>25.21</v>
      </c>
      <c r="AP91" s="524">
        <f t="shared" si="3"/>
        <v>25.21</v>
      </c>
      <c r="AQ91" s="724"/>
      <c r="AS91" s="460" t="s">
        <v>738</v>
      </c>
    </row>
    <row r="92" spans="1:45">
      <c r="A92" s="519" t="s">
        <v>194</v>
      </c>
      <c r="B92" s="519" t="s">
        <v>195</v>
      </c>
      <c r="C92" s="707"/>
      <c r="D92" s="519" t="s">
        <v>196</v>
      </c>
      <c r="E92" s="519" t="s">
        <v>197</v>
      </c>
      <c r="F92" s="519" t="s">
        <v>198</v>
      </c>
      <c r="G92" s="519" t="s">
        <v>199</v>
      </c>
      <c r="H92" s="519" t="s">
        <v>215</v>
      </c>
      <c r="I92" s="519" t="s">
        <v>216</v>
      </c>
      <c r="J92" s="519" t="s">
        <v>201</v>
      </c>
      <c r="K92" s="519" t="s">
        <v>202</v>
      </c>
      <c r="L92" s="519" t="s">
        <v>42</v>
      </c>
      <c r="M92" s="519" t="s">
        <v>217</v>
      </c>
      <c r="N92" s="519" t="s">
        <v>285</v>
      </c>
      <c r="O92" s="519" t="s">
        <v>286</v>
      </c>
      <c r="P92" s="519" t="s">
        <v>205</v>
      </c>
      <c r="Q92" s="519" t="s">
        <v>206</v>
      </c>
      <c r="R92" s="519" t="s">
        <v>31</v>
      </c>
      <c r="S92" s="519" t="s">
        <v>207</v>
      </c>
      <c r="T92" s="519" t="s">
        <v>348</v>
      </c>
      <c r="U92" s="519" t="s">
        <v>349</v>
      </c>
      <c r="V92" s="519" t="s">
        <v>351</v>
      </c>
      <c r="W92" s="725"/>
      <c r="X92" s="519" t="s">
        <v>305</v>
      </c>
      <c r="Y92" s="725"/>
      <c r="Z92" s="647">
        <v>25.21</v>
      </c>
      <c r="AA92" s="519" t="s">
        <v>210</v>
      </c>
      <c r="AB92" s="522">
        <v>43040</v>
      </c>
      <c r="AC92" s="523" t="s">
        <v>222</v>
      </c>
      <c r="AD92" s="519" t="s">
        <v>216</v>
      </c>
      <c r="AE92" s="519" t="s">
        <v>43</v>
      </c>
      <c r="AF92" s="519" t="s">
        <v>44</v>
      </c>
      <c r="AG92" s="519" t="s">
        <v>48</v>
      </c>
      <c r="AH92" s="523" t="s">
        <v>49</v>
      </c>
      <c r="AI92" s="522" t="s">
        <v>765</v>
      </c>
      <c r="AJ92" s="729"/>
      <c r="AK92" s="729"/>
      <c r="AL92" s="729"/>
      <c r="AM92" s="519" t="s">
        <v>223</v>
      </c>
      <c r="AN92" s="519" t="s">
        <v>224</v>
      </c>
      <c r="AO92" s="643">
        <v>25.21</v>
      </c>
      <c r="AP92" s="524">
        <f t="shared" si="3"/>
        <v>25.21</v>
      </c>
      <c r="AQ92" s="724"/>
      <c r="AS92" s="460" t="s">
        <v>738</v>
      </c>
    </row>
    <row r="93" spans="1:45">
      <c r="A93" s="519" t="s">
        <v>194</v>
      </c>
      <c r="B93" s="519" t="s">
        <v>195</v>
      </c>
      <c r="C93" s="707"/>
      <c r="D93" s="519" t="s">
        <v>196</v>
      </c>
      <c r="E93" s="519" t="s">
        <v>197</v>
      </c>
      <c r="F93" s="519" t="s">
        <v>198</v>
      </c>
      <c r="G93" s="519" t="s">
        <v>199</v>
      </c>
      <c r="H93" s="519" t="s">
        <v>215</v>
      </c>
      <c r="I93" s="519" t="s">
        <v>216</v>
      </c>
      <c r="J93" s="519" t="s">
        <v>201</v>
      </c>
      <c r="K93" s="519" t="s">
        <v>202</v>
      </c>
      <c r="L93" s="519" t="s">
        <v>42</v>
      </c>
      <c r="M93" s="519" t="s">
        <v>217</v>
      </c>
      <c r="N93" s="519" t="s">
        <v>285</v>
      </c>
      <c r="O93" s="519" t="s">
        <v>286</v>
      </c>
      <c r="P93" s="519" t="s">
        <v>205</v>
      </c>
      <c r="Q93" s="519" t="s">
        <v>206</v>
      </c>
      <c r="R93" s="519" t="s">
        <v>31</v>
      </c>
      <c r="S93" s="519" t="s">
        <v>207</v>
      </c>
      <c r="T93" s="519" t="s">
        <v>766</v>
      </c>
      <c r="U93" s="519" t="s">
        <v>767</v>
      </c>
      <c r="V93" s="519" t="s">
        <v>252</v>
      </c>
      <c r="W93" s="725"/>
      <c r="X93" s="519" t="s">
        <v>220</v>
      </c>
      <c r="Y93" s="725"/>
      <c r="Z93" s="647">
        <v>27.85</v>
      </c>
      <c r="AA93" s="519" t="s">
        <v>210</v>
      </c>
      <c r="AB93" s="522">
        <v>43040</v>
      </c>
      <c r="AC93" s="523" t="s">
        <v>222</v>
      </c>
      <c r="AD93" s="519" t="s">
        <v>216</v>
      </c>
      <c r="AE93" s="519" t="s">
        <v>43</v>
      </c>
      <c r="AF93" s="519" t="s">
        <v>44</v>
      </c>
      <c r="AG93" s="519" t="s">
        <v>47</v>
      </c>
      <c r="AH93" s="523" t="s">
        <v>37</v>
      </c>
      <c r="AI93" s="522" t="s">
        <v>765</v>
      </c>
      <c r="AJ93" s="729"/>
      <c r="AK93" s="729"/>
      <c r="AL93" s="729"/>
      <c r="AM93" s="519" t="s">
        <v>223</v>
      </c>
      <c r="AN93" s="519" t="s">
        <v>224</v>
      </c>
      <c r="AO93" s="643">
        <v>27.85</v>
      </c>
      <c r="AP93" s="524">
        <f t="shared" si="3"/>
        <v>27.85</v>
      </c>
      <c r="AQ93" s="724"/>
      <c r="AS93" s="460" t="s">
        <v>739</v>
      </c>
    </row>
    <row r="94" spans="1:45">
      <c r="A94" s="519" t="s">
        <v>194</v>
      </c>
      <c r="B94" s="519" t="s">
        <v>195</v>
      </c>
      <c r="C94" s="707"/>
      <c r="D94" s="519" t="s">
        <v>196</v>
      </c>
      <c r="E94" s="519" t="s">
        <v>197</v>
      </c>
      <c r="F94" s="519" t="s">
        <v>198</v>
      </c>
      <c r="G94" s="519" t="s">
        <v>199</v>
      </c>
      <c r="H94" s="519" t="s">
        <v>215</v>
      </c>
      <c r="I94" s="519" t="s">
        <v>216</v>
      </c>
      <c r="J94" s="519" t="s">
        <v>201</v>
      </c>
      <c r="K94" s="519" t="s">
        <v>202</v>
      </c>
      <c r="L94" s="519" t="s">
        <v>42</v>
      </c>
      <c r="M94" s="519" t="s">
        <v>217</v>
      </c>
      <c r="N94" s="519" t="s">
        <v>285</v>
      </c>
      <c r="O94" s="519" t="s">
        <v>286</v>
      </c>
      <c r="P94" s="519" t="s">
        <v>205</v>
      </c>
      <c r="Q94" s="519" t="s">
        <v>206</v>
      </c>
      <c r="R94" s="519" t="s">
        <v>31</v>
      </c>
      <c r="S94" s="519" t="s">
        <v>207</v>
      </c>
      <c r="T94" s="519" t="s">
        <v>348</v>
      </c>
      <c r="U94" s="519" t="s">
        <v>349</v>
      </c>
      <c r="V94" s="519" t="s">
        <v>798</v>
      </c>
      <c r="W94" s="725"/>
      <c r="X94" s="519" t="s">
        <v>305</v>
      </c>
      <c r="Y94" s="725"/>
      <c r="Z94" s="647">
        <v>25.21</v>
      </c>
      <c r="AA94" s="519" t="s">
        <v>210</v>
      </c>
      <c r="AB94" s="522">
        <v>43073</v>
      </c>
      <c r="AC94" s="523" t="s">
        <v>222</v>
      </c>
      <c r="AD94" s="519" t="s">
        <v>216</v>
      </c>
      <c r="AE94" s="519" t="s">
        <v>43</v>
      </c>
      <c r="AF94" s="519" t="s">
        <v>44</v>
      </c>
      <c r="AG94" s="519" t="s">
        <v>48</v>
      </c>
      <c r="AH94" s="523" t="s">
        <v>49</v>
      </c>
      <c r="AI94" s="522" t="s">
        <v>765</v>
      </c>
      <c r="AJ94" s="729"/>
      <c r="AK94" s="729"/>
      <c r="AL94" s="729"/>
      <c r="AM94" s="519" t="s">
        <v>223</v>
      </c>
      <c r="AN94" s="519" t="s">
        <v>224</v>
      </c>
      <c r="AO94" s="643">
        <v>25.21</v>
      </c>
      <c r="AP94" s="524">
        <f t="shared" si="3"/>
        <v>25.21</v>
      </c>
      <c r="AQ94" s="724"/>
      <c r="AS94" s="460" t="s">
        <v>738</v>
      </c>
    </row>
    <row r="95" spans="1:45">
      <c r="A95" s="519" t="s">
        <v>194</v>
      </c>
      <c r="B95" s="519" t="s">
        <v>195</v>
      </c>
      <c r="C95" s="707"/>
      <c r="D95" s="519" t="s">
        <v>196</v>
      </c>
      <c r="E95" s="519" t="s">
        <v>197</v>
      </c>
      <c r="F95" s="519" t="s">
        <v>198</v>
      </c>
      <c r="G95" s="519" t="s">
        <v>199</v>
      </c>
      <c r="H95" s="519" t="s">
        <v>215</v>
      </c>
      <c r="I95" s="519" t="s">
        <v>216</v>
      </c>
      <c r="J95" s="519" t="s">
        <v>201</v>
      </c>
      <c r="K95" s="519" t="s">
        <v>202</v>
      </c>
      <c r="L95" s="519" t="s">
        <v>42</v>
      </c>
      <c r="M95" s="519" t="s">
        <v>217</v>
      </c>
      <c r="N95" s="519" t="s">
        <v>285</v>
      </c>
      <c r="O95" s="519" t="s">
        <v>286</v>
      </c>
      <c r="P95" s="519" t="s">
        <v>205</v>
      </c>
      <c r="Q95" s="519" t="s">
        <v>206</v>
      </c>
      <c r="R95" s="519" t="s">
        <v>31</v>
      </c>
      <c r="S95" s="519" t="s">
        <v>207</v>
      </c>
      <c r="T95" s="519" t="s">
        <v>320</v>
      </c>
      <c r="U95" s="519" t="s">
        <v>785</v>
      </c>
      <c r="V95" s="519" t="s">
        <v>366</v>
      </c>
      <c r="W95" s="725"/>
      <c r="X95" s="519" t="s">
        <v>367</v>
      </c>
      <c r="Y95" s="725"/>
      <c r="Z95" s="647">
        <v>27.85</v>
      </c>
      <c r="AA95" s="519" t="s">
        <v>210</v>
      </c>
      <c r="AB95" s="522">
        <v>43040</v>
      </c>
      <c r="AC95" s="523" t="s">
        <v>222</v>
      </c>
      <c r="AD95" s="519" t="s">
        <v>216</v>
      </c>
      <c r="AE95" s="519" t="s">
        <v>43</v>
      </c>
      <c r="AF95" s="519" t="s">
        <v>44</v>
      </c>
      <c r="AG95" s="519" t="s">
        <v>334</v>
      </c>
      <c r="AH95" s="523" t="s">
        <v>37</v>
      </c>
      <c r="AI95" s="522" t="s">
        <v>765</v>
      </c>
      <c r="AJ95" s="729"/>
      <c r="AK95" s="729"/>
      <c r="AL95" s="729"/>
      <c r="AM95" s="519" t="s">
        <v>223</v>
      </c>
      <c r="AN95" s="519" t="s">
        <v>224</v>
      </c>
      <c r="AO95" s="643">
        <v>27.85</v>
      </c>
      <c r="AP95" s="524">
        <f t="shared" ref="AP95:AP124" si="4">ROUND(IF(AO95&lt;100,AO95,AO95/80),2)</f>
        <v>27.85</v>
      </c>
      <c r="AQ95" s="724"/>
      <c r="AS95" s="460" t="s">
        <v>738</v>
      </c>
    </row>
    <row r="96" spans="1:45">
      <c r="A96" s="519" t="s">
        <v>194</v>
      </c>
      <c r="B96" s="519" t="s">
        <v>195</v>
      </c>
      <c r="C96" s="707"/>
      <c r="D96" s="519" t="s">
        <v>196</v>
      </c>
      <c r="E96" s="519" t="s">
        <v>197</v>
      </c>
      <c r="F96" s="519" t="s">
        <v>198</v>
      </c>
      <c r="G96" s="519" t="s">
        <v>199</v>
      </c>
      <c r="H96" s="519" t="s">
        <v>215</v>
      </c>
      <c r="I96" s="519" t="s">
        <v>216</v>
      </c>
      <c r="J96" s="519" t="s">
        <v>201</v>
      </c>
      <c r="K96" s="519" t="s">
        <v>202</v>
      </c>
      <c r="L96" s="519" t="s">
        <v>42</v>
      </c>
      <c r="M96" s="519" t="s">
        <v>217</v>
      </c>
      <c r="N96" s="519" t="s">
        <v>285</v>
      </c>
      <c r="O96" s="519" t="s">
        <v>286</v>
      </c>
      <c r="P96" s="519" t="s">
        <v>205</v>
      </c>
      <c r="Q96" s="519" t="s">
        <v>206</v>
      </c>
      <c r="R96" s="519" t="s">
        <v>31</v>
      </c>
      <c r="S96" s="519" t="s">
        <v>207</v>
      </c>
      <c r="T96" s="519" t="s">
        <v>766</v>
      </c>
      <c r="U96" s="519" t="s">
        <v>767</v>
      </c>
      <c r="V96" s="519" t="s">
        <v>369</v>
      </c>
      <c r="W96" s="725"/>
      <c r="X96" s="519" t="s">
        <v>220</v>
      </c>
      <c r="Y96" s="725"/>
      <c r="Z96" s="647">
        <v>27.85</v>
      </c>
      <c r="AA96" s="519" t="s">
        <v>210</v>
      </c>
      <c r="AB96" s="522">
        <v>43040</v>
      </c>
      <c r="AC96" s="523" t="s">
        <v>222</v>
      </c>
      <c r="AD96" s="519" t="s">
        <v>216</v>
      </c>
      <c r="AE96" s="519" t="s">
        <v>43</v>
      </c>
      <c r="AF96" s="519" t="s">
        <v>44</v>
      </c>
      <c r="AG96" s="519" t="s">
        <v>47</v>
      </c>
      <c r="AH96" s="523" t="s">
        <v>37</v>
      </c>
      <c r="AI96" s="522" t="s">
        <v>765</v>
      </c>
      <c r="AJ96" s="729"/>
      <c r="AK96" s="729"/>
      <c r="AL96" s="729"/>
      <c r="AM96" s="519" t="s">
        <v>223</v>
      </c>
      <c r="AN96" s="519" t="s">
        <v>224</v>
      </c>
      <c r="AO96" s="643">
        <v>27.85</v>
      </c>
      <c r="AP96" s="524">
        <f t="shared" si="4"/>
        <v>27.85</v>
      </c>
      <c r="AQ96" s="724"/>
      <c r="AS96" s="460" t="s">
        <v>739</v>
      </c>
    </row>
    <row r="97" spans="1:45">
      <c r="A97" s="519" t="s">
        <v>194</v>
      </c>
      <c r="B97" s="519" t="s">
        <v>195</v>
      </c>
      <c r="C97" s="707"/>
      <c r="D97" s="519" t="s">
        <v>196</v>
      </c>
      <c r="E97" s="519" t="s">
        <v>197</v>
      </c>
      <c r="F97" s="519" t="s">
        <v>253</v>
      </c>
      <c r="G97" s="519" t="s">
        <v>254</v>
      </c>
      <c r="H97" s="519" t="s">
        <v>215</v>
      </c>
      <c r="I97" s="519" t="s">
        <v>216</v>
      </c>
      <c r="J97" s="519" t="s">
        <v>201</v>
      </c>
      <c r="K97" s="519" t="s">
        <v>202</v>
      </c>
      <c r="L97" s="519" t="s">
        <v>42</v>
      </c>
      <c r="M97" s="519" t="s">
        <v>217</v>
      </c>
      <c r="N97" s="519" t="s">
        <v>263</v>
      </c>
      <c r="O97" s="519" t="s">
        <v>264</v>
      </c>
      <c r="P97" s="519" t="s">
        <v>205</v>
      </c>
      <c r="Q97" s="519" t="s">
        <v>206</v>
      </c>
      <c r="R97" s="519" t="s">
        <v>31</v>
      </c>
      <c r="S97" s="519" t="s">
        <v>207</v>
      </c>
      <c r="T97" s="519" t="s">
        <v>265</v>
      </c>
      <c r="U97" s="519" t="s">
        <v>266</v>
      </c>
      <c r="V97" s="519" t="s">
        <v>370</v>
      </c>
      <c r="W97" s="725"/>
      <c r="X97" s="519" t="s">
        <v>268</v>
      </c>
      <c r="Y97" s="725"/>
      <c r="Z97" s="647">
        <v>28.8</v>
      </c>
      <c r="AA97" s="519" t="s">
        <v>210</v>
      </c>
      <c r="AB97" s="522">
        <v>43040</v>
      </c>
      <c r="AC97" s="523" t="s">
        <v>222</v>
      </c>
      <c r="AD97" s="519" t="s">
        <v>216</v>
      </c>
      <c r="AE97" s="519" t="s">
        <v>43</v>
      </c>
      <c r="AF97" s="519" t="s">
        <v>44</v>
      </c>
      <c r="AG97" s="519" t="s">
        <v>269</v>
      </c>
      <c r="AH97" s="523" t="s">
        <v>37</v>
      </c>
      <c r="AI97" s="522" t="s">
        <v>765</v>
      </c>
      <c r="AJ97" s="729"/>
      <c r="AK97" s="729"/>
      <c r="AL97" s="729"/>
      <c r="AM97" s="519" t="s">
        <v>223</v>
      </c>
      <c r="AN97" s="519" t="s">
        <v>224</v>
      </c>
      <c r="AO97" s="643">
        <v>28.8</v>
      </c>
      <c r="AP97" s="524">
        <f t="shared" si="4"/>
        <v>28.8</v>
      </c>
      <c r="AQ97" s="724"/>
      <c r="AS97" s="460" t="s">
        <v>281</v>
      </c>
    </row>
    <row r="98" spans="1:45">
      <c r="A98" s="519" t="s">
        <v>194</v>
      </c>
      <c r="B98" s="519" t="s">
        <v>195</v>
      </c>
      <c r="C98" s="707"/>
      <c r="D98" s="519" t="s">
        <v>196</v>
      </c>
      <c r="E98" s="519" t="s">
        <v>197</v>
      </c>
      <c r="F98" s="519" t="s">
        <v>198</v>
      </c>
      <c r="G98" s="519" t="s">
        <v>199</v>
      </c>
      <c r="H98" s="519" t="s">
        <v>215</v>
      </c>
      <c r="I98" s="519" t="s">
        <v>216</v>
      </c>
      <c r="J98" s="519" t="s">
        <v>201</v>
      </c>
      <c r="K98" s="519" t="s">
        <v>202</v>
      </c>
      <c r="L98" s="519" t="s">
        <v>42</v>
      </c>
      <c r="M98" s="519" t="s">
        <v>217</v>
      </c>
      <c r="N98" s="519" t="s">
        <v>285</v>
      </c>
      <c r="O98" s="519" t="s">
        <v>286</v>
      </c>
      <c r="P98" s="519" t="s">
        <v>205</v>
      </c>
      <c r="Q98" s="519" t="s">
        <v>206</v>
      </c>
      <c r="R98" s="519" t="s">
        <v>31</v>
      </c>
      <c r="S98" s="519" t="s">
        <v>207</v>
      </c>
      <c r="T98" s="519" t="s">
        <v>348</v>
      </c>
      <c r="U98" s="519" t="s">
        <v>349</v>
      </c>
      <c r="V98" s="519" t="s">
        <v>324</v>
      </c>
      <c r="W98" s="725"/>
      <c r="X98" s="519" t="s">
        <v>305</v>
      </c>
      <c r="Y98" s="725"/>
      <c r="Z98" s="647">
        <v>25.21</v>
      </c>
      <c r="AA98" s="519" t="s">
        <v>210</v>
      </c>
      <c r="AB98" s="522">
        <v>43073</v>
      </c>
      <c r="AC98" s="523" t="s">
        <v>222</v>
      </c>
      <c r="AD98" s="519" t="s">
        <v>216</v>
      </c>
      <c r="AE98" s="519" t="s">
        <v>43</v>
      </c>
      <c r="AF98" s="519" t="s">
        <v>44</v>
      </c>
      <c r="AG98" s="519" t="s">
        <v>48</v>
      </c>
      <c r="AH98" s="523" t="s">
        <v>49</v>
      </c>
      <c r="AI98" s="522" t="s">
        <v>765</v>
      </c>
      <c r="AJ98" s="729"/>
      <c r="AK98" s="729"/>
      <c r="AL98" s="729"/>
      <c r="AM98" s="519" t="s">
        <v>223</v>
      </c>
      <c r="AN98" s="519" t="s">
        <v>224</v>
      </c>
      <c r="AO98" s="643">
        <v>25.21</v>
      </c>
      <c r="AP98" s="524">
        <f t="shared" si="4"/>
        <v>25.21</v>
      </c>
      <c r="AQ98" s="724"/>
      <c r="AS98" s="460" t="s">
        <v>738</v>
      </c>
    </row>
    <row r="99" spans="1:45">
      <c r="A99" s="519" t="s">
        <v>194</v>
      </c>
      <c r="B99" s="519" t="s">
        <v>195</v>
      </c>
      <c r="C99" s="707"/>
      <c r="D99" s="519" t="s">
        <v>196</v>
      </c>
      <c r="E99" s="519" t="s">
        <v>197</v>
      </c>
      <c r="F99" s="519" t="s">
        <v>198</v>
      </c>
      <c r="G99" s="519" t="s">
        <v>199</v>
      </c>
      <c r="H99" s="519" t="s">
        <v>215</v>
      </c>
      <c r="I99" s="519" t="s">
        <v>216</v>
      </c>
      <c r="J99" s="519" t="s">
        <v>201</v>
      </c>
      <c r="K99" s="519" t="s">
        <v>202</v>
      </c>
      <c r="L99" s="519" t="s">
        <v>42</v>
      </c>
      <c r="M99" s="519" t="s">
        <v>217</v>
      </c>
      <c r="N99" s="519" t="s">
        <v>285</v>
      </c>
      <c r="O99" s="519" t="s">
        <v>286</v>
      </c>
      <c r="P99" s="519" t="s">
        <v>205</v>
      </c>
      <c r="Q99" s="519" t="s">
        <v>206</v>
      </c>
      <c r="R99" s="519" t="s">
        <v>31</v>
      </c>
      <c r="S99" s="519" t="s">
        <v>207</v>
      </c>
      <c r="T99" s="519" t="s">
        <v>320</v>
      </c>
      <c r="U99" s="519" t="s">
        <v>785</v>
      </c>
      <c r="V99" s="519" t="s">
        <v>802</v>
      </c>
      <c r="W99" s="725"/>
      <c r="X99" s="519" t="s">
        <v>342</v>
      </c>
      <c r="Y99" s="725"/>
      <c r="Z99" s="647">
        <v>26.59</v>
      </c>
      <c r="AA99" s="519" t="s">
        <v>210</v>
      </c>
      <c r="AB99" s="522">
        <v>43045</v>
      </c>
      <c r="AC99" s="523" t="s">
        <v>222</v>
      </c>
      <c r="AD99" s="519" t="s">
        <v>216</v>
      </c>
      <c r="AE99" s="519" t="s">
        <v>43</v>
      </c>
      <c r="AF99" s="519" t="s">
        <v>44</v>
      </c>
      <c r="AG99" s="519" t="s">
        <v>343</v>
      </c>
      <c r="AH99" s="523" t="s">
        <v>37</v>
      </c>
      <c r="AI99" s="522" t="s">
        <v>765</v>
      </c>
      <c r="AJ99" s="729"/>
      <c r="AK99" s="729"/>
      <c r="AL99" s="729"/>
      <c r="AM99" s="519" t="s">
        <v>223</v>
      </c>
      <c r="AN99" s="519" t="s">
        <v>224</v>
      </c>
      <c r="AO99" s="643">
        <v>26.59</v>
      </c>
      <c r="AP99" s="524">
        <f t="shared" si="4"/>
        <v>26.59</v>
      </c>
      <c r="AQ99" s="724"/>
      <c r="AS99" s="460" t="s">
        <v>738</v>
      </c>
    </row>
    <row r="100" spans="1:45">
      <c r="A100" s="519" t="s">
        <v>194</v>
      </c>
      <c r="B100" s="519" t="s">
        <v>195</v>
      </c>
      <c r="C100" s="707"/>
      <c r="D100" s="519" t="s">
        <v>196</v>
      </c>
      <c r="E100" s="519" t="s">
        <v>197</v>
      </c>
      <c r="F100" s="519" t="s">
        <v>198</v>
      </c>
      <c r="G100" s="519" t="s">
        <v>199</v>
      </c>
      <c r="H100" s="519" t="s">
        <v>215</v>
      </c>
      <c r="I100" s="519" t="s">
        <v>216</v>
      </c>
      <c r="J100" s="519" t="s">
        <v>201</v>
      </c>
      <c r="K100" s="519" t="s">
        <v>202</v>
      </c>
      <c r="L100" s="519" t="s">
        <v>42</v>
      </c>
      <c r="M100" s="519" t="s">
        <v>217</v>
      </c>
      <c r="N100" s="519" t="s">
        <v>285</v>
      </c>
      <c r="O100" s="519" t="s">
        <v>286</v>
      </c>
      <c r="P100" s="519" t="s">
        <v>205</v>
      </c>
      <c r="Q100" s="519" t="s">
        <v>206</v>
      </c>
      <c r="R100" s="519" t="s">
        <v>31</v>
      </c>
      <c r="S100" s="519" t="s">
        <v>207</v>
      </c>
      <c r="T100" s="519" t="s">
        <v>672</v>
      </c>
      <c r="U100" s="519" t="s">
        <v>770</v>
      </c>
      <c r="V100" s="519" t="s">
        <v>803</v>
      </c>
      <c r="W100" s="725"/>
      <c r="X100" s="519" t="s">
        <v>367</v>
      </c>
      <c r="Y100" s="725"/>
      <c r="Z100" s="647">
        <v>27.85</v>
      </c>
      <c r="AA100" s="519" t="s">
        <v>210</v>
      </c>
      <c r="AB100" s="522">
        <v>43040</v>
      </c>
      <c r="AC100" s="523" t="s">
        <v>222</v>
      </c>
      <c r="AD100" s="519" t="s">
        <v>216</v>
      </c>
      <c r="AE100" s="519" t="s">
        <v>43</v>
      </c>
      <c r="AF100" s="519" t="s">
        <v>44</v>
      </c>
      <c r="AG100" s="519" t="s">
        <v>334</v>
      </c>
      <c r="AH100" s="523" t="s">
        <v>37</v>
      </c>
      <c r="AI100" s="522" t="s">
        <v>765</v>
      </c>
      <c r="AJ100" s="729"/>
      <c r="AK100" s="729"/>
      <c r="AL100" s="729"/>
      <c r="AM100" s="519" t="s">
        <v>223</v>
      </c>
      <c r="AN100" s="519" t="s">
        <v>224</v>
      </c>
      <c r="AO100" s="643">
        <v>27.85</v>
      </c>
      <c r="AP100" s="524">
        <f t="shared" si="4"/>
        <v>27.85</v>
      </c>
      <c r="AQ100" s="724"/>
      <c r="AS100" s="460" t="s">
        <v>738</v>
      </c>
    </row>
    <row r="101" spans="1:45">
      <c r="A101" s="519" t="s">
        <v>194</v>
      </c>
      <c r="B101" s="519" t="s">
        <v>195</v>
      </c>
      <c r="C101" s="707"/>
      <c r="D101" s="519" t="s">
        <v>196</v>
      </c>
      <c r="E101" s="519" t="s">
        <v>197</v>
      </c>
      <c r="F101" s="519" t="s">
        <v>198</v>
      </c>
      <c r="G101" s="519" t="s">
        <v>199</v>
      </c>
      <c r="H101" s="519" t="s">
        <v>215</v>
      </c>
      <c r="I101" s="519" t="s">
        <v>216</v>
      </c>
      <c r="J101" s="519" t="s">
        <v>201</v>
      </c>
      <c r="K101" s="519" t="s">
        <v>202</v>
      </c>
      <c r="L101" s="519" t="s">
        <v>42</v>
      </c>
      <c r="M101" s="519" t="s">
        <v>217</v>
      </c>
      <c r="N101" s="519" t="s">
        <v>285</v>
      </c>
      <c r="O101" s="519" t="s">
        <v>286</v>
      </c>
      <c r="P101" s="519" t="s">
        <v>205</v>
      </c>
      <c r="Q101" s="519" t="s">
        <v>206</v>
      </c>
      <c r="R101" s="519" t="s">
        <v>31</v>
      </c>
      <c r="S101" s="519" t="s">
        <v>207</v>
      </c>
      <c r="T101" s="519" t="s">
        <v>348</v>
      </c>
      <c r="U101" s="519" t="s">
        <v>349</v>
      </c>
      <c r="V101" s="519" t="s">
        <v>806</v>
      </c>
      <c r="W101" s="725"/>
      <c r="X101" s="519" t="s">
        <v>305</v>
      </c>
      <c r="Y101" s="725"/>
      <c r="Z101" s="647">
        <v>25.21</v>
      </c>
      <c r="AA101" s="519" t="s">
        <v>210</v>
      </c>
      <c r="AB101" s="522">
        <v>43040</v>
      </c>
      <c r="AC101" s="523" t="s">
        <v>222</v>
      </c>
      <c r="AD101" s="519" t="s">
        <v>216</v>
      </c>
      <c r="AE101" s="519" t="s">
        <v>43</v>
      </c>
      <c r="AF101" s="519" t="s">
        <v>44</v>
      </c>
      <c r="AG101" s="519" t="s">
        <v>48</v>
      </c>
      <c r="AH101" s="523" t="s">
        <v>49</v>
      </c>
      <c r="AI101" s="522" t="s">
        <v>765</v>
      </c>
      <c r="AJ101" s="729"/>
      <c r="AK101" s="729"/>
      <c r="AL101" s="729"/>
      <c r="AM101" s="519" t="s">
        <v>223</v>
      </c>
      <c r="AN101" s="519" t="s">
        <v>224</v>
      </c>
      <c r="AO101" s="643">
        <v>25.21</v>
      </c>
      <c r="AP101" s="524">
        <f t="shared" si="4"/>
        <v>25.21</v>
      </c>
      <c r="AQ101" s="724"/>
      <c r="AS101" s="460" t="s">
        <v>739</v>
      </c>
    </row>
    <row r="102" spans="1:45">
      <c r="A102" s="519" t="s">
        <v>194</v>
      </c>
      <c r="B102" s="519" t="s">
        <v>195</v>
      </c>
      <c r="C102" s="707"/>
      <c r="D102" s="519" t="s">
        <v>196</v>
      </c>
      <c r="E102" s="519" t="s">
        <v>197</v>
      </c>
      <c r="F102" s="519" t="s">
        <v>198</v>
      </c>
      <c r="G102" s="519" t="s">
        <v>199</v>
      </c>
      <c r="H102" s="519" t="s">
        <v>215</v>
      </c>
      <c r="I102" s="519" t="s">
        <v>216</v>
      </c>
      <c r="J102" s="519" t="s">
        <v>201</v>
      </c>
      <c r="K102" s="519" t="s">
        <v>202</v>
      </c>
      <c r="L102" s="519" t="s">
        <v>42</v>
      </c>
      <c r="M102" s="519" t="s">
        <v>217</v>
      </c>
      <c r="N102" s="519" t="s">
        <v>285</v>
      </c>
      <c r="O102" s="519" t="s">
        <v>286</v>
      </c>
      <c r="P102" s="519" t="s">
        <v>205</v>
      </c>
      <c r="Q102" s="519" t="s">
        <v>206</v>
      </c>
      <c r="R102" s="519" t="s">
        <v>31</v>
      </c>
      <c r="S102" s="519" t="s">
        <v>207</v>
      </c>
      <c r="T102" s="519" t="s">
        <v>672</v>
      </c>
      <c r="U102" s="519" t="s">
        <v>770</v>
      </c>
      <c r="V102" s="519" t="s">
        <v>381</v>
      </c>
      <c r="W102" s="725"/>
      <c r="X102" s="519" t="s">
        <v>342</v>
      </c>
      <c r="Y102" s="725"/>
      <c r="Z102" s="647">
        <v>26.59</v>
      </c>
      <c r="AA102" s="519" t="s">
        <v>210</v>
      </c>
      <c r="AB102" s="522">
        <v>43040</v>
      </c>
      <c r="AC102" s="523" t="s">
        <v>222</v>
      </c>
      <c r="AD102" s="519" t="s">
        <v>216</v>
      </c>
      <c r="AE102" s="519" t="s">
        <v>43</v>
      </c>
      <c r="AF102" s="519" t="s">
        <v>44</v>
      </c>
      <c r="AG102" s="519" t="s">
        <v>343</v>
      </c>
      <c r="AH102" s="523" t="s">
        <v>37</v>
      </c>
      <c r="AI102" s="522" t="s">
        <v>765</v>
      </c>
      <c r="AJ102" s="729"/>
      <c r="AK102" s="729"/>
      <c r="AL102" s="729"/>
      <c r="AM102" s="519" t="s">
        <v>223</v>
      </c>
      <c r="AN102" s="519" t="s">
        <v>224</v>
      </c>
      <c r="AO102" s="643">
        <v>26.59</v>
      </c>
      <c r="AP102" s="524">
        <f t="shared" si="4"/>
        <v>26.59</v>
      </c>
      <c r="AQ102" s="724"/>
      <c r="AS102" s="460" t="s">
        <v>738</v>
      </c>
    </row>
    <row r="103" spans="1:45">
      <c r="A103" s="519" t="s">
        <v>194</v>
      </c>
      <c r="B103" s="519" t="s">
        <v>195</v>
      </c>
      <c r="C103" s="707"/>
      <c r="D103" s="519" t="s">
        <v>196</v>
      </c>
      <c r="E103" s="519" t="s">
        <v>197</v>
      </c>
      <c r="F103" s="519" t="s">
        <v>198</v>
      </c>
      <c r="G103" s="519" t="s">
        <v>199</v>
      </c>
      <c r="H103" s="519" t="s">
        <v>215</v>
      </c>
      <c r="I103" s="519" t="s">
        <v>216</v>
      </c>
      <c r="J103" s="519" t="s">
        <v>201</v>
      </c>
      <c r="K103" s="519" t="s">
        <v>202</v>
      </c>
      <c r="L103" s="519" t="s">
        <v>42</v>
      </c>
      <c r="M103" s="519" t="s">
        <v>217</v>
      </c>
      <c r="N103" s="519" t="s">
        <v>285</v>
      </c>
      <c r="O103" s="519" t="s">
        <v>286</v>
      </c>
      <c r="P103" s="519" t="s">
        <v>205</v>
      </c>
      <c r="Q103" s="519" t="s">
        <v>206</v>
      </c>
      <c r="R103" s="519" t="s">
        <v>31</v>
      </c>
      <c r="S103" s="519" t="s">
        <v>207</v>
      </c>
      <c r="T103" s="519" t="s">
        <v>320</v>
      </c>
      <c r="U103" s="519" t="s">
        <v>785</v>
      </c>
      <c r="V103" s="519" t="s">
        <v>382</v>
      </c>
      <c r="W103" s="725"/>
      <c r="X103" s="519" t="s">
        <v>342</v>
      </c>
      <c r="Y103" s="725"/>
      <c r="Z103" s="647">
        <v>26.59</v>
      </c>
      <c r="AA103" s="519" t="s">
        <v>210</v>
      </c>
      <c r="AB103" s="522">
        <v>43040</v>
      </c>
      <c r="AC103" s="523" t="s">
        <v>222</v>
      </c>
      <c r="AD103" s="519" t="s">
        <v>216</v>
      </c>
      <c r="AE103" s="519" t="s">
        <v>43</v>
      </c>
      <c r="AF103" s="519" t="s">
        <v>44</v>
      </c>
      <c r="AG103" s="519" t="s">
        <v>343</v>
      </c>
      <c r="AH103" s="523" t="s">
        <v>37</v>
      </c>
      <c r="AI103" s="522" t="s">
        <v>765</v>
      </c>
      <c r="AJ103" s="729"/>
      <c r="AK103" s="729"/>
      <c r="AL103" s="729"/>
      <c r="AM103" s="519" t="s">
        <v>223</v>
      </c>
      <c r="AN103" s="519" t="s">
        <v>224</v>
      </c>
      <c r="AO103" s="643">
        <v>26.59</v>
      </c>
      <c r="AP103" s="524">
        <f t="shared" si="4"/>
        <v>26.59</v>
      </c>
      <c r="AQ103" s="724"/>
      <c r="AS103" s="460" t="s">
        <v>738</v>
      </c>
    </row>
    <row r="104" spans="1:45">
      <c r="A104" s="519" t="s">
        <v>194</v>
      </c>
      <c r="B104" s="519" t="s">
        <v>195</v>
      </c>
      <c r="C104" s="707"/>
      <c r="D104" s="519" t="s">
        <v>196</v>
      </c>
      <c r="E104" s="519" t="s">
        <v>197</v>
      </c>
      <c r="F104" s="519" t="s">
        <v>198</v>
      </c>
      <c r="G104" s="519" t="s">
        <v>199</v>
      </c>
      <c r="H104" s="519" t="s">
        <v>215</v>
      </c>
      <c r="I104" s="519" t="s">
        <v>216</v>
      </c>
      <c r="J104" s="519" t="s">
        <v>201</v>
      </c>
      <c r="K104" s="519" t="s">
        <v>202</v>
      </c>
      <c r="L104" s="519" t="s">
        <v>42</v>
      </c>
      <c r="M104" s="519" t="s">
        <v>217</v>
      </c>
      <c r="N104" s="519" t="s">
        <v>285</v>
      </c>
      <c r="O104" s="519" t="s">
        <v>286</v>
      </c>
      <c r="P104" s="519" t="s">
        <v>205</v>
      </c>
      <c r="Q104" s="519" t="s">
        <v>206</v>
      </c>
      <c r="R104" s="519" t="s">
        <v>31</v>
      </c>
      <c r="S104" s="519" t="s">
        <v>207</v>
      </c>
      <c r="T104" s="519" t="s">
        <v>320</v>
      </c>
      <c r="U104" s="519" t="s">
        <v>785</v>
      </c>
      <c r="V104" s="519" t="s">
        <v>388</v>
      </c>
      <c r="W104" s="725"/>
      <c r="X104" s="519" t="s">
        <v>389</v>
      </c>
      <c r="Y104" s="725"/>
      <c r="Z104" s="647">
        <v>25.21</v>
      </c>
      <c r="AA104" s="519" t="s">
        <v>210</v>
      </c>
      <c r="AB104" s="522">
        <v>43040</v>
      </c>
      <c r="AC104" s="523" t="s">
        <v>222</v>
      </c>
      <c r="AD104" s="519" t="s">
        <v>216</v>
      </c>
      <c r="AE104" s="519" t="s">
        <v>43</v>
      </c>
      <c r="AF104" s="519" t="s">
        <v>44</v>
      </c>
      <c r="AG104" s="519" t="s">
        <v>391</v>
      </c>
      <c r="AH104" s="523" t="s">
        <v>666</v>
      </c>
      <c r="AI104" s="522" t="s">
        <v>765</v>
      </c>
      <c r="AJ104" s="729"/>
      <c r="AK104" s="729"/>
      <c r="AL104" s="729"/>
      <c r="AM104" s="519" t="s">
        <v>223</v>
      </c>
      <c r="AN104" s="519" t="s">
        <v>224</v>
      </c>
      <c r="AO104" s="643">
        <v>25.21</v>
      </c>
      <c r="AP104" s="524">
        <f t="shared" si="4"/>
        <v>25.21</v>
      </c>
      <c r="AQ104" s="724"/>
      <c r="AS104" s="460" t="s">
        <v>738</v>
      </c>
    </row>
    <row r="105" spans="1:45">
      <c r="A105" s="519" t="s">
        <v>194</v>
      </c>
      <c r="B105" s="519" t="s">
        <v>195</v>
      </c>
      <c r="C105" s="707"/>
      <c r="D105" s="519" t="s">
        <v>196</v>
      </c>
      <c r="E105" s="519" t="s">
        <v>197</v>
      </c>
      <c r="F105" s="519" t="s">
        <v>198</v>
      </c>
      <c r="G105" s="519" t="s">
        <v>199</v>
      </c>
      <c r="H105" s="519" t="s">
        <v>215</v>
      </c>
      <c r="I105" s="519" t="s">
        <v>216</v>
      </c>
      <c r="J105" s="519" t="s">
        <v>201</v>
      </c>
      <c r="K105" s="519" t="s">
        <v>202</v>
      </c>
      <c r="L105" s="519" t="s">
        <v>42</v>
      </c>
      <c r="M105" s="519" t="s">
        <v>217</v>
      </c>
      <c r="N105" s="519" t="s">
        <v>272</v>
      </c>
      <c r="O105" s="519" t="s">
        <v>273</v>
      </c>
      <c r="P105" s="519" t="s">
        <v>205</v>
      </c>
      <c r="Q105" s="519" t="s">
        <v>206</v>
      </c>
      <c r="R105" s="519" t="s">
        <v>31</v>
      </c>
      <c r="S105" s="519" t="s">
        <v>207</v>
      </c>
      <c r="T105" s="519" t="s">
        <v>274</v>
      </c>
      <c r="U105" s="519" t="s">
        <v>275</v>
      </c>
      <c r="V105" s="519" t="s">
        <v>393</v>
      </c>
      <c r="W105" s="725"/>
      <c r="X105" s="519" t="s">
        <v>260</v>
      </c>
      <c r="Y105" s="725"/>
      <c r="Z105" s="647">
        <v>28.36</v>
      </c>
      <c r="AA105" s="519" t="s">
        <v>210</v>
      </c>
      <c r="AB105" s="522">
        <v>43040</v>
      </c>
      <c r="AC105" s="523" t="s">
        <v>222</v>
      </c>
      <c r="AD105" s="519" t="s">
        <v>216</v>
      </c>
      <c r="AE105" s="519" t="s">
        <v>43</v>
      </c>
      <c r="AF105" s="519" t="s">
        <v>44</v>
      </c>
      <c r="AG105" s="519" t="s">
        <v>262</v>
      </c>
      <c r="AH105" s="523" t="s">
        <v>37</v>
      </c>
      <c r="AI105" s="522" t="s">
        <v>765</v>
      </c>
      <c r="AJ105" s="729"/>
      <c r="AK105" s="729"/>
      <c r="AL105" s="729"/>
      <c r="AM105" s="519" t="s">
        <v>223</v>
      </c>
      <c r="AN105" s="519" t="s">
        <v>224</v>
      </c>
      <c r="AO105" s="643">
        <v>28.36</v>
      </c>
      <c r="AP105" s="524">
        <f t="shared" si="4"/>
        <v>28.36</v>
      </c>
      <c r="AQ105" s="724"/>
      <c r="AS105" s="460" t="s">
        <v>281</v>
      </c>
    </row>
    <row r="106" spans="1:45">
      <c r="A106" s="519" t="s">
        <v>194</v>
      </c>
      <c r="B106" s="519" t="s">
        <v>195</v>
      </c>
      <c r="C106" s="707"/>
      <c r="D106" s="519" t="s">
        <v>196</v>
      </c>
      <c r="E106" s="519" t="s">
        <v>197</v>
      </c>
      <c r="F106" s="519" t="s">
        <v>198</v>
      </c>
      <c r="G106" s="519" t="s">
        <v>199</v>
      </c>
      <c r="H106" s="519" t="s">
        <v>215</v>
      </c>
      <c r="I106" s="519" t="s">
        <v>216</v>
      </c>
      <c r="J106" s="519" t="s">
        <v>201</v>
      </c>
      <c r="K106" s="519" t="s">
        <v>202</v>
      </c>
      <c r="L106" s="519" t="s">
        <v>42</v>
      </c>
      <c r="M106" s="519" t="s">
        <v>217</v>
      </c>
      <c r="N106" s="519" t="s">
        <v>285</v>
      </c>
      <c r="O106" s="519" t="s">
        <v>286</v>
      </c>
      <c r="P106" s="519" t="s">
        <v>205</v>
      </c>
      <c r="Q106" s="519" t="s">
        <v>206</v>
      </c>
      <c r="R106" s="519" t="s">
        <v>31</v>
      </c>
      <c r="S106" s="519" t="s">
        <v>207</v>
      </c>
      <c r="T106" s="519" t="s">
        <v>320</v>
      </c>
      <c r="U106" s="519" t="s">
        <v>785</v>
      </c>
      <c r="V106" s="519" t="s">
        <v>376</v>
      </c>
      <c r="W106" s="725"/>
      <c r="X106" s="519" t="s">
        <v>813</v>
      </c>
      <c r="Y106" s="725"/>
      <c r="Z106" s="647">
        <v>27.22</v>
      </c>
      <c r="AA106" s="519" t="s">
        <v>210</v>
      </c>
      <c r="AB106" s="522">
        <v>43040</v>
      </c>
      <c r="AC106" s="523" t="s">
        <v>222</v>
      </c>
      <c r="AD106" s="519" t="s">
        <v>216</v>
      </c>
      <c r="AE106" s="519" t="s">
        <v>43</v>
      </c>
      <c r="AF106" s="519" t="s">
        <v>44</v>
      </c>
      <c r="AG106" s="519" t="s">
        <v>377</v>
      </c>
      <c r="AH106" s="523" t="s">
        <v>37</v>
      </c>
      <c r="AI106" s="522" t="s">
        <v>765</v>
      </c>
      <c r="AJ106" s="729"/>
      <c r="AK106" s="729"/>
      <c r="AL106" s="729"/>
      <c r="AM106" s="519" t="s">
        <v>223</v>
      </c>
      <c r="AN106" s="519" t="s">
        <v>224</v>
      </c>
      <c r="AO106" s="643">
        <v>27.22</v>
      </c>
      <c r="AP106" s="524">
        <f t="shared" si="4"/>
        <v>27.22</v>
      </c>
      <c r="AQ106" s="724"/>
      <c r="AS106" s="460" t="s">
        <v>738</v>
      </c>
    </row>
    <row r="107" spans="1:45">
      <c r="A107" s="519" t="s">
        <v>194</v>
      </c>
      <c r="B107" s="519" t="s">
        <v>195</v>
      </c>
      <c r="C107" s="707"/>
      <c r="D107" s="519" t="s">
        <v>196</v>
      </c>
      <c r="E107" s="519" t="s">
        <v>197</v>
      </c>
      <c r="F107" s="519" t="s">
        <v>198</v>
      </c>
      <c r="G107" s="519" t="s">
        <v>199</v>
      </c>
      <c r="H107" s="519" t="s">
        <v>215</v>
      </c>
      <c r="I107" s="519" t="s">
        <v>216</v>
      </c>
      <c r="J107" s="519" t="s">
        <v>201</v>
      </c>
      <c r="K107" s="519" t="s">
        <v>202</v>
      </c>
      <c r="L107" s="519" t="s">
        <v>42</v>
      </c>
      <c r="M107" s="519" t="s">
        <v>217</v>
      </c>
      <c r="N107" s="519" t="s">
        <v>285</v>
      </c>
      <c r="O107" s="519" t="s">
        <v>286</v>
      </c>
      <c r="P107" s="519" t="s">
        <v>205</v>
      </c>
      <c r="Q107" s="519" t="s">
        <v>206</v>
      </c>
      <c r="R107" s="519" t="s">
        <v>31</v>
      </c>
      <c r="S107" s="519" t="s">
        <v>207</v>
      </c>
      <c r="T107" s="519" t="s">
        <v>672</v>
      </c>
      <c r="U107" s="519" t="s">
        <v>770</v>
      </c>
      <c r="V107" s="519" t="s">
        <v>395</v>
      </c>
      <c r="W107" s="725"/>
      <c r="X107" s="519" t="s">
        <v>342</v>
      </c>
      <c r="Y107" s="725"/>
      <c r="Z107" s="647">
        <v>26.59</v>
      </c>
      <c r="AA107" s="519" t="s">
        <v>210</v>
      </c>
      <c r="AB107" s="522">
        <v>43040</v>
      </c>
      <c r="AC107" s="523" t="s">
        <v>222</v>
      </c>
      <c r="AD107" s="519" t="s">
        <v>216</v>
      </c>
      <c r="AE107" s="519" t="s">
        <v>43</v>
      </c>
      <c r="AF107" s="519" t="s">
        <v>44</v>
      </c>
      <c r="AG107" s="519" t="s">
        <v>343</v>
      </c>
      <c r="AH107" s="523" t="s">
        <v>37</v>
      </c>
      <c r="AI107" s="522" t="s">
        <v>765</v>
      </c>
      <c r="AJ107" s="729"/>
      <c r="AK107" s="729"/>
      <c r="AL107" s="729"/>
      <c r="AM107" s="519" t="s">
        <v>223</v>
      </c>
      <c r="AN107" s="519" t="s">
        <v>224</v>
      </c>
      <c r="AO107" s="643">
        <v>26.59</v>
      </c>
      <c r="AP107" s="524">
        <f t="shared" si="4"/>
        <v>26.59</v>
      </c>
      <c r="AQ107" s="724"/>
      <c r="AS107" s="460" t="s">
        <v>738</v>
      </c>
    </row>
    <row r="108" spans="1:45">
      <c r="A108" s="519" t="s">
        <v>194</v>
      </c>
      <c r="B108" s="519" t="s">
        <v>195</v>
      </c>
      <c r="C108" s="707"/>
      <c r="D108" s="519" t="s">
        <v>196</v>
      </c>
      <c r="E108" s="519" t="s">
        <v>197</v>
      </c>
      <c r="F108" s="519" t="s">
        <v>198</v>
      </c>
      <c r="G108" s="519" t="s">
        <v>199</v>
      </c>
      <c r="H108" s="519" t="s">
        <v>215</v>
      </c>
      <c r="I108" s="519" t="s">
        <v>216</v>
      </c>
      <c r="J108" s="519" t="s">
        <v>201</v>
      </c>
      <c r="K108" s="519" t="s">
        <v>202</v>
      </c>
      <c r="L108" s="519" t="s">
        <v>42</v>
      </c>
      <c r="M108" s="519" t="s">
        <v>217</v>
      </c>
      <c r="N108" s="519" t="s">
        <v>285</v>
      </c>
      <c r="O108" s="519" t="s">
        <v>286</v>
      </c>
      <c r="P108" s="519" t="s">
        <v>205</v>
      </c>
      <c r="Q108" s="519" t="s">
        <v>206</v>
      </c>
      <c r="R108" s="519" t="s">
        <v>31</v>
      </c>
      <c r="S108" s="519" t="s">
        <v>207</v>
      </c>
      <c r="T108" s="519" t="s">
        <v>320</v>
      </c>
      <c r="U108" s="519" t="s">
        <v>785</v>
      </c>
      <c r="V108" s="519" t="s">
        <v>815</v>
      </c>
      <c r="W108" s="725"/>
      <c r="X108" s="519" t="s">
        <v>220</v>
      </c>
      <c r="Y108" s="725"/>
      <c r="Z108" s="647">
        <v>27.85</v>
      </c>
      <c r="AA108" s="519" t="s">
        <v>210</v>
      </c>
      <c r="AB108" s="522">
        <v>43154</v>
      </c>
      <c r="AC108" s="523" t="s">
        <v>222</v>
      </c>
      <c r="AD108" s="519" t="s">
        <v>216</v>
      </c>
      <c r="AE108" s="519" t="s">
        <v>43</v>
      </c>
      <c r="AF108" s="519" t="s">
        <v>44</v>
      </c>
      <c r="AG108" s="519" t="s">
        <v>47</v>
      </c>
      <c r="AH108" s="523" t="s">
        <v>37</v>
      </c>
      <c r="AI108" s="522" t="s">
        <v>765</v>
      </c>
      <c r="AJ108" s="729"/>
      <c r="AK108" s="729"/>
      <c r="AL108" s="729"/>
      <c r="AM108" s="519" t="s">
        <v>223</v>
      </c>
      <c r="AN108" s="519" t="s">
        <v>224</v>
      </c>
      <c r="AO108" s="643">
        <v>27.85</v>
      </c>
      <c r="AP108" s="524">
        <f t="shared" si="4"/>
        <v>27.85</v>
      </c>
      <c r="AQ108" s="724"/>
      <c r="AS108" s="460" t="s">
        <v>738</v>
      </c>
    </row>
    <row r="109" spans="1:45">
      <c r="A109" s="519" t="s">
        <v>194</v>
      </c>
      <c r="B109" s="519" t="s">
        <v>195</v>
      </c>
      <c r="C109" s="707"/>
      <c r="D109" s="519" t="s">
        <v>196</v>
      </c>
      <c r="E109" s="519" t="s">
        <v>197</v>
      </c>
      <c r="F109" s="519" t="s">
        <v>198</v>
      </c>
      <c r="G109" s="519" t="s">
        <v>199</v>
      </c>
      <c r="H109" s="519" t="s">
        <v>215</v>
      </c>
      <c r="I109" s="519" t="s">
        <v>216</v>
      </c>
      <c r="J109" s="519" t="s">
        <v>201</v>
      </c>
      <c r="K109" s="519" t="s">
        <v>202</v>
      </c>
      <c r="L109" s="519" t="s">
        <v>42</v>
      </c>
      <c r="M109" s="519" t="s">
        <v>217</v>
      </c>
      <c r="N109" s="519" t="s">
        <v>285</v>
      </c>
      <c r="O109" s="519" t="s">
        <v>286</v>
      </c>
      <c r="P109" s="519" t="s">
        <v>205</v>
      </c>
      <c r="Q109" s="519" t="s">
        <v>206</v>
      </c>
      <c r="R109" s="519" t="s">
        <v>31</v>
      </c>
      <c r="S109" s="519" t="s">
        <v>207</v>
      </c>
      <c r="T109" s="519" t="s">
        <v>320</v>
      </c>
      <c r="U109" s="519" t="s">
        <v>785</v>
      </c>
      <c r="V109" s="519" t="s">
        <v>818</v>
      </c>
      <c r="W109" s="725"/>
      <c r="X109" s="519" t="s">
        <v>342</v>
      </c>
      <c r="Y109" s="725"/>
      <c r="Z109" s="647">
        <v>26.59</v>
      </c>
      <c r="AA109" s="519" t="s">
        <v>210</v>
      </c>
      <c r="AB109" s="522">
        <v>43040</v>
      </c>
      <c r="AC109" s="523" t="s">
        <v>222</v>
      </c>
      <c r="AD109" s="519" t="s">
        <v>216</v>
      </c>
      <c r="AE109" s="519" t="s">
        <v>43</v>
      </c>
      <c r="AF109" s="519" t="s">
        <v>44</v>
      </c>
      <c r="AG109" s="519" t="s">
        <v>343</v>
      </c>
      <c r="AH109" s="523" t="s">
        <v>37</v>
      </c>
      <c r="AI109" s="522" t="s">
        <v>765</v>
      </c>
      <c r="AJ109" s="729"/>
      <c r="AK109" s="729"/>
      <c r="AL109" s="729"/>
      <c r="AM109" s="519" t="s">
        <v>223</v>
      </c>
      <c r="AN109" s="519" t="s">
        <v>224</v>
      </c>
      <c r="AO109" s="643">
        <v>26.59</v>
      </c>
      <c r="AP109" s="524">
        <f t="shared" si="4"/>
        <v>26.59</v>
      </c>
      <c r="AQ109" s="724"/>
      <c r="AS109" s="460" t="s">
        <v>738</v>
      </c>
    </row>
    <row r="110" spans="1:45">
      <c r="A110" s="519" t="s">
        <v>194</v>
      </c>
      <c r="B110" s="519" t="s">
        <v>195</v>
      </c>
      <c r="C110" s="707"/>
      <c r="D110" s="519" t="s">
        <v>196</v>
      </c>
      <c r="E110" s="519" t="s">
        <v>197</v>
      </c>
      <c r="F110" s="519" t="s">
        <v>198</v>
      </c>
      <c r="G110" s="519" t="s">
        <v>199</v>
      </c>
      <c r="H110" s="519" t="s">
        <v>215</v>
      </c>
      <c r="I110" s="519" t="s">
        <v>216</v>
      </c>
      <c r="J110" s="519" t="s">
        <v>201</v>
      </c>
      <c r="K110" s="519" t="s">
        <v>202</v>
      </c>
      <c r="L110" s="519" t="s">
        <v>42</v>
      </c>
      <c r="M110" s="519" t="s">
        <v>217</v>
      </c>
      <c r="N110" s="519" t="s">
        <v>285</v>
      </c>
      <c r="O110" s="519" t="s">
        <v>286</v>
      </c>
      <c r="P110" s="519" t="s">
        <v>205</v>
      </c>
      <c r="Q110" s="519" t="s">
        <v>206</v>
      </c>
      <c r="R110" s="519" t="s">
        <v>31</v>
      </c>
      <c r="S110" s="519" t="s">
        <v>207</v>
      </c>
      <c r="T110" s="519" t="s">
        <v>320</v>
      </c>
      <c r="U110" s="519" t="s">
        <v>785</v>
      </c>
      <c r="V110" s="519" t="s">
        <v>820</v>
      </c>
      <c r="W110" s="725"/>
      <c r="X110" s="519" t="s">
        <v>342</v>
      </c>
      <c r="Y110" s="725"/>
      <c r="Z110" s="647">
        <v>26.59</v>
      </c>
      <c r="AA110" s="519" t="s">
        <v>210</v>
      </c>
      <c r="AB110" s="522">
        <v>43040</v>
      </c>
      <c r="AC110" s="523" t="s">
        <v>222</v>
      </c>
      <c r="AD110" s="519" t="s">
        <v>216</v>
      </c>
      <c r="AE110" s="519" t="s">
        <v>43</v>
      </c>
      <c r="AF110" s="519" t="s">
        <v>44</v>
      </c>
      <c r="AG110" s="519" t="s">
        <v>343</v>
      </c>
      <c r="AH110" s="523" t="s">
        <v>37</v>
      </c>
      <c r="AI110" s="522" t="s">
        <v>765</v>
      </c>
      <c r="AJ110" s="729"/>
      <c r="AK110" s="729"/>
      <c r="AL110" s="729"/>
      <c r="AM110" s="519" t="s">
        <v>223</v>
      </c>
      <c r="AN110" s="519" t="s">
        <v>224</v>
      </c>
      <c r="AO110" s="643">
        <v>26.59</v>
      </c>
      <c r="AP110" s="524">
        <f t="shared" si="4"/>
        <v>26.59</v>
      </c>
      <c r="AQ110" s="724"/>
      <c r="AS110" s="460" t="s">
        <v>738</v>
      </c>
    </row>
    <row r="111" spans="1:45">
      <c r="A111" s="519" t="s">
        <v>194</v>
      </c>
      <c r="B111" s="519" t="s">
        <v>195</v>
      </c>
      <c r="C111" s="707"/>
      <c r="D111" s="519" t="s">
        <v>196</v>
      </c>
      <c r="E111" s="519" t="s">
        <v>197</v>
      </c>
      <c r="F111" s="519" t="s">
        <v>198</v>
      </c>
      <c r="G111" s="519" t="s">
        <v>199</v>
      </c>
      <c r="H111" s="519" t="s">
        <v>215</v>
      </c>
      <c r="I111" s="519" t="s">
        <v>216</v>
      </c>
      <c r="J111" s="519" t="s">
        <v>201</v>
      </c>
      <c r="K111" s="519" t="s">
        <v>202</v>
      </c>
      <c r="L111" s="519" t="s">
        <v>42</v>
      </c>
      <c r="M111" s="519" t="s">
        <v>217</v>
      </c>
      <c r="N111" s="519" t="s">
        <v>285</v>
      </c>
      <c r="O111" s="519" t="s">
        <v>286</v>
      </c>
      <c r="P111" s="519" t="s">
        <v>205</v>
      </c>
      <c r="Q111" s="519" t="s">
        <v>206</v>
      </c>
      <c r="R111" s="519" t="s">
        <v>31</v>
      </c>
      <c r="S111" s="519" t="s">
        <v>207</v>
      </c>
      <c r="T111" s="519" t="s">
        <v>320</v>
      </c>
      <c r="U111" s="519" t="s">
        <v>785</v>
      </c>
      <c r="V111" s="519" t="s">
        <v>821</v>
      </c>
      <c r="W111" s="725"/>
      <c r="X111" s="519" t="s">
        <v>220</v>
      </c>
      <c r="Y111" s="725"/>
      <c r="Z111" s="647">
        <v>27.85</v>
      </c>
      <c r="AA111" s="519" t="s">
        <v>210</v>
      </c>
      <c r="AB111" s="522">
        <v>43154</v>
      </c>
      <c r="AC111" s="523" t="s">
        <v>222</v>
      </c>
      <c r="AD111" s="519" t="s">
        <v>216</v>
      </c>
      <c r="AE111" s="519" t="s">
        <v>43</v>
      </c>
      <c r="AF111" s="519" t="s">
        <v>44</v>
      </c>
      <c r="AG111" s="519" t="s">
        <v>47</v>
      </c>
      <c r="AH111" s="523" t="s">
        <v>37</v>
      </c>
      <c r="AI111" s="522" t="s">
        <v>765</v>
      </c>
      <c r="AJ111" s="729"/>
      <c r="AK111" s="729"/>
      <c r="AL111" s="729"/>
      <c r="AM111" s="519" t="s">
        <v>223</v>
      </c>
      <c r="AN111" s="519" t="s">
        <v>224</v>
      </c>
      <c r="AO111" s="643">
        <v>27.85</v>
      </c>
      <c r="AP111" s="524">
        <f t="shared" si="4"/>
        <v>27.85</v>
      </c>
      <c r="AQ111" s="724"/>
      <c r="AS111" s="460" t="s">
        <v>738</v>
      </c>
    </row>
    <row r="112" spans="1:45">
      <c r="A112" s="519" t="s">
        <v>194</v>
      </c>
      <c r="B112" s="519" t="s">
        <v>195</v>
      </c>
      <c r="C112" s="707"/>
      <c r="D112" s="519" t="s">
        <v>196</v>
      </c>
      <c r="E112" s="519" t="s">
        <v>197</v>
      </c>
      <c r="F112" s="519" t="s">
        <v>253</v>
      </c>
      <c r="G112" s="519" t="s">
        <v>254</v>
      </c>
      <c r="H112" s="519" t="s">
        <v>215</v>
      </c>
      <c r="I112" s="519" t="s">
        <v>216</v>
      </c>
      <c r="J112" s="519" t="s">
        <v>201</v>
      </c>
      <c r="K112" s="519" t="s">
        <v>202</v>
      </c>
      <c r="L112" s="519" t="s">
        <v>42</v>
      </c>
      <c r="M112" s="519" t="s">
        <v>217</v>
      </c>
      <c r="N112" s="519" t="s">
        <v>255</v>
      </c>
      <c r="O112" s="519" t="s">
        <v>256</v>
      </c>
      <c r="P112" s="519" t="s">
        <v>205</v>
      </c>
      <c r="Q112" s="519" t="s">
        <v>206</v>
      </c>
      <c r="R112" s="519" t="s">
        <v>31</v>
      </c>
      <c r="S112" s="519" t="s">
        <v>207</v>
      </c>
      <c r="T112" s="519" t="s">
        <v>257</v>
      </c>
      <c r="U112" s="519" t="s">
        <v>258</v>
      </c>
      <c r="V112" s="519" t="s">
        <v>401</v>
      </c>
      <c r="W112" s="725"/>
      <c r="X112" s="519" t="s">
        <v>822</v>
      </c>
      <c r="Y112" s="725"/>
      <c r="Z112" s="647">
        <v>27.79</v>
      </c>
      <c r="AA112" s="519" t="s">
        <v>210</v>
      </c>
      <c r="AB112" s="522">
        <v>43040</v>
      </c>
      <c r="AC112" s="523" t="s">
        <v>222</v>
      </c>
      <c r="AD112" s="519" t="s">
        <v>216</v>
      </c>
      <c r="AE112" s="519" t="s">
        <v>43</v>
      </c>
      <c r="AF112" s="519" t="s">
        <v>44</v>
      </c>
      <c r="AG112" s="519" t="s">
        <v>402</v>
      </c>
      <c r="AH112" s="523" t="s">
        <v>37</v>
      </c>
      <c r="AI112" s="522" t="s">
        <v>765</v>
      </c>
      <c r="AJ112" s="729"/>
      <c r="AK112" s="729"/>
      <c r="AL112" s="729"/>
      <c r="AM112" s="519" t="s">
        <v>223</v>
      </c>
      <c r="AN112" s="519" t="s">
        <v>224</v>
      </c>
      <c r="AO112" s="643">
        <v>27.79</v>
      </c>
      <c r="AP112" s="524">
        <f t="shared" si="4"/>
        <v>27.79</v>
      </c>
      <c r="AQ112" s="724"/>
      <c r="AS112" s="460" t="s">
        <v>281</v>
      </c>
    </row>
    <row r="113" spans="1:45">
      <c r="A113" s="519" t="s">
        <v>194</v>
      </c>
      <c r="B113" s="519" t="s">
        <v>195</v>
      </c>
      <c r="C113" s="707"/>
      <c r="D113" s="519" t="s">
        <v>196</v>
      </c>
      <c r="E113" s="519" t="s">
        <v>197</v>
      </c>
      <c r="F113" s="519" t="s">
        <v>253</v>
      </c>
      <c r="G113" s="519" t="s">
        <v>254</v>
      </c>
      <c r="H113" s="519" t="s">
        <v>215</v>
      </c>
      <c r="I113" s="519" t="s">
        <v>216</v>
      </c>
      <c r="J113" s="519" t="s">
        <v>201</v>
      </c>
      <c r="K113" s="519" t="s">
        <v>202</v>
      </c>
      <c r="L113" s="519" t="s">
        <v>42</v>
      </c>
      <c r="M113" s="519" t="s">
        <v>217</v>
      </c>
      <c r="N113" s="519" t="s">
        <v>263</v>
      </c>
      <c r="O113" s="519" t="s">
        <v>264</v>
      </c>
      <c r="P113" s="519" t="s">
        <v>205</v>
      </c>
      <c r="Q113" s="519" t="s">
        <v>206</v>
      </c>
      <c r="R113" s="519" t="s">
        <v>31</v>
      </c>
      <c r="S113" s="519" t="s">
        <v>207</v>
      </c>
      <c r="T113" s="519" t="s">
        <v>265</v>
      </c>
      <c r="U113" s="519" t="s">
        <v>266</v>
      </c>
      <c r="V113" s="519" t="s">
        <v>408</v>
      </c>
      <c r="W113" s="725"/>
      <c r="X113" s="519" t="s">
        <v>268</v>
      </c>
      <c r="Y113" s="725"/>
      <c r="Z113" s="647">
        <v>28.8</v>
      </c>
      <c r="AA113" s="519" t="s">
        <v>210</v>
      </c>
      <c r="AB113" s="522">
        <v>43040</v>
      </c>
      <c r="AC113" s="523" t="s">
        <v>222</v>
      </c>
      <c r="AD113" s="519" t="s">
        <v>216</v>
      </c>
      <c r="AE113" s="519" t="s">
        <v>43</v>
      </c>
      <c r="AF113" s="519" t="s">
        <v>44</v>
      </c>
      <c r="AG113" s="519" t="s">
        <v>269</v>
      </c>
      <c r="AH113" s="523" t="s">
        <v>37</v>
      </c>
      <c r="AI113" s="522" t="s">
        <v>765</v>
      </c>
      <c r="AJ113" s="729"/>
      <c r="AK113" s="729"/>
      <c r="AL113" s="729"/>
      <c r="AM113" s="519" t="s">
        <v>223</v>
      </c>
      <c r="AN113" s="519" t="s">
        <v>224</v>
      </c>
      <c r="AO113" s="643">
        <v>28.8</v>
      </c>
      <c r="AP113" s="524">
        <f t="shared" si="4"/>
        <v>28.8</v>
      </c>
      <c r="AQ113" s="724"/>
      <c r="AS113" s="460" t="s">
        <v>281</v>
      </c>
    </row>
    <row r="114" spans="1:45">
      <c r="A114" s="519" t="s">
        <v>194</v>
      </c>
      <c r="B114" s="519" t="s">
        <v>195</v>
      </c>
      <c r="C114" s="707"/>
      <c r="D114" s="519" t="s">
        <v>196</v>
      </c>
      <c r="E114" s="519" t="s">
        <v>197</v>
      </c>
      <c r="F114" s="519" t="s">
        <v>198</v>
      </c>
      <c r="G114" s="519" t="s">
        <v>199</v>
      </c>
      <c r="H114" s="519" t="s">
        <v>215</v>
      </c>
      <c r="I114" s="519" t="s">
        <v>216</v>
      </c>
      <c r="J114" s="519" t="s">
        <v>201</v>
      </c>
      <c r="K114" s="519" t="s">
        <v>202</v>
      </c>
      <c r="L114" s="519" t="s">
        <v>42</v>
      </c>
      <c r="M114" s="519" t="s">
        <v>217</v>
      </c>
      <c r="N114" s="519" t="s">
        <v>285</v>
      </c>
      <c r="O114" s="519" t="s">
        <v>286</v>
      </c>
      <c r="P114" s="519" t="s">
        <v>205</v>
      </c>
      <c r="Q114" s="519" t="s">
        <v>206</v>
      </c>
      <c r="R114" s="519" t="s">
        <v>31</v>
      </c>
      <c r="S114" s="519" t="s">
        <v>207</v>
      </c>
      <c r="T114" s="519" t="s">
        <v>672</v>
      </c>
      <c r="U114" s="519" t="s">
        <v>770</v>
      </c>
      <c r="V114" s="519" t="s">
        <v>409</v>
      </c>
      <c r="W114" s="725"/>
      <c r="X114" s="519" t="s">
        <v>389</v>
      </c>
      <c r="Y114" s="725"/>
      <c r="Z114" s="647">
        <v>26.59</v>
      </c>
      <c r="AA114" s="519" t="s">
        <v>210</v>
      </c>
      <c r="AB114" s="522">
        <v>43040</v>
      </c>
      <c r="AC114" s="523" t="s">
        <v>222</v>
      </c>
      <c r="AD114" s="519" t="s">
        <v>216</v>
      </c>
      <c r="AE114" s="519" t="s">
        <v>43</v>
      </c>
      <c r="AF114" s="519" t="s">
        <v>44</v>
      </c>
      <c r="AG114" s="519" t="s">
        <v>343</v>
      </c>
      <c r="AH114" s="523" t="s">
        <v>37</v>
      </c>
      <c r="AI114" s="522" t="s">
        <v>765</v>
      </c>
      <c r="AJ114" s="729"/>
      <c r="AK114" s="729"/>
      <c r="AL114" s="729"/>
      <c r="AM114" s="519" t="s">
        <v>223</v>
      </c>
      <c r="AN114" s="519" t="s">
        <v>224</v>
      </c>
      <c r="AO114" s="643">
        <v>26.59</v>
      </c>
      <c r="AP114" s="524">
        <f t="shared" si="4"/>
        <v>26.59</v>
      </c>
      <c r="AQ114" s="724"/>
      <c r="AS114" s="460" t="s">
        <v>738</v>
      </c>
    </row>
    <row r="115" spans="1:45">
      <c r="A115" s="519" t="s">
        <v>194</v>
      </c>
      <c r="B115" s="519" t="s">
        <v>195</v>
      </c>
      <c r="C115" s="707"/>
      <c r="D115" s="519" t="s">
        <v>196</v>
      </c>
      <c r="E115" s="519" t="s">
        <v>197</v>
      </c>
      <c r="F115" s="519" t="s">
        <v>198</v>
      </c>
      <c r="G115" s="519" t="s">
        <v>199</v>
      </c>
      <c r="H115" s="519" t="s">
        <v>215</v>
      </c>
      <c r="I115" s="519" t="s">
        <v>216</v>
      </c>
      <c r="J115" s="519" t="s">
        <v>201</v>
      </c>
      <c r="K115" s="519" t="s">
        <v>202</v>
      </c>
      <c r="L115" s="519" t="s">
        <v>42</v>
      </c>
      <c r="M115" s="519" t="s">
        <v>217</v>
      </c>
      <c r="N115" s="519" t="s">
        <v>285</v>
      </c>
      <c r="O115" s="519" t="s">
        <v>286</v>
      </c>
      <c r="P115" s="519" t="s">
        <v>205</v>
      </c>
      <c r="Q115" s="519" t="s">
        <v>206</v>
      </c>
      <c r="R115" s="519" t="s">
        <v>31</v>
      </c>
      <c r="S115" s="519" t="s">
        <v>207</v>
      </c>
      <c r="T115" s="519" t="s">
        <v>672</v>
      </c>
      <c r="U115" s="519" t="s">
        <v>770</v>
      </c>
      <c r="V115" s="519" t="s">
        <v>394</v>
      </c>
      <c r="W115" s="725"/>
      <c r="X115" s="519" t="s">
        <v>342</v>
      </c>
      <c r="Y115" s="725"/>
      <c r="Z115" s="647">
        <v>26.59</v>
      </c>
      <c r="AA115" s="519" t="s">
        <v>210</v>
      </c>
      <c r="AB115" s="522">
        <v>43040</v>
      </c>
      <c r="AC115" s="523" t="s">
        <v>222</v>
      </c>
      <c r="AD115" s="519" t="s">
        <v>216</v>
      </c>
      <c r="AE115" s="519" t="s">
        <v>43</v>
      </c>
      <c r="AF115" s="519" t="s">
        <v>44</v>
      </c>
      <c r="AG115" s="519" t="s">
        <v>343</v>
      </c>
      <c r="AH115" s="523" t="s">
        <v>37</v>
      </c>
      <c r="AI115" s="522" t="s">
        <v>765</v>
      </c>
      <c r="AJ115" s="729"/>
      <c r="AK115" s="729"/>
      <c r="AL115" s="729"/>
      <c r="AM115" s="519" t="s">
        <v>223</v>
      </c>
      <c r="AN115" s="519" t="s">
        <v>224</v>
      </c>
      <c r="AO115" s="643">
        <v>26.59</v>
      </c>
      <c r="AP115" s="524">
        <f t="shared" si="4"/>
        <v>26.59</v>
      </c>
      <c r="AQ115" s="724"/>
      <c r="AS115" s="460" t="s">
        <v>738</v>
      </c>
    </row>
    <row r="116" spans="1:45">
      <c r="A116" s="519" t="s">
        <v>194</v>
      </c>
      <c r="B116" s="519" t="s">
        <v>195</v>
      </c>
      <c r="C116" s="707"/>
      <c r="D116" s="519" t="s">
        <v>196</v>
      </c>
      <c r="E116" s="519" t="s">
        <v>197</v>
      </c>
      <c r="F116" s="519" t="s">
        <v>198</v>
      </c>
      <c r="G116" s="519" t="s">
        <v>199</v>
      </c>
      <c r="H116" s="519" t="s">
        <v>215</v>
      </c>
      <c r="I116" s="519" t="s">
        <v>216</v>
      </c>
      <c r="J116" s="519" t="s">
        <v>201</v>
      </c>
      <c r="K116" s="519" t="s">
        <v>202</v>
      </c>
      <c r="L116" s="519" t="s">
        <v>42</v>
      </c>
      <c r="M116" s="519" t="s">
        <v>217</v>
      </c>
      <c r="N116" s="519" t="s">
        <v>272</v>
      </c>
      <c r="O116" s="519" t="s">
        <v>273</v>
      </c>
      <c r="P116" s="519" t="s">
        <v>205</v>
      </c>
      <c r="Q116" s="519" t="s">
        <v>206</v>
      </c>
      <c r="R116" s="519" t="s">
        <v>31</v>
      </c>
      <c r="S116" s="519" t="s">
        <v>207</v>
      </c>
      <c r="T116" s="519" t="s">
        <v>274</v>
      </c>
      <c r="U116" s="519" t="s">
        <v>275</v>
      </c>
      <c r="V116" s="519" t="s">
        <v>416</v>
      </c>
      <c r="W116" s="725"/>
      <c r="X116" s="519" t="s">
        <v>260</v>
      </c>
      <c r="Y116" s="725"/>
      <c r="Z116" s="647">
        <v>29.63</v>
      </c>
      <c r="AA116" s="519" t="s">
        <v>210</v>
      </c>
      <c r="AB116" s="522">
        <v>43040</v>
      </c>
      <c r="AC116" s="523" t="s">
        <v>222</v>
      </c>
      <c r="AD116" s="519" t="s">
        <v>216</v>
      </c>
      <c r="AE116" s="519" t="s">
        <v>43</v>
      </c>
      <c r="AF116" s="519" t="s">
        <v>44</v>
      </c>
      <c r="AG116" s="519" t="s">
        <v>333</v>
      </c>
      <c r="AH116" s="523" t="s">
        <v>37</v>
      </c>
      <c r="AI116" s="522" t="s">
        <v>765</v>
      </c>
      <c r="AJ116" s="729"/>
      <c r="AK116" s="729"/>
      <c r="AL116" s="729"/>
      <c r="AM116" s="519" t="s">
        <v>223</v>
      </c>
      <c r="AN116" s="519" t="s">
        <v>224</v>
      </c>
      <c r="AO116" s="643">
        <v>29.63</v>
      </c>
      <c r="AP116" s="524">
        <f t="shared" si="4"/>
        <v>29.63</v>
      </c>
      <c r="AQ116" s="724"/>
      <c r="AS116" s="460" t="s">
        <v>281</v>
      </c>
    </row>
    <row r="117" spans="1:45">
      <c r="A117" s="519" t="s">
        <v>194</v>
      </c>
      <c r="B117" s="519" t="s">
        <v>195</v>
      </c>
      <c r="C117" s="707"/>
      <c r="D117" s="519" t="s">
        <v>196</v>
      </c>
      <c r="E117" s="519" t="s">
        <v>197</v>
      </c>
      <c r="F117" s="519" t="s">
        <v>198</v>
      </c>
      <c r="G117" s="519" t="s">
        <v>199</v>
      </c>
      <c r="H117" s="519" t="s">
        <v>215</v>
      </c>
      <c r="I117" s="519" t="s">
        <v>216</v>
      </c>
      <c r="J117" s="519" t="s">
        <v>201</v>
      </c>
      <c r="K117" s="519" t="s">
        <v>202</v>
      </c>
      <c r="L117" s="519" t="s">
        <v>42</v>
      </c>
      <c r="M117" s="519" t="s">
        <v>217</v>
      </c>
      <c r="N117" s="519" t="s">
        <v>272</v>
      </c>
      <c r="O117" s="519" t="s">
        <v>273</v>
      </c>
      <c r="P117" s="519" t="s">
        <v>205</v>
      </c>
      <c r="Q117" s="519" t="s">
        <v>206</v>
      </c>
      <c r="R117" s="519" t="s">
        <v>31</v>
      </c>
      <c r="S117" s="519" t="s">
        <v>207</v>
      </c>
      <c r="T117" s="519" t="s">
        <v>274</v>
      </c>
      <c r="U117" s="519" t="s">
        <v>275</v>
      </c>
      <c r="V117" s="519" t="s">
        <v>833</v>
      </c>
      <c r="W117" s="725"/>
      <c r="X117" s="519" t="s">
        <v>834</v>
      </c>
      <c r="Y117" s="725"/>
      <c r="Z117" s="647">
        <v>29.51</v>
      </c>
      <c r="AA117" s="519" t="s">
        <v>210</v>
      </c>
      <c r="AB117" s="522">
        <v>43040</v>
      </c>
      <c r="AC117" s="523" t="s">
        <v>222</v>
      </c>
      <c r="AD117" s="519" t="s">
        <v>216</v>
      </c>
      <c r="AE117" s="519" t="s">
        <v>43</v>
      </c>
      <c r="AF117" s="519" t="s">
        <v>44</v>
      </c>
      <c r="AG117" s="519" t="s">
        <v>276</v>
      </c>
      <c r="AH117" s="523" t="s">
        <v>37</v>
      </c>
      <c r="AI117" s="522" t="s">
        <v>765</v>
      </c>
      <c r="AJ117" s="729"/>
      <c r="AK117" s="729"/>
      <c r="AL117" s="729"/>
      <c r="AM117" s="519" t="s">
        <v>223</v>
      </c>
      <c r="AN117" s="519" t="s">
        <v>224</v>
      </c>
      <c r="AO117" s="643">
        <v>29.51</v>
      </c>
      <c r="AP117" s="524">
        <f t="shared" si="4"/>
        <v>29.51</v>
      </c>
      <c r="AQ117" s="724"/>
      <c r="AS117" s="460" t="s">
        <v>281</v>
      </c>
    </row>
    <row r="118" spans="1:45">
      <c r="A118" s="519" t="s">
        <v>194</v>
      </c>
      <c r="B118" s="519" t="s">
        <v>195</v>
      </c>
      <c r="C118" s="707"/>
      <c r="D118" s="519" t="s">
        <v>196</v>
      </c>
      <c r="E118" s="519" t="s">
        <v>197</v>
      </c>
      <c r="F118" s="519" t="s">
        <v>198</v>
      </c>
      <c r="G118" s="519" t="s">
        <v>199</v>
      </c>
      <c r="H118" s="519" t="s">
        <v>215</v>
      </c>
      <c r="I118" s="519" t="s">
        <v>216</v>
      </c>
      <c r="J118" s="519" t="s">
        <v>201</v>
      </c>
      <c r="K118" s="519" t="s">
        <v>202</v>
      </c>
      <c r="L118" s="519" t="s">
        <v>42</v>
      </c>
      <c r="M118" s="519" t="s">
        <v>217</v>
      </c>
      <c r="N118" s="519" t="s">
        <v>285</v>
      </c>
      <c r="O118" s="519" t="s">
        <v>286</v>
      </c>
      <c r="P118" s="519" t="s">
        <v>205</v>
      </c>
      <c r="Q118" s="519" t="s">
        <v>206</v>
      </c>
      <c r="R118" s="519" t="s">
        <v>31</v>
      </c>
      <c r="S118" s="519" t="s">
        <v>207</v>
      </c>
      <c r="T118" s="519" t="s">
        <v>320</v>
      </c>
      <c r="U118" s="519" t="s">
        <v>785</v>
      </c>
      <c r="V118" s="519" t="s">
        <v>426</v>
      </c>
      <c r="W118" s="725"/>
      <c r="X118" s="519" t="s">
        <v>389</v>
      </c>
      <c r="Y118" s="725"/>
      <c r="Z118" s="647">
        <v>25.21</v>
      </c>
      <c r="AA118" s="519" t="s">
        <v>210</v>
      </c>
      <c r="AB118" s="522">
        <v>43040</v>
      </c>
      <c r="AC118" s="523" t="s">
        <v>222</v>
      </c>
      <c r="AD118" s="519" t="s">
        <v>216</v>
      </c>
      <c r="AE118" s="519" t="s">
        <v>43</v>
      </c>
      <c r="AF118" s="519" t="s">
        <v>44</v>
      </c>
      <c r="AG118" s="519" t="s">
        <v>391</v>
      </c>
      <c r="AH118" s="523" t="s">
        <v>666</v>
      </c>
      <c r="AI118" s="522" t="s">
        <v>765</v>
      </c>
      <c r="AJ118" s="729"/>
      <c r="AK118" s="729"/>
      <c r="AL118" s="729"/>
      <c r="AM118" s="519" t="s">
        <v>223</v>
      </c>
      <c r="AN118" s="519" t="s">
        <v>224</v>
      </c>
      <c r="AO118" s="643">
        <v>25.21</v>
      </c>
      <c r="AP118" s="524">
        <f t="shared" si="4"/>
        <v>25.21</v>
      </c>
      <c r="AQ118" s="724"/>
      <c r="AS118" s="460" t="s">
        <v>738</v>
      </c>
    </row>
    <row r="119" spans="1:45">
      <c r="A119" s="519" t="s">
        <v>194</v>
      </c>
      <c r="B119" s="519" t="s">
        <v>195</v>
      </c>
      <c r="C119" s="707"/>
      <c r="D119" s="519" t="s">
        <v>196</v>
      </c>
      <c r="E119" s="519" t="s">
        <v>197</v>
      </c>
      <c r="F119" s="519" t="s">
        <v>198</v>
      </c>
      <c r="G119" s="519" t="s">
        <v>199</v>
      </c>
      <c r="H119" s="519" t="s">
        <v>215</v>
      </c>
      <c r="I119" s="519" t="s">
        <v>216</v>
      </c>
      <c r="J119" s="519" t="s">
        <v>201</v>
      </c>
      <c r="K119" s="519" t="s">
        <v>202</v>
      </c>
      <c r="L119" s="519" t="s">
        <v>42</v>
      </c>
      <c r="M119" s="519" t="s">
        <v>217</v>
      </c>
      <c r="N119" s="519" t="s">
        <v>285</v>
      </c>
      <c r="O119" s="519" t="s">
        <v>286</v>
      </c>
      <c r="P119" s="519" t="s">
        <v>205</v>
      </c>
      <c r="Q119" s="519" t="s">
        <v>206</v>
      </c>
      <c r="R119" s="519" t="s">
        <v>31</v>
      </c>
      <c r="S119" s="519" t="s">
        <v>207</v>
      </c>
      <c r="T119" s="519" t="s">
        <v>672</v>
      </c>
      <c r="U119" s="519" t="s">
        <v>770</v>
      </c>
      <c r="V119" s="519" t="s">
        <v>845</v>
      </c>
      <c r="W119" s="725"/>
      <c r="X119" s="519" t="s">
        <v>389</v>
      </c>
      <c r="Y119" s="725"/>
      <c r="Z119" s="647">
        <v>20.34</v>
      </c>
      <c r="AA119" s="519" t="s">
        <v>210</v>
      </c>
      <c r="AB119" s="522">
        <v>43326</v>
      </c>
      <c r="AC119" s="523" t="s">
        <v>222</v>
      </c>
      <c r="AD119" s="519" t="s">
        <v>216</v>
      </c>
      <c r="AE119" s="519" t="s">
        <v>43</v>
      </c>
      <c r="AF119" s="519" t="s">
        <v>44</v>
      </c>
      <c r="AG119" s="519" t="s">
        <v>391</v>
      </c>
      <c r="AH119" s="523" t="s">
        <v>31</v>
      </c>
      <c r="AI119" s="522" t="s">
        <v>765</v>
      </c>
      <c r="AJ119" s="729"/>
      <c r="AK119" s="729"/>
      <c r="AL119" s="729"/>
      <c r="AM119" s="519" t="s">
        <v>223</v>
      </c>
      <c r="AN119" s="519" t="s">
        <v>224</v>
      </c>
      <c r="AO119" s="643">
        <v>20.34</v>
      </c>
      <c r="AP119" s="524">
        <f t="shared" si="4"/>
        <v>20.34</v>
      </c>
      <c r="AQ119" s="724"/>
      <c r="AS119" s="460" t="s">
        <v>738</v>
      </c>
    </row>
    <row r="120" spans="1:45">
      <c r="A120" s="519" t="s">
        <v>194</v>
      </c>
      <c r="B120" s="519" t="s">
        <v>195</v>
      </c>
      <c r="C120" s="707"/>
      <c r="D120" s="519" t="s">
        <v>196</v>
      </c>
      <c r="E120" s="519" t="s">
        <v>197</v>
      </c>
      <c r="F120" s="519" t="s">
        <v>198</v>
      </c>
      <c r="G120" s="519" t="s">
        <v>199</v>
      </c>
      <c r="H120" s="519" t="s">
        <v>215</v>
      </c>
      <c r="I120" s="519" t="s">
        <v>216</v>
      </c>
      <c r="J120" s="519" t="s">
        <v>201</v>
      </c>
      <c r="K120" s="519" t="s">
        <v>202</v>
      </c>
      <c r="L120" s="519" t="s">
        <v>42</v>
      </c>
      <c r="M120" s="519" t="s">
        <v>217</v>
      </c>
      <c r="N120" s="519" t="s">
        <v>272</v>
      </c>
      <c r="O120" s="519" t="s">
        <v>273</v>
      </c>
      <c r="P120" s="519" t="s">
        <v>205</v>
      </c>
      <c r="Q120" s="519" t="s">
        <v>206</v>
      </c>
      <c r="R120" s="519" t="s">
        <v>31</v>
      </c>
      <c r="S120" s="519" t="s">
        <v>207</v>
      </c>
      <c r="T120" s="519" t="s">
        <v>274</v>
      </c>
      <c r="U120" s="519" t="s">
        <v>275</v>
      </c>
      <c r="V120" s="519" t="s">
        <v>422</v>
      </c>
      <c r="W120" s="725"/>
      <c r="X120" s="519" t="s">
        <v>260</v>
      </c>
      <c r="Y120" s="725"/>
      <c r="Z120" s="647">
        <v>27.95</v>
      </c>
      <c r="AA120" s="519" t="s">
        <v>210</v>
      </c>
      <c r="AB120" s="522">
        <v>43040</v>
      </c>
      <c r="AC120" s="523" t="s">
        <v>222</v>
      </c>
      <c r="AD120" s="519" t="s">
        <v>216</v>
      </c>
      <c r="AE120" s="519" t="s">
        <v>43</v>
      </c>
      <c r="AF120" s="519" t="s">
        <v>44</v>
      </c>
      <c r="AG120" s="519" t="s">
        <v>423</v>
      </c>
      <c r="AH120" s="523" t="s">
        <v>30</v>
      </c>
      <c r="AI120" s="522" t="s">
        <v>765</v>
      </c>
      <c r="AJ120" s="729"/>
      <c r="AK120" s="729"/>
      <c r="AL120" s="729"/>
      <c r="AM120" s="519" t="s">
        <v>223</v>
      </c>
      <c r="AN120" s="519" t="s">
        <v>224</v>
      </c>
      <c r="AO120" s="643">
        <v>27.95</v>
      </c>
      <c r="AP120" s="524">
        <f t="shared" si="4"/>
        <v>27.95</v>
      </c>
      <c r="AQ120" s="724"/>
      <c r="AS120" s="460" t="s">
        <v>281</v>
      </c>
    </row>
    <row r="121" spans="1:45">
      <c r="A121" s="519" t="s">
        <v>194</v>
      </c>
      <c r="B121" s="519" t="s">
        <v>195</v>
      </c>
      <c r="C121" s="707"/>
      <c r="D121" s="519" t="s">
        <v>196</v>
      </c>
      <c r="E121" s="519" t="s">
        <v>197</v>
      </c>
      <c r="F121" s="519" t="s">
        <v>198</v>
      </c>
      <c r="G121" s="519" t="s">
        <v>199</v>
      </c>
      <c r="H121" s="519" t="s">
        <v>215</v>
      </c>
      <c r="I121" s="519" t="s">
        <v>216</v>
      </c>
      <c r="J121" s="519" t="s">
        <v>201</v>
      </c>
      <c r="K121" s="519" t="s">
        <v>202</v>
      </c>
      <c r="L121" s="519" t="s">
        <v>42</v>
      </c>
      <c r="M121" s="519" t="s">
        <v>217</v>
      </c>
      <c r="N121" s="519" t="s">
        <v>285</v>
      </c>
      <c r="O121" s="519" t="s">
        <v>286</v>
      </c>
      <c r="P121" s="519" t="s">
        <v>205</v>
      </c>
      <c r="Q121" s="519" t="s">
        <v>206</v>
      </c>
      <c r="R121" s="519" t="s">
        <v>31</v>
      </c>
      <c r="S121" s="519" t="s">
        <v>207</v>
      </c>
      <c r="T121" s="519" t="s">
        <v>672</v>
      </c>
      <c r="U121" s="519" t="s">
        <v>770</v>
      </c>
      <c r="V121" s="519" t="s">
        <v>667</v>
      </c>
      <c r="W121" s="725"/>
      <c r="X121" s="519" t="s">
        <v>389</v>
      </c>
      <c r="Y121" s="725"/>
      <c r="Z121" s="647">
        <v>20.34</v>
      </c>
      <c r="AA121" s="519" t="s">
        <v>210</v>
      </c>
      <c r="AB121" s="522">
        <v>43040</v>
      </c>
      <c r="AC121" s="523" t="s">
        <v>222</v>
      </c>
      <c r="AD121" s="519" t="s">
        <v>216</v>
      </c>
      <c r="AE121" s="519" t="s">
        <v>43</v>
      </c>
      <c r="AF121" s="519" t="s">
        <v>44</v>
      </c>
      <c r="AG121" s="519" t="s">
        <v>391</v>
      </c>
      <c r="AH121" s="523" t="s">
        <v>31</v>
      </c>
      <c r="AI121" s="522" t="s">
        <v>765</v>
      </c>
      <c r="AJ121" s="729"/>
      <c r="AK121" s="729"/>
      <c r="AL121" s="729"/>
      <c r="AM121" s="519" t="s">
        <v>223</v>
      </c>
      <c r="AN121" s="519" t="s">
        <v>224</v>
      </c>
      <c r="AO121" s="643">
        <v>20.34</v>
      </c>
      <c r="AP121" s="524">
        <f t="shared" si="4"/>
        <v>20.34</v>
      </c>
      <c r="AQ121" s="724"/>
      <c r="AS121" s="460" t="s">
        <v>738</v>
      </c>
    </row>
    <row r="122" spans="1:45">
      <c r="A122" s="519" t="s">
        <v>194</v>
      </c>
      <c r="B122" s="519" t="s">
        <v>195</v>
      </c>
      <c r="C122" s="707"/>
      <c r="D122" s="519" t="s">
        <v>196</v>
      </c>
      <c r="E122" s="519" t="s">
        <v>197</v>
      </c>
      <c r="F122" s="519" t="s">
        <v>198</v>
      </c>
      <c r="G122" s="519" t="s">
        <v>199</v>
      </c>
      <c r="H122" s="519" t="s">
        <v>215</v>
      </c>
      <c r="I122" s="519" t="s">
        <v>216</v>
      </c>
      <c r="J122" s="519" t="s">
        <v>201</v>
      </c>
      <c r="K122" s="519" t="s">
        <v>202</v>
      </c>
      <c r="L122" s="519" t="s">
        <v>42</v>
      </c>
      <c r="M122" s="519" t="s">
        <v>217</v>
      </c>
      <c r="N122" s="519" t="s">
        <v>285</v>
      </c>
      <c r="O122" s="519" t="s">
        <v>286</v>
      </c>
      <c r="P122" s="519" t="s">
        <v>205</v>
      </c>
      <c r="Q122" s="519" t="s">
        <v>206</v>
      </c>
      <c r="R122" s="519" t="s">
        <v>31</v>
      </c>
      <c r="S122" s="519" t="s">
        <v>207</v>
      </c>
      <c r="T122" s="519" t="s">
        <v>672</v>
      </c>
      <c r="U122" s="519" t="s">
        <v>770</v>
      </c>
      <c r="V122" s="519" t="s">
        <v>427</v>
      </c>
      <c r="W122" s="725"/>
      <c r="X122" s="519" t="s">
        <v>389</v>
      </c>
      <c r="Y122" s="725"/>
      <c r="Z122" s="647">
        <v>22.47</v>
      </c>
      <c r="AA122" s="519" t="s">
        <v>210</v>
      </c>
      <c r="AB122" s="522">
        <v>43040</v>
      </c>
      <c r="AC122" s="523" t="s">
        <v>222</v>
      </c>
      <c r="AD122" s="519" t="s">
        <v>216</v>
      </c>
      <c r="AE122" s="519" t="s">
        <v>43</v>
      </c>
      <c r="AF122" s="519" t="s">
        <v>44</v>
      </c>
      <c r="AG122" s="519" t="s">
        <v>391</v>
      </c>
      <c r="AH122" s="523" t="s">
        <v>50</v>
      </c>
      <c r="AI122" s="522" t="s">
        <v>765</v>
      </c>
      <c r="AJ122" s="729"/>
      <c r="AK122" s="729"/>
      <c r="AL122" s="729"/>
      <c r="AM122" s="519" t="s">
        <v>223</v>
      </c>
      <c r="AN122" s="519" t="s">
        <v>224</v>
      </c>
      <c r="AO122" s="643">
        <v>22.47</v>
      </c>
      <c r="AP122" s="524">
        <f t="shared" si="4"/>
        <v>22.47</v>
      </c>
      <c r="AQ122" s="724"/>
      <c r="AS122" s="460" t="s">
        <v>738</v>
      </c>
    </row>
    <row r="123" spans="1:45">
      <c r="A123" s="519" t="s">
        <v>194</v>
      </c>
      <c r="B123" s="519" t="s">
        <v>195</v>
      </c>
      <c r="C123" s="707"/>
      <c r="D123" s="519" t="s">
        <v>196</v>
      </c>
      <c r="E123" s="519" t="s">
        <v>197</v>
      </c>
      <c r="F123" s="519" t="s">
        <v>198</v>
      </c>
      <c r="G123" s="519" t="s">
        <v>199</v>
      </c>
      <c r="H123" s="519" t="s">
        <v>215</v>
      </c>
      <c r="I123" s="519" t="s">
        <v>216</v>
      </c>
      <c r="J123" s="519" t="s">
        <v>201</v>
      </c>
      <c r="K123" s="519" t="s">
        <v>202</v>
      </c>
      <c r="L123" s="519" t="s">
        <v>42</v>
      </c>
      <c r="M123" s="519" t="s">
        <v>217</v>
      </c>
      <c r="N123" s="519" t="s">
        <v>285</v>
      </c>
      <c r="O123" s="519" t="s">
        <v>286</v>
      </c>
      <c r="P123" s="519" t="s">
        <v>205</v>
      </c>
      <c r="Q123" s="519" t="s">
        <v>206</v>
      </c>
      <c r="R123" s="519" t="s">
        <v>31</v>
      </c>
      <c r="S123" s="519" t="s">
        <v>207</v>
      </c>
      <c r="T123" s="519" t="s">
        <v>672</v>
      </c>
      <c r="U123" s="519" t="s">
        <v>770</v>
      </c>
      <c r="V123" s="519" t="s">
        <v>428</v>
      </c>
      <c r="W123" s="725"/>
      <c r="X123" s="519" t="s">
        <v>389</v>
      </c>
      <c r="Y123" s="725"/>
      <c r="Z123" s="647">
        <v>25.21</v>
      </c>
      <c r="AA123" s="519" t="s">
        <v>210</v>
      </c>
      <c r="AB123" s="522">
        <v>43040</v>
      </c>
      <c r="AC123" s="523" t="s">
        <v>222</v>
      </c>
      <c r="AD123" s="519" t="s">
        <v>216</v>
      </c>
      <c r="AE123" s="519" t="s">
        <v>43</v>
      </c>
      <c r="AF123" s="519" t="s">
        <v>44</v>
      </c>
      <c r="AG123" s="519" t="s">
        <v>391</v>
      </c>
      <c r="AH123" s="523" t="s">
        <v>666</v>
      </c>
      <c r="AI123" s="522" t="s">
        <v>765</v>
      </c>
      <c r="AJ123" s="729"/>
      <c r="AK123" s="729"/>
      <c r="AL123" s="729"/>
      <c r="AM123" s="519" t="s">
        <v>223</v>
      </c>
      <c r="AN123" s="519" t="s">
        <v>224</v>
      </c>
      <c r="AO123" s="643">
        <v>25.21</v>
      </c>
      <c r="AP123" s="524">
        <f t="shared" si="4"/>
        <v>25.21</v>
      </c>
      <c r="AQ123" s="724"/>
      <c r="AS123" s="460" t="s">
        <v>738</v>
      </c>
    </row>
    <row r="124" spans="1:45">
      <c r="A124" s="519" t="s">
        <v>194</v>
      </c>
      <c r="B124" s="519" t="s">
        <v>195</v>
      </c>
      <c r="C124" s="707"/>
      <c r="D124" s="519" t="s">
        <v>196</v>
      </c>
      <c r="E124" s="519" t="s">
        <v>197</v>
      </c>
      <c r="F124" s="519" t="s">
        <v>848</v>
      </c>
      <c r="G124" s="519" t="s">
        <v>849</v>
      </c>
      <c r="H124" s="519" t="s">
        <v>215</v>
      </c>
      <c r="I124" s="519" t="s">
        <v>216</v>
      </c>
      <c r="J124" s="519" t="s">
        <v>201</v>
      </c>
      <c r="K124" s="519" t="s">
        <v>202</v>
      </c>
      <c r="L124" s="519" t="s">
        <v>42</v>
      </c>
      <c r="M124" s="519" t="s">
        <v>217</v>
      </c>
      <c r="N124" s="519" t="s">
        <v>255</v>
      </c>
      <c r="O124" s="519" t="s">
        <v>256</v>
      </c>
      <c r="P124" s="519" t="s">
        <v>205</v>
      </c>
      <c r="Q124" s="519" t="s">
        <v>206</v>
      </c>
      <c r="R124" s="519" t="s">
        <v>31</v>
      </c>
      <c r="S124" s="519" t="s">
        <v>207</v>
      </c>
      <c r="T124" s="519" t="s">
        <v>257</v>
      </c>
      <c r="U124" s="519" t="s">
        <v>258</v>
      </c>
      <c r="V124" s="519" t="s">
        <v>850</v>
      </c>
      <c r="W124" s="725"/>
      <c r="X124" s="519" t="s">
        <v>851</v>
      </c>
      <c r="Y124" s="725"/>
      <c r="Z124" s="647">
        <v>23.55</v>
      </c>
      <c r="AA124" s="519" t="s">
        <v>210</v>
      </c>
      <c r="AB124" s="522">
        <v>43171</v>
      </c>
      <c r="AC124" s="523" t="s">
        <v>222</v>
      </c>
      <c r="AD124" s="519" t="s">
        <v>216</v>
      </c>
      <c r="AE124" s="519" t="s">
        <v>43</v>
      </c>
      <c r="AF124" s="519" t="s">
        <v>44</v>
      </c>
      <c r="AG124" s="519" t="s">
        <v>853</v>
      </c>
      <c r="AH124" s="523" t="s">
        <v>37</v>
      </c>
      <c r="AI124" s="522" t="s">
        <v>765</v>
      </c>
      <c r="AJ124" s="729"/>
      <c r="AK124" s="729"/>
      <c r="AL124" s="729"/>
      <c r="AM124" s="519" t="s">
        <v>223</v>
      </c>
      <c r="AN124" s="519" t="s">
        <v>224</v>
      </c>
      <c r="AO124" s="643">
        <v>23.55</v>
      </c>
      <c r="AP124" s="524">
        <f t="shared" si="4"/>
        <v>23.55</v>
      </c>
      <c r="AQ124" s="724"/>
      <c r="AS124" s="460" t="s">
        <v>281</v>
      </c>
    </row>
    <row r="125" spans="1:45">
      <c r="A125" s="519" t="s">
        <v>194</v>
      </c>
      <c r="B125" s="519" t="s">
        <v>195</v>
      </c>
      <c r="C125" s="707"/>
      <c r="D125" s="519" t="s">
        <v>196</v>
      </c>
      <c r="E125" s="519" t="s">
        <v>197</v>
      </c>
      <c r="F125" s="519" t="s">
        <v>198</v>
      </c>
      <c r="G125" s="519" t="s">
        <v>199</v>
      </c>
      <c r="H125" s="519" t="s">
        <v>215</v>
      </c>
      <c r="I125" s="519" t="s">
        <v>216</v>
      </c>
      <c r="J125" s="519" t="s">
        <v>201</v>
      </c>
      <c r="K125" s="519" t="s">
        <v>202</v>
      </c>
      <c r="L125" s="519" t="s">
        <v>42</v>
      </c>
      <c r="M125" s="519" t="s">
        <v>217</v>
      </c>
      <c r="N125" s="519" t="s">
        <v>272</v>
      </c>
      <c r="O125" s="519" t="s">
        <v>273</v>
      </c>
      <c r="P125" s="519" t="s">
        <v>205</v>
      </c>
      <c r="Q125" s="519" t="s">
        <v>206</v>
      </c>
      <c r="R125" s="519" t="s">
        <v>31</v>
      </c>
      <c r="S125" s="519" t="s">
        <v>207</v>
      </c>
      <c r="T125" s="519" t="s">
        <v>274</v>
      </c>
      <c r="U125" s="519" t="s">
        <v>275</v>
      </c>
      <c r="V125" s="519" t="s">
        <v>854</v>
      </c>
      <c r="W125" s="725"/>
      <c r="X125" s="519" t="s">
        <v>855</v>
      </c>
      <c r="Y125" s="725"/>
      <c r="Z125" s="647">
        <v>30.01</v>
      </c>
      <c r="AA125" s="519" t="s">
        <v>210</v>
      </c>
      <c r="AB125" s="522">
        <v>43040</v>
      </c>
      <c r="AC125" s="523" t="s">
        <v>222</v>
      </c>
      <c r="AD125" s="519" t="s">
        <v>216</v>
      </c>
      <c r="AE125" s="519" t="s">
        <v>43</v>
      </c>
      <c r="AF125" s="519" t="s">
        <v>44</v>
      </c>
      <c r="AG125" s="519" t="s">
        <v>857</v>
      </c>
      <c r="AH125" s="523" t="s">
        <v>37</v>
      </c>
      <c r="AI125" s="522" t="s">
        <v>765</v>
      </c>
      <c r="AJ125" s="729"/>
      <c r="AK125" s="729"/>
      <c r="AL125" s="729"/>
      <c r="AM125" s="519" t="s">
        <v>223</v>
      </c>
      <c r="AN125" s="519" t="s">
        <v>224</v>
      </c>
      <c r="AO125" s="643">
        <v>30.01</v>
      </c>
      <c r="AP125" s="524">
        <f t="shared" ref="AP125:AP140" si="5">ROUND(IF(AO125&lt;100,AO125,AO125/80),2)</f>
        <v>30.01</v>
      </c>
      <c r="AQ125" s="724"/>
      <c r="AS125" s="460" t="s">
        <v>281</v>
      </c>
    </row>
    <row r="126" spans="1:45">
      <c r="A126" s="519" t="s">
        <v>194</v>
      </c>
      <c r="B126" s="519" t="s">
        <v>195</v>
      </c>
      <c r="C126" s="707"/>
      <c r="D126" s="519" t="s">
        <v>196</v>
      </c>
      <c r="E126" s="519" t="s">
        <v>197</v>
      </c>
      <c r="F126" s="519" t="s">
        <v>253</v>
      </c>
      <c r="G126" s="519" t="s">
        <v>254</v>
      </c>
      <c r="H126" s="519" t="s">
        <v>215</v>
      </c>
      <c r="I126" s="519" t="s">
        <v>216</v>
      </c>
      <c r="J126" s="519" t="s">
        <v>201</v>
      </c>
      <c r="K126" s="519" t="s">
        <v>202</v>
      </c>
      <c r="L126" s="519" t="s">
        <v>42</v>
      </c>
      <c r="M126" s="519" t="s">
        <v>217</v>
      </c>
      <c r="N126" s="519" t="s">
        <v>255</v>
      </c>
      <c r="O126" s="519" t="s">
        <v>256</v>
      </c>
      <c r="P126" s="519" t="s">
        <v>205</v>
      </c>
      <c r="Q126" s="519" t="s">
        <v>206</v>
      </c>
      <c r="R126" s="519" t="s">
        <v>31</v>
      </c>
      <c r="S126" s="519" t="s">
        <v>207</v>
      </c>
      <c r="T126" s="519" t="s">
        <v>257</v>
      </c>
      <c r="U126" s="519" t="s">
        <v>258</v>
      </c>
      <c r="V126" s="519" t="s">
        <v>859</v>
      </c>
      <c r="W126" s="725"/>
      <c r="X126" s="519" t="s">
        <v>674</v>
      </c>
      <c r="Y126" s="725"/>
      <c r="Z126" s="647">
        <v>26.95</v>
      </c>
      <c r="AA126" s="519" t="s">
        <v>210</v>
      </c>
      <c r="AB126" s="522">
        <v>43157</v>
      </c>
      <c r="AC126" s="523" t="s">
        <v>222</v>
      </c>
      <c r="AD126" s="519" t="s">
        <v>216</v>
      </c>
      <c r="AE126" s="519" t="s">
        <v>43</v>
      </c>
      <c r="AF126" s="519" t="s">
        <v>44</v>
      </c>
      <c r="AG126" s="519" t="s">
        <v>423</v>
      </c>
      <c r="AH126" s="523" t="s">
        <v>37</v>
      </c>
      <c r="AI126" s="522" t="s">
        <v>765</v>
      </c>
      <c r="AJ126" s="729"/>
      <c r="AK126" s="729"/>
      <c r="AL126" s="729"/>
      <c r="AM126" s="519" t="s">
        <v>223</v>
      </c>
      <c r="AN126" s="519" t="s">
        <v>224</v>
      </c>
      <c r="AO126" s="643">
        <v>26.95</v>
      </c>
      <c r="AP126" s="524">
        <f t="shared" si="5"/>
        <v>26.95</v>
      </c>
      <c r="AQ126" s="724"/>
      <c r="AS126" s="460" t="s">
        <v>281</v>
      </c>
    </row>
    <row r="127" spans="1:45">
      <c r="A127" s="519" t="s">
        <v>194</v>
      </c>
      <c r="B127" s="519" t="s">
        <v>195</v>
      </c>
      <c r="C127" s="707"/>
      <c r="D127" s="519" t="s">
        <v>196</v>
      </c>
      <c r="E127" s="519" t="s">
        <v>197</v>
      </c>
      <c r="F127" s="519" t="s">
        <v>198</v>
      </c>
      <c r="G127" s="519" t="s">
        <v>199</v>
      </c>
      <c r="H127" s="519" t="s">
        <v>215</v>
      </c>
      <c r="I127" s="519" t="s">
        <v>216</v>
      </c>
      <c r="J127" s="519" t="s">
        <v>201</v>
      </c>
      <c r="K127" s="519" t="s">
        <v>202</v>
      </c>
      <c r="L127" s="519" t="s">
        <v>42</v>
      </c>
      <c r="M127" s="519" t="s">
        <v>217</v>
      </c>
      <c r="N127" s="519" t="s">
        <v>263</v>
      </c>
      <c r="O127" s="519" t="s">
        <v>264</v>
      </c>
      <c r="P127" s="519" t="s">
        <v>205</v>
      </c>
      <c r="Q127" s="519" t="s">
        <v>206</v>
      </c>
      <c r="R127" s="519" t="s">
        <v>31</v>
      </c>
      <c r="S127" s="519" t="s">
        <v>207</v>
      </c>
      <c r="T127" s="519" t="s">
        <v>265</v>
      </c>
      <c r="U127" s="519" t="s">
        <v>266</v>
      </c>
      <c r="V127" s="519" t="s">
        <v>860</v>
      </c>
      <c r="W127" s="725"/>
      <c r="X127" s="519" t="s">
        <v>861</v>
      </c>
      <c r="Y127" s="725"/>
      <c r="Z127" s="647">
        <v>29.98</v>
      </c>
      <c r="AA127" s="519" t="s">
        <v>210</v>
      </c>
      <c r="AB127" s="522">
        <v>43040</v>
      </c>
      <c r="AC127" s="523" t="s">
        <v>222</v>
      </c>
      <c r="AD127" s="519" t="s">
        <v>216</v>
      </c>
      <c r="AE127" s="519" t="s">
        <v>43</v>
      </c>
      <c r="AF127" s="519" t="s">
        <v>44</v>
      </c>
      <c r="AG127" s="519" t="s">
        <v>863</v>
      </c>
      <c r="AH127" s="523" t="s">
        <v>37</v>
      </c>
      <c r="AI127" s="522" t="s">
        <v>765</v>
      </c>
      <c r="AJ127" s="729"/>
      <c r="AK127" s="729"/>
      <c r="AL127" s="729"/>
      <c r="AM127" s="519" t="s">
        <v>223</v>
      </c>
      <c r="AN127" s="519" t="s">
        <v>224</v>
      </c>
      <c r="AO127" s="643">
        <v>29.98</v>
      </c>
      <c r="AP127" s="524">
        <f t="shared" si="5"/>
        <v>29.98</v>
      </c>
      <c r="AQ127" s="724"/>
      <c r="AS127" s="460" t="s">
        <v>281</v>
      </c>
    </row>
    <row r="128" spans="1:45">
      <c r="A128" s="519" t="s">
        <v>194</v>
      </c>
      <c r="B128" s="519" t="s">
        <v>195</v>
      </c>
      <c r="C128" s="707"/>
      <c r="D128" s="519" t="s">
        <v>196</v>
      </c>
      <c r="E128" s="519" t="s">
        <v>197</v>
      </c>
      <c r="F128" s="519" t="s">
        <v>198</v>
      </c>
      <c r="G128" s="519" t="s">
        <v>199</v>
      </c>
      <c r="H128" s="519" t="s">
        <v>215</v>
      </c>
      <c r="I128" s="519" t="s">
        <v>216</v>
      </c>
      <c r="J128" s="519" t="s">
        <v>201</v>
      </c>
      <c r="K128" s="519" t="s">
        <v>202</v>
      </c>
      <c r="L128" s="519" t="s">
        <v>42</v>
      </c>
      <c r="M128" s="519" t="s">
        <v>217</v>
      </c>
      <c r="N128" s="519" t="s">
        <v>285</v>
      </c>
      <c r="O128" s="519" t="s">
        <v>286</v>
      </c>
      <c r="P128" s="519" t="s">
        <v>205</v>
      </c>
      <c r="Q128" s="519" t="s">
        <v>206</v>
      </c>
      <c r="R128" s="519" t="s">
        <v>31</v>
      </c>
      <c r="S128" s="519" t="s">
        <v>207</v>
      </c>
      <c r="T128" s="519" t="s">
        <v>320</v>
      </c>
      <c r="U128" s="519" t="s">
        <v>785</v>
      </c>
      <c r="V128" s="519" t="s">
        <v>673</v>
      </c>
      <c r="W128" s="725"/>
      <c r="X128" s="519" t="s">
        <v>389</v>
      </c>
      <c r="Y128" s="725"/>
      <c r="Z128" s="647">
        <v>20.34</v>
      </c>
      <c r="AA128" s="519" t="s">
        <v>210</v>
      </c>
      <c r="AB128" s="522">
        <v>43313</v>
      </c>
      <c r="AC128" s="523" t="s">
        <v>222</v>
      </c>
      <c r="AD128" s="519" t="s">
        <v>216</v>
      </c>
      <c r="AE128" s="519" t="s">
        <v>43</v>
      </c>
      <c r="AF128" s="519" t="s">
        <v>44</v>
      </c>
      <c r="AG128" s="519" t="s">
        <v>391</v>
      </c>
      <c r="AH128" s="523" t="s">
        <v>31</v>
      </c>
      <c r="AI128" s="522" t="s">
        <v>765</v>
      </c>
      <c r="AJ128" s="729"/>
      <c r="AK128" s="729"/>
      <c r="AL128" s="729"/>
      <c r="AM128" s="519" t="s">
        <v>223</v>
      </c>
      <c r="AN128" s="519" t="s">
        <v>224</v>
      </c>
      <c r="AO128" s="643">
        <v>20.34</v>
      </c>
      <c r="AP128" s="524">
        <f t="shared" si="5"/>
        <v>20.34</v>
      </c>
      <c r="AQ128" s="724"/>
      <c r="AS128" s="460" t="s">
        <v>738</v>
      </c>
    </row>
    <row r="129" spans="1:46">
      <c r="A129" s="519" t="s">
        <v>194</v>
      </c>
      <c r="B129" s="519" t="s">
        <v>195</v>
      </c>
      <c r="C129" s="707"/>
      <c r="D129" s="519" t="s">
        <v>196</v>
      </c>
      <c r="E129" s="519" t="s">
        <v>197</v>
      </c>
      <c r="F129" s="519" t="s">
        <v>253</v>
      </c>
      <c r="G129" s="519" t="s">
        <v>254</v>
      </c>
      <c r="H129" s="519" t="s">
        <v>215</v>
      </c>
      <c r="I129" s="519" t="s">
        <v>216</v>
      </c>
      <c r="J129" s="519" t="s">
        <v>201</v>
      </c>
      <c r="K129" s="519" t="s">
        <v>202</v>
      </c>
      <c r="L129" s="519" t="s">
        <v>42</v>
      </c>
      <c r="M129" s="519" t="s">
        <v>217</v>
      </c>
      <c r="N129" s="519" t="s">
        <v>255</v>
      </c>
      <c r="O129" s="519" t="s">
        <v>256</v>
      </c>
      <c r="P129" s="519" t="s">
        <v>205</v>
      </c>
      <c r="Q129" s="519" t="s">
        <v>206</v>
      </c>
      <c r="R129" s="519" t="s">
        <v>31</v>
      </c>
      <c r="S129" s="519" t="s">
        <v>207</v>
      </c>
      <c r="T129" s="519" t="s">
        <v>257</v>
      </c>
      <c r="U129" s="519" t="s">
        <v>258</v>
      </c>
      <c r="V129" s="519" t="s">
        <v>867</v>
      </c>
      <c r="W129" s="725"/>
      <c r="X129" s="519" t="s">
        <v>855</v>
      </c>
      <c r="Y129" s="725"/>
      <c r="Z129" s="647">
        <v>30.01</v>
      </c>
      <c r="AA129" s="519" t="s">
        <v>210</v>
      </c>
      <c r="AB129" s="522">
        <v>43157</v>
      </c>
      <c r="AC129" s="523" t="s">
        <v>222</v>
      </c>
      <c r="AD129" s="519" t="s">
        <v>216</v>
      </c>
      <c r="AE129" s="519" t="s">
        <v>43</v>
      </c>
      <c r="AF129" s="519" t="s">
        <v>44</v>
      </c>
      <c r="AG129" s="519" t="s">
        <v>857</v>
      </c>
      <c r="AH129" s="523" t="s">
        <v>37</v>
      </c>
      <c r="AI129" s="522" t="s">
        <v>765</v>
      </c>
      <c r="AJ129" s="729"/>
      <c r="AK129" s="729"/>
      <c r="AL129" s="729"/>
      <c r="AM129" s="519" t="s">
        <v>223</v>
      </c>
      <c r="AN129" s="519" t="s">
        <v>224</v>
      </c>
      <c r="AO129" s="643">
        <v>30.01</v>
      </c>
      <c r="AP129" s="524">
        <f t="shared" si="5"/>
        <v>30.01</v>
      </c>
      <c r="AQ129" s="724"/>
      <c r="AS129" s="460" t="s">
        <v>281</v>
      </c>
    </row>
    <row r="130" spans="1:46">
      <c r="A130" s="519" t="s">
        <v>194</v>
      </c>
      <c r="B130" s="519" t="s">
        <v>195</v>
      </c>
      <c r="C130" s="707"/>
      <c r="D130" s="519" t="s">
        <v>196</v>
      </c>
      <c r="E130" s="519" t="s">
        <v>197</v>
      </c>
      <c r="F130" s="519" t="s">
        <v>198</v>
      </c>
      <c r="G130" s="519" t="s">
        <v>199</v>
      </c>
      <c r="H130" s="519" t="s">
        <v>215</v>
      </c>
      <c r="I130" s="519" t="s">
        <v>216</v>
      </c>
      <c r="J130" s="519" t="s">
        <v>201</v>
      </c>
      <c r="K130" s="519" t="s">
        <v>202</v>
      </c>
      <c r="L130" s="519" t="s">
        <v>42</v>
      </c>
      <c r="M130" s="519" t="s">
        <v>217</v>
      </c>
      <c r="N130" s="519" t="s">
        <v>285</v>
      </c>
      <c r="O130" s="519" t="s">
        <v>286</v>
      </c>
      <c r="P130" s="519" t="s">
        <v>205</v>
      </c>
      <c r="Q130" s="519" t="s">
        <v>206</v>
      </c>
      <c r="R130" s="519" t="s">
        <v>31</v>
      </c>
      <c r="S130" s="519" t="s">
        <v>207</v>
      </c>
      <c r="T130" s="519" t="s">
        <v>320</v>
      </c>
      <c r="U130" s="519" t="s">
        <v>785</v>
      </c>
      <c r="V130" s="519" t="s">
        <v>419</v>
      </c>
      <c r="W130" s="725"/>
      <c r="X130" s="519" t="s">
        <v>389</v>
      </c>
      <c r="Y130" s="725"/>
      <c r="Z130" s="647">
        <v>19.27</v>
      </c>
      <c r="AA130" s="519" t="s">
        <v>210</v>
      </c>
      <c r="AB130" s="522">
        <v>43102</v>
      </c>
      <c r="AC130" s="523" t="s">
        <v>222</v>
      </c>
      <c r="AD130" s="519" t="s">
        <v>216</v>
      </c>
      <c r="AE130" s="519" t="s">
        <v>43</v>
      </c>
      <c r="AF130" s="519" t="s">
        <v>44</v>
      </c>
      <c r="AG130" s="519" t="s">
        <v>391</v>
      </c>
      <c r="AH130" s="523" t="s">
        <v>30</v>
      </c>
      <c r="AI130" s="522" t="s">
        <v>765</v>
      </c>
      <c r="AJ130" s="729"/>
      <c r="AK130" s="729"/>
      <c r="AL130" s="729"/>
      <c r="AM130" s="519" t="s">
        <v>223</v>
      </c>
      <c r="AN130" s="519" t="s">
        <v>224</v>
      </c>
      <c r="AO130" s="643">
        <v>19.27</v>
      </c>
      <c r="AP130" s="524">
        <f t="shared" si="5"/>
        <v>19.27</v>
      </c>
      <c r="AQ130" s="724"/>
      <c r="AS130" s="460" t="s">
        <v>738</v>
      </c>
    </row>
    <row r="131" spans="1:46">
      <c r="A131" s="519" t="s">
        <v>194</v>
      </c>
      <c r="B131" s="519" t="s">
        <v>195</v>
      </c>
      <c r="C131" s="707"/>
      <c r="D131" s="519" t="s">
        <v>196</v>
      </c>
      <c r="E131" s="519" t="s">
        <v>197</v>
      </c>
      <c r="F131" s="519" t="s">
        <v>253</v>
      </c>
      <c r="G131" s="519" t="s">
        <v>254</v>
      </c>
      <c r="H131" s="519" t="s">
        <v>215</v>
      </c>
      <c r="I131" s="519" t="s">
        <v>216</v>
      </c>
      <c r="J131" s="519" t="s">
        <v>201</v>
      </c>
      <c r="K131" s="519" t="s">
        <v>202</v>
      </c>
      <c r="L131" s="519" t="s">
        <v>42</v>
      </c>
      <c r="M131" s="519" t="s">
        <v>217</v>
      </c>
      <c r="N131" s="519" t="s">
        <v>263</v>
      </c>
      <c r="O131" s="519" t="s">
        <v>264</v>
      </c>
      <c r="P131" s="519" t="s">
        <v>205</v>
      </c>
      <c r="Q131" s="519" t="s">
        <v>206</v>
      </c>
      <c r="R131" s="519" t="s">
        <v>31</v>
      </c>
      <c r="S131" s="519" t="s">
        <v>207</v>
      </c>
      <c r="T131" s="519" t="s">
        <v>265</v>
      </c>
      <c r="U131" s="519" t="s">
        <v>266</v>
      </c>
      <c r="V131" s="519" t="s">
        <v>872</v>
      </c>
      <c r="W131" s="725"/>
      <c r="X131" s="519" t="s">
        <v>861</v>
      </c>
      <c r="Y131" s="725"/>
      <c r="Z131" s="647">
        <v>29.98</v>
      </c>
      <c r="AA131" s="519" t="s">
        <v>210</v>
      </c>
      <c r="AB131" s="522">
        <v>43040</v>
      </c>
      <c r="AC131" s="523" t="s">
        <v>222</v>
      </c>
      <c r="AD131" s="519" t="s">
        <v>216</v>
      </c>
      <c r="AE131" s="519" t="s">
        <v>43</v>
      </c>
      <c r="AF131" s="519" t="s">
        <v>44</v>
      </c>
      <c r="AG131" s="519" t="s">
        <v>863</v>
      </c>
      <c r="AH131" s="523" t="s">
        <v>37</v>
      </c>
      <c r="AI131" s="522" t="s">
        <v>765</v>
      </c>
      <c r="AJ131" s="729"/>
      <c r="AK131" s="729"/>
      <c r="AL131" s="729"/>
      <c r="AM131" s="519" t="s">
        <v>223</v>
      </c>
      <c r="AN131" s="519" t="s">
        <v>224</v>
      </c>
      <c r="AO131" s="643">
        <v>29.98</v>
      </c>
      <c r="AP131" s="524">
        <f t="shared" si="5"/>
        <v>29.98</v>
      </c>
      <c r="AQ131" s="724"/>
      <c r="AS131" s="460" t="s">
        <v>281</v>
      </c>
    </row>
    <row r="132" spans="1:46">
      <c r="A132" s="519" t="s">
        <v>194</v>
      </c>
      <c r="B132" s="519" t="s">
        <v>195</v>
      </c>
      <c r="C132" s="707"/>
      <c r="D132" s="519" t="s">
        <v>196</v>
      </c>
      <c r="E132" s="519" t="s">
        <v>197</v>
      </c>
      <c r="F132" s="519" t="s">
        <v>198</v>
      </c>
      <c r="G132" s="519" t="s">
        <v>199</v>
      </c>
      <c r="H132" s="519" t="s">
        <v>215</v>
      </c>
      <c r="I132" s="519" t="s">
        <v>216</v>
      </c>
      <c r="J132" s="519" t="s">
        <v>201</v>
      </c>
      <c r="K132" s="519" t="s">
        <v>202</v>
      </c>
      <c r="L132" s="519" t="s">
        <v>42</v>
      </c>
      <c r="M132" s="519" t="s">
        <v>217</v>
      </c>
      <c r="N132" s="519" t="s">
        <v>285</v>
      </c>
      <c r="O132" s="519" t="s">
        <v>286</v>
      </c>
      <c r="P132" s="519" t="s">
        <v>205</v>
      </c>
      <c r="Q132" s="519" t="s">
        <v>206</v>
      </c>
      <c r="R132" s="519" t="s">
        <v>31</v>
      </c>
      <c r="S132" s="519" t="s">
        <v>207</v>
      </c>
      <c r="T132" s="519" t="s">
        <v>672</v>
      </c>
      <c r="U132" s="519" t="s">
        <v>770</v>
      </c>
      <c r="V132" s="519" t="s">
        <v>425</v>
      </c>
      <c r="W132" s="725"/>
      <c r="X132" s="519" t="s">
        <v>389</v>
      </c>
      <c r="Y132" s="725"/>
      <c r="Z132" s="647">
        <v>25.21</v>
      </c>
      <c r="AA132" s="519" t="s">
        <v>210</v>
      </c>
      <c r="AB132" s="522">
        <v>43040</v>
      </c>
      <c r="AC132" s="523" t="s">
        <v>222</v>
      </c>
      <c r="AD132" s="519" t="s">
        <v>216</v>
      </c>
      <c r="AE132" s="519" t="s">
        <v>43</v>
      </c>
      <c r="AF132" s="519" t="s">
        <v>44</v>
      </c>
      <c r="AG132" s="519" t="s">
        <v>391</v>
      </c>
      <c r="AH132" s="523" t="s">
        <v>666</v>
      </c>
      <c r="AI132" s="522" t="s">
        <v>765</v>
      </c>
      <c r="AJ132" s="729"/>
      <c r="AK132" s="729"/>
      <c r="AL132" s="729"/>
      <c r="AM132" s="519" t="s">
        <v>223</v>
      </c>
      <c r="AN132" s="519" t="s">
        <v>224</v>
      </c>
      <c r="AO132" s="643">
        <v>25.21</v>
      </c>
      <c r="AP132" s="524">
        <f t="shared" si="5"/>
        <v>25.21</v>
      </c>
      <c r="AQ132" s="724"/>
      <c r="AS132" s="460" t="s">
        <v>738</v>
      </c>
    </row>
    <row r="133" spans="1:46">
      <c r="A133" s="519" t="s">
        <v>194</v>
      </c>
      <c r="B133" s="519" t="s">
        <v>195</v>
      </c>
      <c r="C133" s="707"/>
      <c r="D133" s="519" t="s">
        <v>196</v>
      </c>
      <c r="E133" s="519" t="s">
        <v>197</v>
      </c>
      <c r="F133" s="519" t="s">
        <v>198</v>
      </c>
      <c r="G133" s="519" t="s">
        <v>199</v>
      </c>
      <c r="H133" s="519" t="s">
        <v>215</v>
      </c>
      <c r="I133" s="519" t="s">
        <v>216</v>
      </c>
      <c r="J133" s="519" t="s">
        <v>201</v>
      </c>
      <c r="K133" s="519" t="s">
        <v>202</v>
      </c>
      <c r="L133" s="519" t="s">
        <v>42</v>
      </c>
      <c r="M133" s="519" t="s">
        <v>217</v>
      </c>
      <c r="N133" s="519" t="s">
        <v>285</v>
      </c>
      <c r="O133" s="519" t="s">
        <v>286</v>
      </c>
      <c r="P133" s="519" t="s">
        <v>205</v>
      </c>
      <c r="Q133" s="519" t="s">
        <v>206</v>
      </c>
      <c r="R133" s="519" t="s">
        <v>31</v>
      </c>
      <c r="S133" s="519" t="s">
        <v>207</v>
      </c>
      <c r="T133" s="519" t="s">
        <v>320</v>
      </c>
      <c r="U133" s="519" t="s">
        <v>785</v>
      </c>
      <c r="V133" s="519" t="s">
        <v>364</v>
      </c>
      <c r="W133" s="725"/>
      <c r="X133" s="519" t="s">
        <v>342</v>
      </c>
      <c r="Y133" s="725"/>
      <c r="Z133" s="647">
        <v>26.59</v>
      </c>
      <c r="AA133" s="519" t="s">
        <v>210</v>
      </c>
      <c r="AB133" s="522">
        <v>43074</v>
      </c>
      <c r="AC133" s="523" t="s">
        <v>222</v>
      </c>
      <c r="AD133" s="519" t="s">
        <v>216</v>
      </c>
      <c r="AE133" s="519" t="s">
        <v>43</v>
      </c>
      <c r="AF133" s="519" t="s">
        <v>44</v>
      </c>
      <c r="AG133" s="519" t="s">
        <v>343</v>
      </c>
      <c r="AH133" s="523" t="s">
        <v>37</v>
      </c>
      <c r="AI133" s="522" t="s">
        <v>765</v>
      </c>
      <c r="AJ133" s="729"/>
      <c r="AK133" s="729"/>
      <c r="AL133" s="729"/>
      <c r="AM133" s="519" t="s">
        <v>223</v>
      </c>
      <c r="AN133" s="519" t="s">
        <v>224</v>
      </c>
      <c r="AO133" s="643">
        <v>26.59</v>
      </c>
      <c r="AP133" s="524">
        <f t="shared" si="5"/>
        <v>26.59</v>
      </c>
      <c r="AQ133" s="724"/>
      <c r="AS133" s="460" t="s">
        <v>738</v>
      </c>
    </row>
    <row r="134" spans="1:46">
      <c r="A134" s="519" t="s">
        <v>194</v>
      </c>
      <c r="B134" s="519" t="s">
        <v>195</v>
      </c>
      <c r="C134" s="707"/>
      <c r="D134" s="519" t="s">
        <v>196</v>
      </c>
      <c r="E134" s="519" t="s">
        <v>197</v>
      </c>
      <c r="F134" s="519" t="s">
        <v>198</v>
      </c>
      <c r="G134" s="519" t="s">
        <v>199</v>
      </c>
      <c r="H134" s="519" t="s">
        <v>215</v>
      </c>
      <c r="I134" s="519" t="s">
        <v>216</v>
      </c>
      <c r="J134" s="519" t="s">
        <v>201</v>
      </c>
      <c r="K134" s="519" t="s">
        <v>202</v>
      </c>
      <c r="L134" s="519" t="s">
        <v>42</v>
      </c>
      <c r="M134" s="519" t="s">
        <v>217</v>
      </c>
      <c r="N134" s="519" t="s">
        <v>285</v>
      </c>
      <c r="O134" s="519" t="s">
        <v>286</v>
      </c>
      <c r="P134" s="519" t="s">
        <v>205</v>
      </c>
      <c r="Q134" s="519" t="s">
        <v>206</v>
      </c>
      <c r="R134" s="519" t="s">
        <v>31</v>
      </c>
      <c r="S134" s="519" t="s">
        <v>207</v>
      </c>
      <c r="T134" s="519" t="s">
        <v>672</v>
      </c>
      <c r="U134" s="519" t="s">
        <v>770</v>
      </c>
      <c r="V134" s="519" t="s">
        <v>418</v>
      </c>
      <c r="W134" s="725"/>
      <c r="X134" s="519" t="s">
        <v>389</v>
      </c>
      <c r="Y134" s="725"/>
      <c r="Z134" s="647">
        <v>18.5</v>
      </c>
      <c r="AA134" s="519" t="s">
        <v>210</v>
      </c>
      <c r="AB134" s="522">
        <v>43157</v>
      </c>
      <c r="AC134" s="523" t="s">
        <v>222</v>
      </c>
      <c r="AD134" s="519" t="s">
        <v>216</v>
      </c>
      <c r="AE134" s="519" t="s">
        <v>43</v>
      </c>
      <c r="AF134" s="519" t="s">
        <v>44</v>
      </c>
      <c r="AG134" s="519" t="s">
        <v>391</v>
      </c>
      <c r="AH134" s="523" t="s">
        <v>37</v>
      </c>
      <c r="AI134" s="522" t="s">
        <v>765</v>
      </c>
      <c r="AJ134" s="729"/>
      <c r="AK134" s="729"/>
      <c r="AL134" s="729"/>
      <c r="AM134" s="519" t="s">
        <v>223</v>
      </c>
      <c r="AN134" s="519" t="s">
        <v>224</v>
      </c>
      <c r="AO134" s="643">
        <v>18.5</v>
      </c>
      <c r="AP134" s="524">
        <f t="shared" si="5"/>
        <v>18.5</v>
      </c>
      <c r="AQ134" s="724"/>
      <c r="AS134" s="460" t="s">
        <v>738</v>
      </c>
    </row>
    <row r="135" spans="1:46">
      <c r="A135" s="519" t="s">
        <v>194</v>
      </c>
      <c r="B135" s="519" t="s">
        <v>195</v>
      </c>
      <c r="C135" s="707"/>
      <c r="D135" s="519" t="s">
        <v>196</v>
      </c>
      <c r="E135" s="519" t="s">
        <v>197</v>
      </c>
      <c r="F135" s="519" t="s">
        <v>198</v>
      </c>
      <c r="G135" s="519" t="s">
        <v>199</v>
      </c>
      <c r="H135" s="519" t="s">
        <v>215</v>
      </c>
      <c r="I135" s="519" t="s">
        <v>216</v>
      </c>
      <c r="J135" s="519" t="s">
        <v>201</v>
      </c>
      <c r="K135" s="519" t="s">
        <v>202</v>
      </c>
      <c r="L135" s="519" t="s">
        <v>42</v>
      </c>
      <c r="M135" s="519" t="s">
        <v>217</v>
      </c>
      <c r="N135" s="519" t="s">
        <v>285</v>
      </c>
      <c r="O135" s="519" t="s">
        <v>286</v>
      </c>
      <c r="P135" s="519" t="s">
        <v>205</v>
      </c>
      <c r="Q135" s="519" t="s">
        <v>206</v>
      </c>
      <c r="R135" s="519" t="s">
        <v>31</v>
      </c>
      <c r="S135" s="519" t="s">
        <v>207</v>
      </c>
      <c r="T135" s="519" t="s">
        <v>672</v>
      </c>
      <c r="U135" s="519" t="s">
        <v>770</v>
      </c>
      <c r="V135" s="519" t="s">
        <v>412</v>
      </c>
      <c r="W135" s="725"/>
      <c r="X135" s="519" t="s">
        <v>389</v>
      </c>
      <c r="Y135" s="725"/>
      <c r="Z135" s="647">
        <v>17</v>
      </c>
      <c r="AA135" s="519" t="s">
        <v>210</v>
      </c>
      <c r="AB135" s="522">
        <v>43283</v>
      </c>
      <c r="AC135" s="523" t="s">
        <v>222</v>
      </c>
      <c r="AD135" s="519" t="s">
        <v>216</v>
      </c>
      <c r="AE135" s="519" t="s">
        <v>43</v>
      </c>
      <c r="AF135" s="519" t="s">
        <v>44</v>
      </c>
      <c r="AG135" s="519" t="s">
        <v>391</v>
      </c>
      <c r="AH135" s="523" t="s">
        <v>49</v>
      </c>
      <c r="AI135" s="522" t="s">
        <v>765</v>
      </c>
      <c r="AJ135" s="729"/>
      <c r="AK135" s="729"/>
      <c r="AL135" s="729"/>
      <c r="AM135" s="519" t="s">
        <v>223</v>
      </c>
      <c r="AN135" s="519" t="s">
        <v>224</v>
      </c>
      <c r="AO135" s="643">
        <v>17</v>
      </c>
      <c r="AP135" s="524">
        <f t="shared" si="5"/>
        <v>17</v>
      </c>
      <c r="AQ135" s="724"/>
      <c r="AS135" s="460" t="s">
        <v>738</v>
      </c>
      <c r="AT135" s="604"/>
    </row>
    <row r="136" spans="1:46">
      <c r="A136" s="519" t="s">
        <v>194</v>
      </c>
      <c r="B136" s="519" t="s">
        <v>195</v>
      </c>
      <c r="C136" s="707"/>
      <c r="D136" s="519" t="s">
        <v>196</v>
      </c>
      <c r="E136" s="519" t="s">
        <v>197</v>
      </c>
      <c r="F136" s="519" t="s">
        <v>198</v>
      </c>
      <c r="G136" s="519" t="s">
        <v>199</v>
      </c>
      <c r="H136" s="519" t="s">
        <v>215</v>
      </c>
      <c r="I136" s="519" t="s">
        <v>216</v>
      </c>
      <c r="J136" s="519" t="s">
        <v>201</v>
      </c>
      <c r="K136" s="519" t="s">
        <v>202</v>
      </c>
      <c r="L136" s="519" t="s">
        <v>42</v>
      </c>
      <c r="M136" s="519" t="s">
        <v>217</v>
      </c>
      <c r="N136" s="519" t="s">
        <v>285</v>
      </c>
      <c r="O136" s="519" t="s">
        <v>286</v>
      </c>
      <c r="P136" s="519" t="s">
        <v>205</v>
      </c>
      <c r="Q136" s="519" t="s">
        <v>206</v>
      </c>
      <c r="R136" s="519" t="s">
        <v>31</v>
      </c>
      <c r="S136" s="519" t="s">
        <v>207</v>
      </c>
      <c r="T136" s="519" t="s">
        <v>320</v>
      </c>
      <c r="U136" s="519" t="s">
        <v>785</v>
      </c>
      <c r="V136" s="519" t="s">
        <v>415</v>
      </c>
      <c r="W136" s="725"/>
      <c r="X136" s="519" t="s">
        <v>389</v>
      </c>
      <c r="Y136" s="725"/>
      <c r="Z136" s="647">
        <v>17</v>
      </c>
      <c r="AA136" s="519" t="s">
        <v>210</v>
      </c>
      <c r="AB136" s="522">
        <v>43269</v>
      </c>
      <c r="AC136" s="523" t="s">
        <v>222</v>
      </c>
      <c r="AD136" s="519" t="s">
        <v>216</v>
      </c>
      <c r="AE136" s="519" t="s">
        <v>43</v>
      </c>
      <c r="AF136" s="519" t="s">
        <v>44</v>
      </c>
      <c r="AG136" s="519" t="s">
        <v>391</v>
      </c>
      <c r="AH136" s="523" t="s">
        <v>49</v>
      </c>
      <c r="AI136" s="522" t="s">
        <v>765</v>
      </c>
      <c r="AJ136" s="729"/>
      <c r="AK136" s="729"/>
      <c r="AL136" s="729"/>
      <c r="AM136" s="519" t="s">
        <v>223</v>
      </c>
      <c r="AN136" s="519" t="s">
        <v>224</v>
      </c>
      <c r="AO136" s="643">
        <v>17</v>
      </c>
      <c r="AP136" s="524">
        <f t="shared" si="5"/>
        <v>17</v>
      </c>
      <c r="AQ136" s="724"/>
      <c r="AS136" s="460" t="s">
        <v>738</v>
      </c>
      <c r="AT136" s="604"/>
    </row>
    <row r="137" spans="1:46">
      <c r="A137" s="519" t="s">
        <v>194</v>
      </c>
      <c r="B137" s="519" t="s">
        <v>195</v>
      </c>
      <c r="C137" s="707"/>
      <c r="D137" s="519" t="s">
        <v>196</v>
      </c>
      <c r="E137" s="519" t="s">
        <v>197</v>
      </c>
      <c r="F137" s="519" t="s">
        <v>198</v>
      </c>
      <c r="G137" s="519" t="s">
        <v>199</v>
      </c>
      <c r="H137" s="519" t="s">
        <v>215</v>
      </c>
      <c r="I137" s="519" t="s">
        <v>216</v>
      </c>
      <c r="J137" s="519" t="s">
        <v>201</v>
      </c>
      <c r="K137" s="519" t="s">
        <v>202</v>
      </c>
      <c r="L137" s="519" t="s">
        <v>42</v>
      </c>
      <c r="M137" s="519" t="s">
        <v>217</v>
      </c>
      <c r="N137" s="519" t="s">
        <v>285</v>
      </c>
      <c r="O137" s="519" t="s">
        <v>286</v>
      </c>
      <c r="P137" s="519" t="s">
        <v>205</v>
      </c>
      <c r="Q137" s="519" t="s">
        <v>206</v>
      </c>
      <c r="R137" s="519" t="s">
        <v>31</v>
      </c>
      <c r="S137" s="519" t="s">
        <v>207</v>
      </c>
      <c r="T137" s="519" t="s">
        <v>320</v>
      </c>
      <c r="U137" s="519" t="s">
        <v>785</v>
      </c>
      <c r="V137" s="519" t="s">
        <v>891</v>
      </c>
      <c r="W137" s="725"/>
      <c r="X137" s="519" t="s">
        <v>389</v>
      </c>
      <c r="Y137" s="725"/>
      <c r="Z137" s="647">
        <v>20.34</v>
      </c>
      <c r="AA137" s="519" t="s">
        <v>210</v>
      </c>
      <c r="AB137" s="522">
        <v>43297</v>
      </c>
      <c r="AC137" s="523" t="s">
        <v>222</v>
      </c>
      <c r="AD137" s="519" t="s">
        <v>216</v>
      </c>
      <c r="AE137" s="519" t="s">
        <v>43</v>
      </c>
      <c r="AF137" s="519" t="s">
        <v>44</v>
      </c>
      <c r="AG137" s="519" t="s">
        <v>391</v>
      </c>
      <c r="AH137" s="523" t="s">
        <v>31</v>
      </c>
      <c r="AI137" s="522" t="s">
        <v>765</v>
      </c>
      <c r="AJ137" s="729"/>
      <c r="AK137" s="729"/>
      <c r="AL137" s="729"/>
      <c r="AM137" s="519" t="s">
        <v>223</v>
      </c>
      <c r="AN137" s="519" t="s">
        <v>224</v>
      </c>
      <c r="AO137" s="643">
        <v>20.34</v>
      </c>
      <c r="AP137" s="524">
        <f t="shared" si="5"/>
        <v>20.34</v>
      </c>
      <c r="AQ137" s="724"/>
      <c r="AS137" s="460" t="s">
        <v>738</v>
      </c>
      <c r="AT137" s="604"/>
    </row>
    <row r="138" spans="1:46">
      <c r="A138" s="519" t="s">
        <v>194</v>
      </c>
      <c r="B138" s="519" t="s">
        <v>195</v>
      </c>
      <c r="C138" s="707"/>
      <c r="D138" s="519" t="s">
        <v>196</v>
      </c>
      <c r="E138" s="519" t="s">
        <v>197</v>
      </c>
      <c r="F138" s="519" t="s">
        <v>198</v>
      </c>
      <c r="G138" s="519" t="s">
        <v>199</v>
      </c>
      <c r="H138" s="519" t="s">
        <v>215</v>
      </c>
      <c r="I138" s="519" t="s">
        <v>216</v>
      </c>
      <c r="J138" s="519" t="s">
        <v>201</v>
      </c>
      <c r="K138" s="519" t="s">
        <v>202</v>
      </c>
      <c r="L138" s="519" t="s">
        <v>42</v>
      </c>
      <c r="M138" s="519" t="s">
        <v>217</v>
      </c>
      <c r="N138" s="519" t="s">
        <v>285</v>
      </c>
      <c r="O138" s="519" t="s">
        <v>286</v>
      </c>
      <c r="P138" s="519" t="s">
        <v>205</v>
      </c>
      <c r="Q138" s="519" t="s">
        <v>206</v>
      </c>
      <c r="R138" s="519" t="s">
        <v>31</v>
      </c>
      <c r="S138" s="519" t="s">
        <v>207</v>
      </c>
      <c r="T138" s="519" t="s">
        <v>320</v>
      </c>
      <c r="U138" s="519" t="s">
        <v>785</v>
      </c>
      <c r="V138" s="519" t="s">
        <v>429</v>
      </c>
      <c r="W138" s="725"/>
      <c r="X138" s="519" t="s">
        <v>389</v>
      </c>
      <c r="Y138" s="725"/>
      <c r="Z138" s="647">
        <v>17</v>
      </c>
      <c r="AA138" s="519" t="s">
        <v>210</v>
      </c>
      <c r="AB138" s="522">
        <v>43311</v>
      </c>
      <c r="AC138" s="523" t="s">
        <v>222</v>
      </c>
      <c r="AD138" s="519" t="s">
        <v>216</v>
      </c>
      <c r="AE138" s="519" t="s">
        <v>43</v>
      </c>
      <c r="AF138" s="519" t="s">
        <v>44</v>
      </c>
      <c r="AG138" s="519" t="s">
        <v>391</v>
      </c>
      <c r="AH138" s="523" t="s">
        <v>49</v>
      </c>
      <c r="AI138" s="522" t="s">
        <v>765</v>
      </c>
      <c r="AJ138" s="729"/>
      <c r="AK138" s="729"/>
      <c r="AL138" s="729"/>
      <c r="AM138" s="519" t="s">
        <v>223</v>
      </c>
      <c r="AN138" s="519" t="s">
        <v>224</v>
      </c>
      <c r="AO138" s="643">
        <v>17</v>
      </c>
      <c r="AP138" s="524">
        <f t="shared" si="5"/>
        <v>17</v>
      </c>
      <c r="AQ138" s="724"/>
      <c r="AS138" s="460" t="s">
        <v>738</v>
      </c>
      <c r="AT138" s="604"/>
    </row>
    <row r="139" spans="1:46">
      <c r="A139" s="519" t="s">
        <v>194</v>
      </c>
      <c r="B139" s="519" t="s">
        <v>195</v>
      </c>
      <c r="C139" s="707"/>
      <c r="D139" s="519" t="s">
        <v>196</v>
      </c>
      <c r="E139" s="519" t="s">
        <v>197</v>
      </c>
      <c r="F139" s="519" t="s">
        <v>198</v>
      </c>
      <c r="G139" s="519" t="s">
        <v>199</v>
      </c>
      <c r="H139" s="519" t="s">
        <v>215</v>
      </c>
      <c r="I139" s="519" t="s">
        <v>216</v>
      </c>
      <c r="J139" s="519" t="s">
        <v>201</v>
      </c>
      <c r="K139" s="519" t="s">
        <v>202</v>
      </c>
      <c r="L139" s="519" t="s">
        <v>42</v>
      </c>
      <c r="M139" s="519" t="s">
        <v>217</v>
      </c>
      <c r="N139" s="519" t="s">
        <v>285</v>
      </c>
      <c r="O139" s="519" t="s">
        <v>286</v>
      </c>
      <c r="P139" s="519" t="s">
        <v>205</v>
      </c>
      <c r="Q139" s="519" t="s">
        <v>206</v>
      </c>
      <c r="R139" s="519" t="s">
        <v>31</v>
      </c>
      <c r="S139" s="519" t="s">
        <v>207</v>
      </c>
      <c r="T139" s="519" t="s">
        <v>320</v>
      </c>
      <c r="U139" s="519" t="s">
        <v>785</v>
      </c>
      <c r="V139" s="519" t="s">
        <v>397</v>
      </c>
      <c r="W139" s="725"/>
      <c r="X139" s="519" t="s">
        <v>389</v>
      </c>
      <c r="Y139" s="725"/>
      <c r="Z139" s="647">
        <v>17</v>
      </c>
      <c r="AA139" s="519" t="s">
        <v>210</v>
      </c>
      <c r="AB139" s="522">
        <v>43300</v>
      </c>
      <c r="AC139" s="523" t="s">
        <v>222</v>
      </c>
      <c r="AD139" s="519" t="s">
        <v>216</v>
      </c>
      <c r="AE139" s="519" t="s">
        <v>43</v>
      </c>
      <c r="AF139" s="519" t="s">
        <v>44</v>
      </c>
      <c r="AG139" s="519" t="s">
        <v>391</v>
      </c>
      <c r="AH139" s="523" t="s">
        <v>49</v>
      </c>
      <c r="AI139" s="522" t="s">
        <v>765</v>
      </c>
      <c r="AJ139" s="729"/>
      <c r="AK139" s="729"/>
      <c r="AL139" s="729"/>
      <c r="AM139" s="519" t="s">
        <v>223</v>
      </c>
      <c r="AN139" s="519" t="s">
        <v>224</v>
      </c>
      <c r="AO139" s="643">
        <v>17</v>
      </c>
      <c r="AP139" s="524">
        <f t="shared" si="5"/>
        <v>17</v>
      </c>
      <c r="AQ139" s="724"/>
      <c r="AS139" s="460" t="s">
        <v>738</v>
      </c>
      <c r="AT139" s="604"/>
    </row>
    <row r="140" spans="1:46">
      <c r="A140" s="519" t="s">
        <v>194</v>
      </c>
      <c r="B140" s="520" t="s">
        <v>195</v>
      </c>
      <c r="C140" s="708"/>
      <c r="D140" s="519" t="s">
        <v>196</v>
      </c>
      <c r="E140" s="519" t="s">
        <v>197</v>
      </c>
      <c r="F140" s="519" t="s">
        <v>198</v>
      </c>
      <c r="G140" s="519" t="s">
        <v>199</v>
      </c>
      <c r="H140" s="519" t="s">
        <v>215</v>
      </c>
      <c r="I140" s="519" t="s">
        <v>216</v>
      </c>
      <c r="J140" s="519" t="s">
        <v>201</v>
      </c>
      <c r="K140" s="519" t="s">
        <v>202</v>
      </c>
      <c r="L140" s="519" t="s">
        <v>42</v>
      </c>
      <c r="M140" s="519" t="s">
        <v>217</v>
      </c>
      <c r="N140" s="519" t="s">
        <v>285</v>
      </c>
      <c r="O140" s="519" t="s">
        <v>286</v>
      </c>
      <c r="P140" s="519" t="s">
        <v>205</v>
      </c>
      <c r="Q140" s="519" t="s">
        <v>206</v>
      </c>
      <c r="R140" s="519" t="s">
        <v>31</v>
      </c>
      <c r="S140" s="519" t="s">
        <v>207</v>
      </c>
      <c r="T140" s="519" t="s">
        <v>320</v>
      </c>
      <c r="U140" s="519" t="s">
        <v>785</v>
      </c>
      <c r="V140" s="519" t="s">
        <v>892</v>
      </c>
      <c r="W140" s="725"/>
      <c r="X140" s="519" t="s">
        <v>389</v>
      </c>
      <c r="Y140" s="728"/>
      <c r="Z140" s="647">
        <v>17</v>
      </c>
      <c r="AA140" s="522" t="s">
        <v>210</v>
      </c>
      <c r="AB140" s="523">
        <v>43299</v>
      </c>
      <c r="AC140" s="519" t="s">
        <v>222</v>
      </c>
      <c r="AD140" s="519" t="s">
        <v>216</v>
      </c>
      <c r="AE140" s="519" t="s">
        <v>43</v>
      </c>
      <c r="AF140" s="519" t="s">
        <v>44</v>
      </c>
      <c r="AG140" s="523" t="s">
        <v>391</v>
      </c>
      <c r="AH140" s="522" t="s">
        <v>49</v>
      </c>
      <c r="AI140" s="522" t="s">
        <v>765</v>
      </c>
      <c r="AJ140" s="729"/>
      <c r="AK140" s="729"/>
      <c r="AL140" s="725"/>
      <c r="AM140" s="519" t="s">
        <v>223</v>
      </c>
      <c r="AN140" s="521" t="s">
        <v>224</v>
      </c>
      <c r="AO140" s="643">
        <v>17</v>
      </c>
      <c r="AP140" s="524">
        <f t="shared" si="5"/>
        <v>17</v>
      </c>
      <c r="AQ140" s="724"/>
      <c r="AS140" s="460" t="s">
        <v>738</v>
      </c>
      <c r="AT140" s="604"/>
    </row>
    <row r="141" spans="1:46">
      <c r="A141" s="622" t="s">
        <v>194</v>
      </c>
      <c r="B141" s="622" t="s">
        <v>195</v>
      </c>
      <c r="C141" s="709"/>
      <c r="D141" s="622" t="s">
        <v>196</v>
      </c>
      <c r="E141" s="622" t="s">
        <v>197</v>
      </c>
      <c r="F141" s="622" t="s">
        <v>378</v>
      </c>
      <c r="G141" s="622" t="s">
        <v>379</v>
      </c>
      <c r="H141" s="622" t="s">
        <v>780</v>
      </c>
      <c r="I141" s="622" t="s">
        <v>781</v>
      </c>
      <c r="J141" s="622" t="s">
        <v>201</v>
      </c>
      <c r="K141" s="622" t="s">
        <v>202</v>
      </c>
      <c r="L141" s="622" t="s">
        <v>30</v>
      </c>
      <c r="M141" s="622" t="s">
        <v>225</v>
      </c>
      <c r="N141" s="622" t="s">
        <v>356</v>
      </c>
      <c r="O141" s="622" t="s">
        <v>357</v>
      </c>
      <c r="P141" s="622" t="s">
        <v>205</v>
      </c>
      <c r="Q141" s="622" t="s">
        <v>206</v>
      </c>
      <c r="R141" s="622" t="s">
        <v>31</v>
      </c>
      <c r="S141" s="622" t="s">
        <v>207</v>
      </c>
      <c r="T141" s="622" t="s">
        <v>816</v>
      </c>
      <c r="U141" s="622" t="s">
        <v>817</v>
      </c>
      <c r="V141" s="622" t="s">
        <v>1110</v>
      </c>
      <c r="W141" s="726"/>
      <c r="X141" s="622" t="s">
        <v>797</v>
      </c>
      <c r="Y141" s="726"/>
      <c r="Z141" s="648">
        <v>29</v>
      </c>
      <c r="AA141" s="622" t="s">
        <v>210</v>
      </c>
      <c r="AB141" s="623">
        <v>43375</v>
      </c>
      <c r="AC141" s="622" t="s">
        <v>32</v>
      </c>
      <c r="AD141" s="622" t="s">
        <v>33</v>
      </c>
      <c r="AE141" s="622" t="s">
        <v>34</v>
      </c>
      <c r="AF141" s="622" t="s">
        <v>35</v>
      </c>
      <c r="AG141" s="622" t="s">
        <v>933</v>
      </c>
      <c r="AH141" s="622" t="s">
        <v>36</v>
      </c>
      <c r="AI141" s="623" t="s">
        <v>765</v>
      </c>
      <c r="AJ141" s="730"/>
      <c r="AK141" s="730"/>
      <c r="AL141" s="730"/>
      <c r="AM141" s="622" t="s">
        <v>231</v>
      </c>
      <c r="AN141" s="622" t="s">
        <v>232</v>
      </c>
      <c r="AO141" s="644">
        <v>29</v>
      </c>
      <c r="AP141" s="524">
        <v>29</v>
      </c>
      <c r="AQ141" s="732"/>
      <c r="AS141" s="460" t="s">
        <v>281</v>
      </c>
      <c r="AT141" s="604"/>
    </row>
    <row r="142" spans="1:46">
      <c r="A142" s="622" t="s">
        <v>194</v>
      </c>
      <c r="B142" s="622" t="s">
        <v>195</v>
      </c>
      <c r="C142" s="709"/>
      <c r="D142" s="622" t="s">
        <v>196</v>
      </c>
      <c r="E142" s="622" t="s">
        <v>197</v>
      </c>
      <c r="F142" s="622" t="s">
        <v>198</v>
      </c>
      <c r="G142" s="622" t="s">
        <v>199</v>
      </c>
      <c r="H142" s="622" t="s">
        <v>215</v>
      </c>
      <c r="I142" s="622" t="s">
        <v>216</v>
      </c>
      <c r="J142" s="622" t="s">
        <v>201</v>
      </c>
      <c r="K142" s="622" t="s">
        <v>202</v>
      </c>
      <c r="L142" s="622" t="s">
        <v>42</v>
      </c>
      <c r="M142" s="622" t="s">
        <v>217</v>
      </c>
      <c r="N142" s="622" t="s">
        <v>285</v>
      </c>
      <c r="O142" s="622" t="s">
        <v>286</v>
      </c>
      <c r="P142" s="622" t="s">
        <v>205</v>
      </c>
      <c r="Q142" s="622" t="s">
        <v>206</v>
      </c>
      <c r="R142" s="622" t="s">
        <v>31</v>
      </c>
      <c r="S142" s="622" t="s">
        <v>207</v>
      </c>
      <c r="T142" s="622" t="s">
        <v>320</v>
      </c>
      <c r="U142" s="622" t="s">
        <v>785</v>
      </c>
      <c r="V142" s="622" t="s">
        <v>1111</v>
      </c>
      <c r="W142" s="726"/>
      <c r="X142" s="622" t="s">
        <v>389</v>
      </c>
      <c r="Y142" s="726"/>
      <c r="Z142" s="648">
        <v>17</v>
      </c>
      <c r="AA142" s="622" t="s">
        <v>210</v>
      </c>
      <c r="AB142" s="623">
        <v>43381</v>
      </c>
      <c r="AC142" s="622" t="s">
        <v>222</v>
      </c>
      <c r="AD142" s="622" t="s">
        <v>216</v>
      </c>
      <c r="AE142" s="622" t="s">
        <v>43</v>
      </c>
      <c r="AF142" s="622" t="s">
        <v>44</v>
      </c>
      <c r="AG142" s="622" t="s">
        <v>391</v>
      </c>
      <c r="AH142" s="622" t="s">
        <v>49</v>
      </c>
      <c r="AI142" s="623" t="s">
        <v>765</v>
      </c>
      <c r="AJ142" s="730"/>
      <c r="AK142" s="730"/>
      <c r="AL142" s="730"/>
      <c r="AM142" s="622" t="s">
        <v>223</v>
      </c>
      <c r="AN142" s="622" t="s">
        <v>224</v>
      </c>
      <c r="AO142" s="644">
        <v>17</v>
      </c>
      <c r="AP142" s="524">
        <v>17</v>
      </c>
      <c r="AQ142" s="724"/>
      <c r="AS142" s="460" t="s">
        <v>1113</v>
      </c>
      <c r="AT142" s="604"/>
    </row>
    <row r="143" spans="1:46">
      <c r="A143" s="622" t="s">
        <v>194</v>
      </c>
      <c r="B143" s="622" t="s">
        <v>195</v>
      </c>
      <c r="C143" s="709"/>
      <c r="D143" s="622" t="s">
        <v>196</v>
      </c>
      <c r="E143" s="622" t="s">
        <v>197</v>
      </c>
      <c r="F143" s="622" t="s">
        <v>198</v>
      </c>
      <c r="G143" s="622" t="s">
        <v>199</v>
      </c>
      <c r="H143" s="622" t="s">
        <v>215</v>
      </c>
      <c r="I143" s="622" t="s">
        <v>216</v>
      </c>
      <c r="J143" s="622" t="s">
        <v>201</v>
      </c>
      <c r="K143" s="622" t="s">
        <v>202</v>
      </c>
      <c r="L143" s="622" t="s">
        <v>42</v>
      </c>
      <c r="M143" s="622" t="s">
        <v>217</v>
      </c>
      <c r="N143" s="622" t="s">
        <v>285</v>
      </c>
      <c r="O143" s="622" t="s">
        <v>286</v>
      </c>
      <c r="P143" s="622" t="s">
        <v>205</v>
      </c>
      <c r="Q143" s="622" t="s">
        <v>206</v>
      </c>
      <c r="R143" s="622" t="s">
        <v>31</v>
      </c>
      <c r="S143" s="622" t="s">
        <v>207</v>
      </c>
      <c r="T143" s="622" t="s">
        <v>672</v>
      </c>
      <c r="U143" s="622" t="s">
        <v>770</v>
      </c>
      <c r="V143" s="622" t="s">
        <v>1112</v>
      </c>
      <c r="W143" s="726"/>
      <c r="X143" s="622" t="s">
        <v>389</v>
      </c>
      <c r="Y143" s="726"/>
      <c r="Z143" s="648">
        <v>17</v>
      </c>
      <c r="AA143" s="622" t="s">
        <v>210</v>
      </c>
      <c r="AB143" s="623">
        <v>43382</v>
      </c>
      <c r="AC143" s="622" t="s">
        <v>222</v>
      </c>
      <c r="AD143" s="622" t="s">
        <v>216</v>
      </c>
      <c r="AE143" s="622" t="s">
        <v>43</v>
      </c>
      <c r="AF143" s="622" t="s">
        <v>44</v>
      </c>
      <c r="AG143" s="622" t="s">
        <v>391</v>
      </c>
      <c r="AH143" s="622" t="s">
        <v>49</v>
      </c>
      <c r="AI143" s="623" t="s">
        <v>765</v>
      </c>
      <c r="AJ143" s="730"/>
      <c r="AK143" s="730"/>
      <c r="AL143" s="730"/>
      <c r="AM143" s="622" t="s">
        <v>223</v>
      </c>
      <c r="AN143" s="622" t="s">
        <v>224</v>
      </c>
      <c r="AO143" s="644">
        <v>17</v>
      </c>
      <c r="AP143" s="524">
        <v>17</v>
      </c>
      <c r="AQ143" s="724"/>
      <c r="AS143" s="460" t="s">
        <v>1113</v>
      </c>
      <c r="AT143" s="460" t="s">
        <v>1114</v>
      </c>
    </row>
    <row r="144" spans="1:46">
      <c r="C144" s="710"/>
      <c r="W144" s="727"/>
      <c r="Y144" s="727"/>
      <c r="Z144" s="649"/>
      <c r="AG144" s="460"/>
      <c r="AJ144" s="731"/>
      <c r="AK144" s="731"/>
      <c r="AL144" s="731"/>
      <c r="AQ144" s="732"/>
    </row>
    <row r="145" spans="1:45">
      <c r="A145" s="519"/>
      <c r="B145" s="520" t="s">
        <v>986</v>
      </c>
      <c r="C145" s="708"/>
      <c r="D145" s="519" t="s">
        <v>196</v>
      </c>
      <c r="E145" s="519" t="s">
        <v>197</v>
      </c>
      <c r="F145" s="519" t="s">
        <v>198</v>
      </c>
      <c r="G145" s="519" t="s">
        <v>199</v>
      </c>
      <c r="H145" s="519" t="s">
        <v>200</v>
      </c>
      <c r="I145" s="519" t="s">
        <v>6</v>
      </c>
      <c r="J145" s="519" t="s">
        <v>201</v>
      </c>
      <c r="K145" s="519" t="s">
        <v>202</v>
      </c>
      <c r="L145" s="519" t="s">
        <v>30</v>
      </c>
      <c r="M145" s="519" t="s">
        <v>225</v>
      </c>
      <c r="N145" s="519" t="s">
        <v>226</v>
      </c>
      <c r="O145" s="519" t="s">
        <v>9</v>
      </c>
      <c r="P145" s="519" t="s">
        <v>205</v>
      </c>
      <c r="Q145" s="519" t="s">
        <v>206</v>
      </c>
      <c r="R145" s="519" t="s">
        <v>31</v>
      </c>
      <c r="S145" s="519" t="s">
        <v>207</v>
      </c>
      <c r="T145" s="519" t="s">
        <v>233</v>
      </c>
      <c r="U145" s="519" t="s">
        <v>234</v>
      </c>
      <c r="V145" s="519"/>
      <c r="W145" s="725"/>
      <c r="X145" s="519" t="s">
        <v>237</v>
      </c>
      <c r="Y145" s="728"/>
      <c r="Z145" s="647"/>
      <c r="AA145" s="522" t="s">
        <v>210</v>
      </c>
      <c r="AB145" s="523"/>
      <c r="AC145" s="519" t="s">
        <v>32</v>
      </c>
      <c r="AD145" s="519" t="s">
        <v>33</v>
      </c>
      <c r="AE145" s="519" t="s">
        <v>34</v>
      </c>
      <c r="AF145" s="519" t="s">
        <v>35</v>
      </c>
      <c r="AG145" s="523">
        <v>22</v>
      </c>
      <c r="AH145" s="522"/>
      <c r="AI145" s="522"/>
      <c r="AJ145" s="729"/>
      <c r="AK145" s="729"/>
      <c r="AL145" s="725"/>
      <c r="AM145" s="519" t="s">
        <v>231</v>
      </c>
      <c r="AN145" s="521" t="s">
        <v>232</v>
      </c>
      <c r="AO145" s="643"/>
      <c r="AP145" s="524">
        <v>30.76</v>
      </c>
      <c r="AQ145" s="724"/>
      <c r="AS145" s="460" t="s">
        <v>903</v>
      </c>
    </row>
    <row r="146" spans="1:45">
      <c r="A146" s="519"/>
      <c r="B146" s="520" t="s">
        <v>986</v>
      </c>
      <c r="C146" s="708"/>
      <c r="D146" s="519" t="s">
        <v>196</v>
      </c>
      <c r="E146" s="519" t="s">
        <v>197</v>
      </c>
      <c r="F146" s="519" t="s">
        <v>359</v>
      </c>
      <c r="G146" s="519" t="s">
        <v>360</v>
      </c>
      <c r="H146" s="519" t="s">
        <v>780</v>
      </c>
      <c r="I146" s="519" t="s">
        <v>781</v>
      </c>
      <c r="J146" s="519" t="s">
        <v>201</v>
      </c>
      <c r="K146" s="519" t="s">
        <v>202</v>
      </c>
      <c r="L146" s="519" t="s">
        <v>30</v>
      </c>
      <c r="M146" s="519" t="s">
        <v>225</v>
      </c>
      <c r="N146" s="519" t="s">
        <v>314</v>
      </c>
      <c r="O146" s="519" t="s">
        <v>315</v>
      </c>
      <c r="P146" s="519" t="s">
        <v>205</v>
      </c>
      <c r="Q146" s="519" t="s">
        <v>206</v>
      </c>
      <c r="R146" s="519" t="s">
        <v>31</v>
      </c>
      <c r="S146" s="519" t="s">
        <v>207</v>
      </c>
      <c r="T146" s="519"/>
      <c r="U146" s="519" t="s">
        <v>317</v>
      </c>
      <c r="V146" s="519"/>
      <c r="W146" s="725"/>
      <c r="X146" s="519" t="s">
        <v>319</v>
      </c>
      <c r="Y146" s="728"/>
      <c r="Z146" s="647"/>
      <c r="AA146" s="522"/>
      <c r="AB146" s="523"/>
      <c r="AC146" s="519" t="s">
        <v>32</v>
      </c>
      <c r="AD146" s="519" t="s">
        <v>33</v>
      </c>
      <c r="AE146" s="519" t="s">
        <v>34</v>
      </c>
      <c r="AF146" s="519" t="s">
        <v>35</v>
      </c>
      <c r="AG146" s="523">
        <v>20</v>
      </c>
      <c r="AH146" s="522" t="s">
        <v>41</v>
      </c>
      <c r="AI146" s="522"/>
      <c r="AJ146" s="729"/>
      <c r="AK146" s="729"/>
      <c r="AL146" s="725"/>
      <c r="AM146" s="519" t="s">
        <v>231</v>
      </c>
      <c r="AN146" s="521" t="s">
        <v>232</v>
      </c>
      <c r="AO146" s="643"/>
      <c r="AP146" s="524">
        <v>27.01</v>
      </c>
      <c r="AQ146" s="724"/>
      <c r="AS146" s="460" t="s">
        <v>738</v>
      </c>
    </row>
    <row r="147" spans="1:45">
      <c r="A147" s="519"/>
      <c r="B147" s="520" t="s">
        <v>986</v>
      </c>
      <c r="C147" s="708"/>
      <c r="D147" s="519" t="s">
        <v>196</v>
      </c>
      <c r="E147" s="519" t="s">
        <v>197</v>
      </c>
      <c r="F147" s="519" t="s">
        <v>253</v>
      </c>
      <c r="G147" s="519" t="s">
        <v>254</v>
      </c>
      <c r="H147" s="519" t="s">
        <v>215</v>
      </c>
      <c r="I147" s="519" t="s">
        <v>216</v>
      </c>
      <c r="J147" s="519" t="s">
        <v>201</v>
      </c>
      <c r="K147" s="519" t="s">
        <v>202</v>
      </c>
      <c r="L147" s="519" t="s">
        <v>42</v>
      </c>
      <c r="M147" s="519" t="s">
        <v>217</v>
      </c>
      <c r="N147" s="519" t="s">
        <v>263</v>
      </c>
      <c r="O147" s="519" t="s">
        <v>264</v>
      </c>
      <c r="P147" s="519" t="s">
        <v>205</v>
      </c>
      <c r="Q147" s="519" t="s">
        <v>206</v>
      </c>
      <c r="R147" s="519" t="s">
        <v>31</v>
      </c>
      <c r="S147" s="519" t="s">
        <v>207</v>
      </c>
      <c r="T147" s="519" t="s">
        <v>265</v>
      </c>
      <c r="U147" s="519" t="s">
        <v>266</v>
      </c>
      <c r="V147" s="519"/>
      <c r="W147" s="725"/>
      <c r="X147" s="519"/>
      <c r="Y147" s="728"/>
      <c r="Z147" s="647"/>
      <c r="AA147" s="522"/>
      <c r="AB147" s="523"/>
      <c r="AC147" s="519">
        <v>32</v>
      </c>
      <c r="AD147" s="519" t="s">
        <v>216</v>
      </c>
      <c r="AE147" s="519" t="s">
        <v>43</v>
      </c>
      <c r="AF147" s="519" t="s">
        <v>44</v>
      </c>
      <c r="AG147" s="523" t="s">
        <v>391</v>
      </c>
      <c r="AH147" s="522" t="s">
        <v>49</v>
      </c>
      <c r="AI147" s="522"/>
      <c r="AJ147" s="729"/>
      <c r="AK147" s="729"/>
      <c r="AL147" s="725"/>
      <c r="AM147" s="519" t="s">
        <v>223</v>
      </c>
      <c r="AN147" s="521" t="s">
        <v>224</v>
      </c>
      <c r="AO147" s="643"/>
      <c r="AP147" s="524">
        <v>17.93</v>
      </c>
      <c r="AQ147" s="724"/>
      <c r="AS147" s="460" t="s">
        <v>281</v>
      </c>
    </row>
    <row r="148" spans="1:45">
      <c r="A148" s="519"/>
      <c r="B148" s="520" t="s">
        <v>986</v>
      </c>
      <c r="C148" s="708"/>
      <c r="D148" s="519" t="s">
        <v>196</v>
      </c>
      <c r="E148" s="519" t="s">
        <v>197</v>
      </c>
      <c r="F148" s="519" t="s">
        <v>198</v>
      </c>
      <c r="G148" s="519" t="s">
        <v>199</v>
      </c>
      <c r="H148" s="519" t="s">
        <v>200</v>
      </c>
      <c r="I148" s="519" t="s">
        <v>216</v>
      </c>
      <c r="J148" s="519" t="s">
        <v>201</v>
      </c>
      <c r="K148" s="519" t="s">
        <v>202</v>
      </c>
      <c r="L148" s="519" t="s">
        <v>42</v>
      </c>
      <c r="M148" s="519" t="s">
        <v>217</v>
      </c>
      <c r="N148" s="519" t="s">
        <v>272</v>
      </c>
      <c r="O148" s="519" t="s">
        <v>273</v>
      </c>
      <c r="P148" s="519" t="s">
        <v>205</v>
      </c>
      <c r="Q148" s="519" t="s">
        <v>206</v>
      </c>
      <c r="R148" s="519" t="s">
        <v>31</v>
      </c>
      <c r="S148" s="519" t="s">
        <v>207</v>
      </c>
      <c r="T148" s="519" t="s">
        <v>280</v>
      </c>
      <c r="U148" s="519" t="s">
        <v>281</v>
      </c>
      <c r="V148" s="519"/>
      <c r="W148" s="725"/>
      <c r="X148" s="519" t="s">
        <v>260</v>
      </c>
      <c r="Y148" s="725"/>
      <c r="Z148" s="647">
        <v>29.63</v>
      </c>
      <c r="AA148" s="519" t="s">
        <v>210</v>
      </c>
      <c r="AB148" s="522"/>
      <c r="AC148" s="523" t="s">
        <v>222</v>
      </c>
      <c r="AD148" s="519" t="s">
        <v>216</v>
      </c>
      <c r="AE148" s="519" t="s">
        <v>43</v>
      </c>
      <c r="AF148" s="519" t="s">
        <v>44</v>
      </c>
      <c r="AG148" s="519" t="s">
        <v>333</v>
      </c>
      <c r="AH148" s="523" t="s">
        <v>37</v>
      </c>
      <c r="AI148" s="522"/>
      <c r="AJ148" s="729"/>
      <c r="AK148" s="729"/>
      <c r="AL148" s="725"/>
      <c r="AM148" s="519" t="s">
        <v>223</v>
      </c>
      <c r="AN148" s="521" t="s">
        <v>224</v>
      </c>
      <c r="AO148" s="643"/>
      <c r="AP148" s="524">
        <v>34.51</v>
      </c>
      <c r="AQ148" s="724"/>
      <c r="AS148" s="460" t="s">
        <v>281</v>
      </c>
    </row>
    <row r="149" spans="1:45">
      <c r="A149" s="519"/>
      <c r="B149" s="520" t="s">
        <v>986</v>
      </c>
      <c r="C149" s="708"/>
      <c r="D149" s="519" t="s">
        <v>196</v>
      </c>
      <c r="E149" s="519" t="s">
        <v>197</v>
      </c>
      <c r="F149" s="519" t="s">
        <v>378</v>
      </c>
      <c r="G149" s="519" t="s">
        <v>379</v>
      </c>
      <c r="H149" s="519" t="s">
        <v>780</v>
      </c>
      <c r="I149" s="519" t="s">
        <v>781</v>
      </c>
      <c r="J149" s="519" t="s">
        <v>201</v>
      </c>
      <c r="K149" s="519" t="s">
        <v>202</v>
      </c>
      <c r="L149" s="519" t="s">
        <v>30</v>
      </c>
      <c r="M149" s="519" t="s">
        <v>225</v>
      </c>
      <c r="N149" s="519" t="s">
        <v>356</v>
      </c>
      <c r="O149" s="519" t="s">
        <v>357</v>
      </c>
      <c r="P149" s="519" t="s">
        <v>205</v>
      </c>
      <c r="Q149" s="519" t="s">
        <v>206</v>
      </c>
      <c r="R149" s="519" t="s">
        <v>31</v>
      </c>
      <c r="S149" s="519" t="s">
        <v>207</v>
      </c>
      <c r="T149" s="519"/>
      <c r="U149" s="519" t="s">
        <v>817</v>
      </c>
      <c r="V149" s="519"/>
      <c r="W149" s="725"/>
      <c r="X149" s="519"/>
      <c r="Y149" s="728"/>
      <c r="Z149" s="647"/>
      <c r="AA149" s="522"/>
      <c r="AB149" s="523"/>
      <c r="AC149" s="519" t="s">
        <v>32</v>
      </c>
      <c r="AD149" s="519" t="s">
        <v>33</v>
      </c>
      <c r="AE149" s="519" t="s">
        <v>34</v>
      </c>
      <c r="AF149" s="519" t="s">
        <v>35</v>
      </c>
      <c r="AG149" s="523">
        <v>22</v>
      </c>
      <c r="AH149" s="522"/>
      <c r="AI149" s="522"/>
      <c r="AJ149" s="729"/>
      <c r="AK149" s="729"/>
      <c r="AL149" s="725"/>
      <c r="AM149" s="519" t="s">
        <v>231</v>
      </c>
      <c r="AN149" s="521" t="s">
        <v>232</v>
      </c>
      <c r="AO149" s="643"/>
      <c r="AP149" s="524">
        <v>30.76</v>
      </c>
      <c r="AQ149" s="724"/>
      <c r="AS149" s="460" t="s">
        <v>987</v>
      </c>
    </row>
    <row r="150" spans="1:45">
      <c r="A150" s="519"/>
      <c r="B150" s="520" t="s">
        <v>986</v>
      </c>
      <c r="C150" s="708"/>
      <c r="D150" s="519" t="s">
        <v>196</v>
      </c>
      <c r="E150" s="519" t="s">
        <v>197</v>
      </c>
      <c r="F150" s="519" t="s">
        <v>198</v>
      </c>
      <c r="G150" s="519" t="s">
        <v>199</v>
      </c>
      <c r="H150" s="519" t="s">
        <v>215</v>
      </c>
      <c r="I150" s="519" t="s">
        <v>216</v>
      </c>
      <c r="J150" s="519" t="s">
        <v>201</v>
      </c>
      <c r="K150" s="519" t="s">
        <v>202</v>
      </c>
      <c r="L150" s="519" t="s">
        <v>42</v>
      </c>
      <c r="M150" s="519" t="s">
        <v>217</v>
      </c>
      <c r="N150" s="519" t="s">
        <v>285</v>
      </c>
      <c r="O150" s="519" t="s">
        <v>286</v>
      </c>
      <c r="P150" s="519" t="s">
        <v>205</v>
      </c>
      <c r="Q150" s="519" t="s">
        <v>206</v>
      </c>
      <c r="R150" s="519" t="s">
        <v>31</v>
      </c>
      <c r="S150" s="519" t="s">
        <v>207</v>
      </c>
      <c r="T150" s="519" t="s">
        <v>320</v>
      </c>
      <c r="U150" s="519" t="s">
        <v>785</v>
      </c>
      <c r="V150" s="519"/>
      <c r="W150" s="725"/>
      <c r="X150" s="519" t="s">
        <v>389</v>
      </c>
      <c r="Y150" s="728"/>
      <c r="Z150" s="647"/>
      <c r="AA150" s="522"/>
      <c r="AB150" s="523"/>
      <c r="AC150" s="519" t="s">
        <v>222</v>
      </c>
      <c r="AD150" s="519" t="s">
        <v>216</v>
      </c>
      <c r="AE150" s="519" t="s">
        <v>43</v>
      </c>
      <c r="AF150" s="519" t="s">
        <v>44</v>
      </c>
      <c r="AG150" s="523" t="s">
        <v>391</v>
      </c>
      <c r="AH150" s="522" t="s">
        <v>30</v>
      </c>
      <c r="AI150" s="522" t="s">
        <v>765</v>
      </c>
      <c r="AJ150" s="729"/>
      <c r="AK150" s="729"/>
      <c r="AL150" s="725"/>
      <c r="AM150" s="519" t="s">
        <v>223</v>
      </c>
      <c r="AN150" s="521" t="s">
        <v>224</v>
      </c>
      <c r="AO150" s="643"/>
      <c r="AP150" s="524">
        <v>19.78</v>
      </c>
      <c r="AQ150" s="724"/>
      <c r="AS150" s="460" t="s">
        <v>738</v>
      </c>
    </row>
    <row r="151" spans="1:45">
      <c r="A151" s="519"/>
      <c r="B151" s="520" t="s">
        <v>986</v>
      </c>
      <c r="C151" s="708"/>
      <c r="D151" s="519" t="s">
        <v>196</v>
      </c>
      <c r="E151" s="519" t="s">
        <v>197</v>
      </c>
      <c r="F151" s="519" t="s">
        <v>198</v>
      </c>
      <c r="G151" s="519" t="s">
        <v>199</v>
      </c>
      <c r="H151" s="519" t="s">
        <v>215</v>
      </c>
      <c r="I151" s="519" t="s">
        <v>216</v>
      </c>
      <c r="J151" s="519" t="s">
        <v>201</v>
      </c>
      <c r="K151" s="519" t="s">
        <v>202</v>
      </c>
      <c r="L151" s="519" t="s">
        <v>42</v>
      </c>
      <c r="M151" s="519" t="s">
        <v>217</v>
      </c>
      <c r="N151" s="519" t="s">
        <v>285</v>
      </c>
      <c r="O151" s="519" t="s">
        <v>286</v>
      </c>
      <c r="P151" s="519" t="s">
        <v>205</v>
      </c>
      <c r="Q151" s="519" t="s">
        <v>206</v>
      </c>
      <c r="R151" s="519" t="s">
        <v>31</v>
      </c>
      <c r="S151" s="519" t="s">
        <v>207</v>
      </c>
      <c r="T151" s="519" t="s">
        <v>320</v>
      </c>
      <c r="U151" s="519" t="s">
        <v>785</v>
      </c>
      <c r="V151" s="519"/>
      <c r="W151" s="725"/>
      <c r="X151" s="519" t="s">
        <v>389</v>
      </c>
      <c r="Y151" s="728"/>
      <c r="Z151" s="647"/>
      <c r="AA151" s="522"/>
      <c r="AB151" s="523"/>
      <c r="AC151" s="519" t="s">
        <v>222</v>
      </c>
      <c r="AD151" s="519" t="s">
        <v>216</v>
      </c>
      <c r="AE151" s="519" t="s">
        <v>43</v>
      </c>
      <c r="AF151" s="519" t="s">
        <v>44</v>
      </c>
      <c r="AG151" s="523" t="s">
        <v>391</v>
      </c>
      <c r="AH151" s="522" t="s">
        <v>30</v>
      </c>
      <c r="AI151" s="522" t="s">
        <v>765</v>
      </c>
      <c r="AJ151" s="729"/>
      <c r="AK151" s="729"/>
      <c r="AL151" s="725"/>
      <c r="AM151" s="519" t="s">
        <v>223</v>
      </c>
      <c r="AN151" s="521" t="s">
        <v>224</v>
      </c>
      <c r="AO151" s="643"/>
      <c r="AP151" s="524">
        <v>19.78</v>
      </c>
      <c r="AQ151" s="724"/>
      <c r="AS151" s="460" t="s">
        <v>738</v>
      </c>
    </row>
    <row r="152" spans="1:45">
      <c r="A152" s="519"/>
      <c r="B152" s="520" t="s">
        <v>986</v>
      </c>
      <c r="C152" s="708"/>
      <c r="D152" s="519" t="s">
        <v>196</v>
      </c>
      <c r="E152" s="519" t="s">
        <v>197</v>
      </c>
      <c r="F152" s="519" t="s">
        <v>198</v>
      </c>
      <c r="G152" s="519" t="s">
        <v>199</v>
      </c>
      <c r="H152" s="519" t="s">
        <v>215</v>
      </c>
      <c r="I152" s="519" t="s">
        <v>216</v>
      </c>
      <c r="J152" s="519" t="s">
        <v>201</v>
      </c>
      <c r="K152" s="519" t="s">
        <v>202</v>
      </c>
      <c r="L152" s="519" t="s">
        <v>42</v>
      </c>
      <c r="M152" s="519" t="s">
        <v>217</v>
      </c>
      <c r="N152" s="519" t="s">
        <v>285</v>
      </c>
      <c r="O152" s="519" t="s">
        <v>286</v>
      </c>
      <c r="P152" s="519" t="s">
        <v>205</v>
      </c>
      <c r="Q152" s="519" t="s">
        <v>206</v>
      </c>
      <c r="R152" s="519" t="s">
        <v>31</v>
      </c>
      <c r="S152" s="519" t="s">
        <v>207</v>
      </c>
      <c r="T152" s="519" t="s">
        <v>320</v>
      </c>
      <c r="U152" s="519" t="s">
        <v>785</v>
      </c>
      <c r="V152" s="519"/>
      <c r="W152" s="725"/>
      <c r="X152" s="519" t="s">
        <v>389</v>
      </c>
      <c r="Y152" s="728"/>
      <c r="Z152" s="647"/>
      <c r="AA152" s="522"/>
      <c r="AB152" s="523"/>
      <c r="AC152" s="519" t="s">
        <v>222</v>
      </c>
      <c r="AD152" s="519" t="s">
        <v>216</v>
      </c>
      <c r="AE152" s="519" t="s">
        <v>43</v>
      </c>
      <c r="AF152" s="519" t="s">
        <v>44</v>
      </c>
      <c r="AG152" s="523" t="s">
        <v>391</v>
      </c>
      <c r="AH152" s="522" t="s">
        <v>30</v>
      </c>
      <c r="AI152" s="522" t="s">
        <v>765</v>
      </c>
      <c r="AJ152" s="729"/>
      <c r="AK152" s="729"/>
      <c r="AL152" s="725"/>
      <c r="AM152" s="519" t="s">
        <v>223</v>
      </c>
      <c r="AN152" s="521" t="s">
        <v>224</v>
      </c>
      <c r="AO152" s="643"/>
      <c r="AP152" s="524">
        <v>19.78</v>
      </c>
      <c r="AQ152" s="724"/>
      <c r="AS152" s="460" t="s">
        <v>738</v>
      </c>
    </row>
    <row r="153" spans="1:45">
      <c r="A153" s="519"/>
      <c r="B153" s="520" t="s">
        <v>986</v>
      </c>
      <c r="C153" s="708"/>
      <c r="D153" s="519" t="s">
        <v>196</v>
      </c>
      <c r="E153" s="519" t="s">
        <v>197</v>
      </c>
      <c r="F153" s="519" t="s">
        <v>198</v>
      </c>
      <c r="G153" s="519" t="s">
        <v>199</v>
      </c>
      <c r="H153" s="519" t="s">
        <v>215</v>
      </c>
      <c r="I153" s="519" t="s">
        <v>216</v>
      </c>
      <c r="J153" s="519" t="s">
        <v>201</v>
      </c>
      <c r="K153" s="519" t="s">
        <v>202</v>
      </c>
      <c r="L153" s="519" t="s">
        <v>42</v>
      </c>
      <c r="M153" s="519" t="s">
        <v>217</v>
      </c>
      <c r="N153" s="519" t="s">
        <v>285</v>
      </c>
      <c r="O153" s="519" t="s">
        <v>286</v>
      </c>
      <c r="P153" s="519" t="s">
        <v>205</v>
      </c>
      <c r="Q153" s="519" t="s">
        <v>206</v>
      </c>
      <c r="R153" s="519" t="s">
        <v>31</v>
      </c>
      <c r="S153" s="519" t="s">
        <v>207</v>
      </c>
      <c r="T153" s="519" t="s">
        <v>320</v>
      </c>
      <c r="U153" s="519" t="s">
        <v>785</v>
      </c>
      <c r="V153" s="519"/>
      <c r="W153" s="725"/>
      <c r="X153" s="519" t="s">
        <v>389</v>
      </c>
      <c r="Y153" s="728"/>
      <c r="Z153" s="647"/>
      <c r="AA153" s="522"/>
      <c r="AB153" s="523"/>
      <c r="AC153" s="519" t="s">
        <v>222</v>
      </c>
      <c r="AD153" s="519" t="s">
        <v>216</v>
      </c>
      <c r="AE153" s="519" t="s">
        <v>43</v>
      </c>
      <c r="AF153" s="519" t="s">
        <v>44</v>
      </c>
      <c r="AG153" s="523" t="s">
        <v>391</v>
      </c>
      <c r="AH153" s="522" t="s">
        <v>30</v>
      </c>
      <c r="AI153" s="522" t="s">
        <v>765</v>
      </c>
      <c r="AJ153" s="729"/>
      <c r="AK153" s="729"/>
      <c r="AL153" s="725"/>
      <c r="AM153" s="519" t="s">
        <v>223</v>
      </c>
      <c r="AN153" s="521" t="s">
        <v>224</v>
      </c>
      <c r="AO153" s="643"/>
      <c r="AP153" s="524">
        <v>19.78</v>
      </c>
      <c r="AQ153" s="724"/>
      <c r="AS153" s="460" t="s">
        <v>738</v>
      </c>
    </row>
    <row r="154" spans="1:45">
      <c r="B154" s="520" t="s">
        <v>986</v>
      </c>
      <c r="C154" s="707"/>
      <c r="D154" s="519" t="s">
        <v>196</v>
      </c>
      <c r="E154" s="519" t="s">
        <v>197</v>
      </c>
      <c r="F154" s="519" t="s">
        <v>198</v>
      </c>
      <c r="G154" s="519" t="s">
        <v>199</v>
      </c>
      <c r="H154" s="519" t="s">
        <v>200</v>
      </c>
      <c r="I154" s="519" t="s">
        <v>6</v>
      </c>
      <c r="J154" s="519" t="s">
        <v>201</v>
      </c>
      <c r="K154" s="519" t="s">
        <v>202</v>
      </c>
      <c r="L154" s="519" t="s">
        <v>30</v>
      </c>
      <c r="M154" s="519" t="s">
        <v>225</v>
      </c>
      <c r="N154" s="519" t="s">
        <v>226</v>
      </c>
      <c r="O154" s="519" t="s">
        <v>9</v>
      </c>
      <c r="P154" s="519" t="s">
        <v>205</v>
      </c>
      <c r="Q154" s="519" t="s">
        <v>206</v>
      </c>
      <c r="R154" s="519" t="s">
        <v>31</v>
      </c>
      <c r="S154" s="519" t="s">
        <v>207</v>
      </c>
      <c r="T154" s="519"/>
      <c r="U154" s="519" t="s">
        <v>234</v>
      </c>
      <c r="V154" s="519"/>
      <c r="W154" s="725"/>
      <c r="X154" s="519"/>
      <c r="Y154" s="725"/>
      <c r="Z154" s="519"/>
      <c r="AA154" s="522" t="s">
        <v>210</v>
      </c>
      <c r="AB154" s="523"/>
      <c r="AC154" s="519" t="s">
        <v>32</v>
      </c>
      <c r="AD154" s="519" t="s">
        <v>33</v>
      </c>
      <c r="AE154" s="519" t="s">
        <v>34</v>
      </c>
      <c r="AF154" s="519" t="s">
        <v>35</v>
      </c>
      <c r="AG154" s="523" t="s">
        <v>932</v>
      </c>
      <c r="AH154" s="522" t="s">
        <v>49</v>
      </c>
      <c r="AI154" s="522" t="s">
        <v>765</v>
      </c>
      <c r="AJ154" s="729"/>
      <c r="AK154" s="729"/>
      <c r="AL154" s="725"/>
      <c r="AM154" s="519" t="s">
        <v>231</v>
      </c>
      <c r="AN154" s="521" t="s">
        <v>232</v>
      </c>
      <c r="AO154" s="643"/>
      <c r="AP154" s="524">
        <v>32</v>
      </c>
      <c r="AQ154" s="724"/>
      <c r="AS154" s="460" t="s">
        <v>903</v>
      </c>
    </row>
  </sheetData>
  <sortState ref="B145:AT156">
    <sortCondition descending="1" ref="C145:C156"/>
  </sortState>
  <pageMargins left="0.7" right="0.7" top="0.75" bottom="0.75" header="0.3" footer="0.3"/>
  <pageSetup scale="61" orientation="landscape" verticalDpi="0" r:id="rId1"/>
  <colBreaks count="2" manualBreakCount="2">
    <brk id="26" min="1" max="153" man="1"/>
    <brk id="43" max="1048575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49"/>
  <sheetViews>
    <sheetView zoomScale="90" zoomScaleNormal="90" workbookViewId="0"/>
  </sheetViews>
  <sheetFormatPr defaultColWidth="8.88671875" defaultRowHeight="13.8"/>
  <cols>
    <col min="1" max="1" width="5.6640625" style="117" customWidth="1"/>
    <col min="2" max="2" width="43.33203125" style="117" bestFit="1" customWidth="1"/>
    <col min="3" max="3" width="2.33203125" style="117" customWidth="1"/>
    <col min="4" max="4" width="12.6640625" style="117" bestFit="1" customWidth="1"/>
    <col min="5" max="5" width="1.6640625" style="117" customWidth="1"/>
    <col min="6" max="6" width="10" style="117" bestFit="1" customWidth="1"/>
    <col min="7" max="16384" width="8.88671875" style="117"/>
  </cols>
  <sheetData>
    <row r="1" spans="1:4">
      <c r="A1" s="116" t="s">
        <v>431</v>
      </c>
    </row>
    <row r="2" spans="1:4">
      <c r="A2" s="116" t="s">
        <v>649</v>
      </c>
    </row>
    <row r="3" spans="1:4">
      <c r="D3" s="118"/>
    </row>
    <row r="4" spans="1:4">
      <c r="D4" s="119" t="s">
        <v>567</v>
      </c>
    </row>
    <row r="5" spans="1:4">
      <c r="A5" s="120" t="s">
        <v>536</v>
      </c>
      <c r="B5" s="120"/>
    </row>
    <row r="6" spans="1:4">
      <c r="B6" s="120" t="s">
        <v>68</v>
      </c>
      <c r="D6" s="121"/>
    </row>
    <row r="7" spans="1:4">
      <c r="B7" s="117" t="s">
        <v>537</v>
      </c>
      <c r="D7" s="122">
        <f>ROUND(Union!BD84,0)</f>
        <v>3261729</v>
      </c>
    </row>
    <row r="8" spans="1:4">
      <c r="B8" s="123" t="s">
        <v>538</v>
      </c>
      <c r="D8" s="121">
        <f>ROUND(Union!BE84,0)</f>
        <v>541</v>
      </c>
    </row>
    <row r="9" spans="1:4">
      <c r="B9" s="130" t="s">
        <v>519</v>
      </c>
      <c r="D9" s="121">
        <f>ROUND(Union!BF84,0)</f>
        <v>396354</v>
      </c>
    </row>
    <row r="10" spans="1:4">
      <c r="B10" s="104" t="s">
        <v>679</v>
      </c>
      <c r="D10" s="121">
        <f>ROUND(Union!BG84,0)</f>
        <v>125862</v>
      </c>
    </row>
    <row r="11" spans="1:4">
      <c r="B11" s="120" t="s">
        <v>562</v>
      </c>
      <c r="D11" s="125">
        <f>ROUND(SUM(D7:D10),0)</f>
        <v>3784486</v>
      </c>
    </row>
    <row r="12" spans="1:4">
      <c r="D12" s="121"/>
    </row>
    <row r="13" spans="1:4">
      <c r="B13" s="120" t="s">
        <v>550</v>
      </c>
      <c r="D13" s="121"/>
    </row>
    <row r="14" spans="1:4">
      <c r="B14" s="117" t="s">
        <v>537</v>
      </c>
      <c r="D14" s="121">
        <f>ROUND('NU Hrly'!BE54+Acquisitions!BE7,0)</f>
        <v>1702520</v>
      </c>
    </row>
    <row r="15" spans="1:4">
      <c r="B15" s="104" t="s">
        <v>519</v>
      </c>
      <c r="D15" s="121">
        <f>ROUND('NU Hrly'!BF54+Acquisitions!BF7,0)</f>
        <v>151571</v>
      </c>
    </row>
    <row r="16" spans="1:4">
      <c r="B16" s="104" t="s">
        <v>679</v>
      </c>
      <c r="D16" s="121">
        <f>ROUND('NU Hrly'!BG54+Acquisitions!BG7,0)</f>
        <v>132318</v>
      </c>
    </row>
    <row r="17" spans="1:6">
      <c r="B17" s="120" t="s">
        <v>563</v>
      </c>
      <c r="D17" s="125">
        <f>ROUND(SUM(D14:D16),0)</f>
        <v>1986409</v>
      </c>
    </row>
    <row r="18" spans="1:6">
      <c r="D18" s="121"/>
    </row>
    <row r="19" spans="1:6">
      <c r="D19" s="121"/>
    </row>
    <row r="20" spans="1:6">
      <c r="B20" s="120" t="s">
        <v>551</v>
      </c>
      <c r="D20" s="121"/>
    </row>
    <row r="21" spans="1:6">
      <c r="B21" s="117" t="s">
        <v>537</v>
      </c>
      <c r="D21" s="121">
        <f>ROUND('NU Slry'!BC38,0)</f>
        <v>1706767</v>
      </c>
    </row>
    <row r="22" spans="1:6">
      <c r="B22" s="104" t="s">
        <v>679</v>
      </c>
      <c r="D22" s="121">
        <f>ROUND('NU Slry'!BD38,0)</f>
        <v>318842</v>
      </c>
    </row>
    <row r="23" spans="1:6">
      <c r="B23" s="104" t="s">
        <v>680</v>
      </c>
      <c r="D23" s="121">
        <f>ROUND('NU Slry'!BE38,0)</f>
        <v>16105</v>
      </c>
    </row>
    <row r="24" spans="1:6">
      <c r="B24" s="104" t="s">
        <v>664</v>
      </c>
      <c r="D24" s="121">
        <f>-ROUND('NU Slry'!BC40,0)</f>
        <v>-10159</v>
      </c>
    </row>
    <row r="25" spans="1:6">
      <c r="B25" s="120" t="s">
        <v>564</v>
      </c>
      <c r="D25" s="125">
        <f>ROUND(SUM(D21:D24),0)</f>
        <v>2031555</v>
      </c>
    </row>
    <row r="26" spans="1:6">
      <c r="D26" s="121"/>
    </row>
    <row r="27" spans="1:6">
      <c r="D27" s="121"/>
    </row>
    <row r="28" spans="1:6" ht="14.4" thickBot="1">
      <c r="B28" s="120" t="s">
        <v>539</v>
      </c>
      <c r="D28" s="552">
        <f>ROUND(D11+D17+D25,0)</f>
        <v>7802450</v>
      </c>
      <c r="F28" s="626"/>
    </row>
    <row r="29" spans="1:6" ht="14.4" thickTop="1">
      <c r="D29" s="121"/>
    </row>
    <row r="30" spans="1:6">
      <c r="B30" s="120"/>
      <c r="D30" s="126"/>
    </row>
    <row r="31" spans="1:6">
      <c r="A31" s="120" t="s">
        <v>540</v>
      </c>
      <c r="D31" s="126"/>
    </row>
    <row r="32" spans="1:6">
      <c r="B32" s="120" t="s">
        <v>68</v>
      </c>
      <c r="D32" s="121"/>
    </row>
    <row r="33" spans="2:4">
      <c r="B33" s="104" t="s">
        <v>560</v>
      </c>
      <c r="D33" s="122">
        <f>ROUND(Union!BP84+Union!BQ84,0)</f>
        <v>287371</v>
      </c>
    </row>
    <row r="34" spans="2:4">
      <c r="B34" s="130" t="s">
        <v>90</v>
      </c>
      <c r="D34" s="121">
        <f>ROUND(Union!BR84,0)</f>
        <v>7061</v>
      </c>
    </row>
    <row r="35" spans="2:4">
      <c r="B35" s="130" t="s">
        <v>91</v>
      </c>
      <c r="D35" s="121">
        <f>ROUND(Union!BS84,0)</f>
        <v>2431</v>
      </c>
    </row>
    <row r="36" spans="2:4">
      <c r="B36" s="120" t="s">
        <v>561</v>
      </c>
      <c r="D36" s="125">
        <f>ROUND(SUM(D33:D35),0)</f>
        <v>296863</v>
      </c>
    </row>
    <row r="37" spans="2:4">
      <c r="B37" s="120"/>
      <c r="D37" s="124"/>
    </row>
    <row r="38" spans="2:4">
      <c r="B38" s="120" t="s">
        <v>550</v>
      </c>
      <c r="D38" s="121"/>
    </row>
    <row r="39" spans="2:4">
      <c r="B39" s="104" t="s">
        <v>560</v>
      </c>
      <c r="D39" s="122">
        <f>ROUND('NU Hrly'!BP54+'NU Hrly'!BQ54+Acquisitions!BP7+Acquisitions!BQ7,0)</f>
        <v>148350</v>
      </c>
    </row>
    <row r="40" spans="2:4">
      <c r="B40" s="130" t="s">
        <v>90</v>
      </c>
      <c r="D40" s="121">
        <f>ROUND('NU Hrly'!BR54+Acquisitions!BR7,0)</f>
        <v>3621</v>
      </c>
    </row>
    <row r="41" spans="2:4">
      <c r="B41" s="130" t="s">
        <v>91</v>
      </c>
      <c r="D41" s="121">
        <f>ROUND('NU Hrly'!BS54+Acquisitions!BS7,0)</f>
        <v>1242</v>
      </c>
    </row>
    <row r="42" spans="2:4">
      <c r="B42" s="120" t="s">
        <v>565</v>
      </c>
      <c r="D42" s="125">
        <f>ROUND(SUM(D39:D41),0)</f>
        <v>153213</v>
      </c>
    </row>
    <row r="43" spans="2:4">
      <c r="B43" s="120"/>
      <c r="D43" s="124"/>
    </row>
    <row r="44" spans="2:4">
      <c r="B44" s="120" t="s">
        <v>551</v>
      </c>
      <c r="D44" s="121"/>
    </row>
    <row r="45" spans="2:4">
      <c r="B45" s="104" t="s">
        <v>560</v>
      </c>
      <c r="D45" s="122">
        <f>ROUND('NU Slry'!BN38+'NU Slry'!BO38,0)</f>
        <v>142775</v>
      </c>
    </row>
    <row r="46" spans="2:4">
      <c r="B46" s="130" t="s">
        <v>90</v>
      </c>
      <c r="D46" s="121">
        <f>ROUND('NU Slry'!BP38,0)</f>
        <v>2352</v>
      </c>
    </row>
    <row r="47" spans="2:4">
      <c r="B47" s="130" t="s">
        <v>91</v>
      </c>
      <c r="D47" s="121">
        <f>ROUND('NU Slry'!BQ38,0)</f>
        <v>807</v>
      </c>
    </row>
    <row r="48" spans="2:4">
      <c r="B48" s="120" t="s">
        <v>566</v>
      </c>
      <c r="D48" s="125">
        <f>ROUND(SUM(D45:D47),0)</f>
        <v>145934</v>
      </c>
    </row>
    <row r="49" spans="1:4">
      <c r="B49" s="120"/>
      <c r="D49" s="124"/>
    </row>
    <row r="50" spans="1:4">
      <c r="B50" s="104" t="s">
        <v>560</v>
      </c>
      <c r="D50" s="124">
        <f>ROUND(D33+D39+D45,0)</f>
        <v>578496</v>
      </c>
    </row>
    <row r="51" spans="1:4">
      <c r="B51" s="130" t="s">
        <v>90</v>
      </c>
      <c r="D51" s="124">
        <f>ROUND(D34+D40+D46,0)</f>
        <v>13034</v>
      </c>
    </row>
    <row r="52" spans="1:4">
      <c r="B52" s="130" t="s">
        <v>91</v>
      </c>
      <c r="D52" s="131">
        <f>ROUND(D35+D41+D47,0)</f>
        <v>4480</v>
      </c>
    </row>
    <row r="53" spans="1:4" ht="14.4" thickBot="1">
      <c r="B53" s="120" t="s">
        <v>541</v>
      </c>
      <c r="D53" s="552">
        <f>ROUND(SUM(D50:D52),0)</f>
        <v>596010</v>
      </c>
    </row>
    <row r="54" spans="1:4" ht="14.4" thickTop="1">
      <c r="B54" s="120"/>
      <c r="D54" s="126"/>
    </row>
    <row r="55" spans="1:4">
      <c r="D55" s="126"/>
    </row>
    <row r="56" spans="1:4">
      <c r="A56" s="120" t="s">
        <v>542</v>
      </c>
      <c r="D56" s="126"/>
    </row>
    <row r="57" spans="1:4">
      <c r="B57" s="117" t="s">
        <v>68</v>
      </c>
      <c r="D57" s="129">
        <f>ROUND(Union!CV84,0)</f>
        <v>989179</v>
      </c>
    </row>
    <row r="58" spans="1:4">
      <c r="B58" s="104" t="s">
        <v>550</v>
      </c>
      <c r="D58" s="126">
        <f>ROUND('NU Hrly'!CV54+Acquisitions!CV7,0)</f>
        <v>439355</v>
      </c>
    </row>
    <row r="59" spans="1:4">
      <c r="B59" s="104" t="s">
        <v>551</v>
      </c>
      <c r="D59" s="132">
        <f>ROUND('NU Slry'!CT38,0)</f>
        <v>291780</v>
      </c>
    </row>
    <row r="60" spans="1:4" ht="14.4" thickBot="1">
      <c r="B60" s="120" t="s">
        <v>543</v>
      </c>
      <c r="D60" s="128">
        <f>ROUND(SUM(D57:D59),0)</f>
        <v>1720314</v>
      </c>
    </row>
    <row r="61" spans="1:4" ht="14.4" thickTop="1">
      <c r="D61" s="126"/>
    </row>
    <row r="62" spans="1:4">
      <c r="D62" s="126"/>
    </row>
    <row r="63" spans="1:4">
      <c r="A63" s="120" t="s">
        <v>544</v>
      </c>
      <c r="D63" s="126"/>
    </row>
    <row r="64" spans="1:4">
      <c r="B64" s="117" t="s">
        <v>68</v>
      </c>
      <c r="D64" s="129">
        <f>ROUND(Union!CA84,0)</f>
        <v>102958</v>
      </c>
    </row>
    <row r="65" spans="1:4">
      <c r="B65" s="104" t="s">
        <v>550</v>
      </c>
      <c r="D65" s="126">
        <f>ROUND('NU Hrly'!CA54+Acquisitions!CA7,0)</f>
        <v>60689</v>
      </c>
    </row>
    <row r="66" spans="1:4">
      <c r="B66" s="104" t="s">
        <v>551</v>
      </c>
      <c r="D66" s="132">
        <f>ROUND('NU Slry'!BY38,0)</f>
        <v>55473</v>
      </c>
    </row>
    <row r="67" spans="1:4" ht="14.4" thickBot="1">
      <c r="B67" s="120" t="s">
        <v>545</v>
      </c>
      <c r="D67" s="128">
        <f>ROUND(SUM(D64:D66),0)</f>
        <v>219120</v>
      </c>
    </row>
    <row r="68" spans="1:4" ht="14.4" thickTop="1">
      <c r="B68" s="120"/>
      <c r="D68" s="126"/>
    </row>
    <row r="69" spans="1:4">
      <c r="D69" s="126"/>
    </row>
    <row r="70" spans="1:4">
      <c r="A70" s="120" t="s">
        <v>546</v>
      </c>
      <c r="D70" s="126"/>
    </row>
    <row r="71" spans="1:4">
      <c r="A71" s="120"/>
      <c r="B71" s="117" t="s">
        <v>68</v>
      </c>
      <c r="D71" s="129">
        <f>ROUND(Union!CB84,0)</f>
        <v>125251</v>
      </c>
    </row>
    <row r="72" spans="1:4">
      <c r="A72" s="120"/>
      <c r="B72" s="104" t="s">
        <v>550</v>
      </c>
      <c r="D72" s="126">
        <f>ROUND('NU Hrly'!CB54+Acquisitions!CB7,0)</f>
        <v>73863</v>
      </c>
    </row>
    <row r="73" spans="1:4">
      <c r="B73" s="104" t="s">
        <v>551</v>
      </c>
      <c r="D73" s="132">
        <f>ROUND('NU Slry'!BZ38,0)</f>
        <v>63261</v>
      </c>
    </row>
    <row r="74" spans="1:4" ht="14.4" thickBot="1">
      <c r="B74" s="120" t="s">
        <v>547</v>
      </c>
      <c r="D74" s="128">
        <f>ROUND(SUM(D71:D73),0)</f>
        <v>262375</v>
      </c>
    </row>
    <row r="75" spans="1:4" ht="14.4" thickTop="1">
      <c r="D75" s="126"/>
    </row>
    <row r="76" spans="1:4">
      <c r="D76" s="126"/>
    </row>
    <row r="77" spans="1:4">
      <c r="A77" s="120" t="s">
        <v>87</v>
      </c>
      <c r="D77" s="126"/>
    </row>
    <row r="78" spans="1:4">
      <c r="B78" s="117" t="s">
        <v>68</v>
      </c>
      <c r="D78" s="133">
        <f>ROUND(Union!CC84,0)</f>
        <v>23956</v>
      </c>
    </row>
    <row r="79" spans="1:4" ht="14.4" thickBot="1">
      <c r="B79" s="120" t="s">
        <v>548</v>
      </c>
      <c r="D79" s="128">
        <f>ROUND(D78,0)</f>
        <v>23956</v>
      </c>
    </row>
    <row r="80" spans="1:4" ht="14.4" thickTop="1">
      <c r="D80" s="126"/>
    </row>
    <row r="81" spans="1:4">
      <c r="D81" s="126"/>
    </row>
    <row r="82" spans="1:4">
      <c r="A82" s="120" t="s">
        <v>58</v>
      </c>
      <c r="D82" s="126"/>
    </row>
    <row r="83" spans="1:4">
      <c r="B83" s="117" t="s">
        <v>68</v>
      </c>
      <c r="D83" s="129">
        <f>ROUND(Union!CD84,0)</f>
        <v>7322</v>
      </c>
    </row>
    <row r="84" spans="1:4">
      <c r="B84" s="104" t="s">
        <v>550</v>
      </c>
      <c r="D84" s="126">
        <f>ROUND('NU Hrly'!CD54+Acquisitions!CD7,0)</f>
        <v>3595</v>
      </c>
    </row>
    <row r="85" spans="1:4">
      <c r="B85" s="104" t="s">
        <v>551</v>
      </c>
      <c r="D85" s="132">
        <f>ROUND('NU Slry'!CB38,0)</f>
        <v>6632</v>
      </c>
    </row>
    <row r="86" spans="1:4" ht="14.4" thickBot="1">
      <c r="B86" s="120" t="s">
        <v>549</v>
      </c>
      <c r="D86" s="127">
        <f>ROUND(SUM(D83:D85),0)</f>
        <v>17549</v>
      </c>
    </row>
    <row r="87" spans="1:4" ht="14.4" thickTop="1">
      <c r="D87" s="126"/>
    </row>
    <row r="88" spans="1:4">
      <c r="D88" s="126"/>
    </row>
    <row r="89" spans="1:4">
      <c r="D89" s="126"/>
    </row>
    <row r="90" spans="1:4">
      <c r="D90" s="126"/>
    </row>
    <row r="91" spans="1:4">
      <c r="D91" s="126"/>
    </row>
    <row r="92" spans="1:4">
      <c r="D92" s="126"/>
    </row>
    <row r="93" spans="1:4">
      <c r="D93" s="126"/>
    </row>
    <row r="94" spans="1:4">
      <c r="D94" s="126"/>
    </row>
    <row r="95" spans="1:4">
      <c r="D95" s="126"/>
    </row>
    <row r="96" spans="1:4">
      <c r="D96" s="126"/>
    </row>
    <row r="97" spans="4:4">
      <c r="D97" s="126"/>
    </row>
    <row r="98" spans="4:4">
      <c r="D98" s="126"/>
    </row>
    <row r="99" spans="4:4">
      <c r="D99" s="126"/>
    </row>
    <row r="100" spans="4:4">
      <c r="D100" s="126"/>
    </row>
    <row r="101" spans="4:4">
      <c r="D101" s="126"/>
    </row>
    <row r="102" spans="4:4">
      <c r="D102" s="126"/>
    </row>
    <row r="103" spans="4:4">
      <c r="D103" s="126"/>
    </row>
    <row r="104" spans="4:4">
      <c r="D104" s="126"/>
    </row>
    <row r="105" spans="4:4">
      <c r="D105" s="126"/>
    </row>
    <row r="106" spans="4:4">
      <c r="D106" s="126"/>
    </row>
    <row r="107" spans="4:4">
      <c r="D107" s="126"/>
    </row>
    <row r="108" spans="4:4">
      <c r="D108" s="126"/>
    </row>
    <row r="109" spans="4:4">
      <c r="D109" s="126"/>
    </row>
    <row r="110" spans="4:4">
      <c r="D110" s="126"/>
    </row>
    <row r="111" spans="4:4">
      <c r="D111" s="126"/>
    </row>
    <row r="112" spans="4:4">
      <c r="D112" s="126"/>
    </row>
    <row r="113" spans="4:4">
      <c r="D113" s="126"/>
    </row>
    <row r="114" spans="4:4">
      <c r="D114" s="126"/>
    </row>
    <row r="115" spans="4:4">
      <c r="D115" s="126"/>
    </row>
    <row r="116" spans="4:4">
      <c r="D116" s="126"/>
    </row>
    <row r="117" spans="4:4">
      <c r="D117" s="126"/>
    </row>
    <row r="118" spans="4:4">
      <c r="D118" s="126"/>
    </row>
    <row r="119" spans="4:4">
      <c r="D119" s="126"/>
    </row>
    <row r="120" spans="4:4">
      <c r="D120" s="126"/>
    </row>
    <row r="121" spans="4:4">
      <c r="D121" s="126"/>
    </row>
    <row r="122" spans="4:4">
      <c r="D122" s="126"/>
    </row>
    <row r="123" spans="4:4">
      <c r="D123" s="126"/>
    </row>
    <row r="124" spans="4:4">
      <c r="D124" s="126"/>
    </row>
    <row r="125" spans="4:4">
      <c r="D125" s="126"/>
    </row>
    <row r="126" spans="4:4">
      <c r="D126" s="126"/>
    </row>
    <row r="127" spans="4:4">
      <c r="D127" s="126"/>
    </row>
    <row r="128" spans="4:4">
      <c r="D128" s="126"/>
    </row>
    <row r="129" spans="4:4">
      <c r="D129" s="126"/>
    </row>
    <row r="130" spans="4:4">
      <c r="D130" s="126"/>
    </row>
    <row r="131" spans="4:4">
      <c r="D131" s="126"/>
    </row>
    <row r="132" spans="4:4">
      <c r="D132" s="126"/>
    </row>
    <row r="133" spans="4:4">
      <c r="D133" s="126"/>
    </row>
    <row r="134" spans="4:4">
      <c r="D134" s="126"/>
    </row>
    <row r="135" spans="4:4">
      <c r="D135" s="126"/>
    </row>
    <row r="136" spans="4:4">
      <c r="D136" s="126"/>
    </row>
    <row r="137" spans="4:4">
      <c r="D137" s="126"/>
    </row>
    <row r="138" spans="4:4">
      <c r="D138" s="126"/>
    </row>
    <row r="139" spans="4:4">
      <c r="D139" s="126"/>
    </row>
    <row r="140" spans="4:4">
      <c r="D140" s="126"/>
    </row>
    <row r="141" spans="4:4">
      <c r="D141" s="126"/>
    </row>
    <row r="142" spans="4:4">
      <c r="D142" s="126"/>
    </row>
    <row r="143" spans="4:4">
      <c r="D143" s="126"/>
    </row>
    <row r="144" spans="4:4">
      <c r="D144" s="126"/>
    </row>
    <row r="145" spans="4:4">
      <c r="D145" s="126"/>
    </row>
    <row r="146" spans="4:4">
      <c r="D146" s="126"/>
    </row>
    <row r="147" spans="4:4">
      <c r="D147" s="126"/>
    </row>
    <row r="148" spans="4:4">
      <c r="D148" s="126"/>
    </row>
    <row r="149" spans="4:4">
      <c r="D149" s="126"/>
    </row>
    <row r="150" spans="4:4">
      <c r="D150" s="126"/>
    </row>
    <row r="151" spans="4:4">
      <c r="D151" s="126"/>
    </row>
    <row r="152" spans="4:4">
      <c r="D152" s="126"/>
    </row>
    <row r="153" spans="4:4">
      <c r="D153" s="126"/>
    </row>
    <row r="154" spans="4:4">
      <c r="D154" s="126"/>
    </row>
    <row r="155" spans="4:4">
      <c r="D155" s="126"/>
    </row>
    <row r="156" spans="4:4">
      <c r="D156" s="126"/>
    </row>
    <row r="157" spans="4:4">
      <c r="D157" s="126"/>
    </row>
    <row r="158" spans="4:4">
      <c r="D158" s="126"/>
    </row>
    <row r="159" spans="4:4">
      <c r="D159" s="126"/>
    </row>
    <row r="160" spans="4:4">
      <c r="D160" s="126"/>
    </row>
    <row r="161" spans="4:4">
      <c r="D161" s="126"/>
    </row>
    <row r="162" spans="4:4">
      <c r="D162" s="126"/>
    </row>
    <row r="163" spans="4:4">
      <c r="D163" s="126"/>
    </row>
    <row r="164" spans="4:4">
      <c r="D164" s="126"/>
    </row>
    <row r="165" spans="4:4">
      <c r="D165" s="126"/>
    </row>
    <row r="166" spans="4:4">
      <c r="D166" s="126"/>
    </row>
    <row r="167" spans="4:4">
      <c r="D167" s="126"/>
    </row>
    <row r="168" spans="4:4">
      <c r="D168" s="126"/>
    </row>
    <row r="169" spans="4:4">
      <c r="D169" s="126"/>
    </row>
    <row r="170" spans="4:4">
      <c r="D170" s="126"/>
    </row>
    <row r="171" spans="4:4">
      <c r="D171" s="126"/>
    </row>
    <row r="172" spans="4:4">
      <c r="D172" s="126"/>
    </row>
    <row r="173" spans="4:4">
      <c r="D173" s="126"/>
    </row>
    <row r="174" spans="4:4">
      <c r="D174" s="126"/>
    </row>
    <row r="175" spans="4:4">
      <c r="D175" s="126"/>
    </row>
    <row r="176" spans="4:4">
      <c r="D176" s="126"/>
    </row>
    <row r="177" spans="4:4">
      <c r="D177" s="126"/>
    </row>
    <row r="178" spans="4:4">
      <c r="D178" s="126"/>
    </row>
    <row r="179" spans="4:4">
      <c r="D179" s="126"/>
    </row>
    <row r="180" spans="4:4">
      <c r="D180" s="126"/>
    </row>
    <row r="181" spans="4:4">
      <c r="D181" s="126"/>
    </row>
    <row r="182" spans="4:4">
      <c r="D182" s="126"/>
    </row>
    <row r="183" spans="4:4">
      <c r="D183" s="126"/>
    </row>
    <row r="184" spans="4:4">
      <c r="D184" s="126"/>
    </row>
    <row r="185" spans="4:4">
      <c r="D185" s="126"/>
    </row>
    <row r="186" spans="4:4">
      <c r="D186" s="126"/>
    </row>
    <row r="187" spans="4:4">
      <c r="D187" s="126"/>
    </row>
    <row r="188" spans="4:4">
      <c r="D188" s="126"/>
    </row>
    <row r="189" spans="4:4">
      <c r="D189" s="126"/>
    </row>
    <row r="190" spans="4:4">
      <c r="D190" s="126"/>
    </row>
    <row r="191" spans="4:4">
      <c r="D191" s="126"/>
    </row>
    <row r="192" spans="4:4">
      <c r="D192" s="126"/>
    </row>
    <row r="193" spans="4:4">
      <c r="D193" s="126"/>
    </row>
    <row r="194" spans="4:4">
      <c r="D194" s="126"/>
    </row>
    <row r="195" spans="4:4">
      <c r="D195" s="126"/>
    </row>
    <row r="196" spans="4:4">
      <c r="D196" s="126"/>
    </row>
    <row r="197" spans="4:4">
      <c r="D197" s="126"/>
    </row>
    <row r="198" spans="4:4">
      <c r="D198" s="126"/>
    </row>
    <row r="199" spans="4:4">
      <c r="D199" s="126"/>
    </row>
    <row r="200" spans="4:4">
      <c r="D200" s="126"/>
    </row>
    <row r="201" spans="4:4">
      <c r="D201" s="126"/>
    </row>
    <row r="202" spans="4:4">
      <c r="D202" s="126"/>
    </row>
    <row r="203" spans="4:4">
      <c r="D203" s="126"/>
    </row>
    <row r="204" spans="4:4">
      <c r="D204" s="126"/>
    </row>
    <row r="205" spans="4:4">
      <c r="D205" s="126"/>
    </row>
    <row r="206" spans="4:4">
      <c r="D206" s="126"/>
    </row>
    <row r="207" spans="4:4">
      <c r="D207" s="126"/>
    </row>
    <row r="208" spans="4:4">
      <c r="D208" s="126"/>
    </row>
    <row r="209" spans="4:4">
      <c r="D209" s="126"/>
    </row>
    <row r="210" spans="4:4">
      <c r="D210" s="126"/>
    </row>
    <row r="211" spans="4:4">
      <c r="D211" s="126"/>
    </row>
    <row r="212" spans="4:4">
      <c r="D212" s="126"/>
    </row>
    <row r="213" spans="4:4">
      <c r="D213" s="126"/>
    </row>
    <row r="214" spans="4:4">
      <c r="D214" s="126"/>
    </row>
    <row r="215" spans="4:4">
      <c r="D215" s="126"/>
    </row>
    <row r="216" spans="4:4">
      <c r="D216" s="126"/>
    </row>
    <row r="217" spans="4:4">
      <c r="D217" s="126"/>
    </row>
    <row r="218" spans="4:4">
      <c r="D218" s="126"/>
    </row>
    <row r="219" spans="4:4">
      <c r="D219" s="126"/>
    </row>
    <row r="220" spans="4:4">
      <c r="D220" s="126"/>
    </row>
    <row r="221" spans="4:4">
      <c r="D221" s="126"/>
    </row>
    <row r="222" spans="4:4">
      <c r="D222" s="126"/>
    </row>
    <row r="223" spans="4:4">
      <c r="D223" s="126"/>
    </row>
    <row r="224" spans="4:4">
      <c r="D224" s="126"/>
    </row>
    <row r="225" spans="4:4">
      <c r="D225" s="126"/>
    </row>
    <row r="226" spans="4:4">
      <c r="D226" s="126"/>
    </row>
    <row r="227" spans="4:4">
      <c r="D227" s="126"/>
    </row>
    <row r="228" spans="4:4">
      <c r="D228" s="126"/>
    </row>
    <row r="229" spans="4:4">
      <c r="D229" s="126"/>
    </row>
    <row r="230" spans="4:4">
      <c r="D230" s="126"/>
    </row>
    <row r="231" spans="4:4">
      <c r="D231" s="126"/>
    </row>
    <row r="232" spans="4:4">
      <c r="D232" s="126"/>
    </row>
    <row r="233" spans="4:4">
      <c r="D233" s="126"/>
    </row>
    <row r="234" spans="4:4">
      <c r="D234" s="126"/>
    </row>
    <row r="235" spans="4:4">
      <c r="D235" s="126"/>
    </row>
    <row r="236" spans="4:4">
      <c r="D236" s="126"/>
    </row>
    <row r="237" spans="4:4">
      <c r="D237" s="126"/>
    </row>
    <row r="238" spans="4:4">
      <c r="D238" s="126"/>
    </row>
    <row r="239" spans="4:4">
      <c r="D239" s="126"/>
    </row>
    <row r="240" spans="4:4">
      <c r="D240" s="126"/>
    </row>
    <row r="241" spans="4:4">
      <c r="D241" s="126"/>
    </row>
    <row r="242" spans="4:4">
      <c r="D242" s="126"/>
    </row>
    <row r="243" spans="4:4">
      <c r="D243" s="126"/>
    </row>
    <row r="244" spans="4:4">
      <c r="D244" s="126"/>
    </row>
    <row r="245" spans="4:4">
      <c r="D245" s="126"/>
    </row>
    <row r="246" spans="4:4">
      <c r="D246" s="126"/>
    </row>
    <row r="247" spans="4:4">
      <c r="D247" s="126"/>
    </row>
    <row r="248" spans="4:4">
      <c r="D248" s="126"/>
    </row>
    <row r="249" spans="4:4">
      <c r="D249" s="126"/>
    </row>
    <row r="250" spans="4:4">
      <c r="D250" s="126"/>
    </row>
    <row r="251" spans="4:4">
      <c r="D251" s="126"/>
    </row>
    <row r="252" spans="4:4">
      <c r="D252" s="126"/>
    </row>
    <row r="253" spans="4:4">
      <c r="D253" s="126"/>
    </row>
    <row r="254" spans="4:4">
      <c r="D254" s="126"/>
    </row>
    <row r="255" spans="4:4">
      <c r="D255" s="126"/>
    </row>
    <row r="256" spans="4:4">
      <c r="D256" s="126"/>
    </row>
    <row r="257" spans="4:4">
      <c r="D257" s="126"/>
    </row>
    <row r="258" spans="4:4">
      <c r="D258" s="126"/>
    </row>
    <row r="259" spans="4:4">
      <c r="D259" s="126"/>
    </row>
    <row r="260" spans="4:4">
      <c r="D260" s="126"/>
    </row>
    <row r="261" spans="4:4">
      <c r="D261" s="126"/>
    </row>
    <row r="262" spans="4:4">
      <c r="D262" s="126"/>
    </row>
    <row r="263" spans="4:4">
      <c r="D263" s="126"/>
    </row>
    <row r="264" spans="4:4">
      <c r="D264" s="126"/>
    </row>
    <row r="265" spans="4:4">
      <c r="D265" s="126"/>
    </row>
    <row r="266" spans="4:4">
      <c r="D266" s="126"/>
    </row>
    <row r="267" spans="4:4">
      <c r="D267" s="126"/>
    </row>
    <row r="268" spans="4:4">
      <c r="D268" s="126"/>
    </row>
    <row r="269" spans="4:4">
      <c r="D269" s="126"/>
    </row>
    <row r="270" spans="4:4">
      <c r="D270" s="126"/>
    </row>
    <row r="271" spans="4:4">
      <c r="D271" s="126"/>
    </row>
    <row r="272" spans="4:4">
      <c r="D272" s="126"/>
    </row>
    <row r="273" spans="4:4">
      <c r="D273" s="126"/>
    </row>
    <row r="274" spans="4:4">
      <c r="D274" s="126"/>
    </row>
    <row r="275" spans="4:4">
      <c r="D275" s="126"/>
    </row>
    <row r="276" spans="4:4">
      <c r="D276" s="126"/>
    </row>
    <row r="277" spans="4:4">
      <c r="D277" s="126"/>
    </row>
    <row r="278" spans="4:4">
      <c r="D278" s="126"/>
    </row>
    <row r="279" spans="4:4">
      <c r="D279" s="126"/>
    </row>
    <row r="280" spans="4:4">
      <c r="D280" s="126"/>
    </row>
    <row r="281" spans="4:4">
      <c r="D281" s="126"/>
    </row>
    <row r="282" spans="4:4">
      <c r="D282" s="126"/>
    </row>
    <row r="283" spans="4:4">
      <c r="D283" s="126"/>
    </row>
    <row r="284" spans="4:4">
      <c r="D284" s="126"/>
    </row>
    <row r="285" spans="4:4">
      <c r="D285" s="126"/>
    </row>
    <row r="286" spans="4:4">
      <c r="D286" s="126"/>
    </row>
    <row r="287" spans="4:4">
      <c r="D287" s="126"/>
    </row>
    <row r="288" spans="4:4">
      <c r="D288" s="126"/>
    </row>
    <row r="289" spans="4:4">
      <c r="D289" s="126"/>
    </row>
    <row r="290" spans="4:4">
      <c r="D290" s="126"/>
    </row>
    <row r="291" spans="4:4">
      <c r="D291" s="126"/>
    </row>
    <row r="292" spans="4:4">
      <c r="D292" s="126"/>
    </row>
    <row r="293" spans="4:4">
      <c r="D293" s="126"/>
    </row>
    <row r="294" spans="4:4">
      <c r="D294" s="126"/>
    </row>
    <row r="295" spans="4:4">
      <c r="D295" s="126"/>
    </row>
    <row r="296" spans="4:4">
      <c r="D296" s="126"/>
    </row>
    <row r="297" spans="4:4">
      <c r="D297" s="126"/>
    </row>
    <row r="298" spans="4:4">
      <c r="D298" s="126"/>
    </row>
    <row r="299" spans="4:4">
      <c r="D299" s="126"/>
    </row>
    <row r="300" spans="4:4">
      <c r="D300" s="126"/>
    </row>
    <row r="301" spans="4:4">
      <c r="D301" s="126"/>
    </row>
    <row r="302" spans="4:4">
      <c r="D302" s="126"/>
    </row>
    <row r="303" spans="4:4">
      <c r="D303" s="126"/>
    </row>
    <row r="304" spans="4:4">
      <c r="D304" s="126"/>
    </row>
    <row r="305" spans="4:4">
      <c r="D305" s="126"/>
    </row>
    <row r="306" spans="4:4">
      <c r="D306" s="126"/>
    </row>
    <row r="307" spans="4:4">
      <c r="D307" s="126"/>
    </row>
    <row r="308" spans="4:4">
      <c r="D308" s="126"/>
    </row>
    <row r="309" spans="4:4">
      <c r="D309" s="126"/>
    </row>
    <row r="310" spans="4:4">
      <c r="D310" s="126"/>
    </row>
    <row r="311" spans="4:4">
      <c r="D311" s="126"/>
    </row>
    <row r="312" spans="4:4">
      <c r="D312" s="126"/>
    </row>
    <row r="313" spans="4:4">
      <c r="D313" s="126"/>
    </row>
    <row r="314" spans="4:4">
      <c r="D314" s="126"/>
    </row>
    <row r="315" spans="4:4">
      <c r="D315" s="126"/>
    </row>
    <row r="316" spans="4:4">
      <c r="D316" s="126"/>
    </row>
    <row r="317" spans="4:4">
      <c r="D317" s="126"/>
    </row>
    <row r="318" spans="4:4">
      <c r="D318" s="126"/>
    </row>
    <row r="319" spans="4:4">
      <c r="D319" s="126"/>
    </row>
    <row r="320" spans="4:4">
      <c r="D320" s="126"/>
    </row>
    <row r="321" spans="4:4">
      <c r="D321" s="126"/>
    </row>
    <row r="322" spans="4:4">
      <c r="D322" s="126"/>
    </row>
    <row r="323" spans="4:4">
      <c r="D323" s="126"/>
    </row>
    <row r="324" spans="4:4">
      <c r="D324" s="126"/>
    </row>
    <row r="325" spans="4:4">
      <c r="D325" s="126"/>
    </row>
    <row r="326" spans="4:4">
      <c r="D326" s="126"/>
    </row>
    <row r="327" spans="4:4">
      <c r="D327" s="126"/>
    </row>
    <row r="328" spans="4:4">
      <c r="D328" s="126"/>
    </row>
    <row r="329" spans="4:4">
      <c r="D329" s="126"/>
    </row>
    <row r="330" spans="4:4">
      <c r="D330" s="126"/>
    </row>
    <row r="331" spans="4:4">
      <c r="D331" s="126"/>
    </row>
    <row r="332" spans="4:4">
      <c r="D332" s="126"/>
    </row>
    <row r="333" spans="4:4">
      <c r="D333" s="126"/>
    </row>
    <row r="334" spans="4:4">
      <c r="D334" s="126"/>
    </row>
    <row r="335" spans="4:4">
      <c r="D335" s="126"/>
    </row>
    <row r="336" spans="4:4">
      <c r="D336" s="126"/>
    </row>
    <row r="337" spans="4:4">
      <c r="D337" s="126"/>
    </row>
    <row r="338" spans="4:4">
      <c r="D338" s="126"/>
    </row>
    <row r="339" spans="4:4">
      <c r="D339" s="126"/>
    </row>
    <row r="340" spans="4:4">
      <c r="D340" s="126"/>
    </row>
    <row r="341" spans="4:4">
      <c r="D341" s="126"/>
    </row>
    <row r="342" spans="4:4">
      <c r="D342" s="126"/>
    </row>
    <row r="343" spans="4:4">
      <c r="D343" s="126"/>
    </row>
    <row r="344" spans="4:4">
      <c r="D344" s="126"/>
    </row>
    <row r="345" spans="4:4">
      <c r="D345" s="126"/>
    </row>
    <row r="346" spans="4:4">
      <c r="D346" s="126"/>
    </row>
    <row r="347" spans="4:4">
      <c r="D347" s="126"/>
    </row>
    <row r="348" spans="4:4">
      <c r="D348" s="126"/>
    </row>
    <row r="349" spans="4:4">
      <c r="D349" s="126"/>
    </row>
    <row r="350" spans="4:4">
      <c r="D350" s="126"/>
    </row>
    <row r="351" spans="4:4">
      <c r="D351" s="126"/>
    </row>
    <row r="352" spans="4:4">
      <c r="D352" s="126"/>
    </row>
    <row r="353" spans="4:4">
      <c r="D353" s="126"/>
    </row>
    <row r="354" spans="4:4">
      <c r="D354" s="126"/>
    </row>
    <row r="355" spans="4:4">
      <c r="D355" s="126"/>
    </row>
    <row r="356" spans="4:4">
      <c r="D356" s="126"/>
    </row>
    <row r="357" spans="4:4">
      <c r="D357" s="126"/>
    </row>
    <row r="358" spans="4:4">
      <c r="D358" s="126"/>
    </row>
    <row r="359" spans="4:4">
      <c r="D359" s="126"/>
    </row>
    <row r="360" spans="4:4">
      <c r="D360" s="126"/>
    </row>
    <row r="361" spans="4:4">
      <c r="D361" s="126"/>
    </row>
    <row r="362" spans="4:4">
      <c r="D362" s="126"/>
    </row>
    <row r="363" spans="4:4">
      <c r="D363" s="126"/>
    </row>
    <row r="364" spans="4:4">
      <c r="D364" s="126"/>
    </row>
    <row r="365" spans="4:4">
      <c r="D365" s="126"/>
    </row>
    <row r="366" spans="4:4">
      <c r="D366" s="126"/>
    </row>
    <row r="367" spans="4:4">
      <c r="D367" s="126"/>
    </row>
    <row r="368" spans="4:4">
      <c r="D368" s="126"/>
    </row>
    <row r="369" spans="4:4">
      <c r="D369" s="126"/>
    </row>
    <row r="370" spans="4:4">
      <c r="D370" s="126"/>
    </row>
    <row r="371" spans="4:4">
      <c r="D371" s="126"/>
    </row>
    <row r="372" spans="4:4">
      <c r="D372" s="126"/>
    </row>
    <row r="373" spans="4:4">
      <c r="D373" s="126"/>
    </row>
    <row r="374" spans="4:4">
      <c r="D374" s="126"/>
    </row>
    <row r="375" spans="4:4">
      <c r="D375" s="126"/>
    </row>
    <row r="376" spans="4:4">
      <c r="D376" s="126"/>
    </row>
    <row r="377" spans="4:4">
      <c r="D377" s="126"/>
    </row>
    <row r="378" spans="4:4">
      <c r="D378" s="126"/>
    </row>
    <row r="379" spans="4:4">
      <c r="D379" s="126"/>
    </row>
    <row r="380" spans="4:4">
      <c r="D380" s="126"/>
    </row>
    <row r="381" spans="4:4">
      <c r="D381" s="126"/>
    </row>
    <row r="382" spans="4:4">
      <c r="D382" s="126"/>
    </row>
    <row r="383" spans="4:4">
      <c r="D383" s="126"/>
    </row>
    <row r="384" spans="4:4">
      <c r="D384" s="126"/>
    </row>
    <row r="385" spans="4:4">
      <c r="D385" s="126"/>
    </row>
    <row r="386" spans="4:4">
      <c r="D386" s="126"/>
    </row>
    <row r="387" spans="4:4">
      <c r="D387" s="126"/>
    </row>
    <row r="388" spans="4:4">
      <c r="D388" s="126"/>
    </row>
    <row r="389" spans="4:4">
      <c r="D389" s="126"/>
    </row>
    <row r="390" spans="4:4">
      <c r="D390" s="126"/>
    </row>
    <row r="391" spans="4:4">
      <c r="D391" s="126"/>
    </row>
    <row r="392" spans="4:4">
      <c r="D392" s="126"/>
    </row>
    <row r="393" spans="4:4">
      <c r="D393" s="126"/>
    </row>
    <row r="394" spans="4:4">
      <c r="D394" s="126"/>
    </row>
    <row r="395" spans="4:4">
      <c r="D395" s="126"/>
    </row>
    <row r="396" spans="4:4">
      <c r="D396" s="126"/>
    </row>
    <row r="397" spans="4:4">
      <c r="D397" s="126"/>
    </row>
    <row r="398" spans="4:4">
      <c r="D398" s="126"/>
    </row>
    <row r="399" spans="4:4">
      <c r="D399" s="126"/>
    </row>
    <row r="400" spans="4:4">
      <c r="D400" s="126"/>
    </row>
    <row r="401" spans="4:4">
      <c r="D401" s="126"/>
    </row>
    <row r="402" spans="4:4">
      <c r="D402" s="126"/>
    </row>
    <row r="403" spans="4:4">
      <c r="D403" s="126"/>
    </row>
    <row r="404" spans="4:4">
      <c r="D404" s="126"/>
    </row>
    <row r="405" spans="4:4">
      <c r="D405" s="126"/>
    </row>
    <row r="406" spans="4:4">
      <c r="D406" s="126"/>
    </row>
    <row r="407" spans="4:4">
      <c r="D407" s="126"/>
    </row>
    <row r="408" spans="4:4">
      <c r="D408" s="126"/>
    </row>
    <row r="409" spans="4:4">
      <c r="D409" s="126"/>
    </row>
    <row r="410" spans="4:4">
      <c r="D410" s="126"/>
    </row>
    <row r="411" spans="4:4">
      <c r="D411" s="126"/>
    </row>
    <row r="412" spans="4:4">
      <c r="D412" s="126"/>
    </row>
    <row r="413" spans="4:4">
      <c r="D413" s="126"/>
    </row>
    <row r="414" spans="4:4">
      <c r="D414" s="126"/>
    </row>
    <row r="415" spans="4:4">
      <c r="D415" s="126"/>
    </row>
    <row r="416" spans="4:4">
      <c r="D416" s="126"/>
    </row>
    <row r="417" spans="4:4">
      <c r="D417" s="126"/>
    </row>
    <row r="418" spans="4:4">
      <c r="D418" s="126"/>
    </row>
    <row r="419" spans="4:4">
      <c r="D419" s="126"/>
    </row>
    <row r="420" spans="4:4">
      <c r="D420" s="126"/>
    </row>
    <row r="421" spans="4:4">
      <c r="D421" s="126"/>
    </row>
    <row r="422" spans="4:4">
      <c r="D422" s="126"/>
    </row>
    <row r="423" spans="4:4">
      <c r="D423" s="126"/>
    </row>
    <row r="424" spans="4:4">
      <c r="D424" s="126"/>
    </row>
    <row r="425" spans="4:4">
      <c r="D425" s="126"/>
    </row>
    <row r="426" spans="4:4">
      <c r="D426" s="126"/>
    </row>
    <row r="427" spans="4:4">
      <c r="D427" s="126"/>
    </row>
    <row r="428" spans="4:4">
      <c r="D428" s="126"/>
    </row>
    <row r="429" spans="4:4">
      <c r="D429" s="126"/>
    </row>
    <row r="430" spans="4:4">
      <c r="D430" s="126"/>
    </row>
    <row r="431" spans="4:4">
      <c r="D431" s="126"/>
    </row>
    <row r="432" spans="4:4">
      <c r="D432" s="126"/>
    </row>
    <row r="433" spans="4:4">
      <c r="D433" s="126"/>
    </row>
    <row r="434" spans="4:4">
      <c r="D434" s="126"/>
    </row>
    <row r="435" spans="4:4">
      <c r="D435" s="126"/>
    </row>
    <row r="436" spans="4:4">
      <c r="D436" s="126"/>
    </row>
    <row r="437" spans="4:4">
      <c r="D437" s="126"/>
    </row>
    <row r="438" spans="4:4">
      <c r="D438" s="126"/>
    </row>
    <row r="439" spans="4:4">
      <c r="D439" s="126"/>
    </row>
    <row r="440" spans="4:4">
      <c r="D440" s="126"/>
    </row>
    <row r="441" spans="4:4">
      <c r="D441" s="126"/>
    </row>
    <row r="442" spans="4:4">
      <c r="D442" s="126"/>
    </row>
    <row r="443" spans="4:4">
      <c r="D443" s="126"/>
    </row>
    <row r="444" spans="4:4">
      <c r="D444" s="126"/>
    </row>
    <row r="445" spans="4:4">
      <c r="D445" s="126"/>
    </row>
    <row r="446" spans="4:4">
      <c r="D446" s="126"/>
    </row>
    <row r="447" spans="4:4">
      <c r="D447" s="126"/>
    </row>
    <row r="448" spans="4:4">
      <c r="D448" s="126"/>
    </row>
    <row r="449" spans="4:4">
      <c r="D449" s="126"/>
    </row>
    <row r="450" spans="4:4">
      <c r="D450" s="126"/>
    </row>
    <row r="451" spans="4:4">
      <c r="D451" s="126"/>
    </row>
    <row r="452" spans="4:4">
      <c r="D452" s="126"/>
    </row>
    <row r="453" spans="4:4">
      <c r="D453" s="126"/>
    </row>
    <row r="454" spans="4:4">
      <c r="D454" s="126"/>
    </row>
    <row r="455" spans="4:4">
      <c r="D455" s="126"/>
    </row>
    <row r="456" spans="4:4">
      <c r="D456" s="126"/>
    </row>
    <row r="457" spans="4:4">
      <c r="D457" s="126"/>
    </row>
    <row r="458" spans="4:4">
      <c r="D458" s="126"/>
    </row>
    <row r="459" spans="4:4">
      <c r="D459" s="126"/>
    </row>
    <row r="460" spans="4:4">
      <c r="D460" s="126"/>
    </row>
    <row r="461" spans="4:4">
      <c r="D461" s="126"/>
    </row>
    <row r="462" spans="4:4">
      <c r="D462" s="126"/>
    </row>
    <row r="463" spans="4:4">
      <c r="D463" s="126"/>
    </row>
    <row r="464" spans="4:4">
      <c r="D464" s="126"/>
    </row>
    <row r="465" spans="4:4">
      <c r="D465" s="126"/>
    </row>
    <row r="466" spans="4:4">
      <c r="D466" s="126"/>
    </row>
    <row r="467" spans="4:4">
      <c r="D467" s="126"/>
    </row>
    <row r="468" spans="4:4">
      <c r="D468" s="126"/>
    </row>
    <row r="469" spans="4:4">
      <c r="D469" s="126"/>
    </row>
    <row r="470" spans="4:4">
      <c r="D470" s="126"/>
    </row>
    <row r="471" spans="4:4">
      <c r="D471" s="126"/>
    </row>
    <row r="472" spans="4:4">
      <c r="D472" s="126"/>
    </row>
    <row r="473" spans="4:4">
      <c r="D473" s="126"/>
    </row>
    <row r="474" spans="4:4">
      <c r="D474" s="126"/>
    </row>
    <row r="475" spans="4:4">
      <c r="D475" s="126"/>
    </row>
    <row r="476" spans="4:4">
      <c r="D476" s="126"/>
    </row>
    <row r="477" spans="4:4">
      <c r="D477" s="126"/>
    </row>
    <row r="478" spans="4:4">
      <c r="D478" s="126"/>
    </row>
    <row r="479" spans="4:4">
      <c r="D479" s="126"/>
    </row>
    <row r="480" spans="4:4">
      <c r="D480" s="126"/>
    </row>
    <row r="481" spans="4:4">
      <c r="D481" s="126"/>
    </row>
    <row r="482" spans="4:4">
      <c r="D482" s="126"/>
    </row>
    <row r="483" spans="4:4">
      <c r="D483" s="126"/>
    </row>
    <row r="484" spans="4:4">
      <c r="D484" s="126"/>
    </row>
    <row r="485" spans="4:4">
      <c r="D485" s="126"/>
    </row>
    <row r="486" spans="4:4">
      <c r="D486" s="126"/>
    </row>
    <row r="487" spans="4:4">
      <c r="D487" s="126"/>
    </row>
    <row r="488" spans="4:4">
      <c r="D488" s="126"/>
    </row>
    <row r="489" spans="4:4">
      <c r="D489" s="126"/>
    </row>
    <row r="490" spans="4:4">
      <c r="D490" s="126"/>
    </row>
    <row r="491" spans="4:4">
      <c r="D491" s="126"/>
    </row>
    <row r="492" spans="4:4">
      <c r="D492" s="126"/>
    </row>
    <row r="493" spans="4:4">
      <c r="D493" s="126"/>
    </row>
    <row r="494" spans="4:4">
      <c r="D494" s="126"/>
    </row>
    <row r="495" spans="4:4">
      <c r="D495" s="126"/>
    </row>
    <row r="496" spans="4:4">
      <c r="D496" s="126"/>
    </row>
    <row r="497" spans="4:4">
      <c r="D497" s="126"/>
    </row>
    <row r="498" spans="4:4">
      <c r="D498" s="126"/>
    </row>
    <row r="499" spans="4:4">
      <c r="D499" s="126"/>
    </row>
    <row r="500" spans="4:4">
      <c r="D500" s="126"/>
    </row>
    <row r="501" spans="4:4">
      <c r="D501" s="126"/>
    </row>
    <row r="502" spans="4:4">
      <c r="D502" s="126"/>
    </row>
    <row r="503" spans="4:4">
      <c r="D503" s="126"/>
    </row>
    <row r="504" spans="4:4">
      <c r="D504" s="126"/>
    </row>
    <row r="505" spans="4:4">
      <c r="D505" s="126"/>
    </row>
    <row r="506" spans="4:4">
      <c r="D506" s="126"/>
    </row>
    <row r="507" spans="4:4">
      <c r="D507" s="126"/>
    </row>
    <row r="508" spans="4:4">
      <c r="D508" s="126"/>
    </row>
    <row r="509" spans="4:4">
      <c r="D509" s="126"/>
    </row>
    <row r="510" spans="4:4">
      <c r="D510" s="126"/>
    </row>
    <row r="511" spans="4:4">
      <c r="D511" s="126"/>
    </row>
    <row r="512" spans="4:4">
      <c r="D512" s="126"/>
    </row>
    <row r="513" spans="4:4">
      <c r="D513" s="126"/>
    </row>
    <row r="514" spans="4:4">
      <c r="D514" s="126"/>
    </row>
    <row r="515" spans="4:4">
      <c r="D515" s="126"/>
    </row>
    <row r="516" spans="4:4">
      <c r="D516" s="126"/>
    </row>
    <row r="517" spans="4:4">
      <c r="D517" s="126"/>
    </row>
    <row r="518" spans="4:4">
      <c r="D518" s="126"/>
    </row>
    <row r="519" spans="4:4">
      <c r="D519" s="126"/>
    </row>
    <row r="520" spans="4:4">
      <c r="D520" s="126"/>
    </row>
    <row r="521" spans="4:4">
      <c r="D521" s="126"/>
    </row>
    <row r="522" spans="4:4">
      <c r="D522" s="126"/>
    </row>
    <row r="523" spans="4:4">
      <c r="D523" s="126"/>
    </row>
    <row r="524" spans="4:4">
      <c r="D524" s="126"/>
    </row>
    <row r="525" spans="4:4">
      <c r="D525" s="126"/>
    </row>
    <row r="526" spans="4:4">
      <c r="D526" s="126"/>
    </row>
    <row r="527" spans="4:4">
      <c r="D527" s="126"/>
    </row>
    <row r="528" spans="4:4">
      <c r="D528" s="126"/>
    </row>
    <row r="529" spans="4:4">
      <c r="D529" s="126"/>
    </row>
    <row r="530" spans="4:4">
      <c r="D530" s="126"/>
    </row>
    <row r="531" spans="4:4">
      <c r="D531" s="126"/>
    </row>
    <row r="532" spans="4:4">
      <c r="D532" s="121"/>
    </row>
    <row r="533" spans="4:4">
      <c r="D533" s="121"/>
    </row>
    <row r="534" spans="4:4">
      <c r="D534" s="121"/>
    </row>
    <row r="535" spans="4:4">
      <c r="D535" s="121"/>
    </row>
    <row r="536" spans="4:4">
      <c r="D536" s="121"/>
    </row>
    <row r="537" spans="4:4">
      <c r="D537" s="121"/>
    </row>
    <row r="538" spans="4:4">
      <c r="D538" s="121"/>
    </row>
    <row r="539" spans="4:4">
      <c r="D539" s="121"/>
    </row>
    <row r="540" spans="4:4">
      <c r="D540" s="121"/>
    </row>
    <row r="541" spans="4:4">
      <c r="D541" s="121"/>
    </row>
    <row r="542" spans="4:4">
      <c r="D542" s="121"/>
    </row>
    <row r="543" spans="4:4">
      <c r="D543" s="121"/>
    </row>
    <row r="544" spans="4:4">
      <c r="D544" s="121"/>
    </row>
    <row r="545" spans="4:4">
      <c r="D545" s="121"/>
    </row>
    <row r="546" spans="4:4">
      <c r="D546" s="121"/>
    </row>
    <row r="547" spans="4:4">
      <c r="D547" s="121"/>
    </row>
    <row r="548" spans="4:4">
      <c r="D548" s="121"/>
    </row>
    <row r="549" spans="4:4">
      <c r="D549" s="121"/>
    </row>
    <row r="550" spans="4:4">
      <c r="D550" s="121"/>
    </row>
    <row r="551" spans="4:4">
      <c r="D551" s="121"/>
    </row>
    <row r="552" spans="4:4">
      <c r="D552" s="121"/>
    </row>
    <row r="553" spans="4:4">
      <c r="D553" s="121"/>
    </row>
    <row r="554" spans="4:4">
      <c r="D554" s="121"/>
    </row>
    <row r="555" spans="4:4">
      <c r="D555" s="121"/>
    </row>
    <row r="556" spans="4:4">
      <c r="D556" s="121"/>
    </row>
    <row r="557" spans="4:4">
      <c r="D557" s="121"/>
    </row>
    <row r="558" spans="4:4">
      <c r="D558" s="121"/>
    </row>
    <row r="559" spans="4:4">
      <c r="D559" s="121"/>
    </row>
    <row r="560" spans="4:4">
      <c r="D560" s="121"/>
    </row>
    <row r="561" spans="4:4">
      <c r="D561" s="121"/>
    </row>
    <row r="562" spans="4:4">
      <c r="D562" s="121"/>
    </row>
    <row r="563" spans="4:4">
      <c r="D563" s="121"/>
    </row>
    <row r="564" spans="4:4">
      <c r="D564" s="121"/>
    </row>
    <row r="565" spans="4:4">
      <c r="D565" s="121"/>
    </row>
    <row r="566" spans="4:4">
      <c r="D566" s="121"/>
    </row>
    <row r="567" spans="4:4">
      <c r="D567" s="121"/>
    </row>
    <row r="568" spans="4:4">
      <c r="D568" s="121"/>
    </row>
    <row r="569" spans="4:4">
      <c r="D569" s="121"/>
    </row>
    <row r="570" spans="4:4">
      <c r="D570" s="121"/>
    </row>
    <row r="571" spans="4:4">
      <c r="D571" s="121"/>
    </row>
    <row r="572" spans="4:4">
      <c r="D572" s="121"/>
    </row>
    <row r="573" spans="4:4">
      <c r="D573" s="121"/>
    </row>
    <row r="574" spans="4:4">
      <c r="D574" s="121"/>
    </row>
    <row r="575" spans="4:4">
      <c r="D575" s="121"/>
    </row>
    <row r="576" spans="4:4">
      <c r="D576" s="121"/>
    </row>
    <row r="577" spans="4:4">
      <c r="D577" s="121"/>
    </row>
    <row r="578" spans="4:4">
      <c r="D578" s="121"/>
    </row>
    <row r="579" spans="4:4">
      <c r="D579" s="121"/>
    </row>
    <row r="580" spans="4:4">
      <c r="D580" s="121"/>
    </row>
    <row r="581" spans="4:4">
      <c r="D581" s="121"/>
    </row>
    <row r="582" spans="4:4">
      <c r="D582" s="121"/>
    </row>
    <row r="583" spans="4:4">
      <c r="D583" s="121"/>
    </row>
    <row r="584" spans="4:4">
      <c r="D584" s="121"/>
    </row>
    <row r="585" spans="4:4">
      <c r="D585" s="121"/>
    </row>
    <row r="586" spans="4:4">
      <c r="D586" s="121"/>
    </row>
    <row r="587" spans="4:4">
      <c r="D587" s="121"/>
    </row>
    <row r="588" spans="4:4">
      <c r="D588" s="121"/>
    </row>
    <row r="589" spans="4:4">
      <c r="D589" s="121"/>
    </row>
    <row r="590" spans="4:4">
      <c r="D590" s="121"/>
    </row>
    <row r="591" spans="4:4">
      <c r="D591" s="121"/>
    </row>
    <row r="592" spans="4:4">
      <c r="D592" s="121"/>
    </row>
    <row r="593" spans="4:4">
      <c r="D593" s="121"/>
    </row>
    <row r="594" spans="4:4">
      <c r="D594" s="121"/>
    </row>
    <row r="595" spans="4:4">
      <c r="D595" s="121"/>
    </row>
    <row r="596" spans="4:4">
      <c r="D596" s="121"/>
    </row>
    <row r="597" spans="4:4">
      <c r="D597" s="121"/>
    </row>
    <row r="598" spans="4:4">
      <c r="D598" s="121"/>
    </row>
    <row r="599" spans="4:4">
      <c r="D599" s="121"/>
    </row>
    <row r="600" spans="4:4">
      <c r="D600" s="121"/>
    </row>
    <row r="601" spans="4:4">
      <c r="D601" s="121"/>
    </row>
    <row r="602" spans="4:4">
      <c r="D602" s="121"/>
    </row>
    <row r="603" spans="4:4">
      <c r="D603" s="121"/>
    </row>
    <row r="604" spans="4:4">
      <c r="D604" s="121"/>
    </row>
    <row r="605" spans="4:4">
      <c r="D605" s="121"/>
    </row>
    <row r="606" spans="4:4">
      <c r="D606" s="121"/>
    </row>
    <row r="607" spans="4:4">
      <c r="D607" s="121"/>
    </row>
    <row r="608" spans="4:4">
      <c r="D608" s="121"/>
    </row>
    <row r="609" spans="4:4">
      <c r="D609" s="121"/>
    </row>
    <row r="610" spans="4:4">
      <c r="D610" s="121"/>
    </row>
    <row r="611" spans="4:4">
      <c r="D611" s="121"/>
    </row>
    <row r="612" spans="4:4">
      <c r="D612" s="121"/>
    </row>
    <row r="613" spans="4:4">
      <c r="D613" s="121"/>
    </row>
    <row r="614" spans="4:4">
      <c r="D614" s="121"/>
    </row>
    <row r="615" spans="4:4">
      <c r="D615" s="121"/>
    </row>
    <row r="616" spans="4:4">
      <c r="D616" s="121"/>
    </row>
    <row r="617" spans="4:4">
      <c r="D617" s="121"/>
    </row>
    <row r="618" spans="4:4">
      <c r="D618" s="121"/>
    </row>
    <row r="619" spans="4:4">
      <c r="D619" s="121"/>
    </row>
    <row r="620" spans="4:4">
      <c r="D620" s="121"/>
    </row>
    <row r="621" spans="4:4">
      <c r="D621" s="121"/>
    </row>
    <row r="622" spans="4:4">
      <c r="D622" s="121"/>
    </row>
    <row r="623" spans="4:4">
      <c r="D623" s="121"/>
    </row>
    <row r="624" spans="4:4">
      <c r="D624" s="121"/>
    </row>
    <row r="625" spans="4:4">
      <c r="D625" s="121"/>
    </row>
    <row r="626" spans="4:4">
      <c r="D626" s="121"/>
    </row>
    <row r="627" spans="4:4">
      <c r="D627" s="121"/>
    </row>
    <row r="628" spans="4:4">
      <c r="D628" s="121"/>
    </row>
    <row r="629" spans="4:4">
      <c r="D629" s="121"/>
    </row>
    <row r="630" spans="4:4">
      <c r="D630" s="121"/>
    </row>
    <row r="631" spans="4:4">
      <c r="D631" s="121"/>
    </row>
    <row r="632" spans="4:4">
      <c r="D632" s="121"/>
    </row>
    <row r="633" spans="4:4">
      <c r="D633" s="121"/>
    </row>
    <row r="634" spans="4:4">
      <c r="D634" s="121"/>
    </row>
    <row r="635" spans="4:4">
      <c r="D635" s="121"/>
    </row>
    <row r="636" spans="4:4">
      <c r="D636" s="121"/>
    </row>
    <row r="637" spans="4:4">
      <c r="D637" s="121"/>
    </row>
    <row r="638" spans="4:4">
      <c r="D638" s="121"/>
    </row>
    <row r="639" spans="4:4">
      <c r="D639" s="121"/>
    </row>
    <row r="640" spans="4:4">
      <c r="D640" s="121"/>
    </row>
    <row r="641" spans="4:4">
      <c r="D641" s="121"/>
    </row>
    <row r="642" spans="4:4">
      <c r="D642" s="121"/>
    </row>
    <row r="643" spans="4:4">
      <c r="D643" s="121"/>
    </row>
    <row r="644" spans="4:4">
      <c r="D644" s="121"/>
    </row>
    <row r="645" spans="4:4">
      <c r="D645" s="121"/>
    </row>
    <row r="646" spans="4:4">
      <c r="D646" s="121"/>
    </row>
    <row r="647" spans="4:4">
      <c r="D647" s="121"/>
    </row>
    <row r="648" spans="4:4">
      <c r="D648" s="121"/>
    </row>
    <row r="649" spans="4:4">
      <c r="D649" s="121"/>
    </row>
    <row r="650" spans="4:4">
      <c r="D650" s="121"/>
    </row>
    <row r="651" spans="4:4">
      <c r="D651" s="121"/>
    </row>
    <row r="652" spans="4:4">
      <c r="D652" s="121"/>
    </row>
    <row r="653" spans="4:4">
      <c r="D653" s="121"/>
    </row>
    <row r="654" spans="4:4">
      <c r="D654" s="121"/>
    </row>
    <row r="655" spans="4:4">
      <c r="D655" s="121"/>
    </row>
    <row r="656" spans="4:4">
      <c r="D656" s="121"/>
    </row>
    <row r="657" spans="4:4">
      <c r="D657" s="121"/>
    </row>
    <row r="658" spans="4:4">
      <c r="D658" s="121"/>
    </row>
    <row r="659" spans="4:4">
      <c r="D659" s="121"/>
    </row>
    <row r="660" spans="4:4">
      <c r="D660" s="121"/>
    </row>
    <row r="661" spans="4:4">
      <c r="D661" s="121"/>
    </row>
    <row r="662" spans="4:4">
      <c r="D662" s="121"/>
    </row>
    <row r="663" spans="4:4">
      <c r="D663" s="121"/>
    </row>
    <row r="664" spans="4:4">
      <c r="D664" s="121"/>
    </row>
    <row r="665" spans="4:4">
      <c r="D665" s="121"/>
    </row>
    <row r="666" spans="4:4">
      <c r="D666" s="121"/>
    </row>
    <row r="667" spans="4:4">
      <c r="D667" s="121"/>
    </row>
    <row r="668" spans="4:4">
      <c r="D668" s="121"/>
    </row>
    <row r="669" spans="4:4">
      <c r="D669" s="121"/>
    </row>
    <row r="670" spans="4:4">
      <c r="D670" s="121"/>
    </row>
    <row r="671" spans="4:4">
      <c r="D671" s="121"/>
    </row>
    <row r="672" spans="4:4">
      <c r="D672" s="121"/>
    </row>
    <row r="673" spans="4:4">
      <c r="D673" s="121"/>
    </row>
    <row r="674" spans="4:4">
      <c r="D674" s="121"/>
    </row>
    <row r="675" spans="4:4">
      <c r="D675" s="121"/>
    </row>
    <row r="676" spans="4:4">
      <c r="D676" s="121"/>
    </row>
    <row r="677" spans="4:4">
      <c r="D677" s="121"/>
    </row>
    <row r="678" spans="4:4">
      <c r="D678" s="121"/>
    </row>
    <row r="679" spans="4:4">
      <c r="D679" s="121"/>
    </row>
    <row r="680" spans="4:4">
      <c r="D680" s="121"/>
    </row>
    <row r="681" spans="4:4">
      <c r="D681" s="121"/>
    </row>
    <row r="682" spans="4:4">
      <c r="D682" s="121"/>
    </row>
    <row r="683" spans="4:4">
      <c r="D683" s="121"/>
    </row>
    <row r="684" spans="4:4">
      <c r="D684" s="121"/>
    </row>
    <row r="685" spans="4:4">
      <c r="D685" s="121"/>
    </row>
    <row r="686" spans="4:4">
      <c r="D686" s="121"/>
    </row>
    <row r="687" spans="4:4">
      <c r="D687" s="121"/>
    </row>
    <row r="688" spans="4:4">
      <c r="D688" s="121"/>
    </row>
    <row r="689" spans="4:4">
      <c r="D689" s="121"/>
    </row>
    <row r="690" spans="4:4">
      <c r="D690" s="121"/>
    </row>
    <row r="691" spans="4:4">
      <c r="D691" s="121"/>
    </row>
    <row r="692" spans="4:4">
      <c r="D692" s="121"/>
    </row>
    <row r="693" spans="4:4">
      <c r="D693" s="121"/>
    </row>
    <row r="694" spans="4:4">
      <c r="D694" s="121"/>
    </row>
    <row r="695" spans="4:4">
      <c r="D695" s="121"/>
    </row>
    <row r="696" spans="4:4">
      <c r="D696" s="121"/>
    </row>
    <row r="697" spans="4:4">
      <c r="D697" s="121"/>
    </row>
    <row r="698" spans="4:4">
      <c r="D698" s="121"/>
    </row>
    <row r="699" spans="4:4">
      <c r="D699" s="121"/>
    </row>
    <row r="700" spans="4:4">
      <c r="D700" s="121"/>
    </row>
    <row r="701" spans="4:4">
      <c r="D701" s="121"/>
    </row>
    <row r="702" spans="4:4">
      <c r="D702" s="121"/>
    </row>
    <row r="703" spans="4:4">
      <c r="D703" s="121"/>
    </row>
    <row r="704" spans="4:4">
      <c r="D704" s="121"/>
    </row>
    <row r="705" spans="4:4">
      <c r="D705" s="121"/>
    </row>
    <row r="706" spans="4:4">
      <c r="D706" s="121"/>
    </row>
    <row r="707" spans="4:4">
      <c r="D707" s="121"/>
    </row>
    <row r="708" spans="4:4">
      <c r="D708" s="121"/>
    </row>
    <row r="709" spans="4:4">
      <c r="D709" s="121"/>
    </row>
    <row r="710" spans="4:4">
      <c r="D710" s="121"/>
    </row>
    <row r="711" spans="4:4">
      <c r="D711" s="121"/>
    </row>
    <row r="712" spans="4:4">
      <c r="D712" s="121"/>
    </row>
    <row r="713" spans="4:4">
      <c r="D713" s="121"/>
    </row>
    <row r="714" spans="4:4">
      <c r="D714" s="121"/>
    </row>
    <row r="715" spans="4:4">
      <c r="D715" s="121"/>
    </row>
    <row r="716" spans="4:4">
      <c r="D716" s="121"/>
    </row>
    <row r="717" spans="4:4">
      <c r="D717" s="121"/>
    </row>
    <row r="718" spans="4:4">
      <c r="D718" s="121"/>
    </row>
    <row r="719" spans="4:4">
      <c r="D719" s="121"/>
    </row>
    <row r="720" spans="4:4">
      <c r="D720" s="121"/>
    </row>
    <row r="721" spans="4:4">
      <c r="D721" s="121"/>
    </row>
    <row r="722" spans="4:4">
      <c r="D722" s="121"/>
    </row>
    <row r="723" spans="4:4">
      <c r="D723" s="121"/>
    </row>
    <row r="724" spans="4:4">
      <c r="D724" s="121"/>
    </row>
    <row r="725" spans="4:4">
      <c r="D725" s="121"/>
    </row>
    <row r="726" spans="4:4">
      <c r="D726" s="121"/>
    </row>
    <row r="727" spans="4:4">
      <c r="D727" s="121"/>
    </row>
    <row r="728" spans="4:4">
      <c r="D728" s="121"/>
    </row>
    <row r="729" spans="4:4">
      <c r="D729" s="121"/>
    </row>
    <row r="730" spans="4:4">
      <c r="D730" s="121"/>
    </row>
    <row r="731" spans="4:4">
      <c r="D731" s="121"/>
    </row>
    <row r="732" spans="4:4">
      <c r="D732" s="121"/>
    </row>
    <row r="733" spans="4:4">
      <c r="D733" s="121"/>
    </row>
    <row r="734" spans="4:4">
      <c r="D734" s="121"/>
    </row>
    <row r="735" spans="4:4">
      <c r="D735" s="121"/>
    </row>
    <row r="736" spans="4:4">
      <c r="D736" s="121"/>
    </row>
    <row r="737" spans="4:4">
      <c r="D737" s="121"/>
    </row>
    <row r="738" spans="4:4">
      <c r="D738" s="121"/>
    </row>
    <row r="739" spans="4:4">
      <c r="D739" s="121"/>
    </row>
    <row r="740" spans="4:4">
      <c r="D740" s="121"/>
    </row>
    <row r="741" spans="4:4">
      <c r="D741" s="121"/>
    </row>
    <row r="742" spans="4:4">
      <c r="D742" s="121"/>
    </row>
    <row r="743" spans="4:4">
      <c r="D743" s="121"/>
    </row>
    <row r="744" spans="4:4">
      <c r="D744" s="121"/>
    </row>
    <row r="745" spans="4:4">
      <c r="D745" s="121"/>
    </row>
    <row r="746" spans="4:4">
      <c r="D746" s="121"/>
    </row>
    <row r="747" spans="4:4">
      <c r="D747" s="121"/>
    </row>
    <row r="748" spans="4:4">
      <c r="D748" s="121"/>
    </row>
    <row r="749" spans="4:4">
      <c r="D749" s="121"/>
    </row>
    <row r="750" spans="4:4">
      <c r="D750" s="121"/>
    </row>
    <row r="751" spans="4:4">
      <c r="D751" s="121"/>
    </row>
    <row r="752" spans="4:4">
      <c r="D752" s="121"/>
    </row>
    <row r="753" spans="4:4">
      <c r="D753" s="121"/>
    </row>
    <row r="754" spans="4:4">
      <c r="D754" s="121"/>
    </row>
    <row r="755" spans="4:4">
      <c r="D755" s="121"/>
    </row>
    <row r="756" spans="4:4">
      <c r="D756" s="121"/>
    </row>
    <row r="757" spans="4:4">
      <c r="D757" s="121"/>
    </row>
    <row r="758" spans="4:4">
      <c r="D758" s="121"/>
    </row>
    <row r="759" spans="4:4">
      <c r="D759" s="121"/>
    </row>
    <row r="760" spans="4:4">
      <c r="D760" s="121"/>
    </row>
    <row r="761" spans="4:4">
      <c r="D761" s="121"/>
    </row>
    <row r="762" spans="4:4">
      <c r="D762" s="121"/>
    </row>
    <row r="763" spans="4:4">
      <c r="D763" s="121"/>
    </row>
    <row r="764" spans="4:4">
      <c r="D764" s="121"/>
    </row>
    <row r="765" spans="4:4">
      <c r="D765" s="121"/>
    </row>
    <row r="766" spans="4:4">
      <c r="D766" s="121"/>
    </row>
    <row r="767" spans="4:4">
      <c r="D767" s="121"/>
    </row>
    <row r="768" spans="4:4">
      <c r="D768" s="121"/>
    </row>
    <row r="769" spans="4:4">
      <c r="D769" s="121"/>
    </row>
    <row r="770" spans="4:4">
      <c r="D770" s="121"/>
    </row>
    <row r="771" spans="4:4">
      <c r="D771" s="121"/>
    </row>
    <row r="772" spans="4:4">
      <c r="D772" s="121"/>
    </row>
    <row r="773" spans="4:4">
      <c r="D773" s="121"/>
    </row>
    <row r="774" spans="4:4">
      <c r="D774" s="121"/>
    </row>
    <row r="775" spans="4:4">
      <c r="D775" s="121"/>
    </row>
    <row r="776" spans="4:4">
      <c r="D776" s="121"/>
    </row>
    <row r="777" spans="4:4">
      <c r="D777" s="121"/>
    </row>
    <row r="778" spans="4:4">
      <c r="D778" s="121"/>
    </row>
    <row r="779" spans="4:4">
      <c r="D779" s="121"/>
    </row>
    <row r="780" spans="4:4">
      <c r="D780" s="121"/>
    </row>
    <row r="781" spans="4:4">
      <c r="D781" s="121"/>
    </row>
    <row r="782" spans="4:4">
      <c r="D782" s="121"/>
    </row>
    <row r="783" spans="4:4">
      <c r="D783" s="121"/>
    </row>
    <row r="784" spans="4:4">
      <c r="D784" s="121"/>
    </row>
    <row r="785" spans="4:4">
      <c r="D785" s="121"/>
    </row>
    <row r="786" spans="4:4">
      <c r="D786" s="121"/>
    </row>
    <row r="787" spans="4:4">
      <c r="D787" s="121"/>
    </row>
    <row r="788" spans="4:4">
      <c r="D788" s="121"/>
    </row>
    <row r="789" spans="4:4">
      <c r="D789" s="121"/>
    </row>
    <row r="790" spans="4:4">
      <c r="D790" s="121"/>
    </row>
    <row r="791" spans="4:4">
      <c r="D791" s="121"/>
    </row>
    <row r="792" spans="4:4">
      <c r="D792" s="121"/>
    </row>
    <row r="793" spans="4:4">
      <c r="D793" s="121"/>
    </row>
    <row r="794" spans="4:4">
      <c r="D794" s="121"/>
    </row>
    <row r="795" spans="4:4">
      <c r="D795" s="121"/>
    </row>
    <row r="796" spans="4:4">
      <c r="D796" s="121"/>
    </row>
    <row r="797" spans="4:4">
      <c r="D797" s="121"/>
    </row>
    <row r="798" spans="4:4">
      <c r="D798" s="121"/>
    </row>
    <row r="799" spans="4:4">
      <c r="D799" s="121"/>
    </row>
    <row r="800" spans="4:4">
      <c r="D800" s="121"/>
    </row>
    <row r="801" spans="4:4">
      <c r="D801" s="121"/>
    </row>
    <row r="802" spans="4:4">
      <c r="D802" s="121"/>
    </row>
    <row r="803" spans="4:4">
      <c r="D803" s="121"/>
    </row>
    <row r="804" spans="4:4">
      <c r="D804" s="121"/>
    </row>
    <row r="805" spans="4:4">
      <c r="D805" s="121"/>
    </row>
    <row r="806" spans="4:4">
      <c r="D806" s="121"/>
    </row>
    <row r="807" spans="4:4">
      <c r="D807" s="121"/>
    </row>
    <row r="808" spans="4:4">
      <c r="D808" s="121"/>
    </row>
    <row r="809" spans="4:4">
      <c r="D809" s="121"/>
    </row>
    <row r="810" spans="4:4">
      <c r="D810" s="121"/>
    </row>
    <row r="811" spans="4:4">
      <c r="D811" s="121"/>
    </row>
    <row r="812" spans="4:4">
      <c r="D812" s="121"/>
    </row>
    <row r="813" spans="4:4">
      <c r="D813" s="121"/>
    </row>
    <row r="814" spans="4:4">
      <c r="D814" s="121"/>
    </row>
    <row r="815" spans="4:4">
      <c r="D815" s="121"/>
    </row>
    <row r="816" spans="4:4">
      <c r="D816" s="121"/>
    </row>
    <row r="817" spans="4:4">
      <c r="D817" s="121"/>
    </row>
    <row r="818" spans="4:4">
      <c r="D818" s="121"/>
    </row>
    <row r="819" spans="4:4">
      <c r="D819" s="121"/>
    </row>
    <row r="820" spans="4:4">
      <c r="D820" s="121"/>
    </row>
    <row r="821" spans="4:4">
      <c r="D821" s="121"/>
    </row>
    <row r="822" spans="4:4">
      <c r="D822" s="121"/>
    </row>
    <row r="823" spans="4:4">
      <c r="D823" s="121"/>
    </row>
    <row r="824" spans="4:4">
      <c r="D824" s="121"/>
    </row>
    <row r="825" spans="4:4">
      <c r="D825" s="121"/>
    </row>
    <row r="826" spans="4:4">
      <c r="D826" s="121"/>
    </row>
    <row r="827" spans="4:4">
      <c r="D827" s="121"/>
    </row>
    <row r="828" spans="4:4">
      <c r="D828" s="121"/>
    </row>
    <row r="829" spans="4:4">
      <c r="D829" s="121"/>
    </row>
    <row r="830" spans="4:4">
      <c r="D830" s="121"/>
    </row>
    <row r="831" spans="4:4">
      <c r="D831" s="121"/>
    </row>
    <row r="832" spans="4:4">
      <c r="D832" s="121"/>
    </row>
    <row r="833" spans="4:4">
      <c r="D833" s="121"/>
    </row>
    <row r="834" spans="4:4">
      <c r="D834" s="121"/>
    </row>
    <row r="835" spans="4:4">
      <c r="D835" s="121"/>
    </row>
    <row r="836" spans="4:4">
      <c r="D836" s="121"/>
    </row>
    <row r="837" spans="4:4">
      <c r="D837" s="121"/>
    </row>
    <row r="838" spans="4:4">
      <c r="D838" s="121"/>
    </row>
    <row r="839" spans="4:4">
      <c r="D839" s="121"/>
    </row>
    <row r="840" spans="4:4">
      <c r="D840" s="121"/>
    </row>
    <row r="841" spans="4:4">
      <c r="D841" s="121"/>
    </row>
    <row r="842" spans="4:4">
      <c r="D842" s="121"/>
    </row>
    <row r="843" spans="4:4">
      <c r="D843" s="121"/>
    </row>
    <row r="844" spans="4:4">
      <c r="D844" s="121"/>
    </row>
    <row r="845" spans="4:4">
      <c r="D845" s="121"/>
    </row>
    <row r="846" spans="4:4">
      <c r="D846" s="121"/>
    </row>
    <row r="847" spans="4:4">
      <c r="D847" s="121"/>
    </row>
    <row r="848" spans="4:4">
      <c r="D848" s="121"/>
    </row>
    <row r="849" spans="4:4">
      <c r="D849" s="121"/>
    </row>
    <row r="850" spans="4:4">
      <c r="D850" s="121"/>
    </row>
    <row r="851" spans="4:4">
      <c r="D851" s="121"/>
    </row>
    <row r="852" spans="4:4">
      <c r="D852" s="121"/>
    </row>
    <row r="853" spans="4:4">
      <c r="D853" s="121"/>
    </row>
    <row r="854" spans="4:4">
      <c r="D854" s="121"/>
    </row>
    <row r="855" spans="4:4">
      <c r="D855" s="121"/>
    </row>
    <row r="856" spans="4:4">
      <c r="D856" s="121"/>
    </row>
    <row r="857" spans="4:4">
      <c r="D857" s="121"/>
    </row>
    <row r="858" spans="4:4">
      <c r="D858" s="121"/>
    </row>
    <row r="859" spans="4:4">
      <c r="D859" s="121"/>
    </row>
    <row r="860" spans="4:4">
      <c r="D860" s="121"/>
    </row>
    <row r="861" spans="4:4">
      <c r="D861" s="121"/>
    </row>
    <row r="862" spans="4:4">
      <c r="D862" s="121"/>
    </row>
    <row r="863" spans="4:4">
      <c r="D863" s="121"/>
    </row>
    <row r="864" spans="4:4">
      <c r="D864" s="121"/>
    </row>
    <row r="865" spans="4:4">
      <c r="D865" s="121"/>
    </row>
    <row r="866" spans="4:4">
      <c r="D866" s="121"/>
    </row>
    <row r="867" spans="4:4">
      <c r="D867" s="121"/>
    </row>
    <row r="868" spans="4:4">
      <c r="D868" s="121"/>
    </row>
    <row r="869" spans="4:4">
      <c r="D869" s="121"/>
    </row>
    <row r="870" spans="4:4">
      <c r="D870" s="121"/>
    </row>
    <row r="871" spans="4:4">
      <c r="D871" s="121"/>
    </row>
    <row r="872" spans="4:4">
      <c r="D872" s="121"/>
    </row>
    <row r="873" spans="4:4">
      <c r="D873" s="121"/>
    </row>
    <row r="874" spans="4:4">
      <c r="D874" s="121"/>
    </row>
    <row r="875" spans="4:4">
      <c r="D875" s="121"/>
    </row>
    <row r="876" spans="4:4">
      <c r="D876" s="121"/>
    </row>
    <row r="877" spans="4:4">
      <c r="D877" s="121"/>
    </row>
    <row r="878" spans="4:4">
      <c r="D878" s="121"/>
    </row>
    <row r="879" spans="4:4">
      <c r="D879" s="121"/>
    </row>
    <row r="880" spans="4:4">
      <c r="D880" s="121"/>
    </row>
    <row r="881" spans="4:4">
      <c r="D881" s="121"/>
    </row>
    <row r="882" spans="4:4">
      <c r="D882" s="121"/>
    </row>
    <row r="883" spans="4:4">
      <c r="D883" s="121"/>
    </row>
    <row r="884" spans="4:4">
      <c r="D884" s="121"/>
    </row>
    <row r="885" spans="4:4">
      <c r="D885" s="121"/>
    </row>
    <row r="886" spans="4:4">
      <c r="D886" s="121"/>
    </row>
    <row r="887" spans="4:4">
      <c r="D887" s="121"/>
    </row>
    <row r="888" spans="4:4">
      <c r="D888" s="121"/>
    </row>
    <row r="889" spans="4:4">
      <c r="D889" s="121"/>
    </row>
    <row r="890" spans="4:4">
      <c r="D890" s="121"/>
    </row>
    <row r="891" spans="4:4">
      <c r="D891" s="121"/>
    </row>
    <row r="892" spans="4:4">
      <c r="D892" s="121"/>
    </row>
    <row r="893" spans="4:4">
      <c r="D893" s="121"/>
    </row>
    <row r="894" spans="4:4">
      <c r="D894" s="121"/>
    </row>
    <row r="895" spans="4:4">
      <c r="D895" s="121"/>
    </row>
    <row r="896" spans="4:4">
      <c r="D896" s="121"/>
    </row>
    <row r="897" spans="4:4">
      <c r="D897" s="121"/>
    </row>
    <row r="898" spans="4:4">
      <c r="D898" s="121"/>
    </row>
    <row r="899" spans="4:4">
      <c r="D899" s="121"/>
    </row>
    <row r="900" spans="4:4">
      <c r="D900" s="121"/>
    </row>
    <row r="901" spans="4:4">
      <c r="D901" s="121"/>
    </row>
    <row r="902" spans="4:4">
      <c r="D902" s="121"/>
    </row>
    <row r="903" spans="4:4">
      <c r="D903" s="121"/>
    </row>
    <row r="904" spans="4:4">
      <c r="D904" s="121"/>
    </row>
    <row r="905" spans="4:4">
      <c r="D905" s="121"/>
    </row>
    <row r="906" spans="4:4">
      <c r="D906" s="121"/>
    </row>
    <row r="907" spans="4:4">
      <c r="D907" s="121"/>
    </row>
    <row r="908" spans="4:4">
      <c r="D908" s="121"/>
    </row>
    <row r="909" spans="4:4">
      <c r="D909" s="121"/>
    </row>
    <row r="910" spans="4:4">
      <c r="D910" s="121"/>
    </row>
    <row r="911" spans="4:4">
      <c r="D911" s="121"/>
    </row>
    <row r="912" spans="4:4">
      <c r="D912" s="121"/>
    </row>
    <row r="913" spans="4:4">
      <c r="D913" s="121"/>
    </row>
    <row r="914" spans="4:4">
      <c r="D914" s="121"/>
    </row>
    <row r="915" spans="4:4">
      <c r="D915" s="121"/>
    </row>
    <row r="916" spans="4:4">
      <c r="D916" s="121"/>
    </row>
    <row r="917" spans="4:4">
      <c r="D917" s="121"/>
    </row>
    <row r="918" spans="4:4">
      <c r="D918" s="121"/>
    </row>
    <row r="919" spans="4:4">
      <c r="D919" s="121"/>
    </row>
    <row r="920" spans="4:4">
      <c r="D920" s="121"/>
    </row>
    <row r="921" spans="4:4">
      <c r="D921" s="121"/>
    </row>
    <row r="922" spans="4:4">
      <c r="D922" s="121"/>
    </row>
    <row r="923" spans="4:4">
      <c r="D923" s="121"/>
    </row>
    <row r="924" spans="4:4">
      <c r="D924" s="121"/>
    </row>
    <row r="925" spans="4:4">
      <c r="D925" s="121"/>
    </row>
    <row r="926" spans="4:4">
      <c r="D926" s="121"/>
    </row>
    <row r="927" spans="4:4">
      <c r="D927" s="121"/>
    </row>
    <row r="928" spans="4:4">
      <c r="D928" s="121"/>
    </row>
    <row r="929" spans="4:4">
      <c r="D929" s="121"/>
    </row>
    <row r="930" spans="4:4">
      <c r="D930" s="121"/>
    </row>
    <row r="931" spans="4:4">
      <c r="D931" s="121"/>
    </row>
    <row r="932" spans="4:4">
      <c r="D932" s="121"/>
    </row>
    <row r="933" spans="4:4">
      <c r="D933" s="121"/>
    </row>
    <row r="934" spans="4:4">
      <c r="D934" s="121"/>
    </row>
    <row r="935" spans="4:4">
      <c r="D935" s="121"/>
    </row>
    <row r="936" spans="4:4">
      <c r="D936" s="121"/>
    </row>
    <row r="937" spans="4:4">
      <c r="D937" s="121"/>
    </row>
    <row r="938" spans="4:4">
      <c r="D938" s="121"/>
    </row>
    <row r="939" spans="4:4">
      <c r="D939" s="121"/>
    </row>
    <row r="940" spans="4:4">
      <c r="D940" s="121"/>
    </row>
    <row r="941" spans="4:4">
      <c r="D941" s="121"/>
    </row>
    <row r="942" spans="4:4">
      <c r="D942" s="121"/>
    </row>
    <row r="943" spans="4:4">
      <c r="D943" s="121"/>
    </row>
    <row r="944" spans="4:4">
      <c r="D944" s="121"/>
    </row>
    <row r="945" spans="4:4">
      <c r="D945" s="121"/>
    </row>
    <row r="946" spans="4:4">
      <c r="D946" s="121"/>
    </row>
    <row r="947" spans="4:4">
      <c r="D947" s="121"/>
    </row>
    <row r="948" spans="4:4">
      <c r="D948" s="121"/>
    </row>
    <row r="949" spans="4:4">
      <c r="D949" s="121"/>
    </row>
    <row r="950" spans="4:4">
      <c r="D950" s="121"/>
    </row>
    <row r="951" spans="4:4">
      <c r="D951" s="121"/>
    </row>
    <row r="952" spans="4:4">
      <c r="D952" s="121"/>
    </row>
    <row r="953" spans="4:4">
      <c r="D953" s="121"/>
    </row>
    <row r="954" spans="4:4">
      <c r="D954" s="121"/>
    </row>
    <row r="955" spans="4:4">
      <c r="D955" s="121"/>
    </row>
    <row r="956" spans="4:4">
      <c r="D956" s="121"/>
    </row>
    <row r="957" spans="4:4">
      <c r="D957" s="121"/>
    </row>
    <row r="958" spans="4:4">
      <c r="D958" s="121"/>
    </row>
    <row r="959" spans="4:4">
      <c r="D959" s="121"/>
    </row>
    <row r="960" spans="4:4">
      <c r="D960" s="121"/>
    </row>
    <row r="961" spans="4:4">
      <c r="D961" s="121"/>
    </row>
    <row r="962" spans="4:4">
      <c r="D962" s="121"/>
    </row>
    <row r="963" spans="4:4">
      <c r="D963" s="121"/>
    </row>
    <row r="964" spans="4:4">
      <c r="D964" s="121"/>
    </row>
    <row r="965" spans="4:4">
      <c r="D965" s="121"/>
    </row>
    <row r="966" spans="4:4">
      <c r="D966" s="121"/>
    </row>
    <row r="967" spans="4:4">
      <c r="D967" s="121"/>
    </row>
    <row r="968" spans="4:4">
      <c r="D968" s="121"/>
    </row>
    <row r="969" spans="4:4">
      <c r="D969" s="121"/>
    </row>
    <row r="970" spans="4:4">
      <c r="D970" s="121"/>
    </row>
    <row r="971" spans="4:4">
      <c r="D971" s="121"/>
    </row>
    <row r="972" spans="4:4">
      <c r="D972" s="121"/>
    </row>
    <row r="973" spans="4:4">
      <c r="D973" s="121"/>
    </row>
    <row r="974" spans="4:4">
      <c r="D974" s="121"/>
    </row>
    <row r="975" spans="4:4">
      <c r="D975" s="121"/>
    </row>
    <row r="976" spans="4:4">
      <c r="D976" s="121"/>
    </row>
    <row r="977" spans="4:4">
      <c r="D977" s="121"/>
    </row>
    <row r="978" spans="4:4">
      <c r="D978" s="121"/>
    </row>
    <row r="979" spans="4:4">
      <c r="D979" s="121"/>
    </row>
    <row r="980" spans="4:4">
      <c r="D980" s="121"/>
    </row>
    <row r="981" spans="4:4">
      <c r="D981" s="121"/>
    </row>
    <row r="982" spans="4:4">
      <c r="D982" s="121"/>
    </row>
    <row r="983" spans="4:4">
      <c r="D983" s="121"/>
    </row>
    <row r="984" spans="4:4">
      <c r="D984" s="121"/>
    </row>
    <row r="985" spans="4:4">
      <c r="D985" s="121"/>
    </row>
    <row r="986" spans="4:4">
      <c r="D986" s="121"/>
    </row>
    <row r="987" spans="4:4">
      <c r="D987" s="121"/>
    </row>
    <row r="988" spans="4:4">
      <c r="D988" s="121"/>
    </row>
    <row r="989" spans="4:4">
      <c r="D989" s="121"/>
    </row>
    <row r="990" spans="4:4">
      <c r="D990" s="121"/>
    </row>
    <row r="991" spans="4:4">
      <c r="D991" s="121"/>
    </row>
    <row r="992" spans="4:4">
      <c r="D992" s="121"/>
    </row>
    <row r="993" spans="4:4">
      <c r="D993" s="121"/>
    </row>
    <row r="994" spans="4:4">
      <c r="D994" s="121"/>
    </row>
    <row r="995" spans="4:4">
      <c r="D995" s="121"/>
    </row>
    <row r="996" spans="4:4">
      <c r="D996" s="121"/>
    </row>
    <row r="997" spans="4:4">
      <c r="D997" s="121"/>
    </row>
    <row r="998" spans="4:4">
      <c r="D998" s="121"/>
    </row>
    <row r="999" spans="4:4">
      <c r="D999" s="121"/>
    </row>
    <row r="1000" spans="4:4">
      <c r="D1000" s="121"/>
    </row>
    <row r="1001" spans="4:4">
      <c r="D1001" s="121"/>
    </row>
    <row r="1002" spans="4:4">
      <c r="D1002" s="121"/>
    </row>
    <row r="1003" spans="4:4">
      <c r="D1003" s="121"/>
    </row>
    <row r="1004" spans="4:4">
      <c r="D1004" s="121"/>
    </row>
    <row r="1005" spans="4:4">
      <c r="D1005" s="121"/>
    </row>
    <row r="1006" spans="4:4">
      <c r="D1006" s="121"/>
    </row>
    <row r="1007" spans="4:4">
      <c r="D1007" s="121"/>
    </row>
    <row r="1008" spans="4:4">
      <c r="D1008" s="121"/>
    </row>
    <row r="1009" spans="4:4">
      <c r="D1009" s="121"/>
    </row>
    <row r="1010" spans="4:4">
      <c r="D1010" s="121"/>
    </row>
    <row r="1011" spans="4:4">
      <c r="D1011" s="121"/>
    </row>
    <row r="1012" spans="4:4">
      <c r="D1012" s="121"/>
    </row>
    <row r="1013" spans="4:4">
      <c r="D1013" s="121"/>
    </row>
    <row r="1014" spans="4:4">
      <c r="D1014" s="121"/>
    </row>
    <row r="1015" spans="4:4">
      <c r="D1015" s="121"/>
    </row>
    <row r="1016" spans="4:4">
      <c r="D1016" s="121"/>
    </row>
    <row r="1017" spans="4:4">
      <c r="D1017" s="121"/>
    </row>
    <row r="1018" spans="4:4">
      <c r="D1018" s="121"/>
    </row>
    <row r="1019" spans="4:4">
      <c r="D1019" s="121"/>
    </row>
    <row r="1020" spans="4:4">
      <c r="D1020" s="121"/>
    </row>
    <row r="1021" spans="4:4">
      <c r="D1021" s="121"/>
    </row>
    <row r="1022" spans="4:4">
      <c r="D1022" s="121"/>
    </row>
    <row r="1023" spans="4:4">
      <c r="D1023" s="121"/>
    </row>
    <row r="1024" spans="4:4">
      <c r="D1024" s="121"/>
    </row>
    <row r="1025" spans="4:4">
      <c r="D1025" s="121"/>
    </row>
    <row r="1026" spans="4:4">
      <c r="D1026" s="121"/>
    </row>
    <row r="1027" spans="4:4">
      <c r="D1027" s="121"/>
    </row>
    <row r="1028" spans="4:4">
      <c r="D1028" s="121"/>
    </row>
    <row r="1029" spans="4:4">
      <c r="D1029" s="121"/>
    </row>
    <row r="1030" spans="4:4">
      <c r="D1030" s="121"/>
    </row>
    <row r="1031" spans="4:4">
      <c r="D1031" s="121"/>
    </row>
    <row r="1032" spans="4:4">
      <c r="D1032" s="121"/>
    </row>
    <row r="1033" spans="4:4">
      <c r="D1033" s="121"/>
    </row>
    <row r="1034" spans="4:4">
      <c r="D1034" s="121"/>
    </row>
    <row r="1035" spans="4:4">
      <c r="D1035" s="121"/>
    </row>
    <row r="1036" spans="4:4">
      <c r="D1036" s="121"/>
    </row>
    <row r="1037" spans="4:4">
      <c r="D1037" s="121"/>
    </row>
    <row r="1038" spans="4:4">
      <c r="D1038" s="121"/>
    </row>
    <row r="1039" spans="4:4">
      <c r="D1039" s="121"/>
    </row>
    <row r="1040" spans="4:4">
      <c r="D1040" s="121"/>
    </row>
    <row r="1041" spans="4:4">
      <c r="D1041" s="121"/>
    </row>
    <row r="1042" spans="4:4">
      <c r="D1042" s="121"/>
    </row>
    <row r="1043" spans="4:4">
      <c r="D1043" s="121"/>
    </row>
    <row r="1044" spans="4:4">
      <c r="D1044" s="121"/>
    </row>
    <row r="1045" spans="4:4">
      <c r="D1045" s="121"/>
    </row>
    <row r="1046" spans="4:4">
      <c r="D1046" s="121"/>
    </row>
    <row r="1047" spans="4:4">
      <c r="D1047" s="121"/>
    </row>
    <row r="1048" spans="4:4">
      <c r="D1048" s="121"/>
    </row>
    <row r="1049" spans="4:4">
      <c r="D1049" s="121"/>
    </row>
    <row r="1050" spans="4:4">
      <c r="D1050" s="121"/>
    </row>
    <row r="1051" spans="4:4">
      <c r="D1051" s="121"/>
    </row>
    <row r="1052" spans="4:4">
      <c r="D1052" s="121"/>
    </row>
    <row r="1053" spans="4:4">
      <c r="D1053" s="121"/>
    </row>
    <row r="1054" spans="4:4">
      <c r="D1054" s="121"/>
    </row>
    <row r="1055" spans="4:4">
      <c r="D1055" s="121"/>
    </row>
    <row r="1056" spans="4:4">
      <c r="D1056" s="121"/>
    </row>
    <row r="1057" spans="4:4">
      <c r="D1057" s="121"/>
    </row>
    <row r="1058" spans="4:4">
      <c r="D1058" s="121"/>
    </row>
    <row r="1059" spans="4:4">
      <c r="D1059" s="121"/>
    </row>
    <row r="1060" spans="4:4">
      <c r="D1060" s="121"/>
    </row>
    <row r="1061" spans="4:4">
      <c r="D1061" s="121"/>
    </row>
    <row r="1062" spans="4:4">
      <c r="D1062" s="121"/>
    </row>
    <row r="1063" spans="4:4">
      <c r="D1063" s="121"/>
    </row>
    <row r="1064" spans="4:4">
      <c r="D1064" s="121"/>
    </row>
    <row r="1065" spans="4:4">
      <c r="D1065" s="121"/>
    </row>
    <row r="1066" spans="4:4">
      <c r="D1066" s="121"/>
    </row>
    <row r="1067" spans="4:4">
      <c r="D1067" s="121"/>
    </row>
    <row r="1068" spans="4:4">
      <c r="D1068" s="121"/>
    </row>
    <row r="1069" spans="4:4">
      <c r="D1069" s="121"/>
    </row>
    <row r="1070" spans="4:4">
      <c r="D1070" s="121"/>
    </row>
    <row r="1071" spans="4:4">
      <c r="D1071" s="121"/>
    </row>
    <row r="1072" spans="4:4">
      <c r="D1072" s="121"/>
    </row>
    <row r="1073" spans="4:4">
      <c r="D1073" s="121"/>
    </row>
    <row r="1074" spans="4:4">
      <c r="D1074" s="121"/>
    </row>
    <row r="1075" spans="4:4">
      <c r="D1075" s="121"/>
    </row>
    <row r="1076" spans="4:4">
      <c r="D1076" s="121"/>
    </row>
    <row r="1077" spans="4:4">
      <c r="D1077" s="121"/>
    </row>
    <row r="1078" spans="4:4">
      <c r="D1078" s="121"/>
    </row>
    <row r="1079" spans="4:4">
      <c r="D1079" s="121"/>
    </row>
    <row r="1080" spans="4:4">
      <c r="D1080" s="121"/>
    </row>
    <row r="1081" spans="4:4">
      <c r="D1081" s="121"/>
    </row>
    <row r="1082" spans="4:4">
      <c r="D1082" s="121"/>
    </row>
    <row r="1083" spans="4:4">
      <c r="D1083" s="121"/>
    </row>
    <row r="1084" spans="4:4">
      <c r="D1084" s="121"/>
    </row>
    <row r="1085" spans="4:4">
      <c r="D1085" s="121"/>
    </row>
    <row r="1086" spans="4:4">
      <c r="D1086" s="121"/>
    </row>
    <row r="1087" spans="4:4">
      <c r="D1087" s="121"/>
    </row>
    <row r="1088" spans="4:4">
      <c r="D1088" s="121"/>
    </row>
    <row r="1089" spans="4:4">
      <c r="D1089" s="121"/>
    </row>
    <row r="1090" spans="4:4">
      <c r="D1090" s="121"/>
    </row>
    <row r="1091" spans="4:4">
      <c r="D1091" s="121"/>
    </row>
    <row r="1092" spans="4:4">
      <c r="D1092" s="121"/>
    </row>
    <row r="1093" spans="4:4">
      <c r="D1093" s="121"/>
    </row>
    <row r="1094" spans="4:4">
      <c r="D1094" s="121"/>
    </row>
    <row r="1095" spans="4:4">
      <c r="D1095" s="121"/>
    </row>
    <row r="1096" spans="4:4">
      <c r="D1096" s="121"/>
    </row>
    <row r="1097" spans="4:4">
      <c r="D1097" s="121"/>
    </row>
    <row r="1098" spans="4:4">
      <c r="D1098" s="121"/>
    </row>
    <row r="1099" spans="4:4">
      <c r="D1099" s="121"/>
    </row>
    <row r="1100" spans="4:4">
      <c r="D1100" s="121"/>
    </row>
    <row r="1101" spans="4:4">
      <c r="D1101" s="121"/>
    </row>
    <row r="1102" spans="4:4">
      <c r="D1102" s="121"/>
    </row>
    <row r="1103" spans="4:4">
      <c r="D1103" s="121"/>
    </row>
    <row r="1104" spans="4:4">
      <c r="D1104" s="121"/>
    </row>
    <row r="1105" spans="4:4">
      <c r="D1105" s="121"/>
    </row>
    <row r="1106" spans="4:4">
      <c r="D1106" s="121"/>
    </row>
    <row r="1107" spans="4:4">
      <c r="D1107" s="121"/>
    </row>
    <row r="1108" spans="4:4">
      <c r="D1108" s="121"/>
    </row>
    <row r="1109" spans="4:4">
      <c r="D1109" s="121"/>
    </row>
    <row r="1110" spans="4:4">
      <c r="D1110" s="121"/>
    </row>
    <row r="1111" spans="4:4">
      <c r="D1111" s="121"/>
    </row>
    <row r="1112" spans="4:4">
      <c r="D1112" s="121"/>
    </row>
    <row r="1113" spans="4:4">
      <c r="D1113" s="121"/>
    </row>
    <row r="1114" spans="4:4">
      <c r="D1114" s="121"/>
    </row>
    <row r="1115" spans="4:4">
      <c r="D1115" s="121"/>
    </row>
    <row r="1116" spans="4:4">
      <c r="D1116" s="121"/>
    </row>
    <row r="1117" spans="4:4">
      <c r="D1117" s="121"/>
    </row>
    <row r="1118" spans="4:4">
      <c r="D1118" s="121"/>
    </row>
    <row r="1119" spans="4:4">
      <c r="D1119" s="121"/>
    </row>
    <row r="1120" spans="4:4">
      <c r="D1120" s="121"/>
    </row>
    <row r="1121" spans="4:4">
      <c r="D1121" s="121"/>
    </row>
    <row r="1122" spans="4:4">
      <c r="D1122" s="121"/>
    </row>
    <row r="1123" spans="4:4">
      <c r="D1123" s="121"/>
    </row>
    <row r="1124" spans="4:4">
      <c r="D1124" s="121"/>
    </row>
    <row r="1125" spans="4:4">
      <c r="D1125" s="121"/>
    </row>
    <row r="1126" spans="4:4">
      <c r="D1126" s="121"/>
    </row>
    <row r="1127" spans="4:4">
      <c r="D1127" s="121"/>
    </row>
    <row r="1128" spans="4:4">
      <c r="D1128" s="121"/>
    </row>
    <row r="1129" spans="4:4">
      <c r="D1129" s="121"/>
    </row>
    <row r="1130" spans="4:4">
      <c r="D1130" s="121"/>
    </row>
    <row r="1131" spans="4:4">
      <c r="D1131" s="121"/>
    </row>
    <row r="1132" spans="4:4">
      <c r="D1132" s="121"/>
    </row>
    <row r="1133" spans="4:4">
      <c r="D1133" s="121"/>
    </row>
    <row r="1134" spans="4:4">
      <c r="D1134" s="121"/>
    </row>
    <row r="1135" spans="4:4">
      <c r="D1135" s="121"/>
    </row>
    <row r="1136" spans="4:4">
      <c r="D1136" s="121"/>
    </row>
    <row r="1137" spans="4:4">
      <c r="D1137" s="121"/>
    </row>
    <row r="1138" spans="4:4">
      <c r="D1138" s="121"/>
    </row>
    <row r="1139" spans="4:4">
      <c r="D1139" s="121"/>
    </row>
    <row r="1140" spans="4:4">
      <c r="D1140" s="121"/>
    </row>
    <row r="1141" spans="4:4">
      <c r="D1141" s="121"/>
    </row>
    <row r="1142" spans="4:4">
      <c r="D1142" s="121"/>
    </row>
    <row r="1143" spans="4:4">
      <c r="D1143" s="121"/>
    </row>
    <row r="1144" spans="4:4">
      <c r="D1144" s="121"/>
    </row>
    <row r="1145" spans="4:4">
      <c r="D1145" s="121"/>
    </row>
    <row r="1146" spans="4:4">
      <c r="D1146" s="121"/>
    </row>
    <row r="1147" spans="4:4">
      <c r="D1147" s="121"/>
    </row>
    <row r="1148" spans="4:4">
      <c r="D1148" s="121"/>
    </row>
    <row r="1149" spans="4:4">
      <c r="D1149" s="121"/>
    </row>
    <row r="1150" spans="4:4">
      <c r="D1150" s="121"/>
    </row>
    <row r="1151" spans="4:4">
      <c r="D1151" s="121"/>
    </row>
    <row r="1152" spans="4:4">
      <c r="D1152" s="121"/>
    </row>
    <row r="1153" spans="4:4">
      <c r="D1153" s="121"/>
    </row>
    <row r="1154" spans="4:4">
      <c r="D1154" s="121"/>
    </row>
    <row r="1155" spans="4:4">
      <c r="D1155" s="121"/>
    </row>
    <row r="1156" spans="4:4">
      <c r="D1156" s="121"/>
    </row>
    <row r="1157" spans="4:4">
      <c r="D1157" s="121"/>
    </row>
    <row r="1158" spans="4:4">
      <c r="D1158" s="121"/>
    </row>
    <row r="1159" spans="4:4">
      <c r="D1159" s="121"/>
    </row>
    <row r="1160" spans="4:4">
      <c r="D1160" s="121"/>
    </row>
    <row r="1161" spans="4:4">
      <c r="D1161" s="121"/>
    </row>
    <row r="1162" spans="4:4">
      <c r="D1162" s="121"/>
    </row>
    <row r="1163" spans="4:4">
      <c r="D1163" s="121"/>
    </row>
    <row r="1164" spans="4:4">
      <c r="D1164" s="121"/>
    </row>
    <row r="1165" spans="4:4">
      <c r="D1165" s="121"/>
    </row>
    <row r="1166" spans="4:4">
      <c r="D1166" s="121"/>
    </row>
    <row r="1167" spans="4:4">
      <c r="D1167" s="121"/>
    </row>
    <row r="1168" spans="4:4">
      <c r="D1168" s="121"/>
    </row>
    <row r="1169" spans="4:4">
      <c r="D1169" s="121"/>
    </row>
    <row r="1170" spans="4:4">
      <c r="D1170" s="121"/>
    </row>
    <row r="1171" spans="4:4">
      <c r="D1171" s="121"/>
    </row>
    <row r="1172" spans="4:4">
      <c r="D1172" s="121"/>
    </row>
    <row r="1173" spans="4:4">
      <c r="D1173" s="121"/>
    </row>
    <row r="1174" spans="4:4">
      <c r="D1174" s="121"/>
    </row>
    <row r="1175" spans="4:4">
      <c r="D1175" s="121"/>
    </row>
    <row r="1176" spans="4:4">
      <c r="D1176" s="121"/>
    </row>
    <row r="1177" spans="4:4">
      <c r="D1177" s="121"/>
    </row>
    <row r="1178" spans="4:4">
      <c r="D1178" s="121"/>
    </row>
    <row r="1179" spans="4:4">
      <c r="D1179" s="121"/>
    </row>
    <row r="1180" spans="4:4">
      <c r="D1180" s="121"/>
    </row>
    <row r="1181" spans="4:4">
      <c r="D1181" s="121"/>
    </row>
    <row r="1182" spans="4:4">
      <c r="D1182" s="121"/>
    </row>
    <row r="1183" spans="4:4">
      <c r="D1183" s="121"/>
    </row>
    <row r="1184" spans="4:4">
      <c r="D1184" s="121"/>
    </row>
    <row r="1185" spans="4:4">
      <c r="D1185" s="121"/>
    </row>
    <row r="1186" spans="4:4">
      <c r="D1186" s="121"/>
    </row>
    <row r="1187" spans="4:4">
      <c r="D1187" s="121"/>
    </row>
    <row r="1188" spans="4:4">
      <c r="D1188" s="121"/>
    </row>
    <row r="1189" spans="4:4">
      <c r="D1189" s="121"/>
    </row>
    <row r="1190" spans="4:4">
      <c r="D1190" s="121"/>
    </row>
    <row r="1191" spans="4:4">
      <c r="D1191" s="121"/>
    </row>
    <row r="1192" spans="4:4">
      <c r="D1192" s="121"/>
    </row>
    <row r="1193" spans="4:4">
      <c r="D1193" s="121"/>
    </row>
    <row r="1194" spans="4:4">
      <c r="D1194" s="121"/>
    </row>
    <row r="1195" spans="4:4">
      <c r="D1195" s="121"/>
    </row>
    <row r="1196" spans="4:4">
      <c r="D1196" s="121"/>
    </row>
    <row r="1197" spans="4:4">
      <c r="D1197" s="121"/>
    </row>
    <row r="1198" spans="4:4">
      <c r="D1198" s="121"/>
    </row>
    <row r="1199" spans="4:4">
      <c r="D1199" s="121"/>
    </row>
    <row r="1200" spans="4:4">
      <c r="D1200" s="121"/>
    </row>
    <row r="1201" spans="4:4">
      <c r="D1201" s="121"/>
    </row>
    <row r="1202" spans="4:4">
      <c r="D1202" s="121"/>
    </row>
    <row r="1203" spans="4:4">
      <c r="D1203" s="121"/>
    </row>
    <row r="1204" spans="4:4">
      <c r="D1204" s="121"/>
    </row>
    <row r="1205" spans="4:4">
      <c r="D1205" s="121"/>
    </row>
    <row r="1206" spans="4:4">
      <c r="D1206" s="121"/>
    </row>
    <row r="1207" spans="4:4">
      <c r="D1207" s="121"/>
    </row>
    <row r="1208" spans="4:4">
      <c r="D1208" s="121"/>
    </row>
    <row r="1209" spans="4:4">
      <c r="D1209" s="121"/>
    </row>
    <row r="1210" spans="4:4">
      <c r="D1210" s="121"/>
    </row>
    <row r="1211" spans="4:4">
      <c r="D1211" s="121"/>
    </row>
    <row r="1212" spans="4:4">
      <c r="D1212" s="121"/>
    </row>
    <row r="1213" spans="4:4">
      <c r="D1213" s="121"/>
    </row>
    <row r="1214" spans="4:4">
      <c r="D1214" s="121"/>
    </row>
    <row r="1215" spans="4:4">
      <c r="D1215" s="121"/>
    </row>
    <row r="1216" spans="4:4">
      <c r="D1216" s="121"/>
    </row>
    <row r="1217" spans="4:4">
      <c r="D1217" s="121"/>
    </row>
    <row r="1218" spans="4:4">
      <c r="D1218" s="121"/>
    </row>
    <row r="1219" spans="4:4">
      <c r="D1219" s="121"/>
    </row>
    <row r="1220" spans="4:4">
      <c r="D1220" s="121"/>
    </row>
    <row r="1221" spans="4:4">
      <c r="D1221" s="121"/>
    </row>
    <row r="1222" spans="4:4">
      <c r="D1222" s="121"/>
    </row>
    <row r="1223" spans="4:4">
      <c r="D1223" s="121"/>
    </row>
    <row r="1224" spans="4:4">
      <c r="D1224" s="121"/>
    </row>
    <row r="1225" spans="4:4">
      <c r="D1225" s="121"/>
    </row>
    <row r="1226" spans="4:4">
      <c r="D1226" s="121"/>
    </row>
    <row r="1227" spans="4:4">
      <c r="D1227" s="121"/>
    </row>
    <row r="1228" spans="4:4">
      <c r="D1228" s="121"/>
    </row>
    <row r="1229" spans="4:4">
      <c r="D1229" s="121"/>
    </row>
    <row r="1230" spans="4:4">
      <c r="D1230" s="121"/>
    </row>
    <row r="1231" spans="4:4">
      <c r="D1231" s="121"/>
    </row>
    <row r="1232" spans="4:4">
      <c r="D1232" s="121"/>
    </row>
    <row r="1233" spans="4:4">
      <c r="D1233" s="121"/>
    </row>
    <row r="1234" spans="4:4">
      <c r="D1234" s="121"/>
    </row>
    <row r="1235" spans="4:4">
      <c r="D1235" s="121"/>
    </row>
    <row r="1236" spans="4:4">
      <c r="D1236" s="121"/>
    </row>
    <row r="1237" spans="4:4">
      <c r="D1237" s="121"/>
    </row>
    <row r="1238" spans="4:4">
      <c r="D1238" s="121"/>
    </row>
    <row r="1239" spans="4:4">
      <c r="D1239" s="121"/>
    </row>
    <row r="1240" spans="4:4">
      <c r="D1240" s="121"/>
    </row>
    <row r="1241" spans="4:4">
      <c r="D1241" s="121"/>
    </row>
    <row r="1242" spans="4:4">
      <c r="D1242" s="121"/>
    </row>
    <row r="1243" spans="4:4">
      <c r="D1243" s="121"/>
    </row>
    <row r="1244" spans="4:4">
      <c r="D1244" s="121"/>
    </row>
    <row r="1245" spans="4:4">
      <c r="D1245" s="121"/>
    </row>
    <row r="1246" spans="4:4">
      <c r="D1246" s="121"/>
    </row>
    <row r="1247" spans="4:4">
      <c r="D1247" s="121"/>
    </row>
    <row r="1248" spans="4:4">
      <c r="D1248" s="121"/>
    </row>
    <row r="1249" spans="4:4">
      <c r="D1249" s="121"/>
    </row>
    <row r="1250" spans="4:4">
      <c r="D1250" s="121"/>
    </row>
    <row r="1251" spans="4:4">
      <c r="D1251" s="121"/>
    </row>
    <row r="1252" spans="4:4">
      <c r="D1252" s="121"/>
    </row>
    <row r="1253" spans="4:4">
      <c r="D1253" s="121"/>
    </row>
    <row r="1254" spans="4:4">
      <c r="D1254" s="121"/>
    </row>
    <row r="1255" spans="4:4">
      <c r="D1255" s="121"/>
    </row>
    <row r="1256" spans="4:4">
      <c r="D1256" s="121"/>
    </row>
    <row r="1257" spans="4:4">
      <c r="D1257" s="121"/>
    </row>
    <row r="1258" spans="4:4">
      <c r="D1258" s="121"/>
    </row>
    <row r="1259" spans="4:4">
      <c r="D1259" s="121"/>
    </row>
    <row r="1260" spans="4:4">
      <c r="D1260" s="121"/>
    </row>
    <row r="1261" spans="4:4">
      <c r="D1261" s="121"/>
    </row>
    <row r="1262" spans="4:4">
      <c r="D1262" s="121"/>
    </row>
    <row r="1263" spans="4:4">
      <c r="D1263" s="121"/>
    </row>
    <row r="1264" spans="4:4">
      <c r="D1264" s="121"/>
    </row>
    <row r="1265" spans="4:4">
      <c r="D1265" s="121"/>
    </row>
    <row r="1266" spans="4:4">
      <c r="D1266" s="121"/>
    </row>
    <row r="1267" spans="4:4">
      <c r="D1267" s="121"/>
    </row>
    <row r="1268" spans="4:4">
      <c r="D1268" s="121"/>
    </row>
    <row r="1269" spans="4:4">
      <c r="D1269" s="121"/>
    </row>
    <row r="1270" spans="4:4">
      <c r="D1270" s="121"/>
    </row>
    <row r="1271" spans="4:4">
      <c r="D1271" s="121"/>
    </row>
    <row r="1272" spans="4:4">
      <c r="D1272" s="121"/>
    </row>
    <row r="1273" spans="4:4">
      <c r="D1273" s="121"/>
    </row>
    <row r="1274" spans="4:4">
      <c r="D1274" s="121"/>
    </row>
    <row r="1275" spans="4:4">
      <c r="D1275" s="121"/>
    </row>
    <row r="1276" spans="4:4">
      <c r="D1276" s="121"/>
    </row>
    <row r="1277" spans="4:4">
      <c r="D1277" s="121"/>
    </row>
    <row r="1278" spans="4:4">
      <c r="D1278" s="121"/>
    </row>
    <row r="1279" spans="4:4">
      <c r="D1279" s="121"/>
    </row>
    <row r="1280" spans="4:4">
      <c r="D1280" s="121"/>
    </row>
    <row r="1281" spans="4:4">
      <c r="D1281" s="121"/>
    </row>
    <row r="1282" spans="4:4">
      <c r="D1282" s="121"/>
    </row>
    <row r="1283" spans="4:4">
      <c r="D1283" s="121"/>
    </row>
    <row r="1284" spans="4:4">
      <c r="D1284" s="121"/>
    </row>
    <row r="1285" spans="4:4">
      <c r="D1285" s="121"/>
    </row>
    <row r="1286" spans="4:4">
      <c r="D1286" s="121"/>
    </row>
    <row r="1287" spans="4:4">
      <c r="D1287" s="121"/>
    </row>
    <row r="1288" spans="4:4">
      <c r="D1288" s="121"/>
    </row>
    <row r="1289" spans="4:4">
      <c r="D1289" s="121"/>
    </row>
    <row r="1290" spans="4:4">
      <c r="D1290" s="121"/>
    </row>
    <row r="1291" spans="4:4">
      <c r="D1291" s="121"/>
    </row>
    <row r="1292" spans="4:4">
      <c r="D1292" s="121"/>
    </row>
    <row r="1293" spans="4:4">
      <c r="D1293" s="121"/>
    </row>
    <row r="1294" spans="4:4">
      <c r="D1294" s="121"/>
    </row>
    <row r="1295" spans="4:4">
      <c r="D1295" s="121"/>
    </row>
    <row r="1296" spans="4:4">
      <c r="D1296" s="121"/>
    </row>
    <row r="1297" spans="4:4">
      <c r="D1297" s="121"/>
    </row>
    <row r="1298" spans="4:4">
      <c r="D1298" s="121"/>
    </row>
    <row r="1299" spans="4:4">
      <c r="D1299" s="121"/>
    </row>
    <row r="1300" spans="4:4">
      <c r="D1300" s="121"/>
    </row>
    <row r="1301" spans="4:4">
      <c r="D1301" s="121"/>
    </row>
    <row r="1302" spans="4:4">
      <c r="D1302" s="121"/>
    </row>
    <row r="1303" spans="4:4">
      <c r="D1303" s="121"/>
    </row>
    <row r="1304" spans="4:4">
      <c r="D1304" s="121"/>
    </row>
    <row r="1305" spans="4:4">
      <c r="D1305" s="121"/>
    </row>
    <row r="1306" spans="4:4">
      <c r="D1306" s="121"/>
    </row>
    <row r="1307" spans="4:4">
      <c r="D1307" s="121"/>
    </row>
    <row r="1308" spans="4:4">
      <c r="D1308" s="121"/>
    </row>
    <row r="1309" spans="4:4">
      <c r="D1309" s="121"/>
    </row>
    <row r="1310" spans="4:4">
      <c r="D1310" s="121"/>
    </row>
    <row r="1311" spans="4:4">
      <c r="D1311" s="121"/>
    </row>
    <row r="1312" spans="4:4">
      <c r="D1312" s="121"/>
    </row>
    <row r="1313" spans="4:4">
      <c r="D1313" s="121"/>
    </row>
    <row r="1314" spans="4:4">
      <c r="D1314" s="121"/>
    </row>
    <row r="1315" spans="4:4">
      <c r="D1315" s="121"/>
    </row>
    <row r="1316" spans="4:4">
      <c r="D1316" s="121"/>
    </row>
    <row r="1317" spans="4:4">
      <c r="D1317" s="121"/>
    </row>
    <row r="1318" spans="4:4">
      <c r="D1318" s="121"/>
    </row>
    <row r="1319" spans="4:4">
      <c r="D1319" s="121"/>
    </row>
    <row r="1320" spans="4:4">
      <c r="D1320" s="121"/>
    </row>
    <row r="1321" spans="4:4">
      <c r="D1321" s="121"/>
    </row>
    <row r="1322" spans="4:4">
      <c r="D1322" s="121"/>
    </row>
    <row r="1323" spans="4:4">
      <c r="D1323" s="121"/>
    </row>
    <row r="1324" spans="4:4">
      <c r="D1324" s="121"/>
    </row>
    <row r="1325" spans="4:4">
      <c r="D1325" s="121"/>
    </row>
    <row r="1326" spans="4:4">
      <c r="D1326" s="121"/>
    </row>
    <row r="1327" spans="4:4">
      <c r="D1327" s="121"/>
    </row>
    <row r="1328" spans="4:4">
      <c r="D1328" s="121"/>
    </row>
    <row r="1329" spans="4:4">
      <c r="D1329" s="121"/>
    </row>
    <row r="1330" spans="4:4">
      <c r="D1330" s="121"/>
    </row>
    <row r="1331" spans="4:4">
      <c r="D1331" s="121"/>
    </row>
    <row r="1332" spans="4:4">
      <c r="D1332" s="121"/>
    </row>
    <row r="1333" spans="4:4">
      <c r="D1333" s="121"/>
    </row>
    <row r="1334" spans="4:4">
      <c r="D1334" s="121"/>
    </row>
    <row r="1335" spans="4:4">
      <c r="D1335" s="121"/>
    </row>
    <row r="1336" spans="4:4">
      <c r="D1336" s="121"/>
    </row>
    <row r="1337" spans="4:4">
      <c r="D1337" s="121"/>
    </row>
    <row r="1338" spans="4:4">
      <c r="D1338" s="121"/>
    </row>
    <row r="1339" spans="4:4">
      <c r="D1339" s="121"/>
    </row>
    <row r="1340" spans="4:4">
      <c r="D1340" s="121"/>
    </row>
    <row r="1341" spans="4:4">
      <c r="D1341" s="121"/>
    </row>
    <row r="1342" spans="4:4">
      <c r="D1342" s="121"/>
    </row>
    <row r="1343" spans="4:4">
      <c r="D1343" s="121"/>
    </row>
    <row r="1344" spans="4:4">
      <c r="D1344" s="121"/>
    </row>
    <row r="1345" spans="4:4">
      <c r="D1345" s="121"/>
    </row>
    <row r="1346" spans="4:4">
      <c r="D1346" s="121"/>
    </row>
    <row r="1347" spans="4:4">
      <c r="D1347" s="121"/>
    </row>
    <row r="1348" spans="4:4">
      <c r="D1348" s="121"/>
    </row>
    <row r="1349" spans="4:4">
      <c r="D1349" s="121"/>
    </row>
    <row r="1350" spans="4:4">
      <c r="D1350" s="121"/>
    </row>
    <row r="1351" spans="4:4">
      <c r="D1351" s="121"/>
    </row>
    <row r="1352" spans="4:4">
      <c r="D1352" s="121"/>
    </row>
    <row r="1353" spans="4:4">
      <c r="D1353" s="121"/>
    </row>
    <row r="1354" spans="4:4">
      <c r="D1354" s="121"/>
    </row>
    <row r="1355" spans="4:4">
      <c r="D1355" s="121"/>
    </row>
    <row r="1356" spans="4:4">
      <c r="D1356" s="121"/>
    </row>
    <row r="1357" spans="4:4">
      <c r="D1357" s="121"/>
    </row>
    <row r="1358" spans="4:4">
      <c r="D1358" s="121"/>
    </row>
    <row r="1359" spans="4:4">
      <c r="D1359" s="121"/>
    </row>
    <row r="1360" spans="4:4">
      <c r="D1360" s="121"/>
    </row>
    <row r="1361" spans="4:4">
      <c r="D1361" s="121"/>
    </row>
    <row r="1362" spans="4:4">
      <c r="D1362" s="121"/>
    </row>
    <row r="1363" spans="4:4">
      <c r="D1363" s="121"/>
    </row>
    <row r="1364" spans="4:4">
      <c r="D1364" s="121"/>
    </row>
    <row r="1365" spans="4:4">
      <c r="D1365" s="121"/>
    </row>
    <row r="1366" spans="4:4">
      <c r="D1366" s="121"/>
    </row>
    <row r="1367" spans="4:4">
      <c r="D1367" s="121"/>
    </row>
    <row r="1368" spans="4:4">
      <c r="D1368" s="121"/>
    </row>
    <row r="1369" spans="4:4">
      <c r="D1369" s="121"/>
    </row>
    <row r="1370" spans="4:4">
      <c r="D1370" s="121"/>
    </row>
    <row r="1371" spans="4:4">
      <c r="D1371" s="121"/>
    </row>
    <row r="1372" spans="4:4">
      <c r="D1372" s="121"/>
    </row>
    <row r="1373" spans="4:4">
      <c r="D1373" s="121"/>
    </row>
    <row r="1374" spans="4:4">
      <c r="D1374" s="121"/>
    </row>
    <row r="1375" spans="4:4">
      <c r="D1375" s="121"/>
    </row>
    <row r="1376" spans="4:4">
      <c r="D1376" s="121"/>
    </row>
    <row r="1377" spans="4:4">
      <c r="D1377" s="121"/>
    </row>
    <row r="1378" spans="4:4">
      <c r="D1378" s="121"/>
    </row>
    <row r="1379" spans="4:4">
      <c r="D1379" s="121"/>
    </row>
    <row r="1380" spans="4:4">
      <c r="D1380" s="121"/>
    </row>
    <row r="1381" spans="4:4">
      <c r="D1381" s="121"/>
    </row>
    <row r="1382" spans="4:4">
      <c r="D1382" s="121"/>
    </row>
    <row r="1383" spans="4:4">
      <c r="D1383" s="121"/>
    </row>
    <row r="1384" spans="4:4">
      <c r="D1384" s="121"/>
    </row>
    <row r="1385" spans="4:4">
      <c r="D1385" s="121"/>
    </row>
    <row r="1386" spans="4:4">
      <c r="D1386" s="121"/>
    </row>
    <row r="1387" spans="4:4">
      <c r="D1387" s="121"/>
    </row>
    <row r="1388" spans="4:4">
      <c r="D1388" s="121"/>
    </row>
    <row r="1389" spans="4:4">
      <c r="D1389" s="121"/>
    </row>
    <row r="1390" spans="4:4">
      <c r="D1390" s="121"/>
    </row>
    <row r="1391" spans="4:4">
      <c r="D1391" s="121"/>
    </row>
    <row r="1392" spans="4:4">
      <c r="D1392" s="121"/>
    </row>
    <row r="1393" spans="4:4">
      <c r="D1393" s="121"/>
    </row>
    <row r="1394" spans="4:4">
      <c r="D1394" s="121"/>
    </row>
    <row r="1395" spans="4:4">
      <c r="D1395" s="121"/>
    </row>
    <row r="1396" spans="4:4">
      <c r="D1396" s="121"/>
    </row>
    <row r="1397" spans="4:4">
      <c r="D1397" s="121"/>
    </row>
    <row r="1398" spans="4:4">
      <c r="D1398" s="121"/>
    </row>
    <row r="1399" spans="4:4">
      <c r="D1399" s="121"/>
    </row>
    <row r="1400" spans="4:4">
      <c r="D1400" s="121"/>
    </row>
    <row r="1401" spans="4:4">
      <c r="D1401" s="121"/>
    </row>
    <row r="1402" spans="4:4">
      <c r="D1402" s="121"/>
    </row>
    <row r="1403" spans="4:4">
      <c r="D1403" s="121"/>
    </row>
    <row r="1404" spans="4:4">
      <c r="D1404" s="121"/>
    </row>
    <row r="1405" spans="4:4">
      <c r="D1405" s="121"/>
    </row>
    <row r="1406" spans="4:4">
      <c r="D1406" s="121"/>
    </row>
    <row r="1407" spans="4:4">
      <c r="D1407" s="121"/>
    </row>
    <row r="1408" spans="4:4">
      <c r="D1408" s="121"/>
    </row>
    <row r="1409" spans="4:4">
      <c r="D1409" s="121"/>
    </row>
    <row r="1410" spans="4:4">
      <c r="D1410" s="121"/>
    </row>
    <row r="1411" spans="4:4">
      <c r="D1411" s="121"/>
    </row>
    <row r="1412" spans="4:4">
      <c r="D1412" s="121"/>
    </row>
    <row r="1413" spans="4:4">
      <c r="D1413" s="121"/>
    </row>
    <row r="1414" spans="4:4">
      <c r="D1414" s="121"/>
    </row>
    <row r="1415" spans="4:4">
      <c r="D1415" s="121"/>
    </row>
    <row r="1416" spans="4:4">
      <c r="D1416" s="121"/>
    </row>
    <row r="1417" spans="4:4">
      <c r="D1417" s="121"/>
    </row>
    <row r="1418" spans="4:4">
      <c r="D1418" s="121"/>
    </row>
    <row r="1419" spans="4:4">
      <c r="D1419" s="121"/>
    </row>
    <row r="1420" spans="4:4">
      <c r="D1420" s="121"/>
    </row>
    <row r="1421" spans="4:4">
      <c r="D1421" s="121"/>
    </row>
    <row r="1422" spans="4:4">
      <c r="D1422" s="121"/>
    </row>
    <row r="1423" spans="4:4">
      <c r="D1423" s="121"/>
    </row>
    <row r="1424" spans="4:4">
      <c r="D1424" s="121"/>
    </row>
    <row r="1425" spans="4:4">
      <c r="D1425" s="121"/>
    </row>
    <row r="1426" spans="4:4">
      <c r="D1426" s="121"/>
    </row>
    <row r="1427" spans="4:4">
      <c r="D1427" s="121"/>
    </row>
    <row r="1428" spans="4:4">
      <c r="D1428" s="121"/>
    </row>
    <row r="1429" spans="4:4">
      <c r="D1429" s="121"/>
    </row>
    <row r="1430" spans="4:4">
      <c r="D1430" s="121"/>
    </row>
    <row r="1431" spans="4:4">
      <c r="D1431" s="121"/>
    </row>
    <row r="1432" spans="4:4">
      <c r="D1432" s="121"/>
    </row>
    <row r="1433" spans="4:4">
      <c r="D1433" s="121"/>
    </row>
    <row r="1434" spans="4:4">
      <c r="D1434" s="121"/>
    </row>
    <row r="1435" spans="4:4">
      <c r="D1435" s="121"/>
    </row>
    <row r="1436" spans="4:4">
      <c r="D1436" s="121"/>
    </row>
    <row r="1437" spans="4:4">
      <c r="D1437" s="121"/>
    </row>
    <row r="1438" spans="4:4">
      <c r="D1438" s="121"/>
    </row>
    <row r="1439" spans="4:4">
      <c r="D1439" s="121"/>
    </row>
    <row r="1440" spans="4:4">
      <c r="D1440" s="121"/>
    </row>
    <row r="1441" spans="4:4">
      <c r="D1441" s="121"/>
    </row>
    <row r="1442" spans="4:4">
      <c r="D1442" s="121"/>
    </row>
    <row r="1443" spans="4:4">
      <c r="D1443" s="121"/>
    </row>
    <row r="1444" spans="4:4">
      <c r="D1444" s="121"/>
    </row>
    <row r="1445" spans="4:4">
      <c r="D1445" s="121"/>
    </row>
    <row r="1446" spans="4:4">
      <c r="D1446" s="121"/>
    </row>
    <row r="1447" spans="4:4">
      <c r="D1447" s="121"/>
    </row>
    <row r="1448" spans="4:4">
      <c r="D1448" s="121"/>
    </row>
    <row r="1449" spans="4:4">
      <c r="D1449" s="121"/>
    </row>
    <row r="1450" spans="4:4">
      <c r="D1450" s="121"/>
    </row>
    <row r="1451" spans="4:4">
      <c r="D1451" s="121"/>
    </row>
    <row r="1452" spans="4:4">
      <c r="D1452" s="121"/>
    </row>
    <row r="1453" spans="4:4">
      <c r="D1453" s="121"/>
    </row>
    <row r="1454" spans="4:4">
      <c r="D1454" s="121"/>
    </row>
    <row r="1455" spans="4:4">
      <c r="D1455" s="121"/>
    </row>
    <row r="1456" spans="4:4">
      <c r="D1456" s="121"/>
    </row>
    <row r="1457" spans="4:4">
      <c r="D1457" s="121"/>
    </row>
    <row r="1458" spans="4:4">
      <c r="D1458" s="121"/>
    </row>
    <row r="1459" spans="4:4">
      <c r="D1459" s="121"/>
    </row>
    <row r="1460" spans="4:4">
      <c r="D1460" s="121"/>
    </row>
    <row r="1461" spans="4:4">
      <c r="D1461" s="121"/>
    </row>
    <row r="1462" spans="4:4">
      <c r="D1462" s="121"/>
    </row>
    <row r="1463" spans="4:4">
      <c r="D1463" s="121"/>
    </row>
    <row r="1464" spans="4:4">
      <c r="D1464" s="121"/>
    </row>
    <row r="1465" spans="4:4">
      <c r="D1465" s="121"/>
    </row>
    <row r="1466" spans="4:4">
      <c r="D1466" s="121"/>
    </row>
    <row r="1467" spans="4:4">
      <c r="D1467" s="121"/>
    </row>
    <row r="1468" spans="4:4">
      <c r="D1468" s="121"/>
    </row>
    <row r="1469" spans="4:4">
      <c r="D1469" s="121"/>
    </row>
    <row r="1470" spans="4:4">
      <c r="D1470" s="121"/>
    </row>
    <row r="1471" spans="4:4">
      <c r="D1471" s="121"/>
    </row>
    <row r="1472" spans="4:4">
      <c r="D1472" s="121"/>
    </row>
    <row r="1473" spans="4:4">
      <c r="D1473" s="121"/>
    </row>
    <row r="1474" spans="4:4">
      <c r="D1474" s="121"/>
    </row>
    <row r="1475" spans="4:4">
      <c r="D1475" s="121"/>
    </row>
    <row r="1476" spans="4:4">
      <c r="D1476" s="121"/>
    </row>
    <row r="1477" spans="4:4">
      <c r="D1477" s="121"/>
    </row>
    <row r="1478" spans="4:4">
      <c r="D1478" s="121"/>
    </row>
    <row r="1479" spans="4:4">
      <c r="D1479" s="121"/>
    </row>
    <row r="1480" spans="4:4">
      <c r="D1480" s="121"/>
    </row>
    <row r="1481" spans="4:4">
      <c r="D1481" s="121"/>
    </row>
    <row r="1482" spans="4:4">
      <c r="D1482" s="121"/>
    </row>
    <row r="1483" spans="4:4">
      <c r="D1483" s="121"/>
    </row>
    <row r="1484" spans="4:4">
      <c r="D1484" s="121"/>
    </row>
    <row r="1485" spans="4:4">
      <c r="D1485" s="121"/>
    </row>
    <row r="1486" spans="4:4">
      <c r="D1486" s="121"/>
    </row>
    <row r="1487" spans="4:4">
      <c r="D1487" s="121"/>
    </row>
    <row r="1488" spans="4:4">
      <c r="D1488" s="121"/>
    </row>
    <row r="1489" spans="4:4">
      <c r="D1489" s="121"/>
    </row>
    <row r="1490" spans="4:4">
      <c r="D1490" s="121"/>
    </row>
    <row r="1491" spans="4:4">
      <c r="D1491" s="121"/>
    </row>
    <row r="1492" spans="4:4">
      <c r="D1492" s="121"/>
    </row>
    <row r="1493" spans="4:4">
      <c r="D1493" s="121"/>
    </row>
    <row r="1494" spans="4:4">
      <c r="D1494" s="121"/>
    </row>
    <row r="1495" spans="4:4">
      <c r="D1495" s="121"/>
    </row>
    <row r="1496" spans="4:4">
      <c r="D1496" s="121"/>
    </row>
    <row r="1497" spans="4:4">
      <c r="D1497" s="121"/>
    </row>
    <row r="1498" spans="4:4">
      <c r="D1498" s="121"/>
    </row>
    <row r="1499" spans="4:4">
      <c r="D1499" s="121"/>
    </row>
    <row r="1500" spans="4:4">
      <c r="D1500" s="121"/>
    </row>
    <row r="1501" spans="4:4">
      <c r="D1501" s="121"/>
    </row>
    <row r="1502" spans="4:4">
      <c r="D1502" s="121"/>
    </row>
    <row r="1503" spans="4:4">
      <c r="D1503" s="121"/>
    </row>
    <row r="1504" spans="4:4">
      <c r="D1504" s="121"/>
    </row>
    <row r="1505" spans="4:4">
      <c r="D1505" s="121"/>
    </row>
    <row r="1506" spans="4:4">
      <c r="D1506" s="121"/>
    </row>
    <row r="1507" spans="4:4">
      <c r="D1507" s="121"/>
    </row>
    <row r="1508" spans="4:4">
      <c r="D1508" s="121"/>
    </row>
    <row r="1509" spans="4:4">
      <c r="D1509" s="121"/>
    </row>
    <row r="1510" spans="4:4">
      <c r="D1510" s="121"/>
    </row>
    <row r="1511" spans="4:4">
      <c r="D1511" s="121"/>
    </row>
    <row r="1512" spans="4:4">
      <c r="D1512" s="121"/>
    </row>
    <row r="1513" spans="4:4">
      <c r="D1513" s="121"/>
    </row>
    <row r="1514" spans="4:4">
      <c r="D1514" s="121"/>
    </row>
    <row r="1515" spans="4:4">
      <c r="D1515" s="121"/>
    </row>
    <row r="1516" spans="4:4">
      <c r="D1516" s="121"/>
    </row>
    <row r="1517" spans="4:4">
      <c r="D1517" s="121"/>
    </row>
    <row r="1518" spans="4:4">
      <c r="D1518" s="121"/>
    </row>
    <row r="1519" spans="4:4">
      <c r="D1519" s="121"/>
    </row>
    <row r="1520" spans="4:4">
      <c r="D1520" s="121"/>
    </row>
    <row r="1521" spans="4:4">
      <c r="D1521" s="121"/>
    </row>
    <row r="1522" spans="4:4">
      <c r="D1522" s="121"/>
    </row>
    <row r="1523" spans="4:4">
      <c r="D1523" s="121"/>
    </row>
    <row r="1524" spans="4:4">
      <c r="D1524" s="121"/>
    </row>
    <row r="1525" spans="4:4">
      <c r="D1525" s="121"/>
    </row>
    <row r="1526" spans="4:4">
      <c r="D1526" s="121"/>
    </row>
    <row r="1527" spans="4:4">
      <c r="D1527" s="121"/>
    </row>
    <row r="1528" spans="4:4">
      <c r="D1528" s="121"/>
    </row>
    <row r="1529" spans="4:4">
      <c r="D1529" s="121"/>
    </row>
    <row r="1530" spans="4:4">
      <c r="D1530" s="121"/>
    </row>
    <row r="1531" spans="4:4">
      <c r="D1531" s="121"/>
    </row>
    <row r="1532" spans="4:4">
      <c r="D1532" s="121"/>
    </row>
    <row r="1533" spans="4:4">
      <c r="D1533" s="121"/>
    </row>
    <row r="1534" spans="4:4">
      <c r="D1534" s="121"/>
    </row>
    <row r="1535" spans="4:4">
      <c r="D1535" s="121"/>
    </row>
    <row r="1536" spans="4:4">
      <c r="D1536" s="121"/>
    </row>
    <row r="1537" spans="4:4">
      <c r="D1537" s="121"/>
    </row>
    <row r="1538" spans="4:4">
      <c r="D1538" s="121"/>
    </row>
    <row r="1539" spans="4:4">
      <c r="D1539" s="121"/>
    </row>
    <row r="1540" spans="4:4">
      <c r="D1540" s="121"/>
    </row>
    <row r="1541" spans="4:4">
      <c r="D1541" s="121"/>
    </row>
    <row r="1542" spans="4:4">
      <c r="D1542" s="121"/>
    </row>
    <row r="1543" spans="4:4">
      <c r="D1543" s="121"/>
    </row>
    <row r="1544" spans="4:4">
      <c r="D1544" s="121"/>
    </row>
    <row r="1545" spans="4:4">
      <c r="D1545" s="121"/>
    </row>
    <row r="1546" spans="4:4">
      <c r="D1546" s="121"/>
    </row>
    <row r="1547" spans="4:4">
      <c r="D1547" s="121"/>
    </row>
    <row r="1548" spans="4:4">
      <c r="D1548" s="121"/>
    </row>
    <row r="1549" spans="4:4">
      <c r="D1549" s="121"/>
    </row>
    <row r="1550" spans="4:4">
      <c r="D1550" s="121"/>
    </row>
    <row r="1551" spans="4:4">
      <c r="D1551" s="121"/>
    </row>
    <row r="1552" spans="4:4">
      <c r="D1552" s="121"/>
    </row>
    <row r="1553" spans="4:4">
      <c r="D1553" s="121"/>
    </row>
    <row r="1554" spans="4:4">
      <c r="D1554" s="121"/>
    </row>
    <row r="1555" spans="4:4">
      <c r="D1555" s="121"/>
    </row>
    <row r="1556" spans="4:4">
      <c r="D1556" s="121"/>
    </row>
    <row r="1557" spans="4:4">
      <c r="D1557" s="121"/>
    </row>
    <row r="1558" spans="4:4">
      <c r="D1558" s="121"/>
    </row>
    <row r="1559" spans="4:4">
      <c r="D1559" s="121"/>
    </row>
    <row r="1560" spans="4:4">
      <c r="D1560" s="121"/>
    </row>
    <row r="1561" spans="4:4">
      <c r="D1561" s="121"/>
    </row>
    <row r="1562" spans="4:4">
      <c r="D1562" s="121"/>
    </row>
    <row r="1563" spans="4:4">
      <c r="D1563" s="121"/>
    </row>
    <row r="1564" spans="4:4">
      <c r="D1564" s="121"/>
    </row>
    <row r="1565" spans="4:4">
      <c r="D1565" s="121"/>
    </row>
    <row r="1566" spans="4:4">
      <c r="D1566" s="121"/>
    </row>
    <row r="1567" spans="4:4">
      <c r="D1567" s="121"/>
    </row>
    <row r="1568" spans="4:4">
      <c r="D1568" s="121"/>
    </row>
    <row r="1569" spans="4:4">
      <c r="D1569" s="121"/>
    </row>
    <row r="1570" spans="4:4">
      <c r="D1570" s="121"/>
    </row>
    <row r="1571" spans="4:4">
      <c r="D1571" s="121"/>
    </row>
    <row r="1572" spans="4:4">
      <c r="D1572" s="121"/>
    </row>
    <row r="1573" spans="4:4">
      <c r="D1573" s="121"/>
    </row>
    <row r="1574" spans="4:4">
      <c r="D1574" s="121"/>
    </row>
    <row r="1575" spans="4:4">
      <c r="D1575" s="121"/>
    </row>
    <row r="1576" spans="4:4">
      <c r="D1576" s="121"/>
    </row>
    <row r="1577" spans="4:4">
      <c r="D1577" s="121"/>
    </row>
    <row r="1578" spans="4:4">
      <c r="D1578" s="121"/>
    </row>
    <row r="1579" spans="4:4">
      <c r="D1579" s="121"/>
    </row>
    <row r="1580" spans="4:4">
      <c r="D1580" s="121"/>
    </row>
    <row r="1581" spans="4:4">
      <c r="D1581" s="121"/>
    </row>
    <row r="1582" spans="4:4">
      <c r="D1582" s="121"/>
    </row>
    <row r="1583" spans="4:4">
      <c r="D1583" s="121"/>
    </row>
    <row r="1584" spans="4:4">
      <c r="D1584" s="121"/>
    </row>
    <row r="1585" spans="4:4">
      <c r="D1585" s="121"/>
    </row>
    <row r="1586" spans="4:4">
      <c r="D1586" s="121"/>
    </row>
    <row r="1587" spans="4:4">
      <c r="D1587" s="121"/>
    </row>
    <row r="1588" spans="4:4">
      <c r="D1588" s="121"/>
    </row>
    <row r="1589" spans="4:4">
      <c r="D1589" s="121"/>
    </row>
    <row r="1590" spans="4:4">
      <c r="D1590" s="121"/>
    </row>
    <row r="1591" spans="4:4">
      <c r="D1591" s="121"/>
    </row>
    <row r="1592" spans="4:4">
      <c r="D1592" s="121"/>
    </row>
    <row r="1593" spans="4:4">
      <c r="D1593" s="121"/>
    </row>
    <row r="1594" spans="4:4">
      <c r="D1594" s="121"/>
    </row>
    <row r="1595" spans="4:4">
      <c r="D1595" s="121"/>
    </row>
    <row r="1596" spans="4:4">
      <c r="D1596" s="121"/>
    </row>
    <row r="1597" spans="4:4">
      <c r="D1597" s="121"/>
    </row>
    <row r="1598" spans="4:4">
      <c r="D1598" s="121"/>
    </row>
    <row r="1599" spans="4:4">
      <c r="D1599" s="121"/>
    </row>
    <row r="1600" spans="4:4">
      <c r="D1600" s="121"/>
    </row>
    <row r="1601" spans="4:4">
      <c r="D1601" s="121"/>
    </row>
    <row r="1602" spans="4:4">
      <c r="D1602" s="121"/>
    </row>
    <row r="1603" spans="4:4">
      <c r="D1603" s="121"/>
    </row>
    <row r="1604" spans="4:4">
      <c r="D1604" s="121"/>
    </row>
    <row r="1605" spans="4:4">
      <c r="D1605" s="121"/>
    </row>
    <row r="1606" spans="4:4">
      <c r="D1606" s="121"/>
    </row>
    <row r="1607" spans="4:4">
      <c r="D1607" s="121"/>
    </row>
    <row r="1608" spans="4:4">
      <c r="D1608" s="121"/>
    </row>
    <row r="1609" spans="4:4">
      <c r="D1609" s="121"/>
    </row>
    <row r="1610" spans="4:4">
      <c r="D1610" s="121"/>
    </row>
    <row r="1611" spans="4:4">
      <c r="D1611" s="121"/>
    </row>
    <row r="1612" spans="4:4">
      <c r="D1612" s="121"/>
    </row>
    <row r="1613" spans="4:4">
      <c r="D1613" s="121"/>
    </row>
    <row r="1614" spans="4:4">
      <c r="D1614" s="121"/>
    </row>
    <row r="1615" spans="4:4">
      <c r="D1615" s="121"/>
    </row>
    <row r="1616" spans="4:4">
      <c r="D1616" s="121"/>
    </row>
    <row r="1617" spans="4:4">
      <c r="D1617" s="121"/>
    </row>
    <row r="1618" spans="4:4">
      <c r="D1618" s="121"/>
    </row>
    <row r="1619" spans="4:4">
      <c r="D1619" s="121"/>
    </row>
    <row r="1620" spans="4:4">
      <c r="D1620" s="121"/>
    </row>
    <row r="1621" spans="4:4">
      <c r="D1621" s="121"/>
    </row>
    <row r="1622" spans="4:4">
      <c r="D1622" s="121"/>
    </row>
    <row r="1623" spans="4:4">
      <c r="D1623" s="121"/>
    </row>
    <row r="1624" spans="4:4">
      <c r="D1624" s="121"/>
    </row>
    <row r="1625" spans="4:4">
      <c r="D1625" s="121"/>
    </row>
    <row r="1626" spans="4:4">
      <c r="D1626" s="121"/>
    </row>
    <row r="1627" spans="4:4">
      <c r="D1627" s="121"/>
    </row>
    <row r="1628" spans="4:4">
      <c r="D1628" s="121"/>
    </row>
    <row r="1629" spans="4:4">
      <c r="D1629" s="121"/>
    </row>
    <row r="1630" spans="4:4">
      <c r="D1630" s="121"/>
    </row>
    <row r="1631" spans="4:4">
      <c r="D1631" s="121"/>
    </row>
    <row r="1632" spans="4:4">
      <c r="D1632" s="121"/>
    </row>
    <row r="1633" spans="4:4">
      <c r="D1633" s="121"/>
    </row>
    <row r="1634" spans="4:4">
      <c r="D1634" s="121"/>
    </row>
    <row r="1635" spans="4:4">
      <c r="D1635" s="121"/>
    </row>
    <row r="1636" spans="4:4">
      <c r="D1636" s="121"/>
    </row>
    <row r="1637" spans="4:4">
      <c r="D1637" s="121"/>
    </row>
    <row r="1638" spans="4:4">
      <c r="D1638" s="121"/>
    </row>
    <row r="1639" spans="4:4">
      <c r="D1639" s="121"/>
    </row>
    <row r="1640" spans="4:4">
      <c r="D1640" s="121"/>
    </row>
    <row r="1641" spans="4:4">
      <c r="D1641" s="121"/>
    </row>
    <row r="1642" spans="4:4">
      <c r="D1642" s="121"/>
    </row>
    <row r="1643" spans="4:4">
      <c r="D1643" s="121"/>
    </row>
    <row r="1644" spans="4:4">
      <c r="D1644" s="121"/>
    </row>
    <row r="1645" spans="4:4">
      <c r="D1645" s="121"/>
    </row>
    <row r="1646" spans="4:4">
      <c r="D1646" s="121"/>
    </row>
    <row r="1647" spans="4:4">
      <c r="D1647" s="121"/>
    </row>
    <row r="1648" spans="4:4">
      <c r="D1648" s="121"/>
    </row>
    <row r="1649" spans="4:4">
      <c r="D1649" s="121"/>
    </row>
    <row r="1650" spans="4:4">
      <c r="D1650" s="121"/>
    </row>
    <row r="1651" spans="4:4">
      <c r="D1651" s="121"/>
    </row>
    <row r="1652" spans="4:4">
      <c r="D1652" s="121"/>
    </row>
    <row r="1653" spans="4:4">
      <c r="D1653" s="121"/>
    </row>
    <row r="1654" spans="4:4">
      <c r="D1654" s="121"/>
    </row>
    <row r="1655" spans="4:4">
      <c r="D1655" s="121"/>
    </row>
    <row r="1656" spans="4:4">
      <c r="D1656" s="121"/>
    </row>
    <row r="1657" spans="4:4">
      <c r="D1657" s="121"/>
    </row>
    <row r="1658" spans="4:4">
      <c r="D1658" s="121"/>
    </row>
    <row r="1659" spans="4:4">
      <c r="D1659" s="121"/>
    </row>
    <row r="1660" spans="4:4">
      <c r="D1660" s="121"/>
    </row>
    <row r="1661" spans="4:4">
      <c r="D1661" s="121"/>
    </row>
    <row r="1662" spans="4:4">
      <c r="D1662" s="121"/>
    </row>
    <row r="1663" spans="4:4">
      <c r="D1663" s="121"/>
    </row>
    <row r="1664" spans="4:4">
      <c r="D1664" s="121"/>
    </row>
    <row r="1665" spans="4:4">
      <c r="D1665" s="121"/>
    </row>
    <row r="1666" spans="4:4">
      <c r="D1666" s="121"/>
    </row>
    <row r="1667" spans="4:4">
      <c r="D1667" s="121"/>
    </row>
    <row r="1668" spans="4:4">
      <c r="D1668" s="121"/>
    </row>
    <row r="1669" spans="4:4">
      <c r="D1669" s="121"/>
    </row>
    <row r="1670" spans="4:4">
      <c r="D1670" s="121"/>
    </row>
    <row r="1671" spans="4:4">
      <c r="D1671" s="121"/>
    </row>
    <row r="1672" spans="4:4">
      <c r="D1672" s="121"/>
    </row>
    <row r="1673" spans="4:4">
      <c r="D1673" s="121"/>
    </row>
    <row r="1674" spans="4:4">
      <c r="D1674" s="121"/>
    </row>
    <row r="1675" spans="4:4">
      <c r="D1675" s="121"/>
    </row>
    <row r="1676" spans="4:4">
      <c r="D1676" s="121"/>
    </row>
    <row r="1677" spans="4:4">
      <c r="D1677" s="121"/>
    </row>
    <row r="1678" spans="4:4">
      <c r="D1678" s="121"/>
    </row>
    <row r="1679" spans="4:4">
      <c r="D1679" s="121"/>
    </row>
    <row r="1680" spans="4:4">
      <c r="D1680" s="121"/>
    </row>
    <row r="1681" spans="4:4">
      <c r="D1681" s="121"/>
    </row>
    <row r="1682" spans="4:4">
      <c r="D1682" s="121"/>
    </row>
    <row r="1683" spans="4:4">
      <c r="D1683" s="121"/>
    </row>
    <row r="1684" spans="4:4">
      <c r="D1684" s="121"/>
    </row>
    <row r="1685" spans="4:4">
      <c r="D1685" s="121"/>
    </row>
    <row r="1686" spans="4:4">
      <c r="D1686" s="121"/>
    </row>
    <row r="1687" spans="4:4">
      <c r="D1687" s="121"/>
    </row>
    <row r="1688" spans="4:4">
      <c r="D1688" s="121"/>
    </row>
    <row r="1689" spans="4:4">
      <c r="D1689" s="121"/>
    </row>
    <row r="1690" spans="4:4">
      <c r="D1690" s="121"/>
    </row>
    <row r="1691" spans="4:4">
      <c r="D1691" s="121"/>
    </row>
    <row r="1692" spans="4:4">
      <c r="D1692" s="121"/>
    </row>
    <row r="1693" spans="4:4">
      <c r="D1693" s="121"/>
    </row>
    <row r="1694" spans="4:4">
      <c r="D1694" s="121"/>
    </row>
    <row r="1695" spans="4:4">
      <c r="D1695" s="121"/>
    </row>
    <row r="1696" spans="4:4">
      <c r="D1696" s="121"/>
    </row>
    <row r="1697" spans="4:4">
      <c r="D1697" s="121"/>
    </row>
    <row r="1698" spans="4:4">
      <c r="D1698" s="121"/>
    </row>
    <row r="1699" spans="4:4">
      <c r="D1699" s="121"/>
    </row>
    <row r="1700" spans="4:4">
      <c r="D1700" s="121"/>
    </row>
    <row r="1701" spans="4:4">
      <c r="D1701" s="121"/>
    </row>
    <row r="1702" spans="4:4">
      <c r="D1702" s="121"/>
    </row>
    <row r="1703" spans="4:4">
      <c r="D1703" s="121"/>
    </row>
    <row r="1704" spans="4:4">
      <c r="D1704" s="121"/>
    </row>
    <row r="1705" spans="4:4">
      <c r="D1705" s="121"/>
    </row>
    <row r="1706" spans="4:4">
      <c r="D1706" s="121"/>
    </row>
    <row r="1707" spans="4:4">
      <c r="D1707" s="121"/>
    </row>
    <row r="1708" spans="4:4">
      <c r="D1708" s="121"/>
    </row>
    <row r="1709" spans="4:4">
      <c r="D1709" s="121"/>
    </row>
    <row r="1710" spans="4:4">
      <c r="D1710" s="121"/>
    </row>
    <row r="1711" spans="4:4">
      <c r="D1711" s="121"/>
    </row>
    <row r="1712" spans="4:4">
      <c r="D1712" s="121"/>
    </row>
    <row r="1713" spans="4:4">
      <c r="D1713" s="121"/>
    </row>
    <row r="1714" spans="4:4">
      <c r="D1714" s="121"/>
    </row>
    <row r="1715" spans="4:4">
      <c r="D1715" s="121"/>
    </row>
    <row r="1716" spans="4:4">
      <c r="D1716" s="121"/>
    </row>
    <row r="1717" spans="4:4">
      <c r="D1717" s="121"/>
    </row>
    <row r="1718" spans="4:4">
      <c r="D1718" s="121"/>
    </row>
    <row r="1719" spans="4:4">
      <c r="D1719" s="121"/>
    </row>
    <row r="1720" spans="4:4">
      <c r="D1720" s="121"/>
    </row>
    <row r="1721" spans="4:4">
      <c r="D1721" s="121"/>
    </row>
    <row r="1722" spans="4:4">
      <c r="D1722" s="121"/>
    </row>
    <row r="1723" spans="4:4">
      <c r="D1723" s="121"/>
    </row>
    <row r="1724" spans="4:4">
      <c r="D1724" s="121"/>
    </row>
    <row r="1725" spans="4:4">
      <c r="D1725" s="121"/>
    </row>
    <row r="1726" spans="4:4">
      <c r="D1726" s="121"/>
    </row>
    <row r="1727" spans="4:4">
      <c r="D1727" s="121"/>
    </row>
    <row r="1728" spans="4:4">
      <c r="D1728" s="121"/>
    </row>
    <row r="1729" spans="4:4">
      <c r="D1729" s="121"/>
    </row>
    <row r="1730" spans="4:4">
      <c r="D1730" s="121"/>
    </row>
    <row r="1731" spans="4:4">
      <c r="D1731" s="121"/>
    </row>
    <row r="1732" spans="4:4">
      <c r="D1732" s="121"/>
    </row>
    <row r="1733" spans="4:4">
      <c r="D1733" s="121"/>
    </row>
    <row r="1734" spans="4:4">
      <c r="D1734" s="121"/>
    </row>
    <row r="1735" spans="4:4">
      <c r="D1735" s="121"/>
    </row>
    <row r="1736" spans="4:4">
      <c r="D1736" s="121"/>
    </row>
    <row r="1737" spans="4:4">
      <c r="D1737" s="121"/>
    </row>
    <row r="1738" spans="4:4">
      <c r="D1738" s="121"/>
    </row>
    <row r="1739" spans="4:4">
      <c r="D1739" s="121"/>
    </row>
    <row r="1740" spans="4:4">
      <c r="D1740" s="121"/>
    </row>
    <row r="1741" spans="4:4">
      <c r="D1741" s="121"/>
    </row>
    <row r="1742" spans="4:4">
      <c r="D1742" s="121"/>
    </row>
    <row r="1743" spans="4:4">
      <c r="D1743" s="121"/>
    </row>
    <row r="1744" spans="4:4">
      <c r="D1744" s="121"/>
    </row>
    <row r="1745" spans="4:4">
      <c r="D1745" s="121"/>
    </row>
    <row r="1746" spans="4:4">
      <c r="D1746" s="121"/>
    </row>
    <row r="1747" spans="4:4">
      <c r="D1747" s="121"/>
    </row>
    <row r="1748" spans="4:4">
      <c r="D1748" s="121"/>
    </row>
    <row r="1749" spans="4:4">
      <c r="D1749" s="121"/>
    </row>
  </sheetData>
  <pageMargins left="0.7" right="0.7" top="0.75" bottom="0.75" header="0.3" footer="0.3"/>
  <pageSetup fitToHeight="0" orientation="portrait" r:id="rId1"/>
  <customProperties>
    <customPr name="_pios_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9"/>
  <sheetViews>
    <sheetView zoomScale="80" zoomScaleNormal="80" workbookViewId="0"/>
  </sheetViews>
  <sheetFormatPr defaultColWidth="8.88671875" defaultRowHeight="14.4"/>
  <cols>
    <col min="1" max="1" width="10" style="304" bestFit="1" customWidth="1"/>
    <col min="2" max="2" width="19" style="493" bestFit="1" customWidth="1"/>
    <col min="3" max="3" width="10" style="493" bestFit="1" customWidth="1"/>
    <col min="4" max="4" width="21" style="304" bestFit="1" customWidth="1"/>
    <col min="5" max="5" width="6" style="304" bestFit="1" customWidth="1"/>
    <col min="6" max="6" width="31" style="304" bestFit="1" customWidth="1"/>
    <col min="7" max="7" width="8" style="304" bestFit="1" customWidth="1"/>
    <col min="8" max="16384" width="8.88671875" style="304"/>
  </cols>
  <sheetData>
    <row r="1" spans="1:8">
      <c r="A1" s="93" t="s">
        <v>431</v>
      </c>
    </row>
    <row r="2" spans="1:8">
      <c r="A2" s="93" t="s">
        <v>463</v>
      </c>
    </row>
    <row r="3" spans="1:8">
      <c r="F3" s="304" t="s">
        <v>128</v>
      </c>
      <c r="H3" s="303">
        <f>AVERAGE(H7:H72)</f>
        <v>3.2651515151515154E-2</v>
      </c>
    </row>
    <row r="4" spans="1:8">
      <c r="A4" s="702" t="s">
        <v>1134</v>
      </c>
      <c r="F4" s="304" t="s">
        <v>129</v>
      </c>
      <c r="H4" s="303">
        <f>AVERAGE(H73:H129)</f>
        <v>3.2631578947368442E-2</v>
      </c>
    </row>
    <row r="6" spans="1:8">
      <c r="A6" s="305" t="s">
        <v>20</v>
      </c>
      <c r="B6" s="494" t="s">
        <v>3</v>
      </c>
      <c r="C6" s="494" t="s">
        <v>22</v>
      </c>
      <c r="D6" s="305" t="s">
        <v>2</v>
      </c>
      <c r="E6" s="305" t="s">
        <v>51</v>
      </c>
      <c r="F6" s="305" t="s">
        <v>52</v>
      </c>
      <c r="G6" s="305" t="s">
        <v>53</v>
      </c>
      <c r="H6" s="305" t="s">
        <v>127</v>
      </c>
    </row>
    <row r="7" spans="1:8">
      <c r="A7" s="711"/>
      <c r="B7" s="304" t="s">
        <v>6</v>
      </c>
      <c r="C7" s="493">
        <v>120114</v>
      </c>
      <c r="D7" s="304" t="s">
        <v>9</v>
      </c>
      <c r="E7" s="304" t="s">
        <v>56</v>
      </c>
      <c r="F7" s="304" t="s">
        <v>57</v>
      </c>
      <c r="G7" s="306">
        <v>20</v>
      </c>
      <c r="H7" s="303">
        <v>2.5000000000000001E-2</v>
      </c>
    </row>
    <row r="8" spans="1:8">
      <c r="A8" s="711"/>
      <c r="B8" s="304" t="s">
        <v>6</v>
      </c>
      <c r="C8" s="493">
        <v>120121</v>
      </c>
      <c r="D8" s="304" t="s">
        <v>18</v>
      </c>
      <c r="E8" s="304" t="s">
        <v>56</v>
      </c>
      <c r="F8" s="304" t="s">
        <v>57</v>
      </c>
      <c r="G8" s="306">
        <v>10</v>
      </c>
      <c r="H8" s="303">
        <v>2.5000000000000001E-2</v>
      </c>
    </row>
    <row r="9" spans="1:8">
      <c r="A9" s="711"/>
      <c r="B9" s="304" t="s">
        <v>6</v>
      </c>
      <c r="C9" s="493">
        <v>120217</v>
      </c>
      <c r="D9" s="304" t="s">
        <v>247</v>
      </c>
      <c r="E9" s="304" t="s">
        <v>56</v>
      </c>
      <c r="F9" s="304" t="s">
        <v>57</v>
      </c>
      <c r="G9" s="306">
        <v>10</v>
      </c>
      <c r="H9" s="303">
        <v>2.5000000000000001E-2</v>
      </c>
    </row>
    <row r="10" spans="1:8">
      <c r="A10" s="711"/>
      <c r="B10" s="304" t="s">
        <v>6</v>
      </c>
      <c r="C10" s="493">
        <v>120114</v>
      </c>
      <c r="D10" s="304" t="s">
        <v>9</v>
      </c>
      <c r="E10" s="304" t="s">
        <v>56</v>
      </c>
      <c r="F10" s="304" t="s">
        <v>57</v>
      </c>
      <c r="G10" s="306">
        <v>35</v>
      </c>
      <c r="H10" s="303">
        <v>2.5000000000000001E-2</v>
      </c>
    </row>
    <row r="11" spans="1:8">
      <c r="A11" s="711"/>
      <c r="B11" s="304" t="s">
        <v>6</v>
      </c>
      <c r="C11" s="493">
        <v>120201</v>
      </c>
      <c r="D11" s="304" t="s">
        <v>264</v>
      </c>
      <c r="E11" s="304" t="s">
        <v>56</v>
      </c>
      <c r="F11" s="304" t="s">
        <v>57</v>
      </c>
      <c r="G11" s="306">
        <v>5</v>
      </c>
      <c r="H11" s="303">
        <v>2.5000000000000001E-2</v>
      </c>
    </row>
    <row r="12" spans="1:8">
      <c r="A12" s="711"/>
      <c r="B12" s="304" t="s">
        <v>6</v>
      </c>
      <c r="C12" s="493">
        <v>120206</v>
      </c>
      <c r="D12" s="304" t="s">
        <v>286</v>
      </c>
      <c r="E12" s="304" t="s">
        <v>56</v>
      </c>
      <c r="F12" s="304" t="s">
        <v>57</v>
      </c>
      <c r="G12" s="306">
        <v>11</v>
      </c>
      <c r="H12" s="303">
        <v>2.5000000000000001E-2</v>
      </c>
    </row>
    <row r="13" spans="1:8">
      <c r="A13" s="711"/>
      <c r="B13" s="304" t="s">
        <v>6</v>
      </c>
      <c r="C13" s="493">
        <v>120114</v>
      </c>
      <c r="D13" s="304" t="s">
        <v>9</v>
      </c>
      <c r="E13" s="304" t="s">
        <v>56</v>
      </c>
      <c r="F13" s="304" t="s">
        <v>57</v>
      </c>
      <c r="G13" s="306">
        <v>8</v>
      </c>
      <c r="H13" s="303">
        <v>2.5000000000000001E-2</v>
      </c>
    </row>
    <row r="14" spans="1:8">
      <c r="A14" s="711"/>
      <c r="B14" s="304" t="s">
        <v>6</v>
      </c>
      <c r="C14" s="493">
        <v>120105</v>
      </c>
      <c r="D14" s="304" t="s">
        <v>5</v>
      </c>
      <c r="E14" s="304" t="s">
        <v>56</v>
      </c>
      <c r="F14" s="304" t="s">
        <v>57</v>
      </c>
      <c r="G14" s="306">
        <v>17</v>
      </c>
      <c r="H14" s="303">
        <v>2.5000000000000001E-2</v>
      </c>
    </row>
    <row r="15" spans="1:8">
      <c r="A15" s="711"/>
      <c r="B15" s="304" t="s">
        <v>6</v>
      </c>
      <c r="C15" s="493">
        <v>120206</v>
      </c>
      <c r="D15" s="304" t="s">
        <v>286</v>
      </c>
      <c r="E15" s="304" t="s">
        <v>56</v>
      </c>
      <c r="F15" s="304" t="s">
        <v>57</v>
      </c>
      <c r="G15" s="306">
        <v>6</v>
      </c>
      <c r="H15" s="303">
        <v>2.5000000000000001E-2</v>
      </c>
    </row>
    <row r="16" spans="1:8">
      <c r="A16" s="711"/>
      <c r="B16" s="304" t="s">
        <v>6</v>
      </c>
      <c r="C16" s="493">
        <v>120203</v>
      </c>
      <c r="D16" s="304" t="s">
        <v>219</v>
      </c>
      <c r="E16" s="304" t="s">
        <v>56</v>
      </c>
      <c r="F16" s="304" t="s">
        <v>57</v>
      </c>
      <c r="G16" s="306">
        <v>6</v>
      </c>
      <c r="H16" s="303">
        <v>2.5000000000000001E-2</v>
      </c>
    </row>
    <row r="17" spans="1:8">
      <c r="A17" s="711"/>
      <c r="B17" s="304" t="s">
        <v>6</v>
      </c>
      <c r="C17" s="493">
        <v>120206</v>
      </c>
      <c r="D17" s="304" t="s">
        <v>286</v>
      </c>
      <c r="E17" s="304" t="s">
        <v>56</v>
      </c>
      <c r="F17" s="304" t="s">
        <v>57</v>
      </c>
      <c r="G17" s="306">
        <v>6</v>
      </c>
      <c r="H17" s="303">
        <v>2.5000000000000001E-2</v>
      </c>
    </row>
    <row r="18" spans="1:8">
      <c r="A18" s="711"/>
      <c r="B18" s="304" t="s">
        <v>6</v>
      </c>
      <c r="C18" s="493">
        <v>120250</v>
      </c>
      <c r="D18" s="304" t="s">
        <v>256</v>
      </c>
      <c r="E18" s="304" t="s">
        <v>56</v>
      </c>
      <c r="F18" s="304" t="s">
        <v>57</v>
      </c>
      <c r="G18" s="306">
        <v>8</v>
      </c>
      <c r="H18" s="303">
        <v>2.5000000000000001E-2</v>
      </c>
    </row>
    <row r="19" spans="1:8">
      <c r="A19" s="711"/>
      <c r="B19" s="304" t="s">
        <v>6</v>
      </c>
      <c r="C19" s="493">
        <v>123006</v>
      </c>
      <c r="D19" s="304" t="s">
        <v>315</v>
      </c>
      <c r="E19" s="304" t="s">
        <v>56</v>
      </c>
      <c r="F19" s="304" t="s">
        <v>57</v>
      </c>
      <c r="G19" s="306">
        <v>10</v>
      </c>
      <c r="H19" s="303">
        <v>2.5000000000000001E-2</v>
      </c>
    </row>
    <row r="20" spans="1:8">
      <c r="A20" s="711"/>
      <c r="B20" s="304" t="s">
        <v>6</v>
      </c>
      <c r="C20" s="493">
        <v>120201</v>
      </c>
      <c r="D20" s="304" t="s">
        <v>264</v>
      </c>
      <c r="E20" s="304" t="s">
        <v>54</v>
      </c>
      <c r="F20" s="304" t="s">
        <v>55</v>
      </c>
      <c r="G20" s="306">
        <v>5</v>
      </c>
      <c r="H20" s="303">
        <v>0.04</v>
      </c>
    </row>
    <row r="21" spans="1:8">
      <c r="A21" s="711"/>
      <c r="B21" s="304" t="s">
        <v>6</v>
      </c>
      <c r="C21" s="493">
        <v>120206</v>
      </c>
      <c r="D21" s="304" t="s">
        <v>286</v>
      </c>
      <c r="E21" s="304" t="s">
        <v>56</v>
      </c>
      <c r="F21" s="304" t="s">
        <v>57</v>
      </c>
      <c r="G21" s="306">
        <v>9</v>
      </c>
      <c r="H21" s="303">
        <v>2.5000000000000001E-2</v>
      </c>
    </row>
    <row r="22" spans="1:8">
      <c r="A22" s="711"/>
      <c r="B22" s="304" t="s">
        <v>6</v>
      </c>
      <c r="C22" s="493">
        <v>120114</v>
      </c>
      <c r="D22" s="304" t="s">
        <v>9</v>
      </c>
      <c r="E22" s="304" t="s">
        <v>56</v>
      </c>
      <c r="F22" s="304" t="s">
        <v>57</v>
      </c>
      <c r="G22" s="306">
        <v>11</v>
      </c>
      <c r="H22" s="303">
        <v>2.5000000000000001E-2</v>
      </c>
    </row>
    <row r="23" spans="1:8">
      <c r="A23" s="711"/>
      <c r="B23" s="304" t="s">
        <v>6</v>
      </c>
      <c r="C23" s="493">
        <v>120206</v>
      </c>
      <c r="D23" s="304" t="s">
        <v>286</v>
      </c>
      <c r="E23" s="304" t="s">
        <v>56</v>
      </c>
      <c r="F23" s="304" t="s">
        <v>57</v>
      </c>
      <c r="G23" s="306">
        <v>5</v>
      </c>
      <c r="H23" s="303">
        <v>2.5000000000000001E-2</v>
      </c>
    </row>
    <row r="24" spans="1:8">
      <c r="A24" s="711"/>
      <c r="B24" s="304" t="s">
        <v>6</v>
      </c>
      <c r="C24" s="493">
        <v>123005</v>
      </c>
      <c r="D24" s="304" t="s">
        <v>336</v>
      </c>
      <c r="E24" s="304" t="s">
        <v>56</v>
      </c>
      <c r="F24" s="304" t="s">
        <v>57</v>
      </c>
      <c r="G24" s="306">
        <v>1</v>
      </c>
      <c r="H24" s="303">
        <v>5.0000000000000001E-3</v>
      </c>
    </row>
    <row r="25" spans="1:8">
      <c r="A25" s="711"/>
      <c r="B25" s="304" t="s">
        <v>6</v>
      </c>
      <c r="C25" s="493">
        <v>123006</v>
      </c>
      <c r="D25" s="304" t="s">
        <v>315</v>
      </c>
      <c r="E25" s="304" t="s">
        <v>56</v>
      </c>
      <c r="F25" s="304" t="s">
        <v>57</v>
      </c>
      <c r="G25" s="306">
        <v>5</v>
      </c>
      <c r="H25" s="303">
        <v>2.5000000000000001E-2</v>
      </c>
    </row>
    <row r="26" spans="1:8">
      <c r="A26" s="711"/>
      <c r="B26" s="304" t="s">
        <v>6</v>
      </c>
      <c r="C26" s="493">
        <v>120206</v>
      </c>
      <c r="D26" s="304" t="s">
        <v>286</v>
      </c>
      <c r="E26" s="304" t="s">
        <v>56</v>
      </c>
      <c r="F26" s="304" t="s">
        <v>57</v>
      </c>
      <c r="G26" s="306">
        <v>11</v>
      </c>
      <c r="H26" s="303">
        <v>2.5000000000000001E-2</v>
      </c>
    </row>
    <row r="27" spans="1:8">
      <c r="A27" s="711"/>
      <c r="B27" s="304" t="s">
        <v>6</v>
      </c>
      <c r="C27" s="493">
        <v>123005</v>
      </c>
      <c r="D27" s="304" t="s">
        <v>336</v>
      </c>
      <c r="E27" s="304" t="s">
        <v>54</v>
      </c>
      <c r="F27" s="304" t="s">
        <v>55</v>
      </c>
      <c r="G27" s="306">
        <v>9</v>
      </c>
      <c r="H27" s="303">
        <v>0.04</v>
      </c>
    </row>
    <row r="28" spans="1:8">
      <c r="A28" s="711"/>
      <c r="B28" s="304" t="s">
        <v>6</v>
      </c>
      <c r="C28" s="493">
        <v>120201</v>
      </c>
      <c r="D28" s="304" t="s">
        <v>264</v>
      </c>
      <c r="E28" s="304" t="s">
        <v>54</v>
      </c>
      <c r="F28" s="304" t="s">
        <v>55</v>
      </c>
      <c r="G28" s="306">
        <v>5</v>
      </c>
      <c r="H28" s="303">
        <v>0.04</v>
      </c>
    </row>
    <row r="29" spans="1:8">
      <c r="A29" s="711"/>
      <c r="B29" s="304" t="s">
        <v>6</v>
      </c>
      <c r="C29" s="493">
        <v>120114</v>
      </c>
      <c r="D29" s="304" t="s">
        <v>9</v>
      </c>
      <c r="E29" s="304" t="s">
        <v>56</v>
      </c>
      <c r="F29" s="304" t="s">
        <v>57</v>
      </c>
      <c r="G29" s="306">
        <v>5</v>
      </c>
      <c r="H29" s="303">
        <v>2.5000000000000001E-2</v>
      </c>
    </row>
    <row r="30" spans="1:8">
      <c r="A30" s="711"/>
      <c r="B30" s="304" t="s">
        <v>6</v>
      </c>
      <c r="C30" s="493">
        <v>120203</v>
      </c>
      <c r="D30" s="304" t="s">
        <v>219</v>
      </c>
      <c r="E30" s="304" t="s">
        <v>54</v>
      </c>
      <c r="F30" s="304" t="s">
        <v>55</v>
      </c>
      <c r="G30" s="306">
        <v>10</v>
      </c>
      <c r="H30" s="303">
        <v>0.04</v>
      </c>
    </row>
    <row r="31" spans="1:8">
      <c r="A31" s="711"/>
      <c r="B31" s="304" t="s">
        <v>6</v>
      </c>
      <c r="C31" s="493">
        <v>120206</v>
      </c>
      <c r="D31" s="304" t="s">
        <v>286</v>
      </c>
      <c r="E31" s="304" t="s">
        <v>54</v>
      </c>
      <c r="F31" s="304" t="s">
        <v>55</v>
      </c>
      <c r="G31" s="306">
        <v>5</v>
      </c>
      <c r="H31" s="303">
        <v>0.04</v>
      </c>
    </row>
    <row r="32" spans="1:8">
      <c r="A32" s="711"/>
      <c r="B32" s="304" t="s">
        <v>6</v>
      </c>
      <c r="C32" s="493">
        <v>120201</v>
      </c>
      <c r="D32" s="304" t="s">
        <v>264</v>
      </c>
      <c r="E32" s="304" t="s">
        <v>54</v>
      </c>
      <c r="F32" s="304" t="s">
        <v>55</v>
      </c>
      <c r="G32" s="306">
        <v>5</v>
      </c>
      <c r="H32" s="303">
        <v>0.04</v>
      </c>
    </row>
    <row r="33" spans="1:8">
      <c r="A33" s="711"/>
      <c r="B33" s="304" t="s">
        <v>6</v>
      </c>
      <c r="C33" s="493">
        <v>123301</v>
      </c>
      <c r="D33" s="304" t="s">
        <v>795</v>
      </c>
      <c r="E33" s="304" t="s">
        <v>56</v>
      </c>
      <c r="F33" s="304" t="s">
        <v>57</v>
      </c>
      <c r="G33" s="306">
        <v>10</v>
      </c>
      <c r="H33" s="303">
        <v>2.5000000000000001E-2</v>
      </c>
    </row>
    <row r="34" spans="1:8">
      <c r="A34" s="711"/>
      <c r="B34" s="304" t="s">
        <v>6</v>
      </c>
      <c r="C34" s="493">
        <v>123005</v>
      </c>
      <c r="D34" s="304" t="s">
        <v>336</v>
      </c>
      <c r="E34" s="304" t="s">
        <v>56</v>
      </c>
      <c r="F34" s="304" t="s">
        <v>57</v>
      </c>
      <c r="G34" s="306">
        <v>5</v>
      </c>
      <c r="H34" s="303">
        <v>2.5000000000000001E-2</v>
      </c>
    </row>
    <row r="35" spans="1:8">
      <c r="A35" s="711"/>
      <c r="B35" s="304" t="s">
        <v>6</v>
      </c>
      <c r="C35" s="493">
        <v>120206</v>
      </c>
      <c r="D35" s="304" t="s">
        <v>286</v>
      </c>
      <c r="E35" s="304" t="s">
        <v>54</v>
      </c>
      <c r="F35" s="304" t="s">
        <v>55</v>
      </c>
      <c r="G35" s="306">
        <v>8</v>
      </c>
      <c r="H35" s="303">
        <v>0.04</v>
      </c>
    </row>
    <row r="36" spans="1:8">
      <c r="A36" s="711"/>
      <c r="B36" s="304" t="s">
        <v>6</v>
      </c>
      <c r="C36" s="493">
        <v>120121</v>
      </c>
      <c r="D36" s="304" t="s">
        <v>18</v>
      </c>
      <c r="E36" s="304" t="s">
        <v>54</v>
      </c>
      <c r="F36" s="304" t="s">
        <v>55</v>
      </c>
      <c r="G36" s="306">
        <v>14</v>
      </c>
      <c r="H36" s="303">
        <v>0.04</v>
      </c>
    </row>
    <row r="37" spans="1:8">
      <c r="A37" s="711"/>
      <c r="B37" s="304" t="s">
        <v>6</v>
      </c>
      <c r="C37" s="493">
        <v>123001</v>
      </c>
      <c r="D37" s="304" t="s">
        <v>384</v>
      </c>
      <c r="E37" s="304" t="s">
        <v>54</v>
      </c>
      <c r="F37" s="304" t="s">
        <v>55</v>
      </c>
      <c r="G37" s="306">
        <v>14</v>
      </c>
      <c r="H37" s="303">
        <v>0.04</v>
      </c>
    </row>
    <row r="38" spans="1:8">
      <c r="A38" s="711"/>
      <c r="B38" s="304" t="s">
        <v>6</v>
      </c>
      <c r="C38" s="493">
        <v>120201</v>
      </c>
      <c r="D38" s="304" t="s">
        <v>264</v>
      </c>
      <c r="E38" s="304" t="s">
        <v>54</v>
      </c>
      <c r="F38" s="304" t="s">
        <v>55</v>
      </c>
      <c r="G38" s="306">
        <v>5</v>
      </c>
      <c r="H38" s="303">
        <v>0.04</v>
      </c>
    </row>
    <row r="39" spans="1:8">
      <c r="A39" s="711"/>
      <c r="B39" s="304" t="s">
        <v>6</v>
      </c>
      <c r="C39" s="493">
        <v>120203</v>
      </c>
      <c r="D39" s="304" t="s">
        <v>219</v>
      </c>
      <c r="E39" s="304" t="s">
        <v>54</v>
      </c>
      <c r="F39" s="304" t="s">
        <v>55</v>
      </c>
      <c r="G39" s="306">
        <v>20</v>
      </c>
      <c r="H39" s="303">
        <v>0.04</v>
      </c>
    </row>
    <row r="40" spans="1:8">
      <c r="A40" s="711"/>
      <c r="B40" s="304" t="s">
        <v>6</v>
      </c>
      <c r="C40" s="493">
        <v>120203</v>
      </c>
      <c r="D40" s="304" t="s">
        <v>219</v>
      </c>
      <c r="E40" s="304" t="s">
        <v>54</v>
      </c>
      <c r="F40" s="304" t="s">
        <v>55</v>
      </c>
      <c r="G40" s="306">
        <v>3</v>
      </c>
      <c r="H40" s="303">
        <v>0.03</v>
      </c>
    </row>
    <row r="41" spans="1:8">
      <c r="A41" s="711"/>
      <c r="B41" s="304" t="s">
        <v>6</v>
      </c>
      <c r="C41" s="493">
        <v>120105</v>
      </c>
      <c r="D41" s="304" t="s">
        <v>5</v>
      </c>
      <c r="E41" s="304" t="s">
        <v>54</v>
      </c>
      <c r="F41" s="304" t="s">
        <v>55</v>
      </c>
      <c r="G41" s="306">
        <v>5</v>
      </c>
      <c r="H41" s="303">
        <v>0.04</v>
      </c>
    </row>
    <row r="42" spans="1:8">
      <c r="A42" s="711"/>
      <c r="B42" s="304" t="s">
        <v>6</v>
      </c>
      <c r="C42" s="493">
        <v>120252</v>
      </c>
      <c r="D42" s="304" t="s">
        <v>357</v>
      </c>
      <c r="E42" s="304" t="s">
        <v>54</v>
      </c>
      <c r="F42" s="304" t="s">
        <v>55</v>
      </c>
      <c r="G42" s="306">
        <v>2</v>
      </c>
      <c r="H42" s="303">
        <v>0.02</v>
      </c>
    </row>
    <row r="43" spans="1:8">
      <c r="A43" s="711"/>
      <c r="B43" s="304" t="s">
        <v>6</v>
      </c>
      <c r="C43" s="493">
        <v>120121</v>
      </c>
      <c r="D43" s="304" t="s">
        <v>18</v>
      </c>
      <c r="E43" s="304" t="s">
        <v>54</v>
      </c>
      <c r="F43" s="304" t="s">
        <v>55</v>
      </c>
      <c r="G43" s="306">
        <v>2</v>
      </c>
      <c r="H43" s="303">
        <v>0.02</v>
      </c>
    </row>
    <row r="44" spans="1:8">
      <c r="A44" s="711"/>
      <c r="B44" s="304" t="s">
        <v>6</v>
      </c>
      <c r="C44" s="493">
        <v>123006</v>
      </c>
      <c r="D44" s="304" t="s">
        <v>315</v>
      </c>
      <c r="E44" s="304" t="s">
        <v>54</v>
      </c>
      <c r="F44" s="304" t="s">
        <v>55</v>
      </c>
      <c r="G44" s="306">
        <v>7</v>
      </c>
      <c r="H44" s="303">
        <v>0.04</v>
      </c>
    </row>
    <row r="45" spans="1:8">
      <c r="A45" s="711"/>
      <c r="B45" s="304" t="s">
        <v>6</v>
      </c>
      <c r="C45" s="493">
        <v>120252</v>
      </c>
      <c r="D45" s="304" t="s">
        <v>357</v>
      </c>
      <c r="E45" s="304" t="s">
        <v>54</v>
      </c>
      <c r="F45" s="304" t="s">
        <v>55</v>
      </c>
      <c r="G45" s="306">
        <v>12</v>
      </c>
      <c r="H45" s="303">
        <v>0.04</v>
      </c>
    </row>
    <row r="46" spans="1:8">
      <c r="A46" s="711"/>
      <c r="B46" s="304" t="s">
        <v>6</v>
      </c>
      <c r="C46" s="493">
        <v>120114</v>
      </c>
      <c r="D46" s="304" t="s">
        <v>9</v>
      </c>
      <c r="E46" s="304" t="s">
        <v>54</v>
      </c>
      <c r="F46" s="304" t="s">
        <v>55</v>
      </c>
      <c r="G46" s="306">
        <v>8</v>
      </c>
      <c r="H46" s="303">
        <v>0.04</v>
      </c>
    </row>
    <row r="47" spans="1:8">
      <c r="A47" s="711"/>
      <c r="B47" s="304" t="s">
        <v>6</v>
      </c>
      <c r="C47" s="493">
        <v>120114</v>
      </c>
      <c r="D47" s="304" t="s">
        <v>9</v>
      </c>
      <c r="E47" s="304" t="s">
        <v>54</v>
      </c>
      <c r="F47" s="304" t="s">
        <v>55</v>
      </c>
      <c r="G47" s="306">
        <v>5</v>
      </c>
      <c r="H47" s="303">
        <v>0.04</v>
      </c>
    </row>
    <row r="48" spans="1:8">
      <c r="A48" s="711"/>
      <c r="B48" s="304" t="s">
        <v>6</v>
      </c>
      <c r="C48" s="493">
        <v>120114</v>
      </c>
      <c r="D48" s="304" t="s">
        <v>9</v>
      </c>
      <c r="E48" s="304" t="s">
        <v>54</v>
      </c>
      <c r="F48" s="304" t="s">
        <v>55</v>
      </c>
      <c r="G48" s="306">
        <v>17</v>
      </c>
      <c r="H48" s="303">
        <v>0.04</v>
      </c>
    </row>
    <row r="49" spans="1:8">
      <c r="A49" s="711"/>
      <c r="B49" s="304" t="s">
        <v>6</v>
      </c>
      <c r="C49" s="493">
        <v>120206</v>
      </c>
      <c r="D49" s="304" t="s">
        <v>286</v>
      </c>
      <c r="E49" s="304" t="s">
        <v>54</v>
      </c>
      <c r="F49" s="304" t="s">
        <v>55</v>
      </c>
      <c r="G49" s="306">
        <v>10</v>
      </c>
      <c r="H49" s="303">
        <v>0.04</v>
      </c>
    </row>
    <row r="50" spans="1:8">
      <c r="A50" s="711"/>
      <c r="B50" s="304" t="s">
        <v>6</v>
      </c>
      <c r="C50" s="493">
        <v>120216</v>
      </c>
      <c r="D50" s="304" t="s">
        <v>829</v>
      </c>
      <c r="E50" s="304" t="s">
        <v>54</v>
      </c>
      <c r="F50" s="304" t="s">
        <v>55</v>
      </c>
      <c r="G50" s="306">
        <v>5</v>
      </c>
      <c r="H50" s="303">
        <v>0.04</v>
      </c>
    </row>
    <row r="51" spans="1:8">
      <c r="A51" s="711"/>
      <c r="B51" s="304" t="s">
        <v>6</v>
      </c>
      <c r="C51" s="493">
        <v>120217</v>
      </c>
      <c r="D51" s="304" t="s">
        <v>247</v>
      </c>
      <c r="E51" s="304" t="s">
        <v>54</v>
      </c>
      <c r="F51" s="304" t="s">
        <v>55</v>
      </c>
      <c r="G51" s="306">
        <v>8</v>
      </c>
      <c r="H51" s="303">
        <v>0.04</v>
      </c>
    </row>
    <row r="52" spans="1:8">
      <c r="A52" s="711"/>
      <c r="B52" s="304" t="s">
        <v>6</v>
      </c>
      <c r="C52" s="493">
        <v>120203</v>
      </c>
      <c r="D52" s="304" t="s">
        <v>219</v>
      </c>
      <c r="E52" s="304" t="s">
        <v>54</v>
      </c>
      <c r="F52" s="304" t="s">
        <v>55</v>
      </c>
      <c r="G52" s="306">
        <v>4</v>
      </c>
      <c r="H52" s="303">
        <v>3.5000000000000003E-2</v>
      </c>
    </row>
    <row r="53" spans="1:8">
      <c r="A53" s="711"/>
      <c r="B53" s="304" t="s">
        <v>6</v>
      </c>
      <c r="C53" s="493">
        <v>120217</v>
      </c>
      <c r="D53" s="304" t="s">
        <v>247</v>
      </c>
      <c r="E53" s="304" t="s">
        <v>54</v>
      </c>
      <c r="F53" s="304" t="s">
        <v>55</v>
      </c>
      <c r="G53" s="306">
        <v>3</v>
      </c>
      <c r="H53" s="303">
        <v>0.03</v>
      </c>
    </row>
    <row r="54" spans="1:8">
      <c r="A54" s="711"/>
      <c r="B54" s="304" t="s">
        <v>6</v>
      </c>
      <c r="C54" s="493">
        <v>120105</v>
      </c>
      <c r="D54" s="304" t="s">
        <v>5</v>
      </c>
      <c r="E54" s="304" t="s">
        <v>54</v>
      </c>
      <c r="F54" s="304" t="s">
        <v>55</v>
      </c>
      <c r="G54" s="306">
        <v>15</v>
      </c>
      <c r="H54" s="303">
        <v>0.04</v>
      </c>
    </row>
    <row r="55" spans="1:8">
      <c r="A55" s="711"/>
      <c r="B55" s="304" t="s">
        <v>6</v>
      </c>
      <c r="C55" s="493">
        <v>120217</v>
      </c>
      <c r="D55" s="304" t="s">
        <v>247</v>
      </c>
      <c r="E55" s="304" t="s">
        <v>54</v>
      </c>
      <c r="F55" s="304" t="s">
        <v>55</v>
      </c>
      <c r="G55" s="306">
        <v>4</v>
      </c>
      <c r="H55" s="303">
        <v>3.5000000000000003E-2</v>
      </c>
    </row>
    <row r="56" spans="1:8">
      <c r="A56" s="711"/>
      <c r="B56" s="304" t="s">
        <v>6</v>
      </c>
      <c r="C56" s="493">
        <v>120206</v>
      </c>
      <c r="D56" s="304" t="s">
        <v>286</v>
      </c>
      <c r="E56" s="304" t="s">
        <v>54</v>
      </c>
      <c r="F56" s="304" t="s">
        <v>55</v>
      </c>
      <c r="G56" s="306">
        <v>5</v>
      </c>
      <c r="H56" s="303">
        <v>0.04</v>
      </c>
    </row>
    <row r="57" spans="1:8">
      <c r="A57" s="711"/>
      <c r="B57" s="304" t="s">
        <v>6</v>
      </c>
      <c r="C57" s="493">
        <v>123006</v>
      </c>
      <c r="D57" s="304" t="s">
        <v>315</v>
      </c>
      <c r="E57" s="304" t="s">
        <v>54</v>
      </c>
      <c r="F57" s="304" t="s">
        <v>55</v>
      </c>
      <c r="G57" s="306">
        <v>10</v>
      </c>
      <c r="H57" s="303">
        <v>0.04</v>
      </c>
    </row>
    <row r="58" spans="1:8">
      <c r="A58" s="711"/>
      <c r="B58" s="304" t="s">
        <v>6</v>
      </c>
      <c r="C58" s="493">
        <v>120252</v>
      </c>
      <c r="D58" s="304" t="s">
        <v>357</v>
      </c>
      <c r="E58" s="304" t="s">
        <v>54</v>
      </c>
      <c r="F58" s="304" t="s">
        <v>55</v>
      </c>
      <c r="G58" s="306">
        <v>7</v>
      </c>
      <c r="H58" s="303">
        <v>0.04</v>
      </c>
    </row>
    <row r="59" spans="1:8">
      <c r="A59" s="711"/>
      <c r="B59" s="304" t="s">
        <v>6</v>
      </c>
      <c r="C59" s="493">
        <v>120105</v>
      </c>
      <c r="D59" s="304" t="s">
        <v>5</v>
      </c>
      <c r="E59" s="304" t="s">
        <v>54</v>
      </c>
      <c r="F59" s="304" t="s">
        <v>55</v>
      </c>
      <c r="G59" s="306">
        <v>5</v>
      </c>
      <c r="H59" s="303">
        <v>0.04</v>
      </c>
    </row>
    <row r="60" spans="1:8">
      <c r="A60" s="711"/>
      <c r="B60" s="304" t="s">
        <v>6</v>
      </c>
      <c r="C60" s="493">
        <v>120105</v>
      </c>
      <c r="D60" s="304" t="s">
        <v>5</v>
      </c>
      <c r="E60" s="304" t="s">
        <v>54</v>
      </c>
      <c r="F60" s="304" t="s">
        <v>55</v>
      </c>
      <c r="G60" s="306">
        <v>6</v>
      </c>
      <c r="H60" s="303">
        <v>0.04</v>
      </c>
    </row>
    <row r="61" spans="1:8">
      <c r="A61" s="711"/>
      <c r="B61" s="304" t="s">
        <v>6</v>
      </c>
      <c r="C61" s="493">
        <v>123006</v>
      </c>
      <c r="D61" s="304" t="s">
        <v>315</v>
      </c>
      <c r="E61" s="304" t="s">
        <v>54</v>
      </c>
      <c r="F61" s="304" t="s">
        <v>55</v>
      </c>
      <c r="G61" s="306">
        <v>12</v>
      </c>
      <c r="H61" s="303">
        <v>0.04</v>
      </c>
    </row>
    <row r="62" spans="1:8">
      <c r="A62" s="711"/>
      <c r="B62" s="304" t="s">
        <v>6</v>
      </c>
      <c r="C62" s="493">
        <v>120114</v>
      </c>
      <c r="D62" s="304" t="s">
        <v>9</v>
      </c>
      <c r="E62" s="304" t="s">
        <v>54</v>
      </c>
      <c r="F62" s="304" t="s">
        <v>55</v>
      </c>
      <c r="G62" s="306">
        <v>8</v>
      </c>
      <c r="H62" s="303">
        <v>0.04</v>
      </c>
    </row>
    <row r="63" spans="1:8">
      <c r="A63" s="711"/>
      <c r="B63" s="304" t="s">
        <v>6</v>
      </c>
      <c r="C63" s="493">
        <v>120201</v>
      </c>
      <c r="D63" s="304" t="s">
        <v>264</v>
      </c>
      <c r="E63" s="304" t="s">
        <v>54</v>
      </c>
      <c r="F63" s="304" t="s">
        <v>55</v>
      </c>
      <c r="G63" s="306">
        <v>6</v>
      </c>
      <c r="H63" s="303">
        <v>0.04</v>
      </c>
    </row>
    <row r="64" spans="1:8">
      <c r="A64" s="711"/>
      <c r="B64" s="304" t="s">
        <v>6</v>
      </c>
      <c r="C64" s="493">
        <v>120114</v>
      </c>
      <c r="D64" s="304" t="s">
        <v>9</v>
      </c>
      <c r="E64" s="304" t="s">
        <v>54</v>
      </c>
      <c r="F64" s="304" t="s">
        <v>55</v>
      </c>
      <c r="G64" s="306">
        <v>12</v>
      </c>
      <c r="H64" s="303">
        <v>0.04</v>
      </c>
    </row>
    <row r="65" spans="1:8">
      <c r="A65" s="711"/>
      <c r="B65" s="304" t="s">
        <v>6</v>
      </c>
      <c r="C65" s="493">
        <v>120214</v>
      </c>
      <c r="D65" s="304" t="s">
        <v>411</v>
      </c>
      <c r="E65" s="304" t="s">
        <v>54</v>
      </c>
      <c r="F65" s="304" t="s">
        <v>55</v>
      </c>
      <c r="G65" s="306">
        <v>3</v>
      </c>
      <c r="H65" s="303">
        <v>0.03</v>
      </c>
    </row>
    <row r="66" spans="1:8">
      <c r="A66" s="711"/>
      <c r="B66" s="304" t="s">
        <v>6</v>
      </c>
      <c r="C66" s="493">
        <v>120114</v>
      </c>
      <c r="D66" s="304" t="s">
        <v>9</v>
      </c>
      <c r="E66" s="304" t="s">
        <v>54</v>
      </c>
      <c r="F66" s="304" t="s">
        <v>55</v>
      </c>
      <c r="G66" s="306">
        <v>3</v>
      </c>
      <c r="H66" s="303">
        <v>0.03</v>
      </c>
    </row>
    <row r="67" spans="1:8">
      <c r="A67" s="711"/>
      <c r="B67" s="304" t="s">
        <v>6</v>
      </c>
      <c r="C67" s="493">
        <v>120203</v>
      </c>
      <c r="D67" s="304" t="s">
        <v>219</v>
      </c>
      <c r="E67" s="304" t="s">
        <v>54</v>
      </c>
      <c r="F67" s="304" t="s">
        <v>55</v>
      </c>
      <c r="G67" s="306">
        <v>5</v>
      </c>
      <c r="H67" s="303">
        <v>0.04</v>
      </c>
    </row>
    <row r="68" spans="1:8">
      <c r="A68" s="711"/>
      <c r="B68" s="304" t="s">
        <v>6</v>
      </c>
      <c r="C68" s="493">
        <v>120306</v>
      </c>
      <c r="D68" s="304" t="s">
        <v>884</v>
      </c>
      <c r="E68" s="304" t="s">
        <v>54</v>
      </c>
      <c r="F68" s="304" t="s">
        <v>55</v>
      </c>
      <c r="G68" s="306">
        <v>3</v>
      </c>
      <c r="H68" s="303">
        <v>0.03</v>
      </c>
    </row>
    <row r="69" spans="1:8">
      <c r="A69" s="711"/>
      <c r="B69" s="304" t="s">
        <v>6</v>
      </c>
      <c r="C69" s="493">
        <v>120306</v>
      </c>
      <c r="D69" s="304" t="s">
        <v>884</v>
      </c>
      <c r="E69" s="304" t="s">
        <v>54</v>
      </c>
      <c r="F69" s="304" t="s">
        <v>55</v>
      </c>
      <c r="G69" s="306">
        <v>3</v>
      </c>
      <c r="H69" s="303">
        <v>0.03</v>
      </c>
    </row>
    <row r="70" spans="1:8">
      <c r="A70" s="711"/>
      <c r="B70" s="304" t="s">
        <v>6</v>
      </c>
      <c r="C70" s="493">
        <v>120203</v>
      </c>
      <c r="D70" s="304" t="s">
        <v>219</v>
      </c>
      <c r="E70" s="304" t="s">
        <v>54</v>
      </c>
      <c r="F70" s="304" t="s">
        <v>55</v>
      </c>
      <c r="G70" s="306">
        <v>3</v>
      </c>
      <c r="H70" s="303">
        <v>0.03</v>
      </c>
    </row>
    <row r="71" spans="1:8">
      <c r="A71" s="711"/>
      <c r="B71" s="304" t="s">
        <v>6</v>
      </c>
      <c r="C71" s="493">
        <v>120252</v>
      </c>
      <c r="D71" s="304" t="s">
        <v>357</v>
      </c>
      <c r="E71" s="304" t="s">
        <v>54</v>
      </c>
      <c r="F71" s="304" t="s">
        <v>55</v>
      </c>
      <c r="G71" s="306">
        <v>4</v>
      </c>
      <c r="H71" s="303">
        <v>3.5000000000000003E-2</v>
      </c>
    </row>
    <row r="72" spans="1:8">
      <c r="A72" s="711"/>
      <c r="B72" s="304" t="s">
        <v>6</v>
      </c>
      <c r="C72" s="493">
        <v>120252</v>
      </c>
      <c r="D72" s="304" t="s">
        <v>357</v>
      </c>
      <c r="E72" s="304" t="s">
        <v>54</v>
      </c>
      <c r="F72" s="304" t="s">
        <v>55</v>
      </c>
      <c r="G72" s="306">
        <v>3</v>
      </c>
      <c r="H72" s="303">
        <v>0.03</v>
      </c>
    </row>
    <row r="73" spans="1:8">
      <c r="A73" s="711"/>
      <c r="B73" s="493" t="s">
        <v>68</v>
      </c>
      <c r="C73" s="493">
        <v>120206</v>
      </c>
      <c r="D73" s="304" t="s">
        <v>286</v>
      </c>
      <c r="E73" s="304" t="s">
        <v>56</v>
      </c>
      <c r="F73" s="304" t="s">
        <v>57</v>
      </c>
      <c r="G73" s="306">
        <v>4</v>
      </c>
      <c r="H73" s="303">
        <v>0.02</v>
      </c>
    </row>
    <row r="74" spans="1:8">
      <c r="A74" s="711"/>
      <c r="B74" s="493" t="s">
        <v>68</v>
      </c>
      <c r="C74" s="493">
        <v>120206</v>
      </c>
      <c r="D74" s="304" t="s">
        <v>286</v>
      </c>
      <c r="E74" s="304" t="s">
        <v>56</v>
      </c>
      <c r="F74" s="304" t="s">
        <v>57</v>
      </c>
      <c r="G74" s="306">
        <v>4</v>
      </c>
      <c r="H74" s="303">
        <v>0.02</v>
      </c>
    </row>
    <row r="75" spans="1:8">
      <c r="A75" s="711"/>
      <c r="B75" s="493" t="s">
        <v>68</v>
      </c>
      <c r="C75" s="493">
        <v>120250</v>
      </c>
      <c r="D75" s="304" t="s">
        <v>256</v>
      </c>
      <c r="E75" s="304" t="s">
        <v>56</v>
      </c>
      <c r="F75" s="304" t="s">
        <v>57</v>
      </c>
      <c r="G75" s="306">
        <v>4</v>
      </c>
      <c r="H75" s="303">
        <v>0.02</v>
      </c>
    </row>
    <row r="76" spans="1:8">
      <c r="A76" s="711"/>
      <c r="B76" s="493" t="s">
        <v>68</v>
      </c>
      <c r="C76" s="493">
        <v>120206</v>
      </c>
      <c r="D76" s="304" t="s">
        <v>286</v>
      </c>
      <c r="E76" s="304" t="s">
        <v>56</v>
      </c>
      <c r="F76" s="304" t="s">
        <v>57</v>
      </c>
      <c r="G76" s="306">
        <v>3</v>
      </c>
      <c r="H76" s="303">
        <v>1.4999999999999999E-2</v>
      </c>
    </row>
    <row r="77" spans="1:8">
      <c r="A77" s="711"/>
      <c r="B77" s="493" t="s">
        <v>68</v>
      </c>
      <c r="C77" s="493">
        <v>120206</v>
      </c>
      <c r="D77" s="304" t="s">
        <v>286</v>
      </c>
      <c r="E77" s="304" t="s">
        <v>56</v>
      </c>
      <c r="F77" s="304" t="s">
        <v>57</v>
      </c>
      <c r="G77" s="306">
        <v>5</v>
      </c>
      <c r="H77" s="303">
        <v>2.5000000000000001E-2</v>
      </c>
    </row>
    <row r="78" spans="1:8">
      <c r="A78" s="711"/>
      <c r="B78" s="493" t="s">
        <v>68</v>
      </c>
      <c r="C78" s="493">
        <v>120250</v>
      </c>
      <c r="D78" s="304" t="s">
        <v>256</v>
      </c>
      <c r="E78" s="304" t="s">
        <v>56</v>
      </c>
      <c r="F78" s="304" t="s">
        <v>57</v>
      </c>
      <c r="G78" s="306">
        <v>4</v>
      </c>
      <c r="H78" s="303">
        <v>0.02</v>
      </c>
    </row>
    <row r="79" spans="1:8">
      <c r="A79" s="711"/>
      <c r="B79" s="493" t="s">
        <v>68</v>
      </c>
      <c r="C79" s="493">
        <v>120206</v>
      </c>
      <c r="D79" s="304" t="s">
        <v>286</v>
      </c>
      <c r="E79" s="304" t="s">
        <v>56</v>
      </c>
      <c r="F79" s="304" t="s">
        <v>57</v>
      </c>
      <c r="G79" s="306">
        <v>12</v>
      </c>
      <c r="H79" s="303">
        <v>2.5000000000000001E-2</v>
      </c>
    </row>
    <row r="80" spans="1:8">
      <c r="A80" s="711"/>
      <c r="B80" s="493" t="s">
        <v>68</v>
      </c>
      <c r="C80" s="493">
        <v>120206</v>
      </c>
      <c r="D80" s="304" t="s">
        <v>286</v>
      </c>
      <c r="E80" s="304" t="s">
        <v>56</v>
      </c>
      <c r="F80" s="304" t="s">
        <v>57</v>
      </c>
      <c r="G80" s="306">
        <v>8</v>
      </c>
      <c r="H80" s="303">
        <v>2.5000000000000001E-2</v>
      </c>
    </row>
    <row r="81" spans="1:8">
      <c r="A81" s="711"/>
      <c r="B81" s="493" t="s">
        <v>68</v>
      </c>
      <c r="C81" s="493">
        <v>120250</v>
      </c>
      <c r="D81" s="304" t="s">
        <v>256</v>
      </c>
      <c r="E81" s="304" t="s">
        <v>56</v>
      </c>
      <c r="F81" s="304" t="s">
        <v>57</v>
      </c>
      <c r="G81" s="306">
        <v>2</v>
      </c>
      <c r="H81" s="303">
        <v>0.01</v>
      </c>
    </row>
    <row r="82" spans="1:8">
      <c r="A82" s="711"/>
      <c r="B82" s="493" t="s">
        <v>68</v>
      </c>
      <c r="C82" s="493">
        <v>120251</v>
      </c>
      <c r="D82" s="304" t="s">
        <v>273</v>
      </c>
      <c r="E82" s="304" t="s">
        <v>56</v>
      </c>
      <c r="F82" s="304" t="s">
        <v>57</v>
      </c>
      <c r="G82" s="306">
        <v>5</v>
      </c>
      <c r="H82" s="303">
        <v>2.5000000000000001E-2</v>
      </c>
    </row>
    <row r="83" spans="1:8">
      <c r="A83" s="711"/>
      <c r="B83" s="493" t="s">
        <v>68</v>
      </c>
      <c r="C83" s="493">
        <v>120206</v>
      </c>
      <c r="D83" s="304" t="s">
        <v>286</v>
      </c>
      <c r="E83" s="304" t="s">
        <v>56</v>
      </c>
      <c r="F83" s="304" t="s">
        <v>57</v>
      </c>
      <c r="G83" s="306">
        <v>4</v>
      </c>
      <c r="H83" s="303">
        <v>0.02</v>
      </c>
    </row>
    <row r="84" spans="1:8">
      <c r="A84" s="711"/>
      <c r="B84" s="493" t="s">
        <v>68</v>
      </c>
      <c r="C84" s="493">
        <v>120206</v>
      </c>
      <c r="D84" s="304" t="s">
        <v>286</v>
      </c>
      <c r="E84" s="304" t="s">
        <v>56</v>
      </c>
      <c r="F84" s="304" t="s">
        <v>57</v>
      </c>
      <c r="G84" s="306">
        <v>10</v>
      </c>
      <c r="H84" s="303">
        <v>2.5000000000000001E-2</v>
      </c>
    </row>
    <row r="85" spans="1:8">
      <c r="A85" s="711"/>
      <c r="B85" s="493" t="s">
        <v>68</v>
      </c>
      <c r="C85" s="493">
        <v>120206</v>
      </c>
      <c r="D85" s="304" t="s">
        <v>286</v>
      </c>
      <c r="E85" s="304" t="s">
        <v>56</v>
      </c>
      <c r="F85" s="304" t="s">
        <v>57</v>
      </c>
      <c r="G85" s="306">
        <v>3</v>
      </c>
      <c r="H85" s="303">
        <v>1.4999999999999999E-2</v>
      </c>
    </row>
    <row r="86" spans="1:8">
      <c r="A86" s="711"/>
      <c r="B86" s="493" t="s">
        <v>68</v>
      </c>
      <c r="C86" s="493">
        <v>120206</v>
      </c>
      <c r="D86" s="304" t="s">
        <v>286</v>
      </c>
      <c r="E86" s="304" t="s">
        <v>56</v>
      </c>
      <c r="F86" s="304" t="s">
        <v>57</v>
      </c>
      <c r="G86" s="306">
        <v>12</v>
      </c>
      <c r="H86" s="303">
        <v>2.5000000000000001E-2</v>
      </c>
    </row>
    <row r="87" spans="1:8">
      <c r="A87" s="711"/>
      <c r="B87" s="493" t="s">
        <v>68</v>
      </c>
      <c r="C87" s="493">
        <v>120206</v>
      </c>
      <c r="D87" s="304" t="s">
        <v>286</v>
      </c>
      <c r="E87" s="304" t="s">
        <v>56</v>
      </c>
      <c r="F87" s="304" t="s">
        <v>57</v>
      </c>
      <c r="G87" s="306">
        <v>6</v>
      </c>
      <c r="H87" s="303">
        <v>2.5000000000000001E-2</v>
      </c>
    </row>
    <row r="88" spans="1:8">
      <c r="A88" s="711"/>
      <c r="B88" s="493" t="s">
        <v>68</v>
      </c>
      <c r="C88" s="493">
        <v>120250</v>
      </c>
      <c r="D88" s="304" t="s">
        <v>256</v>
      </c>
      <c r="E88" s="304" t="s">
        <v>56</v>
      </c>
      <c r="F88" s="304" t="s">
        <v>57</v>
      </c>
      <c r="G88" s="306">
        <v>5</v>
      </c>
      <c r="H88" s="303">
        <v>2.5000000000000001E-2</v>
      </c>
    </row>
    <row r="89" spans="1:8">
      <c r="A89" s="711"/>
      <c r="B89" s="493" t="s">
        <v>68</v>
      </c>
      <c r="C89" s="493">
        <v>120206</v>
      </c>
      <c r="D89" s="304" t="s">
        <v>286</v>
      </c>
      <c r="E89" s="304" t="s">
        <v>54</v>
      </c>
      <c r="F89" s="304" t="s">
        <v>55</v>
      </c>
      <c r="G89" s="306">
        <v>6</v>
      </c>
      <c r="H89" s="303">
        <v>0.04</v>
      </c>
    </row>
    <row r="90" spans="1:8">
      <c r="A90" s="711"/>
      <c r="B90" s="493" t="s">
        <v>68</v>
      </c>
      <c r="C90" s="493">
        <v>120206</v>
      </c>
      <c r="D90" s="304" t="s">
        <v>286</v>
      </c>
      <c r="E90" s="304" t="s">
        <v>54</v>
      </c>
      <c r="F90" s="304" t="s">
        <v>55</v>
      </c>
      <c r="G90" s="306">
        <v>10</v>
      </c>
      <c r="H90" s="303">
        <v>0.04</v>
      </c>
    </row>
    <row r="91" spans="1:8">
      <c r="A91" s="711"/>
      <c r="B91" s="493" t="s">
        <v>68</v>
      </c>
      <c r="C91" s="493">
        <v>120206</v>
      </c>
      <c r="D91" s="304" t="s">
        <v>286</v>
      </c>
      <c r="E91" s="304" t="s">
        <v>54</v>
      </c>
      <c r="F91" s="304" t="s">
        <v>55</v>
      </c>
      <c r="G91" s="306">
        <v>16</v>
      </c>
      <c r="H91" s="303">
        <v>0.04</v>
      </c>
    </row>
    <row r="92" spans="1:8">
      <c r="A92" s="711"/>
      <c r="B92" s="493" t="s">
        <v>68</v>
      </c>
      <c r="C92" s="493">
        <v>120206</v>
      </c>
      <c r="D92" s="304" t="s">
        <v>286</v>
      </c>
      <c r="E92" s="304" t="s">
        <v>54</v>
      </c>
      <c r="F92" s="304" t="s">
        <v>55</v>
      </c>
      <c r="G92" s="306">
        <v>1</v>
      </c>
      <c r="H92" s="303">
        <v>0.01</v>
      </c>
    </row>
    <row r="93" spans="1:8">
      <c r="A93" s="711"/>
      <c r="B93" s="493" t="s">
        <v>68</v>
      </c>
      <c r="C93" s="493">
        <v>120206</v>
      </c>
      <c r="D93" s="304" t="s">
        <v>286</v>
      </c>
      <c r="E93" s="304" t="s">
        <v>54</v>
      </c>
      <c r="F93" s="304" t="s">
        <v>55</v>
      </c>
      <c r="G93" s="306">
        <v>7</v>
      </c>
      <c r="H93" s="303">
        <v>0.04</v>
      </c>
    </row>
    <row r="94" spans="1:8">
      <c r="A94" s="711"/>
      <c r="B94" s="493" t="s">
        <v>68</v>
      </c>
      <c r="C94" s="493">
        <v>120206</v>
      </c>
      <c r="D94" s="304" t="s">
        <v>286</v>
      </c>
      <c r="E94" s="304" t="s">
        <v>54</v>
      </c>
      <c r="F94" s="304" t="s">
        <v>55</v>
      </c>
      <c r="G94" s="306">
        <v>12</v>
      </c>
      <c r="H94" s="303">
        <v>0.04</v>
      </c>
    </row>
    <row r="95" spans="1:8">
      <c r="A95" s="711"/>
      <c r="B95" s="493" t="s">
        <v>68</v>
      </c>
      <c r="C95" s="493">
        <v>120201</v>
      </c>
      <c r="D95" s="304" t="s">
        <v>264</v>
      </c>
      <c r="E95" s="304" t="s">
        <v>54</v>
      </c>
      <c r="F95" s="304" t="s">
        <v>55</v>
      </c>
      <c r="G95" s="306">
        <v>5</v>
      </c>
      <c r="H95" s="303">
        <v>0.04</v>
      </c>
    </row>
    <row r="96" spans="1:8">
      <c r="A96" s="711"/>
      <c r="B96" s="493" t="s">
        <v>68</v>
      </c>
      <c r="C96" s="493">
        <v>120206</v>
      </c>
      <c r="D96" s="304" t="s">
        <v>286</v>
      </c>
      <c r="E96" s="304" t="s">
        <v>54</v>
      </c>
      <c r="F96" s="304" t="s">
        <v>55</v>
      </c>
      <c r="G96" s="306">
        <v>5</v>
      </c>
      <c r="H96" s="303">
        <v>0.04</v>
      </c>
    </row>
    <row r="97" spans="1:8">
      <c r="A97" s="711"/>
      <c r="B97" s="493" t="s">
        <v>68</v>
      </c>
      <c r="C97" s="493">
        <v>120206</v>
      </c>
      <c r="D97" s="304" t="s">
        <v>286</v>
      </c>
      <c r="E97" s="304" t="s">
        <v>54</v>
      </c>
      <c r="F97" s="304" t="s">
        <v>55</v>
      </c>
      <c r="G97" s="306">
        <v>3</v>
      </c>
      <c r="H97" s="303">
        <v>0.03</v>
      </c>
    </row>
    <row r="98" spans="1:8">
      <c r="A98" s="711"/>
      <c r="B98" s="493" t="s">
        <v>68</v>
      </c>
      <c r="C98" s="493">
        <v>120206</v>
      </c>
      <c r="D98" s="304" t="s">
        <v>286</v>
      </c>
      <c r="E98" s="304" t="s">
        <v>54</v>
      </c>
      <c r="F98" s="304" t="s">
        <v>55</v>
      </c>
      <c r="G98" s="306">
        <v>2</v>
      </c>
      <c r="H98" s="303">
        <v>0.02</v>
      </c>
    </row>
    <row r="99" spans="1:8">
      <c r="A99" s="711"/>
      <c r="B99" s="493" t="s">
        <v>68</v>
      </c>
      <c r="C99" s="493">
        <v>120206</v>
      </c>
      <c r="D99" s="304" t="s">
        <v>286</v>
      </c>
      <c r="E99" s="304" t="s">
        <v>54</v>
      </c>
      <c r="F99" s="304" t="s">
        <v>55</v>
      </c>
      <c r="G99" s="306">
        <v>7</v>
      </c>
      <c r="H99" s="303">
        <v>0.04</v>
      </c>
    </row>
    <row r="100" spans="1:8">
      <c r="A100" s="711"/>
      <c r="B100" s="493" t="s">
        <v>68</v>
      </c>
      <c r="C100" s="493">
        <v>120251</v>
      </c>
      <c r="D100" s="304" t="s">
        <v>273</v>
      </c>
      <c r="E100" s="304" t="s">
        <v>54</v>
      </c>
      <c r="F100" s="304" t="s">
        <v>55</v>
      </c>
      <c r="G100" s="306">
        <v>9</v>
      </c>
      <c r="H100" s="303">
        <v>0.04</v>
      </c>
    </row>
    <row r="101" spans="1:8">
      <c r="A101" s="711"/>
      <c r="B101" s="493" t="s">
        <v>68</v>
      </c>
      <c r="C101" s="493">
        <v>120206</v>
      </c>
      <c r="D101" s="304" t="s">
        <v>286</v>
      </c>
      <c r="E101" s="304" t="s">
        <v>54</v>
      </c>
      <c r="F101" s="304" t="s">
        <v>55</v>
      </c>
      <c r="G101" s="306">
        <v>3</v>
      </c>
      <c r="H101" s="303">
        <v>0.03</v>
      </c>
    </row>
    <row r="102" spans="1:8">
      <c r="A102" s="711"/>
      <c r="B102" s="493" t="s">
        <v>68</v>
      </c>
      <c r="C102" s="493">
        <v>120206</v>
      </c>
      <c r="D102" s="304" t="s">
        <v>286</v>
      </c>
      <c r="E102" s="304" t="s">
        <v>54</v>
      </c>
      <c r="F102" s="304" t="s">
        <v>55</v>
      </c>
      <c r="G102" s="306">
        <v>5</v>
      </c>
      <c r="H102" s="303">
        <v>0.04</v>
      </c>
    </row>
    <row r="103" spans="1:8">
      <c r="A103" s="711"/>
      <c r="B103" s="493" t="s">
        <v>68</v>
      </c>
      <c r="C103" s="493">
        <v>120206</v>
      </c>
      <c r="D103" s="304" t="s">
        <v>286</v>
      </c>
      <c r="E103" s="304" t="s">
        <v>54</v>
      </c>
      <c r="F103" s="304" t="s">
        <v>55</v>
      </c>
      <c r="G103" s="306">
        <v>5</v>
      </c>
      <c r="H103" s="303">
        <v>0.04</v>
      </c>
    </row>
    <row r="104" spans="1:8">
      <c r="A104" s="711"/>
      <c r="B104" s="493" t="s">
        <v>68</v>
      </c>
      <c r="C104" s="493">
        <v>120206</v>
      </c>
      <c r="D104" s="304" t="s">
        <v>286</v>
      </c>
      <c r="E104" s="304" t="s">
        <v>54</v>
      </c>
      <c r="F104" s="304" t="s">
        <v>55</v>
      </c>
      <c r="G104" s="306">
        <v>7</v>
      </c>
      <c r="H104" s="303">
        <v>0.04</v>
      </c>
    </row>
    <row r="105" spans="1:8">
      <c r="A105" s="711"/>
      <c r="B105" s="493" t="s">
        <v>68</v>
      </c>
      <c r="C105" s="493">
        <v>120206</v>
      </c>
      <c r="D105" s="304" t="s">
        <v>286</v>
      </c>
      <c r="E105" s="304" t="s">
        <v>54</v>
      </c>
      <c r="F105" s="304" t="s">
        <v>55</v>
      </c>
      <c r="G105" s="306">
        <v>8</v>
      </c>
      <c r="H105" s="303">
        <v>0.04</v>
      </c>
    </row>
    <row r="106" spans="1:8">
      <c r="A106" s="711"/>
      <c r="B106" s="493" t="s">
        <v>68</v>
      </c>
      <c r="C106" s="493">
        <v>120250</v>
      </c>
      <c r="D106" s="304" t="s">
        <v>256</v>
      </c>
      <c r="E106" s="304" t="s">
        <v>54</v>
      </c>
      <c r="F106" s="304" t="s">
        <v>55</v>
      </c>
      <c r="G106" s="306">
        <v>7</v>
      </c>
      <c r="H106" s="303">
        <v>0.04</v>
      </c>
    </row>
    <row r="107" spans="1:8">
      <c r="A107" s="711"/>
      <c r="B107" s="493" t="s">
        <v>68</v>
      </c>
      <c r="C107" s="493">
        <v>120201</v>
      </c>
      <c r="D107" s="304" t="s">
        <v>264</v>
      </c>
      <c r="E107" s="304" t="s">
        <v>54</v>
      </c>
      <c r="F107" s="304" t="s">
        <v>55</v>
      </c>
      <c r="G107" s="306">
        <v>16</v>
      </c>
      <c r="H107" s="303">
        <v>0.04</v>
      </c>
    </row>
    <row r="108" spans="1:8">
      <c r="A108" s="711"/>
      <c r="B108" s="493" t="s">
        <v>68</v>
      </c>
      <c r="C108" s="493">
        <v>120206</v>
      </c>
      <c r="D108" s="304" t="s">
        <v>286</v>
      </c>
      <c r="E108" s="304" t="s">
        <v>54</v>
      </c>
      <c r="F108" s="304" t="s">
        <v>55</v>
      </c>
      <c r="G108" s="306">
        <v>5</v>
      </c>
      <c r="H108" s="303">
        <v>0.04</v>
      </c>
    </row>
    <row r="109" spans="1:8">
      <c r="A109" s="711"/>
      <c r="B109" s="493" t="s">
        <v>68</v>
      </c>
      <c r="C109" s="493">
        <v>120206</v>
      </c>
      <c r="D109" s="304" t="s">
        <v>286</v>
      </c>
      <c r="E109" s="304" t="s">
        <v>54</v>
      </c>
      <c r="F109" s="304" t="s">
        <v>55</v>
      </c>
      <c r="G109" s="306">
        <v>10</v>
      </c>
      <c r="H109" s="303">
        <v>0.04</v>
      </c>
    </row>
    <row r="110" spans="1:8">
      <c r="A110" s="711"/>
      <c r="B110" s="493" t="s">
        <v>68</v>
      </c>
      <c r="C110" s="493">
        <v>120251</v>
      </c>
      <c r="D110" s="304" t="s">
        <v>273</v>
      </c>
      <c r="E110" s="304" t="s">
        <v>54</v>
      </c>
      <c r="F110" s="304" t="s">
        <v>55</v>
      </c>
      <c r="G110" s="306">
        <v>6</v>
      </c>
      <c r="H110" s="303">
        <v>0.04</v>
      </c>
    </row>
    <row r="111" spans="1:8">
      <c r="A111" s="711"/>
      <c r="B111" s="493" t="s">
        <v>68</v>
      </c>
      <c r="C111" s="493">
        <v>120251</v>
      </c>
      <c r="D111" s="304" t="s">
        <v>273</v>
      </c>
      <c r="E111" s="304" t="s">
        <v>54</v>
      </c>
      <c r="F111" s="304" t="s">
        <v>55</v>
      </c>
      <c r="G111" s="306">
        <v>6</v>
      </c>
      <c r="H111" s="303">
        <v>0.04</v>
      </c>
    </row>
    <row r="112" spans="1:8">
      <c r="A112" s="711"/>
      <c r="B112" s="493" t="s">
        <v>68</v>
      </c>
      <c r="C112" s="493">
        <v>120206</v>
      </c>
      <c r="D112" s="304" t="s">
        <v>286</v>
      </c>
      <c r="E112" s="304" t="s">
        <v>54</v>
      </c>
      <c r="F112" s="304" t="s">
        <v>55</v>
      </c>
      <c r="G112" s="306">
        <v>8</v>
      </c>
      <c r="H112" s="303">
        <v>0.04</v>
      </c>
    </row>
    <row r="113" spans="1:8">
      <c r="A113" s="711"/>
      <c r="B113" s="493" t="s">
        <v>68</v>
      </c>
      <c r="C113" s="493">
        <v>120251</v>
      </c>
      <c r="D113" s="304" t="s">
        <v>273</v>
      </c>
      <c r="E113" s="304" t="s">
        <v>54</v>
      </c>
      <c r="F113" s="304" t="s">
        <v>55</v>
      </c>
      <c r="G113" s="306">
        <v>2</v>
      </c>
      <c r="H113" s="303">
        <v>0.02</v>
      </c>
    </row>
    <row r="114" spans="1:8">
      <c r="A114" s="711"/>
      <c r="B114" s="493" t="s">
        <v>68</v>
      </c>
      <c r="C114" s="493">
        <v>120206</v>
      </c>
      <c r="D114" s="304" t="s">
        <v>286</v>
      </c>
      <c r="E114" s="304" t="s">
        <v>54</v>
      </c>
      <c r="F114" s="304" t="s">
        <v>55</v>
      </c>
      <c r="G114" s="306">
        <v>5</v>
      </c>
      <c r="H114" s="303">
        <v>0.04</v>
      </c>
    </row>
    <row r="115" spans="1:8">
      <c r="A115" s="711"/>
      <c r="B115" s="493" t="s">
        <v>68</v>
      </c>
      <c r="C115" s="493">
        <v>120206</v>
      </c>
      <c r="D115" s="304" t="s">
        <v>286</v>
      </c>
      <c r="E115" s="304" t="s">
        <v>54</v>
      </c>
      <c r="F115" s="304" t="s">
        <v>55</v>
      </c>
      <c r="G115" s="306">
        <v>5</v>
      </c>
      <c r="H115" s="303">
        <v>0.04</v>
      </c>
    </row>
    <row r="116" spans="1:8">
      <c r="A116" s="711"/>
      <c r="B116" s="493" t="s">
        <v>68</v>
      </c>
      <c r="C116" s="493">
        <v>120206</v>
      </c>
      <c r="D116" s="304" t="s">
        <v>286</v>
      </c>
      <c r="E116" s="304" t="s">
        <v>54</v>
      </c>
      <c r="F116" s="304" t="s">
        <v>55</v>
      </c>
      <c r="G116" s="306">
        <v>6</v>
      </c>
      <c r="H116" s="303">
        <v>0.04</v>
      </c>
    </row>
    <row r="117" spans="1:8">
      <c r="A117" s="711"/>
      <c r="B117" s="493" t="s">
        <v>68</v>
      </c>
      <c r="C117" s="493">
        <v>120251</v>
      </c>
      <c r="D117" s="304" t="s">
        <v>273</v>
      </c>
      <c r="E117" s="304" t="s">
        <v>54</v>
      </c>
      <c r="F117" s="304" t="s">
        <v>55</v>
      </c>
      <c r="G117" s="306">
        <v>6</v>
      </c>
      <c r="H117" s="303">
        <v>0.04</v>
      </c>
    </row>
    <row r="118" spans="1:8">
      <c r="A118" s="711"/>
      <c r="B118" s="493" t="s">
        <v>68</v>
      </c>
      <c r="C118" s="493">
        <v>120250</v>
      </c>
      <c r="D118" s="304" t="s">
        <v>256</v>
      </c>
      <c r="E118" s="304" t="s">
        <v>54</v>
      </c>
      <c r="F118" s="304" t="s">
        <v>55</v>
      </c>
      <c r="G118" s="306">
        <v>10</v>
      </c>
      <c r="H118" s="303">
        <v>0.04</v>
      </c>
    </row>
    <row r="119" spans="1:8">
      <c r="A119" s="711"/>
      <c r="B119" s="493" t="s">
        <v>68</v>
      </c>
      <c r="C119" s="493">
        <v>120201</v>
      </c>
      <c r="D119" s="304" t="s">
        <v>264</v>
      </c>
      <c r="E119" s="304" t="s">
        <v>54</v>
      </c>
      <c r="F119" s="304" t="s">
        <v>55</v>
      </c>
      <c r="G119" s="306">
        <v>10</v>
      </c>
      <c r="H119" s="303">
        <v>0.04</v>
      </c>
    </row>
    <row r="120" spans="1:8">
      <c r="A120" s="711"/>
      <c r="B120" s="493" t="s">
        <v>68</v>
      </c>
      <c r="C120" s="493">
        <v>120206</v>
      </c>
      <c r="D120" s="304" t="s">
        <v>286</v>
      </c>
      <c r="E120" s="304" t="s">
        <v>54</v>
      </c>
      <c r="F120" s="304" t="s">
        <v>55</v>
      </c>
      <c r="G120" s="306">
        <v>5</v>
      </c>
      <c r="H120" s="303">
        <v>0.04</v>
      </c>
    </row>
    <row r="121" spans="1:8">
      <c r="A121" s="711"/>
      <c r="B121" s="493" t="s">
        <v>68</v>
      </c>
      <c r="C121" s="493">
        <v>120250</v>
      </c>
      <c r="D121" s="304" t="s">
        <v>256</v>
      </c>
      <c r="E121" s="304" t="s">
        <v>54</v>
      </c>
      <c r="F121" s="304" t="s">
        <v>55</v>
      </c>
      <c r="G121" s="306">
        <v>3</v>
      </c>
      <c r="H121" s="303">
        <v>0.03</v>
      </c>
    </row>
    <row r="122" spans="1:8">
      <c r="A122" s="711"/>
      <c r="B122" s="493" t="s">
        <v>68</v>
      </c>
      <c r="C122" s="493">
        <v>120206</v>
      </c>
      <c r="D122" s="304" t="s">
        <v>286</v>
      </c>
      <c r="E122" s="304" t="s">
        <v>54</v>
      </c>
      <c r="F122" s="304" t="s">
        <v>55</v>
      </c>
      <c r="G122" s="306">
        <v>5</v>
      </c>
      <c r="H122" s="303">
        <v>0.04</v>
      </c>
    </row>
    <row r="123" spans="1:8">
      <c r="A123" s="711"/>
      <c r="B123" s="493" t="s">
        <v>68</v>
      </c>
      <c r="C123" s="493">
        <v>120201</v>
      </c>
      <c r="D123" s="304" t="s">
        <v>264</v>
      </c>
      <c r="E123" s="304" t="s">
        <v>54</v>
      </c>
      <c r="F123" s="304" t="s">
        <v>55</v>
      </c>
      <c r="G123" s="306">
        <v>7</v>
      </c>
      <c r="H123" s="303">
        <v>0.04</v>
      </c>
    </row>
    <row r="124" spans="1:8">
      <c r="A124" s="711"/>
      <c r="B124" s="493" t="s">
        <v>68</v>
      </c>
      <c r="C124" s="493">
        <v>120206</v>
      </c>
      <c r="D124" s="304" t="s">
        <v>286</v>
      </c>
      <c r="E124" s="304" t="s">
        <v>54</v>
      </c>
      <c r="F124" s="304" t="s">
        <v>55</v>
      </c>
      <c r="G124" s="306">
        <v>8</v>
      </c>
      <c r="H124" s="303">
        <v>0.04</v>
      </c>
    </row>
    <row r="125" spans="1:8">
      <c r="A125" s="711"/>
      <c r="B125" s="493" t="s">
        <v>68</v>
      </c>
      <c r="C125" s="493">
        <v>120206</v>
      </c>
      <c r="D125" s="304" t="s">
        <v>286</v>
      </c>
      <c r="E125" s="304" t="s">
        <v>54</v>
      </c>
      <c r="F125" s="304" t="s">
        <v>55</v>
      </c>
      <c r="G125" s="306">
        <v>5</v>
      </c>
      <c r="H125" s="303">
        <v>0.04</v>
      </c>
    </row>
    <row r="126" spans="1:8">
      <c r="A126" s="711"/>
      <c r="B126" s="493" t="s">
        <v>68</v>
      </c>
      <c r="C126" s="493">
        <v>120206</v>
      </c>
      <c r="D126" s="304" t="s">
        <v>286</v>
      </c>
      <c r="E126" s="304" t="s">
        <v>54</v>
      </c>
      <c r="F126" s="304" t="s">
        <v>55</v>
      </c>
      <c r="G126" s="306">
        <v>3</v>
      </c>
      <c r="H126" s="303">
        <v>0.03</v>
      </c>
    </row>
    <row r="127" spans="1:8">
      <c r="A127" s="711"/>
      <c r="B127" s="493" t="s">
        <v>68</v>
      </c>
      <c r="C127" s="493">
        <v>120206</v>
      </c>
      <c r="D127" s="304" t="s">
        <v>286</v>
      </c>
      <c r="E127" s="304" t="s">
        <v>54</v>
      </c>
      <c r="F127" s="304" t="s">
        <v>55</v>
      </c>
      <c r="G127" s="306">
        <v>3</v>
      </c>
      <c r="H127" s="303">
        <v>0.03</v>
      </c>
    </row>
    <row r="128" spans="1:8">
      <c r="A128" s="711"/>
      <c r="B128" s="493" t="s">
        <v>68</v>
      </c>
      <c r="C128" s="493">
        <v>120206</v>
      </c>
      <c r="D128" s="304" t="s">
        <v>286</v>
      </c>
      <c r="E128" s="304" t="s">
        <v>54</v>
      </c>
      <c r="F128" s="304" t="s">
        <v>55</v>
      </c>
      <c r="G128" s="306">
        <v>6</v>
      </c>
      <c r="H128" s="303">
        <v>0.04</v>
      </c>
    </row>
    <row r="129" spans="1:8">
      <c r="A129" s="711"/>
      <c r="B129" s="493" t="s">
        <v>68</v>
      </c>
      <c r="C129" s="493">
        <v>120206</v>
      </c>
      <c r="D129" s="304" t="s">
        <v>286</v>
      </c>
      <c r="E129" s="304" t="s">
        <v>54</v>
      </c>
      <c r="F129" s="304" t="s">
        <v>55</v>
      </c>
      <c r="G129" s="306">
        <v>12</v>
      </c>
      <c r="H129" s="303">
        <v>0.04</v>
      </c>
    </row>
  </sheetData>
  <autoFilter ref="A6:H129">
    <sortState ref="A7:H130">
      <sortCondition ref="B6:B130"/>
    </sortState>
  </autoFilter>
  <sortState ref="A9:J127">
    <sortCondition ref="A9:A127"/>
  </sortState>
  <pageMargins left="0.7" right="0.7" top="0.75" bottom="0.75" header="0.3" footer="0.3"/>
  <pageSetup scale="71" fitToHeight="2" orientation="portrait" verticalDpi="1200" r:id="rId1"/>
  <customProperties>
    <customPr name="_pios_id" r:id="rId2"/>
  </customPropertie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3"/>
  <sheetViews>
    <sheetView zoomScale="80" zoomScaleNormal="80" workbookViewId="0"/>
  </sheetViews>
  <sheetFormatPr defaultColWidth="8.88671875" defaultRowHeight="14.4"/>
  <cols>
    <col min="1" max="1" width="6" style="304" bestFit="1" customWidth="1"/>
    <col min="2" max="2" width="30" style="304" bestFit="1" customWidth="1"/>
    <col min="3" max="3" width="10" style="304" bestFit="1" customWidth="1"/>
    <col min="4" max="4" width="13" style="602" bestFit="1" customWidth="1"/>
    <col min="5" max="5" width="11" style="304" bestFit="1" customWidth="1"/>
    <col min="6" max="16384" width="8.88671875" style="304"/>
  </cols>
  <sheetData>
    <row r="1" spans="1:5">
      <c r="A1" s="93" t="s">
        <v>431</v>
      </c>
    </row>
    <row r="2" spans="1:5">
      <c r="A2" s="93" t="s">
        <v>466</v>
      </c>
      <c r="C2" s="702" t="s">
        <v>1134</v>
      </c>
    </row>
    <row r="4" spans="1:5" ht="28.8">
      <c r="A4" s="305" t="s">
        <v>51</v>
      </c>
      <c r="B4" s="305" t="s">
        <v>61</v>
      </c>
      <c r="C4" s="305" t="s">
        <v>20</v>
      </c>
      <c r="D4" s="603" t="s">
        <v>21</v>
      </c>
      <c r="E4" s="307" t="s">
        <v>675</v>
      </c>
    </row>
    <row r="5" spans="1:5">
      <c r="A5" s="304" t="s">
        <v>74</v>
      </c>
      <c r="B5" s="304" t="s">
        <v>75</v>
      </c>
      <c r="C5" s="711"/>
      <c r="D5" s="308">
        <v>35387</v>
      </c>
      <c r="E5" s="304" t="s">
        <v>6</v>
      </c>
    </row>
    <row r="6" spans="1:5">
      <c r="A6" s="304" t="s">
        <v>74</v>
      </c>
      <c r="B6" s="304" t="s">
        <v>75</v>
      </c>
      <c r="C6" s="711"/>
      <c r="D6" s="308">
        <v>37662</v>
      </c>
      <c r="E6" s="304" t="s">
        <v>68</v>
      </c>
    </row>
    <row r="7" spans="1:5">
      <c r="A7" s="304" t="s">
        <v>74</v>
      </c>
      <c r="B7" s="304" t="s">
        <v>75</v>
      </c>
      <c r="C7" s="711"/>
      <c r="D7" s="308">
        <v>38187</v>
      </c>
      <c r="E7" s="304" t="s">
        <v>68</v>
      </c>
    </row>
    <row r="8" spans="1:5">
      <c r="A8" s="304" t="s">
        <v>74</v>
      </c>
      <c r="B8" s="304" t="s">
        <v>75</v>
      </c>
      <c r="C8" s="711"/>
      <c r="D8" s="308">
        <v>38292</v>
      </c>
      <c r="E8" s="304" t="s">
        <v>68</v>
      </c>
    </row>
    <row r="9" spans="1:5">
      <c r="A9" s="304" t="s">
        <v>74</v>
      </c>
      <c r="B9" s="304" t="s">
        <v>75</v>
      </c>
      <c r="C9" s="711"/>
      <c r="D9" s="308">
        <v>38370</v>
      </c>
      <c r="E9" s="304" t="s">
        <v>68</v>
      </c>
    </row>
    <row r="10" spans="1:5">
      <c r="A10" s="304" t="s">
        <v>74</v>
      </c>
      <c r="B10" s="304" t="s">
        <v>75</v>
      </c>
      <c r="C10" s="711"/>
      <c r="D10" s="308">
        <v>38372</v>
      </c>
      <c r="E10" s="304" t="s">
        <v>6</v>
      </c>
    </row>
    <row r="11" spans="1:5">
      <c r="A11" s="304" t="s">
        <v>74</v>
      </c>
      <c r="B11" s="304" t="s">
        <v>75</v>
      </c>
      <c r="C11" s="711"/>
      <c r="D11" s="308">
        <v>38397</v>
      </c>
      <c r="E11" s="304" t="s">
        <v>68</v>
      </c>
    </row>
    <row r="12" spans="1:5">
      <c r="A12" s="304" t="s">
        <v>74</v>
      </c>
      <c r="B12" s="304" t="s">
        <v>75</v>
      </c>
      <c r="C12" s="711"/>
      <c r="D12" s="308">
        <v>38474</v>
      </c>
      <c r="E12" s="304" t="s">
        <v>6</v>
      </c>
    </row>
    <row r="13" spans="1:5">
      <c r="A13" s="304" t="s">
        <v>74</v>
      </c>
      <c r="B13" s="304" t="s">
        <v>75</v>
      </c>
      <c r="C13" s="711"/>
      <c r="D13" s="308">
        <v>38733</v>
      </c>
      <c r="E13" s="304" t="s">
        <v>68</v>
      </c>
    </row>
    <row r="14" spans="1:5">
      <c r="A14" s="304" t="s">
        <v>74</v>
      </c>
      <c r="B14" s="304" t="s">
        <v>75</v>
      </c>
      <c r="C14" s="711"/>
      <c r="D14" s="308">
        <v>38803</v>
      </c>
      <c r="E14" s="304" t="s">
        <v>68</v>
      </c>
    </row>
    <row r="15" spans="1:5">
      <c r="A15" s="304" t="s">
        <v>74</v>
      </c>
      <c r="B15" s="304" t="s">
        <v>75</v>
      </c>
      <c r="C15" s="711"/>
      <c r="D15" s="308">
        <v>38804</v>
      </c>
      <c r="E15" s="304" t="s">
        <v>68</v>
      </c>
    </row>
    <row r="16" spans="1:5">
      <c r="A16" s="304" t="s">
        <v>74</v>
      </c>
      <c r="B16" s="304" t="s">
        <v>75</v>
      </c>
      <c r="C16" s="711"/>
      <c r="D16" s="308">
        <v>38817</v>
      </c>
      <c r="E16" s="304" t="s">
        <v>68</v>
      </c>
    </row>
    <row r="17" spans="1:5">
      <c r="A17" s="304" t="s">
        <v>74</v>
      </c>
      <c r="B17" s="304" t="s">
        <v>75</v>
      </c>
      <c r="C17" s="711"/>
      <c r="D17" s="308">
        <v>38985</v>
      </c>
      <c r="E17" s="304" t="s">
        <v>6</v>
      </c>
    </row>
    <row r="18" spans="1:5">
      <c r="A18" s="304" t="s">
        <v>74</v>
      </c>
      <c r="B18" s="304" t="s">
        <v>75</v>
      </c>
      <c r="C18" s="711"/>
      <c r="D18" s="308">
        <v>39083</v>
      </c>
      <c r="E18" s="304" t="s">
        <v>68</v>
      </c>
    </row>
    <row r="19" spans="1:5">
      <c r="A19" s="304" t="s">
        <v>74</v>
      </c>
      <c r="B19" s="304" t="s">
        <v>75</v>
      </c>
      <c r="C19" s="711"/>
      <c r="D19" s="308">
        <v>39111</v>
      </c>
      <c r="E19" s="304" t="s">
        <v>68</v>
      </c>
    </row>
    <row r="20" spans="1:5">
      <c r="A20" s="304" t="s">
        <v>74</v>
      </c>
      <c r="B20" s="304" t="s">
        <v>75</v>
      </c>
      <c r="C20" s="711"/>
      <c r="D20" s="308">
        <v>39112</v>
      </c>
      <c r="E20" s="304" t="s">
        <v>6</v>
      </c>
    </row>
    <row r="21" spans="1:5">
      <c r="A21" s="304" t="s">
        <v>74</v>
      </c>
      <c r="B21" s="304" t="s">
        <v>75</v>
      </c>
      <c r="C21" s="711"/>
      <c r="D21" s="308">
        <v>39108</v>
      </c>
      <c r="E21" s="304" t="s">
        <v>6</v>
      </c>
    </row>
    <row r="22" spans="1:5">
      <c r="A22" s="304" t="s">
        <v>74</v>
      </c>
      <c r="B22" s="304" t="s">
        <v>75</v>
      </c>
      <c r="C22" s="711"/>
      <c r="D22" s="308">
        <v>42338</v>
      </c>
      <c r="E22" s="304" t="s">
        <v>68</v>
      </c>
    </row>
    <row r="23" spans="1:5">
      <c r="A23" s="304" t="s">
        <v>74</v>
      </c>
      <c r="B23" s="304" t="s">
        <v>75</v>
      </c>
      <c r="C23" s="711"/>
      <c r="D23" s="308">
        <v>39195</v>
      </c>
      <c r="E23" s="304" t="s">
        <v>6</v>
      </c>
    </row>
    <row r="24" spans="1:5">
      <c r="A24" s="304" t="s">
        <v>74</v>
      </c>
      <c r="B24" s="304" t="s">
        <v>75</v>
      </c>
      <c r="C24" s="711"/>
      <c r="D24" s="308">
        <v>39216</v>
      </c>
      <c r="E24" s="304" t="s">
        <v>6</v>
      </c>
    </row>
    <row r="25" spans="1:5">
      <c r="A25" s="304" t="s">
        <v>74</v>
      </c>
      <c r="B25" s="304" t="s">
        <v>75</v>
      </c>
      <c r="C25" s="711"/>
      <c r="D25" s="308">
        <v>39433</v>
      </c>
      <c r="E25" s="304" t="s">
        <v>68</v>
      </c>
    </row>
    <row r="26" spans="1:5">
      <c r="A26" s="304" t="s">
        <v>74</v>
      </c>
      <c r="B26" s="304" t="s">
        <v>75</v>
      </c>
      <c r="C26" s="711"/>
      <c r="D26" s="308">
        <v>39489</v>
      </c>
      <c r="E26" s="304" t="s">
        <v>6</v>
      </c>
    </row>
    <row r="27" spans="1:5">
      <c r="A27" s="304" t="s">
        <v>74</v>
      </c>
      <c r="B27" s="304" t="s">
        <v>75</v>
      </c>
      <c r="C27" s="711"/>
      <c r="D27" s="308">
        <v>39531</v>
      </c>
      <c r="E27" s="304" t="s">
        <v>68</v>
      </c>
    </row>
    <row r="28" spans="1:5">
      <c r="A28" s="304" t="s">
        <v>74</v>
      </c>
      <c r="B28" s="304" t="s">
        <v>75</v>
      </c>
      <c r="C28" s="711"/>
      <c r="D28" s="308">
        <v>39699</v>
      </c>
      <c r="E28" s="304" t="s">
        <v>6</v>
      </c>
    </row>
    <row r="29" spans="1:5">
      <c r="A29" s="304" t="s">
        <v>74</v>
      </c>
      <c r="B29" s="304" t="s">
        <v>75</v>
      </c>
      <c r="C29" s="711"/>
      <c r="D29" s="308">
        <v>39743</v>
      </c>
      <c r="E29" s="304" t="s">
        <v>68</v>
      </c>
    </row>
    <row r="30" spans="1:5">
      <c r="A30" s="304" t="s">
        <v>74</v>
      </c>
      <c r="B30" s="304" t="s">
        <v>75</v>
      </c>
      <c r="C30" s="711"/>
      <c r="D30" s="308">
        <v>39741</v>
      </c>
      <c r="E30" s="304" t="s">
        <v>68</v>
      </c>
    </row>
    <row r="31" spans="1:5">
      <c r="A31" s="304" t="s">
        <v>74</v>
      </c>
      <c r="B31" s="304" t="s">
        <v>75</v>
      </c>
      <c r="C31" s="711"/>
      <c r="D31" s="308">
        <v>39762</v>
      </c>
      <c r="E31" s="304" t="s">
        <v>6</v>
      </c>
    </row>
    <row r="32" spans="1:5">
      <c r="A32" s="304" t="s">
        <v>74</v>
      </c>
      <c r="B32" s="304" t="s">
        <v>75</v>
      </c>
      <c r="C32" s="711"/>
      <c r="D32" s="308">
        <v>39790</v>
      </c>
      <c r="E32" s="304" t="s">
        <v>6</v>
      </c>
    </row>
    <row r="33" spans="1:5">
      <c r="A33" s="304" t="s">
        <v>74</v>
      </c>
      <c r="B33" s="304" t="s">
        <v>75</v>
      </c>
      <c r="C33" s="711"/>
      <c r="D33" s="308">
        <v>39993</v>
      </c>
      <c r="E33" s="304" t="s">
        <v>6</v>
      </c>
    </row>
    <row r="34" spans="1:5">
      <c r="A34" s="304" t="s">
        <v>74</v>
      </c>
      <c r="B34" s="304" t="s">
        <v>75</v>
      </c>
      <c r="C34" s="711"/>
      <c r="D34" s="308">
        <v>40010</v>
      </c>
      <c r="E34" s="304" t="s">
        <v>6</v>
      </c>
    </row>
    <row r="35" spans="1:5">
      <c r="A35" s="304" t="s">
        <v>74</v>
      </c>
      <c r="B35" s="304" t="s">
        <v>75</v>
      </c>
      <c r="C35" s="711"/>
      <c r="D35" s="308">
        <v>40010</v>
      </c>
      <c r="E35" s="304" t="s">
        <v>6</v>
      </c>
    </row>
    <row r="36" spans="1:5">
      <c r="A36" s="304" t="s">
        <v>74</v>
      </c>
      <c r="B36" s="304" t="s">
        <v>75</v>
      </c>
      <c r="C36" s="711"/>
      <c r="D36" s="308">
        <v>40010</v>
      </c>
      <c r="E36" s="304" t="s">
        <v>68</v>
      </c>
    </row>
    <row r="37" spans="1:5">
      <c r="A37" s="304" t="s">
        <v>74</v>
      </c>
      <c r="B37" s="304" t="s">
        <v>75</v>
      </c>
      <c r="C37" s="711"/>
      <c r="D37" s="308">
        <v>40014</v>
      </c>
      <c r="E37" s="304" t="s">
        <v>6</v>
      </c>
    </row>
    <row r="38" spans="1:5">
      <c r="A38" s="304" t="s">
        <v>74</v>
      </c>
      <c r="B38" s="304" t="s">
        <v>75</v>
      </c>
      <c r="C38" s="711"/>
      <c r="D38" s="308">
        <v>40154</v>
      </c>
      <c r="E38" s="304" t="s">
        <v>6</v>
      </c>
    </row>
    <row r="39" spans="1:5">
      <c r="A39" s="304" t="s">
        <v>74</v>
      </c>
      <c r="B39" s="304" t="s">
        <v>75</v>
      </c>
      <c r="C39" s="711"/>
      <c r="D39" s="308">
        <v>40231</v>
      </c>
      <c r="E39" s="304" t="s">
        <v>68</v>
      </c>
    </row>
    <row r="40" spans="1:5">
      <c r="A40" s="304" t="s">
        <v>74</v>
      </c>
      <c r="B40" s="304" t="s">
        <v>75</v>
      </c>
      <c r="C40" s="711"/>
      <c r="D40" s="308">
        <v>40245</v>
      </c>
      <c r="E40" s="304" t="s">
        <v>68</v>
      </c>
    </row>
    <row r="41" spans="1:5">
      <c r="A41" s="304" t="s">
        <v>74</v>
      </c>
      <c r="B41" s="304" t="s">
        <v>75</v>
      </c>
      <c r="C41" s="711"/>
      <c r="D41" s="308">
        <v>40259</v>
      </c>
      <c r="E41" s="304" t="s">
        <v>6</v>
      </c>
    </row>
    <row r="42" spans="1:5">
      <c r="A42" s="304" t="s">
        <v>74</v>
      </c>
      <c r="B42" s="304" t="s">
        <v>75</v>
      </c>
      <c r="C42" s="711"/>
      <c r="D42" s="308">
        <v>40294</v>
      </c>
      <c r="E42" s="304" t="s">
        <v>68</v>
      </c>
    </row>
    <row r="43" spans="1:5">
      <c r="A43" s="304" t="s">
        <v>74</v>
      </c>
      <c r="B43" s="304" t="s">
        <v>75</v>
      </c>
      <c r="C43" s="711"/>
      <c r="D43" s="308">
        <v>40336</v>
      </c>
      <c r="E43" s="304" t="s">
        <v>68</v>
      </c>
    </row>
    <row r="44" spans="1:5">
      <c r="A44" s="304" t="s">
        <v>74</v>
      </c>
      <c r="B44" s="304" t="s">
        <v>75</v>
      </c>
      <c r="C44" s="711"/>
      <c r="D44" s="308">
        <v>40434</v>
      </c>
      <c r="E44" s="304" t="s">
        <v>68</v>
      </c>
    </row>
    <row r="45" spans="1:5">
      <c r="A45" s="304" t="s">
        <v>74</v>
      </c>
      <c r="B45" s="304" t="s">
        <v>75</v>
      </c>
      <c r="C45" s="711"/>
      <c r="D45" s="308">
        <v>40441</v>
      </c>
      <c r="E45" s="304" t="s">
        <v>6</v>
      </c>
    </row>
    <row r="46" spans="1:5">
      <c r="A46" s="304" t="s">
        <v>74</v>
      </c>
      <c r="B46" s="304" t="s">
        <v>75</v>
      </c>
      <c r="C46" s="711"/>
      <c r="D46" s="308">
        <v>40483</v>
      </c>
      <c r="E46" s="304" t="s">
        <v>68</v>
      </c>
    </row>
    <row r="47" spans="1:5">
      <c r="A47" s="304" t="s">
        <v>74</v>
      </c>
      <c r="B47" s="304" t="s">
        <v>75</v>
      </c>
      <c r="C47" s="711"/>
      <c r="D47" s="308">
        <v>40581</v>
      </c>
      <c r="E47" s="304" t="s">
        <v>68</v>
      </c>
    </row>
    <row r="48" spans="1:5">
      <c r="A48" s="304" t="s">
        <v>74</v>
      </c>
      <c r="B48" s="304" t="s">
        <v>75</v>
      </c>
      <c r="C48" s="711"/>
      <c r="D48" s="308">
        <v>42150</v>
      </c>
      <c r="E48" s="304" t="s">
        <v>6</v>
      </c>
    </row>
    <row r="49" spans="1:5">
      <c r="A49" s="304" t="s">
        <v>74</v>
      </c>
      <c r="B49" s="304" t="s">
        <v>75</v>
      </c>
      <c r="C49" s="711"/>
      <c r="D49" s="308">
        <v>40679</v>
      </c>
      <c r="E49" s="304" t="s">
        <v>68</v>
      </c>
    </row>
    <row r="50" spans="1:5">
      <c r="A50" s="304" t="s">
        <v>74</v>
      </c>
      <c r="B50" s="304" t="s">
        <v>75</v>
      </c>
      <c r="C50" s="711"/>
      <c r="D50" s="308">
        <v>40770</v>
      </c>
      <c r="E50" s="304" t="s">
        <v>68</v>
      </c>
    </row>
    <row r="51" spans="1:5">
      <c r="A51" s="304" t="s">
        <v>74</v>
      </c>
      <c r="B51" s="304" t="s">
        <v>75</v>
      </c>
      <c r="C51" s="711"/>
      <c r="D51" s="308">
        <v>40798</v>
      </c>
      <c r="E51" s="304" t="s">
        <v>6</v>
      </c>
    </row>
    <row r="52" spans="1:5">
      <c r="A52" s="304" t="s">
        <v>74</v>
      </c>
      <c r="B52" s="304" t="s">
        <v>75</v>
      </c>
      <c r="C52" s="711"/>
      <c r="D52" s="308">
        <v>40861</v>
      </c>
      <c r="E52" s="304" t="s">
        <v>68</v>
      </c>
    </row>
    <row r="53" spans="1:5">
      <c r="A53" s="304" t="s">
        <v>74</v>
      </c>
      <c r="B53" s="304" t="s">
        <v>75</v>
      </c>
      <c r="C53" s="711"/>
      <c r="D53" s="308">
        <v>40882</v>
      </c>
      <c r="E53" s="304" t="s">
        <v>6</v>
      </c>
    </row>
    <row r="54" spans="1:5">
      <c r="A54" s="304" t="s">
        <v>74</v>
      </c>
      <c r="B54" s="304" t="s">
        <v>75</v>
      </c>
      <c r="C54" s="711"/>
      <c r="D54" s="308">
        <v>41095</v>
      </c>
      <c r="E54" s="304" t="s">
        <v>6</v>
      </c>
    </row>
    <row r="55" spans="1:5">
      <c r="A55" s="304" t="s">
        <v>74</v>
      </c>
      <c r="B55" s="304" t="s">
        <v>75</v>
      </c>
      <c r="C55" s="711"/>
      <c r="D55" s="308">
        <v>41162</v>
      </c>
      <c r="E55" s="304" t="s">
        <v>68</v>
      </c>
    </row>
    <row r="56" spans="1:5">
      <c r="A56" s="304" t="s">
        <v>74</v>
      </c>
      <c r="B56" s="304" t="s">
        <v>75</v>
      </c>
      <c r="C56" s="711"/>
      <c r="D56" s="308">
        <v>41253</v>
      </c>
      <c r="E56" s="304" t="s">
        <v>68</v>
      </c>
    </row>
    <row r="57" spans="1:5">
      <c r="A57" s="304" t="s">
        <v>74</v>
      </c>
      <c r="B57" s="304" t="s">
        <v>75</v>
      </c>
      <c r="C57" s="711"/>
      <c r="D57" s="308">
        <v>41295</v>
      </c>
      <c r="E57" s="304" t="s">
        <v>6</v>
      </c>
    </row>
    <row r="58" spans="1:5">
      <c r="A58" s="304" t="s">
        <v>74</v>
      </c>
      <c r="B58" s="304" t="s">
        <v>75</v>
      </c>
      <c r="C58" s="711"/>
      <c r="D58" s="308">
        <v>41365</v>
      </c>
      <c r="E58" s="304" t="s">
        <v>6</v>
      </c>
    </row>
    <row r="59" spans="1:5">
      <c r="A59" s="304" t="s">
        <v>74</v>
      </c>
      <c r="B59" s="304" t="s">
        <v>75</v>
      </c>
      <c r="C59" s="711"/>
      <c r="D59" s="308">
        <v>41386</v>
      </c>
      <c r="E59" s="304" t="s">
        <v>68</v>
      </c>
    </row>
    <row r="60" spans="1:5">
      <c r="A60" s="304" t="s">
        <v>74</v>
      </c>
      <c r="B60" s="304" t="s">
        <v>75</v>
      </c>
      <c r="C60" s="711"/>
      <c r="D60" s="308">
        <v>41400</v>
      </c>
      <c r="E60" s="304" t="s">
        <v>6</v>
      </c>
    </row>
    <row r="61" spans="1:5">
      <c r="A61" s="304" t="s">
        <v>74</v>
      </c>
      <c r="B61" s="304" t="s">
        <v>75</v>
      </c>
      <c r="C61" s="711"/>
      <c r="D61" s="308">
        <v>41401</v>
      </c>
      <c r="E61" s="304" t="s">
        <v>68</v>
      </c>
    </row>
    <row r="62" spans="1:5">
      <c r="A62" s="304" t="s">
        <v>74</v>
      </c>
      <c r="B62" s="304" t="s">
        <v>75</v>
      </c>
      <c r="C62" s="711"/>
      <c r="D62" s="308">
        <v>41435</v>
      </c>
      <c r="E62" s="304" t="s">
        <v>68</v>
      </c>
    </row>
    <row r="63" spans="1:5">
      <c r="A63" s="304" t="s">
        <v>74</v>
      </c>
      <c r="B63" s="304" t="s">
        <v>75</v>
      </c>
      <c r="C63" s="711"/>
      <c r="D63" s="308">
        <v>41561</v>
      </c>
      <c r="E63" s="304" t="s">
        <v>68</v>
      </c>
    </row>
    <row r="64" spans="1:5">
      <c r="A64" s="304" t="s">
        <v>74</v>
      </c>
      <c r="B64" s="304" t="s">
        <v>75</v>
      </c>
      <c r="C64" s="711"/>
      <c r="D64" s="308">
        <v>41558</v>
      </c>
      <c r="E64" s="304" t="s">
        <v>68</v>
      </c>
    </row>
    <row r="65" spans="1:5">
      <c r="A65" s="304" t="s">
        <v>74</v>
      </c>
      <c r="B65" s="304" t="s">
        <v>75</v>
      </c>
      <c r="C65" s="711"/>
      <c r="D65" s="308">
        <v>41694</v>
      </c>
      <c r="E65" s="304" t="s">
        <v>6</v>
      </c>
    </row>
    <row r="66" spans="1:5">
      <c r="A66" s="304" t="s">
        <v>74</v>
      </c>
      <c r="B66" s="304" t="s">
        <v>75</v>
      </c>
      <c r="C66" s="711"/>
      <c r="D66" s="308">
        <v>41687</v>
      </c>
      <c r="E66" s="304" t="s">
        <v>6</v>
      </c>
    </row>
    <row r="67" spans="1:5">
      <c r="A67" s="304" t="s">
        <v>74</v>
      </c>
      <c r="B67" s="304" t="s">
        <v>75</v>
      </c>
      <c r="C67" s="711"/>
      <c r="D67" s="308">
        <v>41778</v>
      </c>
      <c r="E67" s="304" t="s">
        <v>68</v>
      </c>
    </row>
    <row r="68" spans="1:5">
      <c r="A68" s="304" t="s">
        <v>74</v>
      </c>
      <c r="B68" s="304" t="s">
        <v>75</v>
      </c>
      <c r="C68" s="711"/>
      <c r="D68" s="308">
        <v>41904</v>
      </c>
      <c r="E68" s="304" t="s">
        <v>6</v>
      </c>
    </row>
    <row r="69" spans="1:5">
      <c r="A69" s="304" t="s">
        <v>74</v>
      </c>
      <c r="B69" s="304" t="s">
        <v>75</v>
      </c>
      <c r="C69" s="711"/>
      <c r="D69" s="308">
        <v>41911</v>
      </c>
      <c r="E69" s="304" t="s">
        <v>6</v>
      </c>
    </row>
    <row r="70" spans="1:5">
      <c r="A70" s="304" t="s">
        <v>74</v>
      </c>
      <c r="B70" s="304" t="s">
        <v>75</v>
      </c>
      <c r="C70" s="711"/>
      <c r="D70" s="308">
        <v>41939</v>
      </c>
      <c r="E70" s="304" t="s">
        <v>6</v>
      </c>
    </row>
    <row r="71" spans="1:5">
      <c r="A71" s="304" t="s">
        <v>74</v>
      </c>
      <c r="B71" s="304" t="s">
        <v>75</v>
      </c>
      <c r="C71" s="711"/>
      <c r="D71" s="308">
        <v>41953</v>
      </c>
      <c r="E71" s="304" t="s">
        <v>68</v>
      </c>
    </row>
    <row r="72" spans="1:5">
      <c r="A72" s="304" t="s">
        <v>74</v>
      </c>
      <c r="B72" s="304" t="s">
        <v>75</v>
      </c>
      <c r="C72" s="711"/>
      <c r="D72" s="308">
        <v>42247</v>
      </c>
      <c r="E72" s="304" t="s">
        <v>68</v>
      </c>
    </row>
    <row r="73" spans="1:5">
      <c r="A73" s="304" t="s">
        <v>74</v>
      </c>
      <c r="B73" s="304" t="s">
        <v>75</v>
      </c>
      <c r="C73" s="711"/>
      <c r="D73" s="308">
        <v>42009</v>
      </c>
      <c r="E73" s="304" t="s">
        <v>6</v>
      </c>
    </row>
    <row r="74" spans="1:5">
      <c r="A74" s="304" t="s">
        <v>74</v>
      </c>
      <c r="B74" s="304" t="s">
        <v>75</v>
      </c>
      <c r="C74" s="711"/>
      <c r="D74" s="308">
        <v>42023</v>
      </c>
      <c r="E74" s="304" t="s">
        <v>6</v>
      </c>
    </row>
    <row r="75" spans="1:5">
      <c r="A75" s="304" t="s">
        <v>74</v>
      </c>
      <c r="B75" s="304" t="s">
        <v>75</v>
      </c>
      <c r="C75" s="711"/>
      <c r="D75" s="308">
        <v>42058</v>
      </c>
      <c r="E75" s="304" t="s">
        <v>6</v>
      </c>
    </row>
    <row r="76" spans="1:5">
      <c r="A76" s="304" t="s">
        <v>74</v>
      </c>
      <c r="B76" s="304" t="s">
        <v>75</v>
      </c>
      <c r="C76" s="711"/>
      <c r="D76" s="308">
        <v>42058</v>
      </c>
      <c r="E76" s="304" t="s">
        <v>6</v>
      </c>
    </row>
    <row r="77" spans="1:5">
      <c r="A77" s="304" t="s">
        <v>74</v>
      </c>
      <c r="B77" s="304" t="s">
        <v>75</v>
      </c>
      <c r="C77" s="711"/>
      <c r="D77" s="308">
        <v>42184</v>
      </c>
      <c r="E77" s="304" t="s">
        <v>68</v>
      </c>
    </row>
    <row r="78" spans="1:5">
      <c r="A78" s="304" t="s">
        <v>74</v>
      </c>
      <c r="B78" s="304" t="s">
        <v>75</v>
      </c>
      <c r="C78" s="711"/>
      <c r="D78" s="308">
        <v>42216</v>
      </c>
      <c r="E78" s="304" t="s">
        <v>6</v>
      </c>
    </row>
    <row r="79" spans="1:5">
      <c r="A79" s="304" t="s">
        <v>74</v>
      </c>
      <c r="B79" s="304" t="s">
        <v>75</v>
      </c>
      <c r="C79" s="711"/>
      <c r="D79" s="308">
        <v>42233</v>
      </c>
      <c r="E79" s="304" t="s">
        <v>6</v>
      </c>
    </row>
    <row r="80" spans="1:5">
      <c r="A80" s="304" t="s">
        <v>74</v>
      </c>
      <c r="B80" s="304" t="s">
        <v>75</v>
      </c>
      <c r="C80" s="711"/>
      <c r="D80" s="308">
        <v>42249</v>
      </c>
      <c r="E80" s="304" t="s">
        <v>68</v>
      </c>
    </row>
    <row r="81" spans="1:5">
      <c r="A81" s="304" t="s">
        <v>74</v>
      </c>
      <c r="B81" s="304" t="s">
        <v>75</v>
      </c>
      <c r="C81" s="711"/>
      <c r="D81" s="308">
        <v>42248</v>
      </c>
      <c r="E81" s="304" t="s">
        <v>68</v>
      </c>
    </row>
    <row r="82" spans="1:5">
      <c r="A82" s="304" t="s">
        <v>74</v>
      </c>
      <c r="B82" s="304" t="s">
        <v>75</v>
      </c>
      <c r="C82" s="711"/>
      <c r="D82" s="308">
        <v>42268</v>
      </c>
      <c r="E82" s="304" t="s">
        <v>68</v>
      </c>
    </row>
    <row r="83" spans="1:5">
      <c r="A83" s="304" t="s">
        <v>74</v>
      </c>
      <c r="B83" s="304" t="s">
        <v>75</v>
      </c>
      <c r="C83" s="711"/>
      <c r="D83" s="308">
        <v>42255</v>
      </c>
      <c r="E83" s="304" t="s">
        <v>68</v>
      </c>
    </row>
    <row r="84" spans="1:5">
      <c r="A84" s="304" t="s">
        <v>74</v>
      </c>
      <c r="B84" s="304" t="s">
        <v>75</v>
      </c>
      <c r="C84" s="711"/>
      <c r="D84" s="308">
        <v>42262</v>
      </c>
      <c r="E84" s="304" t="s">
        <v>68</v>
      </c>
    </row>
    <row r="85" spans="1:5">
      <c r="A85" s="304" t="s">
        <v>74</v>
      </c>
      <c r="B85" s="304" t="s">
        <v>75</v>
      </c>
      <c r="C85" s="711"/>
      <c r="D85" s="308">
        <v>42261</v>
      </c>
      <c r="E85" s="304" t="s">
        <v>68</v>
      </c>
    </row>
    <row r="86" spans="1:5">
      <c r="A86" s="304" t="s">
        <v>74</v>
      </c>
      <c r="B86" s="304" t="s">
        <v>75</v>
      </c>
      <c r="C86" s="711"/>
      <c r="D86" s="308">
        <v>42345</v>
      </c>
      <c r="E86" s="304" t="s">
        <v>6</v>
      </c>
    </row>
    <row r="87" spans="1:5">
      <c r="A87" s="304" t="s">
        <v>74</v>
      </c>
      <c r="B87" s="304" t="s">
        <v>75</v>
      </c>
      <c r="C87" s="711"/>
      <c r="D87" s="308">
        <v>42338</v>
      </c>
      <c r="E87" s="304" t="s">
        <v>68</v>
      </c>
    </row>
    <row r="88" spans="1:5">
      <c r="A88" s="304" t="s">
        <v>74</v>
      </c>
      <c r="B88" s="304" t="s">
        <v>75</v>
      </c>
      <c r="C88" s="711"/>
      <c r="D88" s="308">
        <v>42373</v>
      </c>
      <c r="E88" s="304" t="s">
        <v>68</v>
      </c>
    </row>
    <row r="89" spans="1:5">
      <c r="A89" s="304" t="s">
        <v>74</v>
      </c>
      <c r="B89" s="304" t="s">
        <v>75</v>
      </c>
      <c r="C89" s="711"/>
      <c r="D89" s="308">
        <v>42499</v>
      </c>
      <c r="E89" s="304" t="s">
        <v>6</v>
      </c>
    </row>
    <row r="90" spans="1:5">
      <c r="A90" s="304" t="s">
        <v>74</v>
      </c>
      <c r="B90" s="304" t="s">
        <v>75</v>
      </c>
      <c r="C90" s="711"/>
      <c r="D90" s="308">
        <v>42499</v>
      </c>
      <c r="E90" s="304" t="s">
        <v>6</v>
      </c>
    </row>
    <row r="91" spans="1:5">
      <c r="A91" s="304" t="s">
        <v>74</v>
      </c>
      <c r="B91" s="304" t="s">
        <v>75</v>
      </c>
      <c r="C91" s="711"/>
      <c r="D91" s="308">
        <v>42485</v>
      </c>
      <c r="E91" s="304" t="s">
        <v>68</v>
      </c>
    </row>
    <row r="92" spans="1:5">
      <c r="A92" s="304" t="s">
        <v>74</v>
      </c>
      <c r="B92" s="304" t="s">
        <v>75</v>
      </c>
      <c r="C92" s="711"/>
      <c r="D92" s="308">
        <v>42506</v>
      </c>
      <c r="E92" s="304" t="s">
        <v>68</v>
      </c>
    </row>
    <row r="93" spans="1:5">
      <c r="A93" s="304" t="s">
        <v>74</v>
      </c>
      <c r="B93" s="304" t="s">
        <v>75</v>
      </c>
      <c r="C93" s="711"/>
      <c r="D93" s="308">
        <v>42583</v>
      </c>
      <c r="E93" s="304" t="s">
        <v>68</v>
      </c>
    </row>
    <row r="94" spans="1:5">
      <c r="A94" s="304" t="s">
        <v>74</v>
      </c>
      <c r="B94" s="304" t="s">
        <v>75</v>
      </c>
      <c r="C94" s="711"/>
      <c r="D94" s="602">
        <v>42597</v>
      </c>
      <c r="E94" s="304" t="s">
        <v>6</v>
      </c>
    </row>
    <row r="95" spans="1:5">
      <c r="A95" s="304" t="s">
        <v>74</v>
      </c>
      <c r="B95" s="304" t="s">
        <v>75</v>
      </c>
      <c r="C95" s="711"/>
      <c r="D95" s="602">
        <v>42625</v>
      </c>
      <c r="E95" s="304" t="s">
        <v>68</v>
      </c>
    </row>
    <row r="96" spans="1:5">
      <c r="A96" s="304" t="s">
        <v>74</v>
      </c>
      <c r="B96" s="304" t="s">
        <v>75</v>
      </c>
      <c r="C96" s="711"/>
      <c r="D96" s="602">
        <v>42667</v>
      </c>
      <c r="E96" s="304" t="s">
        <v>6</v>
      </c>
    </row>
    <row r="97" spans="1:5">
      <c r="A97" s="304" t="s">
        <v>74</v>
      </c>
      <c r="B97" s="304" t="s">
        <v>75</v>
      </c>
      <c r="C97" s="711"/>
      <c r="D97" s="602">
        <v>42702</v>
      </c>
      <c r="E97" s="304" t="s">
        <v>68</v>
      </c>
    </row>
    <row r="98" spans="1:5">
      <c r="A98" s="304" t="s">
        <v>74</v>
      </c>
      <c r="B98" s="304" t="s">
        <v>75</v>
      </c>
      <c r="C98" s="711"/>
      <c r="D98" s="602">
        <v>42738</v>
      </c>
      <c r="E98" s="304" t="s">
        <v>68</v>
      </c>
    </row>
    <row r="99" spans="1:5">
      <c r="A99" s="304" t="s">
        <v>74</v>
      </c>
      <c r="B99" s="304" t="s">
        <v>75</v>
      </c>
      <c r="C99" s="711"/>
      <c r="D99" s="602">
        <v>42765</v>
      </c>
      <c r="E99" s="304" t="s">
        <v>6</v>
      </c>
    </row>
    <row r="100" spans="1:5">
      <c r="A100" s="304" t="s">
        <v>74</v>
      </c>
      <c r="B100" s="304" t="s">
        <v>75</v>
      </c>
      <c r="C100" s="711"/>
      <c r="D100" s="602">
        <v>42793</v>
      </c>
      <c r="E100" s="304" t="s">
        <v>6</v>
      </c>
    </row>
    <row r="101" spans="1:5">
      <c r="A101" s="304" t="s">
        <v>74</v>
      </c>
      <c r="B101" s="304" t="s">
        <v>75</v>
      </c>
      <c r="C101" s="711"/>
      <c r="D101" s="602">
        <v>42821</v>
      </c>
      <c r="E101" s="304" t="s">
        <v>68</v>
      </c>
    </row>
    <row r="102" spans="1:5">
      <c r="A102" s="304" t="s">
        <v>74</v>
      </c>
      <c r="B102" s="304" t="s">
        <v>75</v>
      </c>
      <c r="C102" s="711"/>
      <c r="D102" s="602">
        <v>42807</v>
      </c>
      <c r="E102" s="304" t="s">
        <v>6</v>
      </c>
    </row>
    <row r="103" spans="1:5">
      <c r="A103" s="304" t="s">
        <v>74</v>
      </c>
      <c r="B103" s="304" t="s">
        <v>75</v>
      </c>
      <c r="C103" s="711"/>
      <c r="D103" s="602">
        <v>42885</v>
      </c>
      <c r="E103" s="304" t="s">
        <v>6</v>
      </c>
    </row>
    <row r="104" spans="1:5">
      <c r="A104" s="304" t="s">
        <v>74</v>
      </c>
      <c r="B104" s="304" t="s">
        <v>75</v>
      </c>
      <c r="C104" s="711"/>
      <c r="D104" s="602">
        <v>42919</v>
      </c>
      <c r="E104" s="304" t="s">
        <v>68</v>
      </c>
    </row>
    <row r="105" spans="1:5">
      <c r="A105" s="304" t="s">
        <v>74</v>
      </c>
      <c r="B105" s="304" t="s">
        <v>75</v>
      </c>
      <c r="C105" s="711"/>
      <c r="D105" s="602">
        <v>42926</v>
      </c>
      <c r="E105" s="304" t="s">
        <v>68</v>
      </c>
    </row>
    <row r="106" spans="1:5">
      <c r="A106" s="304" t="s">
        <v>74</v>
      </c>
      <c r="B106" s="304" t="s">
        <v>75</v>
      </c>
      <c r="C106" s="711"/>
      <c r="D106" s="602">
        <v>43096</v>
      </c>
      <c r="E106" s="304" t="s">
        <v>6</v>
      </c>
    </row>
    <row r="107" spans="1:5">
      <c r="A107" s="304" t="s">
        <v>74</v>
      </c>
      <c r="B107" s="304" t="s">
        <v>75</v>
      </c>
      <c r="C107" s="711"/>
      <c r="D107" s="602">
        <v>43143</v>
      </c>
      <c r="E107" s="304" t="s">
        <v>68</v>
      </c>
    </row>
    <row r="108" spans="1:5">
      <c r="A108" s="304" t="s">
        <v>74</v>
      </c>
      <c r="B108" s="304" t="s">
        <v>75</v>
      </c>
      <c r="C108" s="711"/>
      <c r="D108" s="602">
        <v>43159</v>
      </c>
      <c r="E108" s="304" t="s">
        <v>6</v>
      </c>
    </row>
    <row r="109" spans="1:5">
      <c r="A109" s="304" t="s">
        <v>74</v>
      </c>
      <c r="B109" s="304" t="s">
        <v>75</v>
      </c>
      <c r="C109" s="711"/>
      <c r="D109" s="602">
        <v>43159</v>
      </c>
      <c r="E109" s="304" t="s">
        <v>6</v>
      </c>
    </row>
    <row r="110" spans="1:5">
      <c r="A110" s="304" t="s">
        <v>74</v>
      </c>
      <c r="B110" s="304" t="s">
        <v>75</v>
      </c>
      <c r="C110" s="711"/>
      <c r="D110" s="602">
        <v>43157</v>
      </c>
      <c r="E110" s="304" t="s">
        <v>68</v>
      </c>
    </row>
    <row r="111" spans="1:5">
      <c r="A111" s="304" t="s">
        <v>74</v>
      </c>
      <c r="B111" s="304" t="s">
        <v>75</v>
      </c>
      <c r="C111" s="711"/>
      <c r="D111" s="602">
        <v>43199</v>
      </c>
      <c r="E111" s="304" t="s">
        <v>6</v>
      </c>
    </row>
    <row r="112" spans="1:5">
      <c r="A112" s="304" t="s">
        <v>74</v>
      </c>
      <c r="B112" s="304" t="s">
        <v>75</v>
      </c>
      <c r="C112" s="711"/>
      <c r="D112" s="602">
        <v>43241</v>
      </c>
      <c r="E112" s="304" t="s">
        <v>6</v>
      </c>
    </row>
    <row r="113" spans="1:5">
      <c r="A113" s="304" t="s">
        <v>74</v>
      </c>
      <c r="B113" s="304" t="s">
        <v>75</v>
      </c>
      <c r="C113" s="711"/>
      <c r="D113" s="602">
        <v>43255</v>
      </c>
      <c r="E113" s="304" t="s">
        <v>6</v>
      </c>
    </row>
    <row r="114" spans="1:5">
      <c r="A114" s="304" t="s">
        <v>74</v>
      </c>
      <c r="B114" s="304" t="s">
        <v>75</v>
      </c>
      <c r="C114" s="711"/>
      <c r="D114" s="602">
        <v>43283</v>
      </c>
      <c r="E114" s="304" t="s">
        <v>68</v>
      </c>
    </row>
    <row r="115" spans="1:5">
      <c r="A115" s="304" t="s">
        <v>74</v>
      </c>
      <c r="B115" s="304" t="s">
        <v>75</v>
      </c>
      <c r="C115" s="711"/>
      <c r="D115" s="602">
        <v>43269</v>
      </c>
      <c r="E115" s="304" t="s">
        <v>68</v>
      </c>
    </row>
    <row r="116" spans="1:5">
      <c r="A116" s="304" t="s">
        <v>74</v>
      </c>
      <c r="B116" s="304" t="s">
        <v>75</v>
      </c>
      <c r="C116" s="711"/>
      <c r="D116" s="602">
        <v>43297</v>
      </c>
      <c r="E116" s="304" t="s">
        <v>68</v>
      </c>
    </row>
    <row r="117" spans="1:5">
      <c r="A117" s="304" t="s">
        <v>74</v>
      </c>
      <c r="B117" s="304" t="s">
        <v>75</v>
      </c>
      <c r="C117" s="711"/>
      <c r="D117" s="602">
        <v>43311</v>
      </c>
      <c r="E117" s="304" t="s">
        <v>68</v>
      </c>
    </row>
    <row r="118" spans="1:5">
      <c r="A118" s="304" t="s">
        <v>74</v>
      </c>
      <c r="B118" s="304" t="s">
        <v>75</v>
      </c>
      <c r="C118" s="711"/>
      <c r="D118" s="602">
        <v>43300</v>
      </c>
      <c r="E118" s="304" t="s">
        <v>68</v>
      </c>
    </row>
    <row r="119" spans="1:5">
      <c r="A119" s="304" t="s">
        <v>74</v>
      </c>
      <c r="B119" s="304" t="s">
        <v>75</v>
      </c>
      <c r="C119" s="711"/>
      <c r="D119" s="602">
        <v>43299</v>
      </c>
      <c r="E119" s="304" t="s">
        <v>68</v>
      </c>
    </row>
    <row r="120" spans="1:5">
      <c r="A120" s="304" t="s">
        <v>74</v>
      </c>
      <c r="B120" s="304" t="s">
        <v>75</v>
      </c>
      <c r="C120" s="711"/>
      <c r="D120" s="602">
        <v>43339</v>
      </c>
      <c r="E120" s="304" t="s">
        <v>6</v>
      </c>
    </row>
    <row r="121" spans="1:5">
      <c r="A121" s="304" t="s">
        <v>74</v>
      </c>
      <c r="B121" s="304" t="s">
        <v>75</v>
      </c>
      <c r="C121" s="711"/>
      <c r="D121" s="602">
        <v>43375</v>
      </c>
      <c r="E121" s="304" t="s">
        <v>6</v>
      </c>
    </row>
    <row r="122" spans="1:5">
      <c r="A122" s="304" t="s">
        <v>74</v>
      </c>
      <c r="B122" s="304" t="s">
        <v>75</v>
      </c>
      <c r="C122" s="711"/>
      <c r="D122" s="602">
        <v>43381</v>
      </c>
      <c r="E122" s="304" t="s">
        <v>68</v>
      </c>
    </row>
    <row r="123" spans="1:5">
      <c r="A123" s="304" t="s">
        <v>74</v>
      </c>
      <c r="B123" s="304" t="s">
        <v>75</v>
      </c>
      <c r="C123" s="711"/>
      <c r="D123" s="602">
        <v>43382</v>
      </c>
      <c r="E123" s="304" t="s">
        <v>68</v>
      </c>
    </row>
  </sheetData>
  <autoFilter ref="A4:E91"/>
  <pageMargins left="0.7" right="0.7" top="0.75" bottom="0.75" header="0.3" footer="0.3"/>
  <pageSetup scale="74" fitToHeight="2" orientation="portrait" horizontalDpi="1200" verticalDpi="1200" r:id="rId1"/>
  <customProperties>
    <customPr name="_pios_id" r:id="rId2"/>
  </customPropertie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zoomScale="80" zoomScaleNormal="80" workbookViewId="0"/>
  </sheetViews>
  <sheetFormatPr defaultColWidth="8.88671875" defaultRowHeight="14.4"/>
  <cols>
    <col min="1" max="1" width="6.6640625" style="309" customWidth="1"/>
    <col min="2" max="2" width="28.88671875" style="309" bestFit="1" customWidth="1"/>
    <col min="3" max="3" width="10.6640625" style="309" bestFit="1" customWidth="1"/>
    <col min="4" max="4" width="11.88671875" style="309" bestFit="1" customWidth="1"/>
    <col min="5" max="5" width="9.44140625" style="309" bestFit="1" customWidth="1"/>
    <col min="6" max="6" width="10.33203125" style="309" customWidth="1"/>
    <col min="7" max="8" width="12.6640625" style="310" customWidth="1"/>
    <col min="9" max="9" width="11.33203125" style="309" bestFit="1" customWidth="1"/>
    <col min="10" max="10" width="13" style="309" bestFit="1" customWidth="1"/>
    <col min="11" max="16384" width="8.88671875" style="309"/>
  </cols>
  <sheetData>
    <row r="1" spans="1:10">
      <c r="A1" s="93" t="s">
        <v>431</v>
      </c>
    </row>
    <row r="2" spans="1:10">
      <c r="A2" s="93" t="s">
        <v>465</v>
      </c>
    </row>
    <row r="3" spans="1:10" ht="28.8">
      <c r="A3" s="93"/>
      <c r="C3" s="702" t="s">
        <v>1134</v>
      </c>
      <c r="G3" s="433" t="s">
        <v>761</v>
      </c>
      <c r="H3" s="433" t="s">
        <v>762</v>
      </c>
    </row>
    <row r="4" spans="1:10">
      <c r="A4" s="305" t="s">
        <v>51</v>
      </c>
      <c r="B4" s="305" t="s">
        <v>61</v>
      </c>
      <c r="C4" s="305" t="s">
        <v>20</v>
      </c>
      <c r="D4" s="305" t="s">
        <v>21</v>
      </c>
      <c r="E4" s="305" t="s">
        <v>62</v>
      </c>
      <c r="F4" s="305" t="s">
        <v>63</v>
      </c>
      <c r="G4" s="311" t="s">
        <v>130</v>
      </c>
      <c r="H4" s="311"/>
      <c r="I4" s="305" t="s">
        <v>64</v>
      </c>
      <c r="J4" s="305" t="s">
        <v>60</v>
      </c>
    </row>
    <row r="5" spans="1:10">
      <c r="A5" s="304" t="s">
        <v>70</v>
      </c>
      <c r="B5" s="304" t="s">
        <v>71</v>
      </c>
      <c r="C5" s="712"/>
      <c r="D5" s="495">
        <v>38733</v>
      </c>
      <c r="E5" s="304" t="s">
        <v>67</v>
      </c>
      <c r="F5" s="304" t="s">
        <v>68</v>
      </c>
      <c r="G5" s="650">
        <v>500</v>
      </c>
      <c r="H5" s="650">
        <v>600</v>
      </c>
      <c r="I5" s="651">
        <v>19.23</v>
      </c>
      <c r="J5" s="304" t="s">
        <v>65</v>
      </c>
    </row>
    <row r="6" spans="1:10">
      <c r="A6" s="304" t="s">
        <v>70</v>
      </c>
      <c r="B6" s="304" t="s">
        <v>71</v>
      </c>
      <c r="C6" s="712"/>
      <c r="D6" s="495">
        <v>38803</v>
      </c>
      <c r="E6" s="304" t="s">
        <v>67</v>
      </c>
      <c r="F6" s="304" t="s">
        <v>68</v>
      </c>
      <c r="G6" s="312">
        <v>500</v>
      </c>
      <c r="H6" s="312">
        <v>600</v>
      </c>
      <c r="I6" s="306">
        <v>19.23</v>
      </c>
      <c r="J6" s="304" t="s">
        <v>65</v>
      </c>
    </row>
    <row r="7" spans="1:10">
      <c r="A7" s="304" t="s">
        <v>70</v>
      </c>
      <c r="B7" s="304" t="s">
        <v>71</v>
      </c>
      <c r="C7" s="712"/>
      <c r="D7" s="495">
        <v>38804</v>
      </c>
      <c r="E7" s="304" t="s">
        <v>67</v>
      </c>
      <c r="F7" s="304" t="s">
        <v>68</v>
      </c>
      <c r="G7" s="312">
        <v>500</v>
      </c>
      <c r="H7" s="312">
        <v>600</v>
      </c>
      <c r="I7" s="306">
        <v>19.23</v>
      </c>
      <c r="J7" s="304" t="s">
        <v>65</v>
      </c>
    </row>
    <row r="8" spans="1:10">
      <c r="A8" s="304" t="s">
        <v>70</v>
      </c>
      <c r="B8" s="304" t="s">
        <v>71</v>
      </c>
      <c r="C8" s="712"/>
      <c r="D8" s="495">
        <v>38817</v>
      </c>
      <c r="E8" s="304" t="s">
        <v>67</v>
      </c>
      <c r="F8" s="304" t="s">
        <v>68</v>
      </c>
      <c r="G8" s="312">
        <v>500</v>
      </c>
      <c r="H8" s="312">
        <v>600</v>
      </c>
      <c r="I8" s="306">
        <v>19.23</v>
      </c>
      <c r="J8" s="304" t="s">
        <v>65</v>
      </c>
    </row>
    <row r="9" spans="1:10">
      <c r="A9" s="304" t="s">
        <v>70</v>
      </c>
      <c r="B9" s="304" t="s">
        <v>71</v>
      </c>
      <c r="C9" s="712"/>
      <c r="D9" s="495">
        <v>39083</v>
      </c>
      <c r="E9" s="304" t="s">
        <v>67</v>
      </c>
      <c r="F9" s="304" t="s">
        <v>68</v>
      </c>
      <c r="G9" s="312">
        <v>500</v>
      </c>
      <c r="H9" s="312">
        <v>600</v>
      </c>
      <c r="I9" s="306">
        <v>19.23</v>
      </c>
      <c r="J9" s="304" t="s">
        <v>65</v>
      </c>
    </row>
    <row r="10" spans="1:10">
      <c r="A10" s="304" t="s">
        <v>70</v>
      </c>
      <c r="B10" s="304" t="s">
        <v>71</v>
      </c>
      <c r="C10" s="712"/>
      <c r="D10" s="495">
        <v>39111</v>
      </c>
      <c r="E10" s="304" t="s">
        <v>67</v>
      </c>
      <c r="F10" s="304" t="s">
        <v>68</v>
      </c>
      <c r="G10" s="312">
        <v>500</v>
      </c>
      <c r="H10" s="312">
        <v>600</v>
      </c>
      <c r="I10" s="306">
        <v>19.23</v>
      </c>
      <c r="J10" s="304" t="s">
        <v>65</v>
      </c>
    </row>
    <row r="11" spans="1:10">
      <c r="A11" s="304" t="s">
        <v>70</v>
      </c>
      <c r="B11" s="304" t="s">
        <v>71</v>
      </c>
      <c r="C11" s="712"/>
      <c r="D11" s="495">
        <v>42338</v>
      </c>
      <c r="E11" s="304" t="s">
        <v>67</v>
      </c>
      <c r="F11" s="304" t="s">
        <v>68</v>
      </c>
      <c r="G11" s="312">
        <v>500</v>
      </c>
      <c r="H11" s="312">
        <v>600</v>
      </c>
      <c r="I11" s="306">
        <v>19.23</v>
      </c>
      <c r="J11" s="304" t="s">
        <v>65</v>
      </c>
    </row>
    <row r="12" spans="1:10">
      <c r="A12" s="304" t="s">
        <v>70</v>
      </c>
      <c r="B12" s="304" t="s">
        <v>71</v>
      </c>
      <c r="C12" s="712"/>
      <c r="D12" s="495">
        <v>39433</v>
      </c>
      <c r="E12" s="304" t="s">
        <v>67</v>
      </c>
      <c r="F12" s="304" t="s">
        <v>68</v>
      </c>
      <c r="G12" s="312">
        <v>500</v>
      </c>
      <c r="H12" s="312">
        <v>600</v>
      </c>
      <c r="I12" s="306">
        <v>19.23</v>
      </c>
      <c r="J12" s="304" t="s">
        <v>65</v>
      </c>
    </row>
    <row r="13" spans="1:10">
      <c r="A13" s="304" t="s">
        <v>70</v>
      </c>
      <c r="B13" s="304" t="s">
        <v>71</v>
      </c>
      <c r="C13" s="712"/>
      <c r="D13" s="495">
        <v>39531</v>
      </c>
      <c r="E13" s="304" t="s">
        <v>67</v>
      </c>
      <c r="F13" s="304" t="s">
        <v>68</v>
      </c>
      <c r="G13" s="312">
        <v>500</v>
      </c>
      <c r="H13" s="312">
        <v>600</v>
      </c>
      <c r="I13" s="306">
        <v>19.23</v>
      </c>
      <c r="J13" s="304" t="s">
        <v>65</v>
      </c>
    </row>
    <row r="14" spans="1:10">
      <c r="A14" s="304" t="s">
        <v>70</v>
      </c>
      <c r="B14" s="304" t="s">
        <v>71</v>
      </c>
      <c r="C14" s="712"/>
      <c r="D14" s="495">
        <v>39743</v>
      </c>
      <c r="E14" s="304" t="s">
        <v>67</v>
      </c>
      <c r="F14" s="304" t="s">
        <v>68</v>
      </c>
      <c r="G14" s="312">
        <v>500</v>
      </c>
      <c r="H14" s="312">
        <v>600</v>
      </c>
      <c r="I14" s="306">
        <v>19.23</v>
      </c>
      <c r="J14" s="304" t="s">
        <v>65</v>
      </c>
    </row>
    <row r="15" spans="1:10">
      <c r="A15" s="304" t="s">
        <v>70</v>
      </c>
      <c r="B15" s="304" t="s">
        <v>71</v>
      </c>
      <c r="C15" s="712"/>
      <c r="D15" s="495">
        <v>39741</v>
      </c>
      <c r="E15" s="304" t="s">
        <v>67</v>
      </c>
      <c r="F15" s="304" t="s">
        <v>68</v>
      </c>
      <c r="G15" s="312">
        <v>500</v>
      </c>
      <c r="H15" s="312">
        <v>600</v>
      </c>
      <c r="I15" s="306">
        <v>19.23</v>
      </c>
      <c r="J15" s="304" t="s">
        <v>65</v>
      </c>
    </row>
    <row r="16" spans="1:10">
      <c r="A16" s="304" t="s">
        <v>70</v>
      </c>
      <c r="B16" s="304" t="s">
        <v>71</v>
      </c>
      <c r="C16" s="712"/>
      <c r="D16" s="495">
        <v>40010</v>
      </c>
      <c r="E16" s="304" t="s">
        <v>67</v>
      </c>
      <c r="F16" s="304" t="s">
        <v>68</v>
      </c>
      <c r="G16" s="312">
        <v>500</v>
      </c>
      <c r="H16" s="312">
        <v>600</v>
      </c>
      <c r="I16" s="306">
        <v>19.23</v>
      </c>
      <c r="J16" s="304" t="s">
        <v>65</v>
      </c>
    </row>
    <row r="17" spans="1:10">
      <c r="A17" s="304" t="s">
        <v>70</v>
      </c>
      <c r="B17" s="304" t="s">
        <v>71</v>
      </c>
      <c r="C17" s="712"/>
      <c r="D17" s="495">
        <v>40245</v>
      </c>
      <c r="E17" s="304" t="s">
        <v>67</v>
      </c>
      <c r="F17" s="304" t="s">
        <v>68</v>
      </c>
      <c r="G17" s="312">
        <v>500</v>
      </c>
      <c r="H17" s="312">
        <v>600</v>
      </c>
      <c r="I17" s="306">
        <v>19.23</v>
      </c>
      <c r="J17" s="304" t="s">
        <v>65</v>
      </c>
    </row>
    <row r="18" spans="1:10">
      <c r="A18" s="304" t="s">
        <v>70</v>
      </c>
      <c r="B18" s="304" t="s">
        <v>71</v>
      </c>
      <c r="C18" s="712"/>
      <c r="D18" s="495">
        <v>40294</v>
      </c>
      <c r="E18" s="304" t="s">
        <v>67</v>
      </c>
      <c r="F18" s="304" t="s">
        <v>68</v>
      </c>
      <c r="G18" s="312">
        <v>500</v>
      </c>
      <c r="H18" s="312">
        <v>600</v>
      </c>
      <c r="I18" s="306">
        <v>19.23</v>
      </c>
      <c r="J18" s="304" t="s">
        <v>65</v>
      </c>
    </row>
    <row r="19" spans="1:10">
      <c r="A19" s="304" t="s">
        <v>70</v>
      </c>
      <c r="B19" s="304" t="s">
        <v>71</v>
      </c>
      <c r="C19" s="712"/>
      <c r="D19" s="495">
        <v>40336</v>
      </c>
      <c r="E19" s="304" t="s">
        <v>67</v>
      </c>
      <c r="F19" s="304" t="s">
        <v>68</v>
      </c>
      <c r="G19" s="312">
        <v>500</v>
      </c>
      <c r="H19" s="312">
        <v>600</v>
      </c>
      <c r="I19" s="306">
        <v>19.23</v>
      </c>
      <c r="J19" s="304" t="s">
        <v>65</v>
      </c>
    </row>
    <row r="20" spans="1:10">
      <c r="A20" s="304" t="s">
        <v>70</v>
      </c>
      <c r="B20" s="304" t="s">
        <v>71</v>
      </c>
      <c r="C20" s="712"/>
      <c r="D20" s="495">
        <v>40434</v>
      </c>
      <c r="E20" s="304" t="s">
        <v>67</v>
      </c>
      <c r="F20" s="304" t="s">
        <v>68</v>
      </c>
      <c r="G20" s="312">
        <v>500</v>
      </c>
      <c r="H20" s="312">
        <v>600</v>
      </c>
      <c r="I20" s="306">
        <v>19.23</v>
      </c>
      <c r="J20" s="304" t="s">
        <v>65</v>
      </c>
    </row>
    <row r="21" spans="1:10">
      <c r="A21" s="304" t="s">
        <v>70</v>
      </c>
      <c r="B21" s="304" t="s">
        <v>71</v>
      </c>
      <c r="C21" s="712"/>
      <c r="D21" s="495">
        <v>40483</v>
      </c>
      <c r="E21" s="304" t="s">
        <v>67</v>
      </c>
      <c r="F21" s="304" t="s">
        <v>68</v>
      </c>
      <c r="G21" s="312">
        <v>500</v>
      </c>
      <c r="H21" s="312">
        <v>600</v>
      </c>
      <c r="I21" s="306">
        <v>19.23</v>
      </c>
      <c r="J21" s="304" t="s">
        <v>65</v>
      </c>
    </row>
    <row r="22" spans="1:10">
      <c r="A22" s="304" t="s">
        <v>70</v>
      </c>
      <c r="B22" s="304" t="s">
        <v>71</v>
      </c>
      <c r="C22" s="712"/>
      <c r="D22" s="495">
        <v>40679</v>
      </c>
      <c r="E22" s="304" t="s">
        <v>67</v>
      </c>
      <c r="F22" s="304" t="s">
        <v>68</v>
      </c>
      <c r="G22" s="312">
        <v>500</v>
      </c>
      <c r="H22" s="312">
        <v>600</v>
      </c>
      <c r="I22" s="306">
        <v>19.23</v>
      </c>
      <c r="J22" s="304" t="s">
        <v>65</v>
      </c>
    </row>
    <row r="23" spans="1:10">
      <c r="A23" s="304" t="s">
        <v>70</v>
      </c>
      <c r="B23" s="304" t="s">
        <v>71</v>
      </c>
      <c r="C23" s="712"/>
      <c r="D23" s="495">
        <v>40770</v>
      </c>
      <c r="E23" s="304" t="s">
        <v>67</v>
      </c>
      <c r="F23" s="304" t="s">
        <v>68</v>
      </c>
      <c r="G23" s="312">
        <v>500</v>
      </c>
      <c r="H23" s="312">
        <v>600</v>
      </c>
      <c r="I23" s="306">
        <v>19.23</v>
      </c>
      <c r="J23" s="304" t="s">
        <v>65</v>
      </c>
    </row>
    <row r="24" spans="1:10">
      <c r="A24" s="304" t="s">
        <v>70</v>
      </c>
      <c r="B24" s="304" t="s">
        <v>71</v>
      </c>
      <c r="C24" s="712"/>
      <c r="D24" s="495">
        <v>40861</v>
      </c>
      <c r="E24" s="304" t="s">
        <v>67</v>
      </c>
      <c r="F24" s="304" t="s">
        <v>68</v>
      </c>
      <c r="G24" s="312">
        <v>500</v>
      </c>
      <c r="H24" s="312">
        <v>600</v>
      </c>
      <c r="I24" s="306">
        <v>19.23</v>
      </c>
      <c r="J24" s="304" t="s">
        <v>65</v>
      </c>
    </row>
    <row r="25" spans="1:10">
      <c r="A25" s="304" t="s">
        <v>70</v>
      </c>
      <c r="B25" s="304" t="s">
        <v>71</v>
      </c>
      <c r="C25" s="712"/>
      <c r="D25" s="495">
        <v>41162</v>
      </c>
      <c r="E25" s="304" t="s">
        <v>67</v>
      </c>
      <c r="F25" s="304" t="s">
        <v>68</v>
      </c>
      <c r="G25" s="312">
        <v>500</v>
      </c>
      <c r="H25" s="312">
        <v>600</v>
      </c>
      <c r="I25" s="306">
        <v>19.23</v>
      </c>
      <c r="J25" s="304" t="s">
        <v>65</v>
      </c>
    </row>
    <row r="26" spans="1:10">
      <c r="A26" s="304" t="s">
        <v>70</v>
      </c>
      <c r="B26" s="304" t="s">
        <v>71</v>
      </c>
      <c r="C26" s="712"/>
      <c r="D26" s="495">
        <v>41253</v>
      </c>
      <c r="E26" s="304" t="s">
        <v>67</v>
      </c>
      <c r="F26" s="304" t="s">
        <v>68</v>
      </c>
      <c r="G26" s="312">
        <v>500</v>
      </c>
      <c r="H26" s="312">
        <v>600</v>
      </c>
      <c r="I26" s="306">
        <v>19.23</v>
      </c>
      <c r="J26" s="304" t="s">
        <v>65</v>
      </c>
    </row>
    <row r="27" spans="1:10">
      <c r="A27" s="304" t="s">
        <v>70</v>
      </c>
      <c r="B27" s="304" t="s">
        <v>71</v>
      </c>
      <c r="C27" s="712"/>
      <c r="D27" s="495">
        <v>41386</v>
      </c>
      <c r="E27" s="304" t="s">
        <v>67</v>
      </c>
      <c r="F27" s="304" t="s">
        <v>68</v>
      </c>
      <c r="G27" s="312">
        <v>500</v>
      </c>
      <c r="H27" s="312">
        <v>600</v>
      </c>
      <c r="I27" s="306">
        <v>19.23</v>
      </c>
      <c r="J27" s="304" t="s">
        <v>65</v>
      </c>
    </row>
    <row r="28" spans="1:10">
      <c r="A28" s="304" t="s">
        <v>70</v>
      </c>
      <c r="B28" s="304" t="s">
        <v>71</v>
      </c>
      <c r="C28" s="712"/>
      <c r="D28" s="495">
        <v>41401</v>
      </c>
      <c r="E28" s="304" t="s">
        <v>67</v>
      </c>
      <c r="F28" s="304" t="s">
        <v>68</v>
      </c>
      <c r="G28" s="312">
        <v>500</v>
      </c>
      <c r="H28" s="312">
        <v>600</v>
      </c>
      <c r="I28" s="306">
        <v>19.23</v>
      </c>
      <c r="J28" s="304" t="s">
        <v>65</v>
      </c>
    </row>
    <row r="29" spans="1:10">
      <c r="A29" s="304" t="s">
        <v>70</v>
      </c>
      <c r="B29" s="304" t="s">
        <v>71</v>
      </c>
      <c r="C29" s="712"/>
      <c r="D29" s="495">
        <v>41435</v>
      </c>
      <c r="E29" s="304" t="s">
        <v>67</v>
      </c>
      <c r="F29" s="304" t="s">
        <v>68</v>
      </c>
      <c r="G29" s="312">
        <v>500</v>
      </c>
      <c r="H29" s="312">
        <v>600</v>
      </c>
      <c r="I29" s="306">
        <v>19.23</v>
      </c>
      <c r="J29" s="304" t="s">
        <v>65</v>
      </c>
    </row>
    <row r="30" spans="1:10">
      <c r="A30" s="304" t="s">
        <v>70</v>
      </c>
      <c r="B30" s="304" t="s">
        <v>71</v>
      </c>
      <c r="C30" s="712"/>
      <c r="D30" s="495">
        <v>41561</v>
      </c>
      <c r="E30" s="304" t="s">
        <v>67</v>
      </c>
      <c r="F30" s="304" t="s">
        <v>68</v>
      </c>
      <c r="G30" s="312">
        <v>500</v>
      </c>
      <c r="H30" s="312">
        <v>600</v>
      </c>
      <c r="I30" s="306">
        <v>19.23</v>
      </c>
      <c r="J30" s="304" t="s">
        <v>65</v>
      </c>
    </row>
    <row r="31" spans="1:10">
      <c r="A31" s="304" t="s">
        <v>70</v>
      </c>
      <c r="B31" s="304" t="s">
        <v>71</v>
      </c>
      <c r="C31" s="712"/>
      <c r="D31" s="495">
        <v>41558</v>
      </c>
      <c r="E31" s="304" t="s">
        <v>67</v>
      </c>
      <c r="F31" s="304" t="s">
        <v>68</v>
      </c>
      <c r="G31" s="312">
        <v>500</v>
      </c>
      <c r="H31" s="312">
        <v>600</v>
      </c>
      <c r="I31" s="306">
        <v>19.23</v>
      </c>
      <c r="J31" s="304" t="s">
        <v>65</v>
      </c>
    </row>
    <row r="32" spans="1:10">
      <c r="A32" s="304" t="s">
        <v>70</v>
      </c>
      <c r="B32" s="304" t="s">
        <v>71</v>
      </c>
      <c r="C32" s="712"/>
      <c r="D32" s="495">
        <v>41778</v>
      </c>
      <c r="E32" s="304" t="s">
        <v>67</v>
      </c>
      <c r="F32" s="304" t="s">
        <v>68</v>
      </c>
      <c r="G32" s="312">
        <v>500</v>
      </c>
      <c r="H32" s="312">
        <v>600</v>
      </c>
      <c r="I32" s="306">
        <v>19.23</v>
      </c>
      <c r="J32" s="304" t="s">
        <v>65</v>
      </c>
    </row>
    <row r="33" spans="1:10">
      <c r="A33" s="304" t="s">
        <v>70</v>
      </c>
      <c r="B33" s="304" t="s">
        <v>71</v>
      </c>
      <c r="C33" s="712"/>
      <c r="D33" s="495">
        <v>41953</v>
      </c>
      <c r="E33" s="304" t="s">
        <v>67</v>
      </c>
      <c r="F33" s="304" t="s">
        <v>68</v>
      </c>
      <c r="G33" s="312">
        <v>500</v>
      </c>
      <c r="H33" s="312">
        <v>600</v>
      </c>
      <c r="I33" s="306">
        <v>19.23</v>
      </c>
      <c r="J33" s="304" t="s">
        <v>65</v>
      </c>
    </row>
    <row r="34" spans="1:10">
      <c r="A34" s="304" t="s">
        <v>70</v>
      </c>
      <c r="B34" s="304" t="s">
        <v>71</v>
      </c>
      <c r="C34" s="712"/>
      <c r="D34" s="495">
        <v>42247</v>
      </c>
      <c r="E34" s="304" t="s">
        <v>67</v>
      </c>
      <c r="F34" s="304" t="s">
        <v>68</v>
      </c>
      <c r="G34" s="312">
        <v>500</v>
      </c>
      <c r="H34" s="312">
        <v>600</v>
      </c>
      <c r="I34" s="306">
        <v>19.23</v>
      </c>
      <c r="J34" s="304" t="s">
        <v>65</v>
      </c>
    </row>
    <row r="35" spans="1:10">
      <c r="A35" s="304" t="s">
        <v>70</v>
      </c>
      <c r="B35" s="304" t="s">
        <v>71</v>
      </c>
      <c r="C35" s="712"/>
      <c r="D35" s="495">
        <v>42184</v>
      </c>
      <c r="E35" s="304" t="s">
        <v>67</v>
      </c>
      <c r="F35" s="304" t="s">
        <v>68</v>
      </c>
      <c r="G35" s="312">
        <v>500</v>
      </c>
      <c r="H35" s="312">
        <v>600</v>
      </c>
      <c r="I35" s="306">
        <v>19.23</v>
      </c>
      <c r="J35" s="304" t="s">
        <v>65</v>
      </c>
    </row>
    <row r="36" spans="1:10">
      <c r="A36" s="304" t="s">
        <v>70</v>
      </c>
      <c r="B36" s="304" t="s">
        <v>71</v>
      </c>
      <c r="C36" s="712"/>
      <c r="D36" s="495">
        <v>42268</v>
      </c>
      <c r="E36" s="304" t="s">
        <v>67</v>
      </c>
      <c r="F36" s="304" t="s">
        <v>68</v>
      </c>
      <c r="G36" s="312">
        <v>500</v>
      </c>
      <c r="H36" s="312">
        <v>600</v>
      </c>
      <c r="I36" s="306">
        <v>19.23</v>
      </c>
      <c r="J36" s="304" t="s">
        <v>65</v>
      </c>
    </row>
    <row r="37" spans="1:10">
      <c r="A37" s="304" t="s">
        <v>70</v>
      </c>
      <c r="B37" s="304" t="s">
        <v>71</v>
      </c>
      <c r="C37" s="712"/>
      <c r="D37" s="495">
        <v>42255</v>
      </c>
      <c r="E37" s="304" t="s">
        <v>67</v>
      </c>
      <c r="F37" s="304" t="s">
        <v>68</v>
      </c>
      <c r="G37" s="312">
        <v>500</v>
      </c>
      <c r="H37" s="312">
        <v>600</v>
      </c>
      <c r="I37" s="306">
        <v>19.23</v>
      </c>
      <c r="J37" s="304" t="s">
        <v>65</v>
      </c>
    </row>
    <row r="38" spans="1:10">
      <c r="A38" s="304" t="s">
        <v>70</v>
      </c>
      <c r="B38" s="304" t="s">
        <v>71</v>
      </c>
      <c r="C38" s="712"/>
      <c r="D38" s="495">
        <v>42262</v>
      </c>
      <c r="E38" s="304" t="s">
        <v>67</v>
      </c>
      <c r="F38" s="304" t="s">
        <v>68</v>
      </c>
      <c r="G38" s="312">
        <v>500</v>
      </c>
      <c r="H38" s="312">
        <v>600</v>
      </c>
      <c r="I38" s="306">
        <v>19.23</v>
      </c>
      <c r="J38" s="304" t="s">
        <v>65</v>
      </c>
    </row>
    <row r="39" spans="1:10">
      <c r="A39" s="304" t="s">
        <v>70</v>
      </c>
      <c r="B39" s="304" t="s">
        <v>71</v>
      </c>
      <c r="C39" s="712"/>
      <c r="D39" s="495">
        <v>42261</v>
      </c>
      <c r="E39" s="304" t="s">
        <v>67</v>
      </c>
      <c r="F39" s="304" t="s">
        <v>68</v>
      </c>
      <c r="G39" s="312">
        <v>500</v>
      </c>
      <c r="H39" s="312">
        <v>600</v>
      </c>
      <c r="I39" s="306">
        <v>19.23</v>
      </c>
      <c r="J39" s="304" t="s">
        <v>65</v>
      </c>
    </row>
    <row r="40" spans="1:10">
      <c r="A40" s="304" t="s">
        <v>70</v>
      </c>
      <c r="B40" s="304" t="s">
        <v>71</v>
      </c>
      <c r="C40" s="712"/>
      <c r="D40" s="495">
        <v>42373</v>
      </c>
      <c r="E40" s="304" t="s">
        <v>67</v>
      </c>
      <c r="F40" s="304" t="s">
        <v>68</v>
      </c>
      <c r="G40" s="312">
        <v>500</v>
      </c>
      <c r="H40" s="312">
        <v>600</v>
      </c>
      <c r="I40" s="306">
        <v>19.23</v>
      </c>
      <c r="J40" s="304" t="s">
        <v>65</v>
      </c>
    </row>
    <row r="41" spans="1:10">
      <c r="A41" s="304" t="s">
        <v>70</v>
      </c>
      <c r="B41" s="304" t="s">
        <v>71</v>
      </c>
      <c r="C41" s="712"/>
      <c r="D41" s="495">
        <v>42485</v>
      </c>
      <c r="E41" s="304" t="s">
        <v>67</v>
      </c>
      <c r="F41" s="304" t="s">
        <v>68</v>
      </c>
      <c r="G41" s="312">
        <v>500</v>
      </c>
      <c r="H41" s="312">
        <v>600</v>
      </c>
      <c r="I41" s="306">
        <v>19.23</v>
      </c>
      <c r="J41" s="304" t="s">
        <v>65</v>
      </c>
    </row>
    <row r="42" spans="1:10">
      <c r="A42" s="304" t="s">
        <v>70</v>
      </c>
      <c r="B42" s="304" t="s">
        <v>71</v>
      </c>
      <c r="C42" s="712"/>
      <c r="D42" s="495">
        <v>42506</v>
      </c>
      <c r="E42" s="304" t="s">
        <v>67</v>
      </c>
      <c r="F42" s="304" t="s">
        <v>68</v>
      </c>
      <c r="G42" s="312">
        <v>500</v>
      </c>
      <c r="H42" s="312">
        <v>600</v>
      </c>
      <c r="I42" s="306">
        <v>19.23</v>
      </c>
      <c r="J42" s="304" t="s">
        <v>65</v>
      </c>
    </row>
    <row r="43" spans="1:10">
      <c r="A43" s="304" t="s">
        <v>70</v>
      </c>
      <c r="B43" s="304" t="s">
        <v>71</v>
      </c>
      <c r="C43" s="712"/>
      <c r="D43" s="495">
        <v>42583</v>
      </c>
      <c r="E43" s="304" t="s">
        <v>67</v>
      </c>
      <c r="F43" s="304" t="s">
        <v>68</v>
      </c>
      <c r="G43" s="312">
        <v>500</v>
      </c>
      <c r="H43" s="312">
        <v>600</v>
      </c>
      <c r="I43" s="306">
        <v>19.23</v>
      </c>
      <c r="J43" s="304" t="s">
        <v>65</v>
      </c>
    </row>
    <row r="44" spans="1:10">
      <c r="A44" s="304" t="s">
        <v>70</v>
      </c>
      <c r="B44" s="304" t="s">
        <v>71</v>
      </c>
      <c r="C44" s="712"/>
      <c r="D44" s="495">
        <v>42702</v>
      </c>
      <c r="E44" s="304" t="s">
        <v>67</v>
      </c>
      <c r="F44" s="304" t="s">
        <v>68</v>
      </c>
      <c r="G44" s="312">
        <v>500</v>
      </c>
      <c r="H44" s="312">
        <v>600</v>
      </c>
      <c r="I44" s="306">
        <v>19.23</v>
      </c>
      <c r="J44" s="304" t="s">
        <v>65</v>
      </c>
    </row>
    <row r="45" spans="1:10">
      <c r="A45" s="304" t="s">
        <v>70</v>
      </c>
      <c r="B45" s="304" t="s">
        <v>71</v>
      </c>
      <c r="C45" s="712"/>
      <c r="D45" s="495">
        <v>42738</v>
      </c>
      <c r="E45" s="304" t="s">
        <v>67</v>
      </c>
      <c r="F45" s="304" t="s">
        <v>68</v>
      </c>
      <c r="G45" s="312">
        <v>500</v>
      </c>
      <c r="H45" s="312">
        <v>600</v>
      </c>
      <c r="I45" s="306">
        <v>19.23</v>
      </c>
      <c r="J45" s="304" t="s">
        <v>65</v>
      </c>
    </row>
    <row r="46" spans="1:10">
      <c r="A46" s="304" t="s">
        <v>70</v>
      </c>
      <c r="B46" s="304" t="s">
        <v>71</v>
      </c>
      <c r="C46" s="712"/>
      <c r="D46" s="495">
        <v>42821</v>
      </c>
      <c r="E46" s="304" t="s">
        <v>67</v>
      </c>
      <c r="F46" s="304" t="s">
        <v>68</v>
      </c>
      <c r="G46" s="312">
        <v>500</v>
      </c>
      <c r="H46" s="312">
        <v>600</v>
      </c>
      <c r="I46" s="306">
        <v>19.23</v>
      </c>
      <c r="J46" s="304" t="s">
        <v>65</v>
      </c>
    </row>
    <row r="47" spans="1:10">
      <c r="A47" s="304" t="s">
        <v>70</v>
      </c>
      <c r="B47" s="304" t="s">
        <v>71</v>
      </c>
      <c r="C47" s="712"/>
      <c r="D47" s="495">
        <v>42919</v>
      </c>
      <c r="E47" s="304" t="s">
        <v>67</v>
      </c>
      <c r="F47" s="304" t="s">
        <v>68</v>
      </c>
      <c r="G47" s="312">
        <v>500</v>
      </c>
      <c r="H47" s="312">
        <v>600</v>
      </c>
      <c r="I47" s="306">
        <v>19.23</v>
      </c>
      <c r="J47" s="304" t="s">
        <v>65</v>
      </c>
    </row>
    <row r="48" spans="1:10">
      <c r="A48" s="304" t="s">
        <v>70</v>
      </c>
      <c r="B48" s="304" t="s">
        <v>71</v>
      </c>
      <c r="C48" s="712"/>
      <c r="D48" s="495">
        <v>42926</v>
      </c>
      <c r="E48" s="304" t="s">
        <v>67</v>
      </c>
      <c r="F48" s="304" t="s">
        <v>68</v>
      </c>
      <c r="G48" s="312">
        <v>500</v>
      </c>
      <c r="H48" s="312">
        <v>600</v>
      </c>
      <c r="I48" s="306">
        <v>19.23</v>
      </c>
      <c r="J48" s="304" t="s">
        <v>65</v>
      </c>
    </row>
    <row r="49" spans="1:10">
      <c r="A49" s="304" t="s">
        <v>70</v>
      </c>
      <c r="B49" s="304" t="s">
        <v>71</v>
      </c>
      <c r="C49" s="712"/>
      <c r="D49" s="495">
        <v>43143</v>
      </c>
      <c r="E49" s="304" t="s">
        <v>67</v>
      </c>
      <c r="F49" s="304" t="s">
        <v>68</v>
      </c>
      <c r="G49" s="312">
        <v>500</v>
      </c>
      <c r="H49" s="312">
        <v>600</v>
      </c>
      <c r="I49" s="306">
        <v>19.23</v>
      </c>
      <c r="J49" s="304" t="s">
        <v>65</v>
      </c>
    </row>
    <row r="50" spans="1:10">
      <c r="A50" s="304" t="s">
        <v>70</v>
      </c>
      <c r="B50" s="304" t="s">
        <v>71</v>
      </c>
      <c r="C50" s="712"/>
      <c r="D50" s="495">
        <v>43157</v>
      </c>
      <c r="E50" s="304" t="s">
        <v>67</v>
      </c>
      <c r="F50" s="304" t="s">
        <v>68</v>
      </c>
      <c r="G50" s="312">
        <v>500</v>
      </c>
      <c r="H50" s="312">
        <v>600</v>
      </c>
      <c r="I50" s="306">
        <v>19.23</v>
      </c>
      <c r="J50" s="304" t="s">
        <v>65</v>
      </c>
    </row>
    <row r="51" spans="1:10">
      <c r="A51" s="304" t="s">
        <v>70</v>
      </c>
      <c r="B51" s="304" t="s">
        <v>71</v>
      </c>
      <c r="C51" s="712"/>
      <c r="D51" s="495">
        <v>43283</v>
      </c>
      <c r="E51" s="304" t="s">
        <v>67</v>
      </c>
      <c r="F51" s="304" t="s">
        <v>68</v>
      </c>
      <c r="G51" s="312">
        <v>500</v>
      </c>
      <c r="H51" s="312">
        <v>600</v>
      </c>
      <c r="I51" s="306">
        <v>19.23</v>
      </c>
      <c r="J51" s="304" t="s">
        <v>65</v>
      </c>
    </row>
    <row r="52" spans="1:10">
      <c r="A52" s="304" t="s">
        <v>70</v>
      </c>
      <c r="B52" s="304" t="s">
        <v>71</v>
      </c>
      <c r="C52" s="712"/>
      <c r="D52" s="495">
        <v>43269</v>
      </c>
      <c r="E52" s="304" t="s">
        <v>67</v>
      </c>
      <c r="F52" s="304" t="s">
        <v>68</v>
      </c>
      <c r="G52" s="312">
        <v>500</v>
      </c>
      <c r="H52" s="312">
        <v>600</v>
      </c>
      <c r="I52" s="306">
        <v>19.23</v>
      </c>
      <c r="J52" s="304" t="s">
        <v>65</v>
      </c>
    </row>
    <row r="53" spans="1:10">
      <c r="A53" s="304" t="s">
        <v>70</v>
      </c>
      <c r="B53" s="304" t="s">
        <v>71</v>
      </c>
      <c r="C53" s="712"/>
      <c r="D53" s="495">
        <v>43297</v>
      </c>
      <c r="E53" s="304" t="s">
        <v>67</v>
      </c>
      <c r="F53" s="304" t="s">
        <v>68</v>
      </c>
      <c r="G53" s="312">
        <v>500</v>
      </c>
      <c r="H53" s="312">
        <v>600</v>
      </c>
      <c r="I53" s="306">
        <v>19.23</v>
      </c>
      <c r="J53" s="304" t="s">
        <v>65</v>
      </c>
    </row>
    <row r="54" spans="1:10">
      <c r="A54" s="304" t="s">
        <v>70</v>
      </c>
      <c r="B54" s="304" t="s">
        <v>71</v>
      </c>
      <c r="C54" s="712"/>
      <c r="D54" s="495">
        <v>43311</v>
      </c>
      <c r="E54" s="304" t="s">
        <v>67</v>
      </c>
      <c r="F54" s="304" t="s">
        <v>68</v>
      </c>
      <c r="G54" s="312">
        <v>500</v>
      </c>
      <c r="H54" s="312">
        <v>600</v>
      </c>
      <c r="I54" s="306">
        <v>19.23</v>
      </c>
      <c r="J54" s="304" t="s">
        <v>65</v>
      </c>
    </row>
    <row r="55" spans="1:10">
      <c r="A55" s="304" t="s">
        <v>70</v>
      </c>
      <c r="B55" s="304" t="s">
        <v>71</v>
      </c>
      <c r="C55" s="712"/>
      <c r="D55" s="495">
        <v>43300</v>
      </c>
      <c r="E55" s="304" t="s">
        <v>67</v>
      </c>
      <c r="F55" s="304" t="s">
        <v>68</v>
      </c>
      <c r="G55" s="312">
        <v>500</v>
      </c>
      <c r="H55" s="312">
        <v>600</v>
      </c>
      <c r="I55" s="306">
        <v>19.23</v>
      </c>
      <c r="J55" s="304" t="s">
        <v>65</v>
      </c>
    </row>
    <row r="56" spans="1:10">
      <c r="A56" s="304" t="s">
        <v>70</v>
      </c>
      <c r="B56" s="304" t="s">
        <v>71</v>
      </c>
      <c r="C56" s="712"/>
      <c r="D56" s="495">
        <v>43299</v>
      </c>
      <c r="E56" s="304" t="s">
        <v>67</v>
      </c>
      <c r="F56" s="304" t="s">
        <v>68</v>
      </c>
      <c r="G56" s="312">
        <v>500</v>
      </c>
      <c r="H56" s="312">
        <v>600</v>
      </c>
      <c r="I56" s="306">
        <v>19.23</v>
      </c>
      <c r="J56" s="304" t="s">
        <v>65</v>
      </c>
    </row>
  </sheetData>
  <autoFilter ref="A4:J34"/>
  <pageMargins left="0.7" right="0.7" top="0.75" bottom="0.75" header="0.3" footer="0.3"/>
  <pageSetup scale="79" orientation="portrait" horizontalDpi="1200" verticalDpi="1200" r:id="rId1"/>
  <customProperties>
    <customPr name="_pios_id" r:id="rId2"/>
  </customPropertie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="80" zoomScaleNormal="80" workbookViewId="0"/>
  </sheetViews>
  <sheetFormatPr defaultColWidth="8.88671875" defaultRowHeight="14.4" outlineLevelCol="1"/>
  <cols>
    <col min="1" max="1" width="10" style="94" bestFit="1" customWidth="1"/>
    <col min="2" max="2" width="15.44140625" style="94" bestFit="1" customWidth="1"/>
    <col min="3" max="3" width="10" style="94" bestFit="1" customWidth="1"/>
    <col min="4" max="4" width="21" style="94" bestFit="1" customWidth="1"/>
    <col min="5" max="5" width="11.33203125" style="94" hidden="1" customWidth="1"/>
    <col min="6" max="6" width="6" style="94" bestFit="1" customWidth="1"/>
    <col min="7" max="7" width="25" style="94" bestFit="1" customWidth="1"/>
    <col min="8" max="8" width="8" style="94" bestFit="1" customWidth="1"/>
    <col min="9" max="11" width="12.88671875" style="94" customWidth="1" outlineLevel="1"/>
    <col min="12" max="12" width="12.88671875" style="94" customWidth="1"/>
    <col min="13" max="13" width="13" style="94" customWidth="1"/>
    <col min="14" max="15" width="12.33203125" style="430" customWidth="1"/>
    <col min="16" max="16384" width="8.88671875" style="94"/>
  </cols>
  <sheetData>
    <row r="1" spans="1:17">
      <c r="A1" s="93" t="s">
        <v>431</v>
      </c>
    </row>
    <row r="2" spans="1:17">
      <c r="A2" s="93" t="s">
        <v>467</v>
      </c>
      <c r="I2" s="95"/>
      <c r="J2" s="95"/>
      <c r="K2" s="95"/>
      <c r="L2" s="95"/>
    </row>
    <row r="3" spans="1:17">
      <c r="A3" s="430">
        <v>1</v>
      </c>
      <c r="B3" s="430">
        <f>+A3+1</f>
        <v>2</v>
      </c>
      <c r="C3" s="430">
        <f t="shared" ref="C3:O3" si="0">+B3+1</f>
        <v>3</v>
      </c>
      <c r="D3" s="430">
        <f t="shared" si="0"/>
        <v>4</v>
      </c>
      <c r="E3" s="430">
        <f t="shared" si="0"/>
        <v>5</v>
      </c>
      <c r="F3" s="430">
        <f t="shared" si="0"/>
        <v>6</v>
      </c>
      <c r="G3" s="430">
        <f t="shared" si="0"/>
        <v>7</v>
      </c>
      <c r="H3" s="430">
        <f t="shared" si="0"/>
        <v>8</v>
      </c>
      <c r="I3" s="430">
        <f t="shared" si="0"/>
        <v>9</v>
      </c>
      <c r="J3" s="430">
        <f t="shared" si="0"/>
        <v>10</v>
      </c>
      <c r="K3" s="430">
        <f t="shared" si="0"/>
        <v>11</v>
      </c>
      <c r="L3" s="430">
        <f t="shared" si="0"/>
        <v>12</v>
      </c>
      <c r="M3" s="430">
        <f t="shared" si="0"/>
        <v>13</v>
      </c>
      <c r="N3" s="430">
        <f t="shared" si="0"/>
        <v>14</v>
      </c>
      <c r="O3" s="430">
        <f t="shared" si="0"/>
        <v>15</v>
      </c>
    </row>
    <row r="4" spans="1:17" ht="28.8">
      <c r="A4" s="702" t="s">
        <v>1134</v>
      </c>
      <c r="N4" s="431" t="s">
        <v>759</v>
      </c>
      <c r="O4" s="431" t="s">
        <v>760</v>
      </c>
    </row>
    <row r="5" spans="1:17" ht="43.2">
      <c r="A5" s="3" t="s">
        <v>20</v>
      </c>
      <c r="B5" s="3" t="s">
        <v>3</v>
      </c>
      <c r="C5" s="3" t="s">
        <v>22</v>
      </c>
      <c r="D5" s="3" t="s">
        <v>2</v>
      </c>
      <c r="E5" s="3" t="s">
        <v>134</v>
      </c>
      <c r="F5" s="3" t="s">
        <v>51</v>
      </c>
      <c r="G5" s="3" t="s">
        <v>52</v>
      </c>
      <c r="H5" s="3" t="s">
        <v>132</v>
      </c>
      <c r="I5" s="3" t="s">
        <v>135</v>
      </c>
      <c r="J5" s="3" t="s">
        <v>137</v>
      </c>
      <c r="K5" s="3" t="s">
        <v>136</v>
      </c>
      <c r="L5" s="3" t="s">
        <v>133</v>
      </c>
      <c r="M5" s="3" t="s">
        <v>756</v>
      </c>
      <c r="N5" s="6" t="s">
        <v>131</v>
      </c>
      <c r="O5" s="6" t="s">
        <v>758</v>
      </c>
    </row>
    <row r="6" spans="1:17">
      <c r="A6" s="711"/>
      <c r="B6" s="304" t="s">
        <v>216</v>
      </c>
      <c r="C6" s="304">
        <v>120251</v>
      </c>
      <c r="D6" s="304"/>
      <c r="E6" s="308" t="s">
        <v>273</v>
      </c>
      <c r="F6" s="304" t="s">
        <v>58</v>
      </c>
      <c r="G6" s="304" t="s">
        <v>59</v>
      </c>
      <c r="H6" s="306">
        <v>1</v>
      </c>
      <c r="I6" s="96">
        <f>IFERROR(VLOOKUP(A6,'NU Hrly'!C:O,13,FALSE),0)</f>
        <v>0</v>
      </c>
      <c r="J6" s="96">
        <f>IFERROR(VLOOKUP(A6,'NU Slry'!G:P,10,FALSE),0)</f>
        <v>0</v>
      </c>
      <c r="K6" s="96">
        <f>IFERROR(VLOOKUP(A6,Union!C:AA,11,FALSE),0)+IFERROR(VLOOKUP(A6,Union!C:AA,12,FALSE),0)</f>
        <v>0</v>
      </c>
      <c r="L6" s="96">
        <f t="shared" ref="L6:L55" si="1">SUM(I6:K6)</f>
        <v>0</v>
      </c>
      <c r="M6" s="96">
        <f>L6*H6/100</f>
        <v>0</v>
      </c>
      <c r="N6" s="96">
        <f>$M6*0.1</f>
        <v>0</v>
      </c>
      <c r="O6" s="96">
        <f>$M6*0.15</f>
        <v>0</v>
      </c>
    </row>
    <row r="7" spans="1:17">
      <c r="A7" s="711"/>
      <c r="B7" s="304" t="s">
        <v>216</v>
      </c>
      <c r="C7" s="304">
        <v>120206</v>
      </c>
      <c r="D7" s="304"/>
      <c r="E7" s="308" t="s">
        <v>286</v>
      </c>
      <c r="F7" s="304" t="s">
        <v>58</v>
      </c>
      <c r="G7" s="304" t="s">
        <v>59</v>
      </c>
      <c r="H7" s="306">
        <v>1</v>
      </c>
      <c r="I7" s="97">
        <f>IFERROR(VLOOKUP(A7,'NU Hrly'!C:O,13,FALSE),0)</f>
        <v>0</v>
      </c>
      <c r="J7" s="97">
        <f>IFERROR(VLOOKUP(A7,'NU Slry'!G:P,10,FALSE),0)</f>
        <v>0</v>
      </c>
      <c r="K7" s="97">
        <f>IFERROR(VLOOKUP(A7,Union!$C:$AA,11,FALSE),0)+IFERROR(VLOOKUP(A7,Union!$C:$AA,12,FALSE),0)</f>
        <v>0</v>
      </c>
      <c r="L7" s="97">
        <f t="shared" si="1"/>
        <v>0</v>
      </c>
      <c r="M7" s="97">
        <f t="shared" ref="M7:M39" si="2">L7*H7/100</f>
        <v>0</v>
      </c>
      <c r="N7" s="432">
        <f>$M7*0.1</f>
        <v>0</v>
      </c>
      <c r="O7" s="432">
        <f>$M7*0.15</f>
        <v>0</v>
      </c>
    </row>
    <row r="8" spans="1:17">
      <c r="A8" s="711"/>
      <c r="B8" s="304" t="s">
        <v>6</v>
      </c>
      <c r="C8" s="304">
        <v>120121</v>
      </c>
      <c r="D8" s="304"/>
      <c r="E8" s="308" t="s">
        <v>18</v>
      </c>
      <c r="F8" s="304" t="s">
        <v>58</v>
      </c>
      <c r="G8" s="304" t="s">
        <v>59</v>
      </c>
      <c r="H8" s="306">
        <v>1</v>
      </c>
      <c r="I8" s="97">
        <f>IFERROR(VLOOKUP(A8,'NU Hrly'!C:O,13,FALSE),0)</f>
        <v>0</v>
      </c>
      <c r="J8" s="97">
        <f>IFERROR(VLOOKUP(A8,'NU Slry'!G:P,10,FALSE),0)</f>
        <v>0</v>
      </c>
      <c r="K8" s="97">
        <f>IFERROR(VLOOKUP(A8,Union!$C:$AA,11,FALSE),0)+IFERROR(VLOOKUP(A8,Union!$C:$AA,12,FALSE),0)</f>
        <v>0</v>
      </c>
      <c r="L8" s="97">
        <f t="shared" si="1"/>
        <v>0</v>
      </c>
      <c r="M8" s="97">
        <f t="shared" si="2"/>
        <v>0</v>
      </c>
      <c r="N8" s="432">
        <f t="shared" ref="N8:N55" si="3">$M8*0.1</f>
        <v>0</v>
      </c>
      <c r="O8" s="577">
        <f t="shared" ref="O8:O55" si="4">$M8*0.15</f>
        <v>0</v>
      </c>
      <c r="P8" s="578"/>
      <c r="Q8" s="578"/>
    </row>
    <row r="9" spans="1:17">
      <c r="A9" s="711"/>
      <c r="B9" s="304" t="s">
        <v>216</v>
      </c>
      <c r="C9" s="304">
        <v>120206</v>
      </c>
      <c r="D9" s="304"/>
      <c r="E9" s="308" t="s">
        <v>286</v>
      </c>
      <c r="F9" s="304" t="s">
        <v>58</v>
      </c>
      <c r="G9" s="304" t="s">
        <v>59</v>
      </c>
      <c r="H9" s="306">
        <v>1</v>
      </c>
      <c r="I9" s="97">
        <f>IFERROR(VLOOKUP(A9,'NU Hrly'!C:O,13,FALSE),0)</f>
        <v>0</v>
      </c>
      <c r="J9" s="97">
        <f>IFERROR(VLOOKUP(A9,'NU Slry'!G:P,10,FALSE),0)</f>
        <v>0</v>
      </c>
      <c r="K9" s="97">
        <f>IFERROR(VLOOKUP(A9,Union!$C:$AA,11,FALSE),0)+IFERROR(VLOOKUP(A9,Union!$C:$AA,12,FALSE),0)</f>
        <v>0</v>
      </c>
      <c r="L9" s="97">
        <f t="shared" si="1"/>
        <v>0</v>
      </c>
      <c r="M9" s="97">
        <f t="shared" si="2"/>
        <v>0</v>
      </c>
      <c r="N9" s="432">
        <f t="shared" si="3"/>
        <v>0</v>
      </c>
      <c r="O9" s="432">
        <f t="shared" si="4"/>
        <v>0</v>
      </c>
    </row>
    <row r="10" spans="1:17">
      <c r="A10" s="711"/>
      <c r="B10" s="304" t="s">
        <v>216</v>
      </c>
      <c r="C10" s="304">
        <v>120206</v>
      </c>
      <c r="D10" s="304"/>
      <c r="E10" s="308" t="s">
        <v>286</v>
      </c>
      <c r="F10" s="304" t="s">
        <v>58</v>
      </c>
      <c r="G10" s="304" t="s">
        <v>59</v>
      </c>
      <c r="H10" s="306">
        <v>1</v>
      </c>
      <c r="I10" s="97">
        <f>IFERROR(VLOOKUP(A10,'NU Hrly'!C:O,13,FALSE),0)</f>
        <v>0</v>
      </c>
      <c r="J10" s="97">
        <f>IFERROR(VLOOKUP(A10,'NU Slry'!G:P,10,FALSE),0)</f>
        <v>0</v>
      </c>
      <c r="K10" s="97">
        <f>IFERROR(VLOOKUP(A10,Union!$C:$AA,11,FALSE),0)+IFERROR(VLOOKUP(A10,Union!$C:$AA,12,FALSE),0)</f>
        <v>0</v>
      </c>
      <c r="L10" s="97">
        <f t="shared" si="1"/>
        <v>0</v>
      </c>
      <c r="M10" s="97">
        <f t="shared" si="2"/>
        <v>0</v>
      </c>
      <c r="N10" s="432">
        <f t="shared" si="3"/>
        <v>0</v>
      </c>
      <c r="O10" s="432">
        <f t="shared" si="4"/>
        <v>0</v>
      </c>
    </row>
    <row r="11" spans="1:17">
      <c r="A11" s="711"/>
      <c r="B11" s="304" t="s">
        <v>6</v>
      </c>
      <c r="C11" s="304">
        <v>120121</v>
      </c>
      <c r="D11" s="304"/>
      <c r="E11" s="308" t="s">
        <v>18</v>
      </c>
      <c r="F11" s="304" t="s">
        <v>58</v>
      </c>
      <c r="G11" s="304" t="s">
        <v>59</v>
      </c>
      <c r="H11" s="306">
        <v>1</v>
      </c>
      <c r="I11" s="97">
        <f>IFERROR(VLOOKUP(A11,'NU Hrly'!C:O,13,FALSE),0)</f>
        <v>0</v>
      </c>
      <c r="J11" s="97">
        <f>IFERROR(VLOOKUP(A11,'NU Slry'!G:P,10,FALSE),0)</f>
        <v>0</v>
      </c>
      <c r="K11" s="97">
        <f>IFERROR(VLOOKUP(A11,Union!$C:$AA,11,FALSE),0)+IFERROR(VLOOKUP(A11,Union!$C:$AA,12,FALSE),0)</f>
        <v>0</v>
      </c>
      <c r="L11" s="97">
        <f t="shared" si="1"/>
        <v>0</v>
      </c>
      <c r="M11" s="97">
        <f t="shared" si="2"/>
        <v>0</v>
      </c>
      <c r="N11" s="432">
        <f t="shared" si="3"/>
        <v>0</v>
      </c>
      <c r="O11" s="577">
        <f t="shared" si="4"/>
        <v>0</v>
      </c>
      <c r="P11" s="578"/>
      <c r="Q11" s="578"/>
    </row>
    <row r="12" spans="1:17">
      <c r="A12" s="711"/>
      <c r="B12" s="304" t="s">
        <v>6</v>
      </c>
      <c r="C12" s="304">
        <v>120206</v>
      </c>
      <c r="D12" s="304"/>
      <c r="E12" s="308" t="s">
        <v>286</v>
      </c>
      <c r="F12" s="304" t="s">
        <v>58</v>
      </c>
      <c r="G12" s="304" t="s">
        <v>59</v>
      </c>
      <c r="H12" s="306">
        <v>1</v>
      </c>
      <c r="I12" s="97">
        <f>IFERROR(VLOOKUP(A12,'NU Hrly'!C:O,13,FALSE),0)</f>
        <v>0</v>
      </c>
      <c r="J12" s="97">
        <f>IFERROR(VLOOKUP(A12,'NU Slry'!G:P,10,FALSE),0)</f>
        <v>0</v>
      </c>
      <c r="K12" s="97">
        <f>IFERROR(VLOOKUP(A12,Union!$C:$AA,11,FALSE),0)+IFERROR(VLOOKUP(A12,Union!$C:$AA,12,FALSE),0)</f>
        <v>0</v>
      </c>
      <c r="L12" s="97">
        <f t="shared" si="1"/>
        <v>0</v>
      </c>
      <c r="M12" s="97">
        <f t="shared" si="2"/>
        <v>0</v>
      </c>
      <c r="N12" s="432">
        <f t="shared" si="3"/>
        <v>0</v>
      </c>
      <c r="O12" s="577">
        <f t="shared" si="4"/>
        <v>0</v>
      </c>
      <c r="P12" s="578"/>
      <c r="Q12" s="578"/>
    </row>
    <row r="13" spans="1:17">
      <c r="A13" s="711"/>
      <c r="B13" s="304" t="s">
        <v>216</v>
      </c>
      <c r="C13" s="304">
        <v>120206</v>
      </c>
      <c r="D13" s="304"/>
      <c r="E13" s="308" t="s">
        <v>286</v>
      </c>
      <c r="F13" s="304" t="s">
        <v>58</v>
      </c>
      <c r="G13" s="304" t="s">
        <v>59</v>
      </c>
      <c r="H13" s="306">
        <v>2</v>
      </c>
      <c r="I13" s="97">
        <f>IFERROR(VLOOKUP(A13,'NU Hrly'!C:O,13,FALSE),0)</f>
        <v>0</v>
      </c>
      <c r="J13" s="97">
        <f>IFERROR(VLOOKUP(A13,'NU Slry'!G:P,10,FALSE),0)</f>
        <v>0</v>
      </c>
      <c r="K13" s="97">
        <f>IFERROR(VLOOKUP(A13,Union!$C:$AA,11,FALSE),0)+IFERROR(VLOOKUP(A13,Union!$C:$AA,12,FALSE),0)</f>
        <v>0</v>
      </c>
      <c r="L13" s="97">
        <f t="shared" si="1"/>
        <v>0</v>
      </c>
      <c r="M13" s="97">
        <f t="shared" si="2"/>
        <v>0</v>
      </c>
      <c r="N13" s="432">
        <f t="shared" si="3"/>
        <v>0</v>
      </c>
      <c r="O13" s="432">
        <f t="shared" si="4"/>
        <v>0</v>
      </c>
    </row>
    <row r="14" spans="1:17">
      <c r="A14" s="711"/>
      <c r="B14" s="304" t="s">
        <v>216</v>
      </c>
      <c r="C14" s="304">
        <v>120206</v>
      </c>
      <c r="D14" s="304"/>
      <c r="E14" s="308" t="s">
        <v>286</v>
      </c>
      <c r="F14" s="304" t="s">
        <v>58</v>
      </c>
      <c r="G14" s="304" t="s">
        <v>59</v>
      </c>
      <c r="H14" s="306">
        <v>2</v>
      </c>
      <c r="I14" s="97">
        <f>IFERROR(VLOOKUP(A14,'NU Hrly'!C:O,13,FALSE),0)</f>
        <v>0</v>
      </c>
      <c r="J14" s="97">
        <f>IFERROR(VLOOKUP(A14,'NU Slry'!G:P,10,FALSE),0)</f>
        <v>0</v>
      </c>
      <c r="K14" s="97">
        <f>IFERROR(VLOOKUP(A14,Union!$C:$AA,11,FALSE),0)+IFERROR(VLOOKUP(A14,Union!$C:$AA,12,FALSE),0)</f>
        <v>0</v>
      </c>
      <c r="L14" s="97">
        <f t="shared" si="1"/>
        <v>0</v>
      </c>
      <c r="M14" s="97">
        <f t="shared" si="2"/>
        <v>0</v>
      </c>
      <c r="N14" s="432">
        <f t="shared" si="3"/>
        <v>0</v>
      </c>
      <c r="O14" s="432">
        <f t="shared" si="4"/>
        <v>0</v>
      </c>
    </row>
    <row r="15" spans="1:17">
      <c r="A15" s="711"/>
      <c r="B15" s="304" t="s">
        <v>216</v>
      </c>
      <c r="C15" s="304">
        <v>120206</v>
      </c>
      <c r="D15" s="304"/>
      <c r="E15" s="308" t="s">
        <v>286</v>
      </c>
      <c r="F15" s="304" t="s">
        <v>58</v>
      </c>
      <c r="G15" s="304" t="s">
        <v>59</v>
      </c>
      <c r="H15" s="306">
        <v>2</v>
      </c>
      <c r="I15" s="97">
        <f>IFERROR(VLOOKUP(A15,'NU Hrly'!C:O,13,FALSE),0)</f>
        <v>0</v>
      </c>
      <c r="J15" s="97">
        <f>IFERROR(VLOOKUP(A15,'NU Slry'!G:P,10,FALSE),0)</f>
        <v>0</v>
      </c>
      <c r="K15" s="97">
        <f>IFERROR(VLOOKUP(A15,Union!$C:$AA,11,FALSE),0)+IFERROR(VLOOKUP(A15,Union!$C:$AA,12,FALSE),0)</f>
        <v>0</v>
      </c>
      <c r="L15" s="97">
        <f t="shared" si="1"/>
        <v>0</v>
      </c>
      <c r="M15" s="97">
        <f t="shared" si="2"/>
        <v>0</v>
      </c>
      <c r="N15" s="432">
        <f t="shared" si="3"/>
        <v>0</v>
      </c>
      <c r="O15" s="432">
        <f t="shared" si="4"/>
        <v>0</v>
      </c>
    </row>
    <row r="16" spans="1:17">
      <c r="A16" s="711"/>
      <c r="B16" s="304" t="s">
        <v>6</v>
      </c>
      <c r="C16" s="304">
        <v>120114</v>
      </c>
      <c r="D16" s="304"/>
      <c r="E16" s="308" t="s">
        <v>9</v>
      </c>
      <c r="F16" s="304" t="s">
        <v>58</v>
      </c>
      <c r="G16" s="304" t="s">
        <v>59</v>
      </c>
      <c r="H16" s="306">
        <v>2</v>
      </c>
      <c r="I16" s="97">
        <f>IFERROR(VLOOKUP(A16,'NU Hrly'!C:O,13,FALSE),0)</f>
        <v>0</v>
      </c>
      <c r="J16" s="97">
        <f>IFERROR(VLOOKUP(A16,'NU Slry'!G:P,10,FALSE),0)</f>
        <v>0</v>
      </c>
      <c r="K16" s="97">
        <f>IFERROR(VLOOKUP(A16,Union!$C:$AA,11,FALSE),0)+IFERROR(VLOOKUP(A16,Union!$C:$AA,12,FALSE),0)</f>
        <v>0</v>
      </c>
      <c r="L16" s="97">
        <f t="shared" si="1"/>
        <v>0</v>
      </c>
      <c r="M16" s="97">
        <f t="shared" si="2"/>
        <v>0</v>
      </c>
      <c r="N16" s="432">
        <f t="shared" si="3"/>
        <v>0</v>
      </c>
      <c r="O16" s="577">
        <f t="shared" si="4"/>
        <v>0</v>
      </c>
      <c r="P16" s="578"/>
      <c r="Q16" s="578"/>
    </row>
    <row r="17" spans="1:17">
      <c r="A17" s="711"/>
      <c r="B17" s="304" t="s">
        <v>216</v>
      </c>
      <c r="C17" s="304">
        <v>120206</v>
      </c>
      <c r="D17" s="304"/>
      <c r="E17" s="308" t="s">
        <v>286</v>
      </c>
      <c r="F17" s="304" t="s">
        <v>58</v>
      </c>
      <c r="G17" s="304" t="s">
        <v>59</v>
      </c>
      <c r="H17" s="306">
        <v>2</v>
      </c>
      <c r="I17" s="97">
        <f>IFERROR(VLOOKUP(A17,'NU Hrly'!C:O,13,FALSE),0)</f>
        <v>0</v>
      </c>
      <c r="J17" s="97">
        <f>IFERROR(VLOOKUP(A17,'NU Slry'!G:P,10,FALSE),0)</f>
        <v>0</v>
      </c>
      <c r="K17" s="97">
        <f>IFERROR(VLOOKUP(A17,Union!$C:$AA,11,FALSE),0)+IFERROR(VLOOKUP(A17,Union!$C:$AA,12,FALSE),0)</f>
        <v>0</v>
      </c>
      <c r="L17" s="97">
        <f t="shared" si="1"/>
        <v>0</v>
      </c>
      <c r="M17" s="97">
        <f t="shared" si="2"/>
        <v>0</v>
      </c>
      <c r="N17" s="432">
        <f t="shared" si="3"/>
        <v>0</v>
      </c>
      <c r="O17" s="432">
        <f t="shared" si="4"/>
        <v>0</v>
      </c>
    </row>
    <row r="18" spans="1:17">
      <c r="A18" s="711"/>
      <c r="B18" s="304" t="s">
        <v>216</v>
      </c>
      <c r="C18" s="304">
        <v>120206</v>
      </c>
      <c r="D18" s="304"/>
      <c r="E18" s="308" t="s">
        <v>286</v>
      </c>
      <c r="F18" s="304" t="s">
        <v>58</v>
      </c>
      <c r="G18" s="304" t="s">
        <v>59</v>
      </c>
      <c r="H18" s="306">
        <v>2</v>
      </c>
      <c r="I18" s="97">
        <f>IFERROR(VLOOKUP(A18,'NU Hrly'!C:O,13,FALSE),0)</f>
        <v>0</v>
      </c>
      <c r="J18" s="97">
        <f>IFERROR(VLOOKUP(A18,'NU Slry'!G:P,10,FALSE),0)</f>
        <v>0</v>
      </c>
      <c r="K18" s="97">
        <f>IFERROR(VLOOKUP(A18,Union!$C:$AA,11,FALSE),0)+IFERROR(VLOOKUP(A18,Union!$C:$AA,12,FALSE),0)</f>
        <v>0</v>
      </c>
      <c r="L18" s="97">
        <f t="shared" si="1"/>
        <v>0</v>
      </c>
      <c r="M18" s="97">
        <f t="shared" si="2"/>
        <v>0</v>
      </c>
      <c r="N18" s="432">
        <f t="shared" si="3"/>
        <v>0</v>
      </c>
      <c r="O18" s="432">
        <f t="shared" si="4"/>
        <v>0</v>
      </c>
    </row>
    <row r="19" spans="1:17">
      <c r="A19" s="711"/>
      <c r="B19" s="304" t="s">
        <v>216</v>
      </c>
      <c r="C19" s="304">
        <v>120206</v>
      </c>
      <c r="D19" s="304"/>
      <c r="E19" s="308" t="s">
        <v>286</v>
      </c>
      <c r="F19" s="304" t="s">
        <v>58</v>
      </c>
      <c r="G19" s="304" t="s">
        <v>59</v>
      </c>
      <c r="H19" s="306">
        <v>2</v>
      </c>
      <c r="I19" s="97">
        <f>IFERROR(VLOOKUP(A19,'NU Hrly'!C:O,13,FALSE),0)</f>
        <v>0</v>
      </c>
      <c r="J19" s="97">
        <f>IFERROR(VLOOKUP(A19,'NU Slry'!G:P,10,FALSE),0)</f>
        <v>0</v>
      </c>
      <c r="K19" s="97">
        <f>IFERROR(VLOOKUP(A19,Union!$C:$AA,11,FALSE),0)+IFERROR(VLOOKUP(A19,Union!$C:$AA,12,FALSE),0)</f>
        <v>0</v>
      </c>
      <c r="L19" s="97">
        <f t="shared" si="1"/>
        <v>0</v>
      </c>
      <c r="M19" s="97">
        <f t="shared" si="2"/>
        <v>0</v>
      </c>
      <c r="N19" s="432">
        <f t="shared" si="3"/>
        <v>0</v>
      </c>
      <c r="O19" s="432">
        <f t="shared" si="4"/>
        <v>0</v>
      </c>
    </row>
    <row r="20" spans="1:17">
      <c r="A20" s="711"/>
      <c r="B20" s="304" t="s">
        <v>216</v>
      </c>
      <c r="C20" s="304">
        <v>120251</v>
      </c>
      <c r="D20" s="304"/>
      <c r="E20" s="308" t="s">
        <v>273</v>
      </c>
      <c r="F20" s="304" t="s">
        <v>58</v>
      </c>
      <c r="G20" s="304" t="s">
        <v>59</v>
      </c>
      <c r="H20" s="306">
        <v>2</v>
      </c>
      <c r="I20" s="97">
        <f>IFERROR(VLOOKUP(A20,'NU Hrly'!C:O,13,FALSE),0)</f>
        <v>0</v>
      </c>
      <c r="J20" s="97">
        <f>IFERROR(VLOOKUP(A20,'NU Slry'!G:P,10,FALSE),0)</f>
        <v>0</v>
      </c>
      <c r="K20" s="97">
        <f>IFERROR(VLOOKUP(A20,Union!$C:$AA,11,FALSE),0)+IFERROR(VLOOKUP(A20,Union!$C:$AA,12,FALSE),0)</f>
        <v>0</v>
      </c>
      <c r="L20" s="97">
        <f t="shared" si="1"/>
        <v>0</v>
      </c>
      <c r="M20" s="97">
        <f t="shared" si="2"/>
        <v>0</v>
      </c>
      <c r="N20" s="432">
        <f t="shared" si="3"/>
        <v>0</v>
      </c>
      <c r="O20" s="432">
        <f t="shared" si="4"/>
        <v>0</v>
      </c>
    </row>
    <row r="21" spans="1:17">
      <c r="A21" s="711"/>
      <c r="B21" s="304" t="s">
        <v>216</v>
      </c>
      <c r="C21" s="304">
        <v>120206</v>
      </c>
      <c r="D21" s="304"/>
      <c r="E21" s="308" t="s">
        <v>286</v>
      </c>
      <c r="F21" s="304" t="s">
        <v>58</v>
      </c>
      <c r="G21" s="304" t="s">
        <v>59</v>
      </c>
      <c r="H21" s="306">
        <v>2</v>
      </c>
      <c r="I21" s="97">
        <f>IFERROR(VLOOKUP(A21,'NU Hrly'!C:O,13,FALSE),0)</f>
        <v>0</v>
      </c>
      <c r="J21" s="97">
        <f>IFERROR(VLOOKUP(A21,'NU Slry'!G:P,10,FALSE),0)</f>
        <v>0</v>
      </c>
      <c r="K21" s="97">
        <f>IFERROR(VLOOKUP(A21,Union!$C:$AA,11,FALSE),0)+IFERROR(VLOOKUP(A21,Union!$C:$AA,12,FALSE),0)</f>
        <v>0</v>
      </c>
      <c r="L21" s="97">
        <f t="shared" si="1"/>
        <v>0</v>
      </c>
      <c r="M21" s="97">
        <f t="shared" si="2"/>
        <v>0</v>
      </c>
      <c r="N21" s="432">
        <f t="shared" si="3"/>
        <v>0</v>
      </c>
      <c r="O21" s="432">
        <f t="shared" si="4"/>
        <v>0</v>
      </c>
    </row>
    <row r="22" spans="1:17">
      <c r="A22" s="711"/>
      <c r="B22" s="304" t="s">
        <v>6</v>
      </c>
      <c r="C22" s="304">
        <v>120217</v>
      </c>
      <c r="D22" s="304"/>
      <c r="E22" s="308" t="s">
        <v>247</v>
      </c>
      <c r="F22" s="304" t="s">
        <v>58</v>
      </c>
      <c r="G22" s="304" t="s">
        <v>59</v>
      </c>
      <c r="H22" s="306">
        <v>2</v>
      </c>
      <c r="I22" s="97">
        <f>IFERROR(VLOOKUP(A22,'NU Hrly'!C:O,13,FALSE),0)</f>
        <v>0</v>
      </c>
      <c r="J22" s="97">
        <f>IFERROR(VLOOKUP(A22,'NU Slry'!G:P,10,FALSE),0)</f>
        <v>0</v>
      </c>
      <c r="K22" s="97">
        <f>IFERROR(VLOOKUP(A22,Union!$C:$AA,11,FALSE),0)+IFERROR(VLOOKUP(A22,Union!$C:$AA,12,FALSE),0)</f>
        <v>0</v>
      </c>
      <c r="L22" s="97">
        <f t="shared" si="1"/>
        <v>0</v>
      </c>
      <c r="M22" s="97">
        <f t="shared" si="2"/>
        <v>0</v>
      </c>
      <c r="N22" s="432">
        <f t="shared" si="3"/>
        <v>0</v>
      </c>
      <c r="O22" s="577">
        <f t="shared" si="4"/>
        <v>0</v>
      </c>
      <c r="P22" s="578"/>
      <c r="Q22" s="578"/>
    </row>
    <row r="23" spans="1:17">
      <c r="A23" s="711"/>
      <c r="B23" s="304" t="s">
        <v>216</v>
      </c>
      <c r="C23" s="304">
        <v>120206</v>
      </c>
      <c r="D23" s="304"/>
      <c r="E23" s="308" t="s">
        <v>286</v>
      </c>
      <c r="F23" s="304" t="s">
        <v>58</v>
      </c>
      <c r="G23" s="304" t="s">
        <v>59</v>
      </c>
      <c r="H23" s="306">
        <v>2</v>
      </c>
      <c r="I23" s="97">
        <f>IFERROR(VLOOKUP(A23,'NU Hrly'!C:O,13,FALSE),0)</f>
        <v>0</v>
      </c>
      <c r="J23" s="97">
        <f>IFERROR(VLOOKUP(A23,'NU Slry'!G:P,10,FALSE),0)</f>
        <v>0</v>
      </c>
      <c r="K23" s="97">
        <f>IFERROR(VLOOKUP(A23,Union!$C:$AA,11,FALSE),0)+IFERROR(VLOOKUP(A23,Union!$C:$AA,12,FALSE),0)</f>
        <v>0</v>
      </c>
      <c r="L23" s="97">
        <f t="shared" si="1"/>
        <v>0</v>
      </c>
      <c r="M23" s="97">
        <f t="shared" si="2"/>
        <v>0</v>
      </c>
      <c r="N23" s="432">
        <f t="shared" si="3"/>
        <v>0</v>
      </c>
      <c r="O23" s="432">
        <f t="shared" si="4"/>
        <v>0</v>
      </c>
    </row>
    <row r="24" spans="1:17">
      <c r="A24" s="711"/>
      <c r="B24" s="304" t="s">
        <v>6</v>
      </c>
      <c r="C24" s="304">
        <v>120201</v>
      </c>
      <c r="D24" s="304"/>
      <c r="E24" s="308" t="s">
        <v>264</v>
      </c>
      <c r="F24" s="304" t="s">
        <v>58</v>
      </c>
      <c r="G24" s="304" t="s">
        <v>59</v>
      </c>
      <c r="H24" s="306">
        <v>2</v>
      </c>
      <c r="I24" s="97">
        <f>IFERROR(VLOOKUP(A24,'NU Hrly'!C:O,13,FALSE),0)</f>
        <v>0</v>
      </c>
      <c r="J24" s="97">
        <f>IFERROR(VLOOKUP(A24,'NU Slry'!G:P,10,FALSE),0)</f>
        <v>0</v>
      </c>
      <c r="K24" s="97">
        <f>IFERROR(VLOOKUP(A24,Union!$C:$AA,11,FALSE),0)+IFERROR(VLOOKUP(A24,Union!$C:$AA,12,FALSE),0)</f>
        <v>0</v>
      </c>
      <c r="L24" s="97">
        <f t="shared" si="1"/>
        <v>0</v>
      </c>
      <c r="M24" s="97">
        <f t="shared" si="2"/>
        <v>0</v>
      </c>
      <c r="N24" s="432">
        <f t="shared" si="3"/>
        <v>0</v>
      </c>
      <c r="O24" s="577">
        <f t="shared" si="4"/>
        <v>0</v>
      </c>
      <c r="P24" s="578"/>
      <c r="Q24" s="578"/>
    </row>
    <row r="25" spans="1:17">
      <c r="A25" s="711"/>
      <c r="B25" s="304" t="s">
        <v>216</v>
      </c>
      <c r="C25" s="304">
        <v>120206</v>
      </c>
      <c r="D25" s="304"/>
      <c r="E25" s="308" t="s">
        <v>286</v>
      </c>
      <c r="F25" s="304" t="s">
        <v>58</v>
      </c>
      <c r="G25" s="304" t="s">
        <v>59</v>
      </c>
      <c r="H25" s="306">
        <v>2</v>
      </c>
      <c r="I25" s="97">
        <f>IFERROR(VLOOKUP(A25,'NU Hrly'!C:O,13,FALSE),0)</f>
        <v>0</v>
      </c>
      <c r="J25" s="97">
        <f>IFERROR(VLOOKUP(A25,'NU Slry'!G:P,10,FALSE),0)</f>
        <v>0</v>
      </c>
      <c r="K25" s="97">
        <f>IFERROR(VLOOKUP(A25,Union!$C:$AA,11,FALSE),0)+IFERROR(VLOOKUP(A25,Union!$C:$AA,12,FALSE),0)</f>
        <v>0</v>
      </c>
      <c r="L25" s="97">
        <f t="shared" si="1"/>
        <v>0</v>
      </c>
      <c r="M25" s="97">
        <f t="shared" si="2"/>
        <v>0</v>
      </c>
      <c r="N25" s="432">
        <f t="shared" si="3"/>
        <v>0</v>
      </c>
      <c r="O25" s="432">
        <f t="shared" si="4"/>
        <v>0</v>
      </c>
    </row>
    <row r="26" spans="1:17">
      <c r="A26" s="711"/>
      <c r="B26" s="304" t="s">
        <v>6</v>
      </c>
      <c r="C26" s="304">
        <v>120114</v>
      </c>
      <c r="D26" s="304"/>
      <c r="E26" s="308" t="s">
        <v>9</v>
      </c>
      <c r="F26" s="304" t="s">
        <v>58</v>
      </c>
      <c r="G26" s="304" t="s">
        <v>59</v>
      </c>
      <c r="H26" s="306">
        <v>3</v>
      </c>
      <c r="I26" s="97">
        <f>IFERROR(VLOOKUP(A26,'NU Hrly'!C:O,13,FALSE),0)</f>
        <v>0</v>
      </c>
      <c r="J26" s="97">
        <f>IFERROR(VLOOKUP(A26,'NU Slry'!G:P,10,FALSE),0)</f>
        <v>0</v>
      </c>
      <c r="K26" s="97">
        <f>IFERROR(VLOOKUP(A26,Union!$C:$AA,11,FALSE),0)+IFERROR(VLOOKUP(A26,Union!$C:$AA,12,FALSE),0)</f>
        <v>0</v>
      </c>
      <c r="L26" s="97">
        <f t="shared" si="1"/>
        <v>0</v>
      </c>
      <c r="M26" s="97">
        <f t="shared" si="2"/>
        <v>0</v>
      </c>
      <c r="N26" s="432">
        <f t="shared" si="3"/>
        <v>0</v>
      </c>
      <c r="O26" s="577">
        <f t="shared" si="4"/>
        <v>0</v>
      </c>
      <c r="P26" s="578"/>
      <c r="Q26" s="578"/>
    </row>
    <row r="27" spans="1:17">
      <c r="A27" s="711"/>
      <c r="B27" s="304" t="s">
        <v>216</v>
      </c>
      <c r="C27" s="304">
        <v>120206</v>
      </c>
      <c r="D27" s="304"/>
      <c r="E27" s="308" t="s">
        <v>286</v>
      </c>
      <c r="F27" s="304" t="s">
        <v>58</v>
      </c>
      <c r="G27" s="304" t="s">
        <v>59</v>
      </c>
      <c r="H27" s="306">
        <v>3</v>
      </c>
      <c r="I27" s="97">
        <f>IFERROR(VLOOKUP(A27,'NU Hrly'!C:O,13,FALSE),0)</f>
        <v>0</v>
      </c>
      <c r="J27" s="97">
        <f>IFERROR(VLOOKUP(A27,'NU Slry'!G:P,10,FALSE),0)</f>
        <v>0</v>
      </c>
      <c r="K27" s="97">
        <f>IFERROR(VLOOKUP(A27,Union!$C:$AA,11,FALSE),0)+IFERROR(VLOOKUP(A27,Union!$C:$AA,12,FALSE),0)</f>
        <v>0</v>
      </c>
      <c r="L27" s="97">
        <f t="shared" si="1"/>
        <v>0</v>
      </c>
      <c r="M27" s="97">
        <f t="shared" si="2"/>
        <v>0</v>
      </c>
      <c r="N27" s="432">
        <f t="shared" si="3"/>
        <v>0</v>
      </c>
      <c r="O27" s="432">
        <f t="shared" si="4"/>
        <v>0</v>
      </c>
    </row>
    <row r="28" spans="1:17">
      <c r="A28" s="711"/>
      <c r="B28" s="304" t="s">
        <v>6</v>
      </c>
      <c r="C28" s="304">
        <v>120206</v>
      </c>
      <c r="D28" s="304"/>
      <c r="E28" s="308" t="s">
        <v>286</v>
      </c>
      <c r="F28" s="304" t="s">
        <v>58</v>
      </c>
      <c r="G28" s="304" t="s">
        <v>59</v>
      </c>
      <c r="H28" s="306">
        <v>3</v>
      </c>
      <c r="I28" s="97">
        <f>IFERROR(VLOOKUP(A28,'NU Hrly'!C:O,13,FALSE),0)</f>
        <v>0</v>
      </c>
      <c r="J28" s="97">
        <f>IFERROR(VLOOKUP(A28,'NU Slry'!G:P,10,FALSE),0)</f>
        <v>0</v>
      </c>
      <c r="K28" s="97">
        <f>IFERROR(VLOOKUP(A28,Union!$C:$AA,11,FALSE),0)+IFERROR(VLOOKUP(A28,Union!$C:$AA,12,FALSE),0)</f>
        <v>0</v>
      </c>
      <c r="L28" s="97">
        <f t="shared" si="1"/>
        <v>0</v>
      </c>
      <c r="M28" s="97">
        <f t="shared" si="2"/>
        <v>0</v>
      </c>
      <c r="N28" s="432">
        <f t="shared" si="3"/>
        <v>0</v>
      </c>
      <c r="O28" s="577">
        <f t="shared" si="4"/>
        <v>0</v>
      </c>
      <c r="P28" s="578"/>
      <c r="Q28" s="578"/>
    </row>
    <row r="29" spans="1:17">
      <c r="A29" s="711"/>
      <c r="B29" s="304" t="s">
        <v>216</v>
      </c>
      <c r="C29" s="304">
        <v>120206</v>
      </c>
      <c r="D29" s="304"/>
      <c r="E29" s="308" t="s">
        <v>286</v>
      </c>
      <c r="F29" s="304" t="s">
        <v>58</v>
      </c>
      <c r="G29" s="304" t="s">
        <v>59</v>
      </c>
      <c r="H29" s="306">
        <v>3</v>
      </c>
      <c r="I29" s="97">
        <f>IFERROR(VLOOKUP(A29,'NU Hrly'!C:O,13,FALSE),0)</f>
        <v>0</v>
      </c>
      <c r="J29" s="97">
        <f>IFERROR(VLOOKUP(A29,'NU Slry'!G:P,10,FALSE),0)</f>
        <v>0</v>
      </c>
      <c r="K29" s="97">
        <f>IFERROR(VLOOKUP(A29,Union!$C:$AA,11,FALSE),0)+IFERROR(VLOOKUP(A29,Union!$C:$AA,12,FALSE),0)</f>
        <v>0</v>
      </c>
      <c r="L29" s="97">
        <f t="shared" si="1"/>
        <v>0</v>
      </c>
      <c r="M29" s="97">
        <f t="shared" si="2"/>
        <v>0</v>
      </c>
      <c r="N29" s="432">
        <f t="shared" si="3"/>
        <v>0</v>
      </c>
      <c r="O29" s="432">
        <f t="shared" si="4"/>
        <v>0</v>
      </c>
    </row>
    <row r="30" spans="1:17">
      <c r="A30" s="711"/>
      <c r="B30" s="304" t="s">
        <v>216</v>
      </c>
      <c r="C30" s="304">
        <v>120206</v>
      </c>
      <c r="D30" s="304"/>
      <c r="E30" s="308" t="s">
        <v>286</v>
      </c>
      <c r="F30" s="304" t="s">
        <v>58</v>
      </c>
      <c r="G30" s="304" t="s">
        <v>59</v>
      </c>
      <c r="H30" s="306">
        <v>3</v>
      </c>
      <c r="I30" s="97">
        <f>IFERROR(VLOOKUP(A30,'NU Hrly'!C:O,13,FALSE),0)</f>
        <v>0</v>
      </c>
      <c r="J30" s="97">
        <f>IFERROR(VLOOKUP(A30,'NU Slry'!G:P,10,FALSE),0)</f>
        <v>0</v>
      </c>
      <c r="K30" s="97">
        <f>IFERROR(VLOOKUP(A30,Union!$C:$AA,11,FALSE),0)+IFERROR(VLOOKUP(A30,Union!$C:$AA,12,FALSE),0)</f>
        <v>0</v>
      </c>
      <c r="L30" s="97">
        <f t="shared" si="1"/>
        <v>0</v>
      </c>
      <c r="M30" s="97">
        <f t="shared" si="2"/>
        <v>0</v>
      </c>
      <c r="N30" s="432">
        <f t="shared" si="3"/>
        <v>0</v>
      </c>
      <c r="O30" s="432">
        <f t="shared" si="4"/>
        <v>0</v>
      </c>
    </row>
    <row r="31" spans="1:17">
      <c r="A31" s="711"/>
      <c r="B31" s="304" t="s">
        <v>216</v>
      </c>
      <c r="C31" s="304">
        <v>120206</v>
      </c>
      <c r="D31" s="304"/>
      <c r="E31" s="308" t="s">
        <v>286</v>
      </c>
      <c r="F31" s="304" t="s">
        <v>58</v>
      </c>
      <c r="G31" s="304" t="s">
        <v>59</v>
      </c>
      <c r="H31" s="306">
        <v>3</v>
      </c>
      <c r="I31" s="97">
        <f>IFERROR(VLOOKUP(A31,'NU Hrly'!C:O,13,FALSE),0)</f>
        <v>0</v>
      </c>
      <c r="J31" s="97">
        <f>IFERROR(VLOOKUP(A31,'NU Slry'!G:P,10,FALSE),0)</f>
        <v>0</v>
      </c>
      <c r="K31" s="97">
        <f>IFERROR(VLOOKUP(A31,Union!$C:$AA,11,FALSE),0)+IFERROR(VLOOKUP(A31,Union!$C:$AA,12,FALSE),0)</f>
        <v>0</v>
      </c>
      <c r="L31" s="97">
        <f t="shared" si="1"/>
        <v>0</v>
      </c>
      <c r="M31" s="97">
        <f t="shared" si="2"/>
        <v>0</v>
      </c>
      <c r="N31" s="432">
        <f t="shared" si="3"/>
        <v>0</v>
      </c>
      <c r="O31" s="432">
        <f t="shared" si="4"/>
        <v>0</v>
      </c>
    </row>
    <row r="32" spans="1:17">
      <c r="A32" s="711"/>
      <c r="B32" s="304" t="s">
        <v>6</v>
      </c>
      <c r="C32" s="304">
        <v>120206</v>
      </c>
      <c r="D32" s="304"/>
      <c r="E32" s="308" t="s">
        <v>286</v>
      </c>
      <c r="F32" s="304" t="s">
        <v>58</v>
      </c>
      <c r="G32" s="304" t="s">
        <v>59</v>
      </c>
      <c r="H32" s="306">
        <v>3</v>
      </c>
      <c r="I32" s="97">
        <f>IFERROR(VLOOKUP(A32,'NU Hrly'!C:O,13,FALSE),0)</f>
        <v>0</v>
      </c>
      <c r="J32" s="97">
        <f>IFERROR(VLOOKUP(A32,'NU Slry'!G:P,10,FALSE),0)</f>
        <v>0</v>
      </c>
      <c r="K32" s="97">
        <f>IFERROR(VLOOKUP(A32,Union!$C:$AA,11,FALSE),0)+IFERROR(VLOOKUP(A32,Union!$C:$AA,12,FALSE),0)</f>
        <v>0</v>
      </c>
      <c r="L32" s="97">
        <f t="shared" si="1"/>
        <v>0</v>
      </c>
      <c r="M32" s="97">
        <f t="shared" si="2"/>
        <v>0</v>
      </c>
      <c r="N32" s="432">
        <f t="shared" si="3"/>
        <v>0</v>
      </c>
      <c r="O32" s="577">
        <f t="shared" si="4"/>
        <v>0</v>
      </c>
      <c r="P32" s="578"/>
      <c r="Q32" s="578"/>
    </row>
    <row r="33" spans="1:17">
      <c r="A33" s="711"/>
      <c r="B33" s="304" t="s">
        <v>216</v>
      </c>
      <c r="C33" s="304">
        <v>120206</v>
      </c>
      <c r="D33" s="304"/>
      <c r="E33" s="308" t="s">
        <v>286</v>
      </c>
      <c r="F33" s="304" t="s">
        <v>58</v>
      </c>
      <c r="G33" s="304" t="s">
        <v>59</v>
      </c>
      <c r="H33" s="306">
        <v>3</v>
      </c>
      <c r="I33" s="97">
        <f>IFERROR(VLOOKUP(A33,'NU Hrly'!C:O,13,FALSE),0)</f>
        <v>0</v>
      </c>
      <c r="J33" s="97">
        <f>IFERROR(VLOOKUP(A33,'NU Slry'!G:P,10,FALSE),0)</f>
        <v>0</v>
      </c>
      <c r="K33" s="97">
        <f>IFERROR(VLOOKUP(A33,Union!$C:$AA,11,FALSE),0)+IFERROR(VLOOKUP(A33,Union!$C:$AA,12,FALSE),0)</f>
        <v>0</v>
      </c>
      <c r="L33" s="97">
        <f t="shared" si="1"/>
        <v>0</v>
      </c>
      <c r="M33" s="97">
        <f t="shared" si="2"/>
        <v>0</v>
      </c>
      <c r="N33" s="432">
        <f t="shared" si="3"/>
        <v>0</v>
      </c>
      <c r="O33" s="432">
        <f t="shared" si="4"/>
        <v>0</v>
      </c>
    </row>
    <row r="34" spans="1:17">
      <c r="A34" s="711"/>
      <c r="B34" s="304" t="s">
        <v>216</v>
      </c>
      <c r="C34" s="304">
        <v>120250</v>
      </c>
      <c r="D34" s="304"/>
      <c r="E34" s="308" t="s">
        <v>256</v>
      </c>
      <c r="F34" s="304" t="s">
        <v>58</v>
      </c>
      <c r="G34" s="304" t="s">
        <v>59</v>
      </c>
      <c r="H34" s="306">
        <v>3</v>
      </c>
      <c r="I34" s="97">
        <f>IFERROR(VLOOKUP(A34,'NU Hrly'!C:O,13,FALSE),0)</f>
        <v>0</v>
      </c>
      <c r="J34" s="97">
        <f>IFERROR(VLOOKUP(A34,'NU Slry'!G:P,10,FALSE),0)</f>
        <v>0</v>
      </c>
      <c r="K34" s="97">
        <f>IFERROR(VLOOKUP(A34,Union!$C:$AA,11,FALSE),0)+IFERROR(VLOOKUP(A34,Union!$C:$AA,12,FALSE),0)</f>
        <v>0</v>
      </c>
      <c r="L34" s="97">
        <f t="shared" si="1"/>
        <v>0</v>
      </c>
      <c r="M34" s="97">
        <f t="shared" si="2"/>
        <v>0</v>
      </c>
      <c r="N34" s="432">
        <f t="shared" si="3"/>
        <v>0</v>
      </c>
      <c r="O34" s="432">
        <f t="shared" si="4"/>
        <v>0</v>
      </c>
    </row>
    <row r="35" spans="1:17">
      <c r="A35" s="711"/>
      <c r="B35" s="304" t="s">
        <v>216</v>
      </c>
      <c r="C35" s="304">
        <v>120206</v>
      </c>
      <c r="D35" s="304"/>
      <c r="E35" s="308" t="s">
        <v>286</v>
      </c>
      <c r="F35" s="304" t="s">
        <v>58</v>
      </c>
      <c r="G35" s="304" t="s">
        <v>59</v>
      </c>
      <c r="H35" s="306">
        <v>3</v>
      </c>
      <c r="I35" s="97">
        <f>IFERROR(VLOOKUP(A35,'NU Hrly'!C:O,13,FALSE),0)</f>
        <v>0</v>
      </c>
      <c r="J35" s="97">
        <f>IFERROR(VLOOKUP(A35,'NU Slry'!G:P,10,FALSE),0)</f>
        <v>0</v>
      </c>
      <c r="K35" s="97">
        <f>IFERROR(VLOOKUP(A35,Union!$C:$AA,11,FALSE),0)+IFERROR(VLOOKUP(A35,Union!$C:$AA,12,FALSE),0)</f>
        <v>0</v>
      </c>
      <c r="L35" s="97">
        <f t="shared" si="1"/>
        <v>0</v>
      </c>
      <c r="M35" s="97">
        <f t="shared" si="2"/>
        <v>0</v>
      </c>
      <c r="N35" s="432">
        <f t="shared" si="3"/>
        <v>0</v>
      </c>
      <c r="O35" s="432">
        <f t="shared" si="4"/>
        <v>0</v>
      </c>
    </row>
    <row r="36" spans="1:17">
      <c r="A36" s="711"/>
      <c r="B36" s="304" t="s">
        <v>216</v>
      </c>
      <c r="C36" s="304">
        <v>120206</v>
      </c>
      <c r="D36" s="304"/>
      <c r="E36" s="308" t="s">
        <v>286</v>
      </c>
      <c r="F36" s="304" t="s">
        <v>58</v>
      </c>
      <c r="G36" s="304" t="s">
        <v>59</v>
      </c>
      <c r="H36" s="306">
        <v>3</v>
      </c>
      <c r="I36" s="97">
        <f>IFERROR(VLOOKUP(A36,'NU Hrly'!C:O,13,FALSE),0)</f>
        <v>0</v>
      </c>
      <c r="J36" s="97">
        <f>IFERROR(VLOOKUP(A36,'NU Slry'!G:P,10,FALSE),0)</f>
        <v>0</v>
      </c>
      <c r="K36" s="97">
        <f>IFERROR(VLOOKUP(A36,Union!$C:$AA,11,FALSE),0)+IFERROR(VLOOKUP(A36,Union!$C:$AA,12,FALSE),0)</f>
        <v>0</v>
      </c>
      <c r="L36" s="97">
        <f t="shared" si="1"/>
        <v>0</v>
      </c>
      <c r="M36" s="97">
        <f t="shared" si="2"/>
        <v>0</v>
      </c>
      <c r="N36" s="432">
        <f t="shared" si="3"/>
        <v>0</v>
      </c>
      <c r="O36" s="432">
        <f t="shared" si="4"/>
        <v>0</v>
      </c>
    </row>
    <row r="37" spans="1:17">
      <c r="A37" s="711"/>
      <c r="B37" s="304" t="s">
        <v>216</v>
      </c>
      <c r="C37" s="304">
        <v>120206</v>
      </c>
      <c r="D37" s="304"/>
      <c r="E37" s="308" t="s">
        <v>286</v>
      </c>
      <c r="F37" s="304" t="s">
        <v>58</v>
      </c>
      <c r="G37" s="304" t="s">
        <v>59</v>
      </c>
      <c r="H37" s="306">
        <v>3</v>
      </c>
      <c r="I37" s="97">
        <f>IFERROR(VLOOKUP(A37,'NU Hrly'!C:O,13,FALSE),0)</f>
        <v>0</v>
      </c>
      <c r="J37" s="97">
        <f>IFERROR(VLOOKUP(A37,'NU Slry'!G:P,10,FALSE),0)</f>
        <v>0</v>
      </c>
      <c r="K37" s="97">
        <f>IFERROR(VLOOKUP(A37,Union!$C:$AA,11,FALSE),0)+IFERROR(VLOOKUP(A37,Union!$C:$AA,12,FALSE),0)</f>
        <v>0</v>
      </c>
      <c r="L37" s="97">
        <f t="shared" si="1"/>
        <v>0</v>
      </c>
      <c r="M37" s="97">
        <f t="shared" si="2"/>
        <v>0</v>
      </c>
      <c r="N37" s="432">
        <f t="shared" si="3"/>
        <v>0</v>
      </c>
      <c r="O37" s="432">
        <f t="shared" si="4"/>
        <v>0</v>
      </c>
    </row>
    <row r="38" spans="1:17">
      <c r="A38" s="711"/>
      <c r="B38" s="304" t="s">
        <v>6</v>
      </c>
      <c r="C38" s="304">
        <v>120206</v>
      </c>
      <c r="D38" s="304"/>
      <c r="E38" s="308" t="s">
        <v>286</v>
      </c>
      <c r="F38" s="304" t="s">
        <v>58</v>
      </c>
      <c r="G38" s="304" t="s">
        <v>59</v>
      </c>
      <c r="H38" s="306">
        <v>4</v>
      </c>
      <c r="I38" s="97">
        <f>IFERROR(VLOOKUP(A38,'NU Hrly'!C:O,13,FALSE),0)</f>
        <v>0</v>
      </c>
      <c r="J38" s="97">
        <f>IFERROR(VLOOKUP(A38,'NU Slry'!G:P,10,FALSE),0)</f>
        <v>0</v>
      </c>
      <c r="K38" s="97">
        <f>IFERROR(VLOOKUP(A38,Union!$C:$AA,11,FALSE),0)+IFERROR(VLOOKUP(A38,Union!$C:$AA,12,FALSE),0)</f>
        <v>0</v>
      </c>
      <c r="L38" s="97">
        <f t="shared" si="1"/>
        <v>0</v>
      </c>
      <c r="M38" s="97">
        <f t="shared" si="2"/>
        <v>0</v>
      </c>
      <c r="N38" s="432">
        <f t="shared" si="3"/>
        <v>0</v>
      </c>
      <c r="O38" s="577">
        <f t="shared" si="4"/>
        <v>0</v>
      </c>
      <c r="P38" s="578"/>
      <c r="Q38" s="578"/>
    </row>
    <row r="39" spans="1:17">
      <c r="A39" s="711"/>
      <c r="B39" s="304" t="s">
        <v>216</v>
      </c>
      <c r="C39" s="304">
        <v>120206</v>
      </c>
      <c r="D39" s="304"/>
      <c r="E39" s="308" t="s">
        <v>286</v>
      </c>
      <c r="F39" s="304" t="s">
        <v>58</v>
      </c>
      <c r="G39" s="304" t="s">
        <v>59</v>
      </c>
      <c r="H39" s="306">
        <v>4</v>
      </c>
      <c r="I39" s="97">
        <f>IFERROR(VLOOKUP(A39,'NU Hrly'!C:O,13,FALSE),0)</f>
        <v>0</v>
      </c>
      <c r="J39" s="97">
        <f>IFERROR(VLOOKUP(A39,'NU Slry'!G:P,10,FALSE),0)</f>
        <v>0</v>
      </c>
      <c r="K39" s="97">
        <f>IFERROR(VLOOKUP(A39,Union!$C:$AA,11,FALSE),0)+IFERROR(VLOOKUP(A39,Union!$C:$AA,12,FALSE),0)</f>
        <v>0</v>
      </c>
      <c r="L39" s="97">
        <f t="shared" si="1"/>
        <v>0</v>
      </c>
      <c r="M39" s="97">
        <f t="shared" si="2"/>
        <v>0</v>
      </c>
      <c r="N39" s="432">
        <f t="shared" si="3"/>
        <v>0</v>
      </c>
      <c r="O39" s="432">
        <f t="shared" si="4"/>
        <v>0</v>
      </c>
    </row>
    <row r="40" spans="1:17">
      <c r="A40" s="711"/>
      <c r="B40" s="304" t="s">
        <v>216</v>
      </c>
      <c r="C40" s="304">
        <v>120206</v>
      </c>
      <c r="D40" s="304"/>
      <c r="E40" s="308" t="s">
        <v>286</v>
      </c>
      <c r="F40" s="304" t="s">
        <v>58</v>
      </c>
      <c r="G40" s="304" t="s">
        <v>59</v>
      </c>
      <c r="H40" s="306">
        <v>4</v>
      </c>
      <c r="I40" s="97">
        <f>IFERROR(VLOOKUP(A40,'NU Hrly'!C:O,13,FALSE),0)</f>
        <v>0</v>
      </c>
      <c r="J40" s="97">
        <f>IFERROR(VLOOKUP(A40,'NU Slry'!G:P,10,FALSE),0)</f>
        <v>0</v>
      </c>
      <c r="K40" s="97">
        <f>IFERROR(VLOOKUP(A40,Union!$C:$AA,11,FALSE),0)+IFERROR(VLOOKUP(A40,Union!$C:$AA,12,FALSE),0)</f>
        <v>0</v>
      </c>
      <c r="L40" s="97">
        <f t="shared" si="1"/>
        <v>0</v>
      </c>
      <c r="M40" s="97">
        <f t="shared" ref="M40" si="5">L40*H40/100</f>
        <v>0</v>
      </c>
      <c r="N40" s="432">
        <f t="shared" si="3"/>
        <v>0</v>
      </c>
      <c r="O40" s="432">
        <f t="shared" si="4"/>
        <v>0</v>
      </c>
    </row>
    <row r="41" spans="1:17">
      <c r="A41" s="713"/>
      <c r="B41" s="94" t="s">
        <v>6</v>
      </c>
      <c r="C41" s="94">
        <v>120114</v>
      </c>
      <c r="E41" s="94" t="s">
        <v>9</v>
      </c>
      <c r="F41" s="94" t="s">
        <v>58</v>
      </c>
      <c r="G41" s="94" t="s">
        <v>59</v>
      </c>
      <c r="H41" s="306">
        <v>4</v>
      </c>
      <c r="I41" s="97">
        <f>IFERROR(VLOOKUP(A41,'NU Hrly'!C:O,13,FALSE),0)</f>
        <v>0</v>
      </c>
      <c r="J41" s="97">
        <f>IFERROR(VLOOKUP(A41,'NU Slry'!G:P,10,FALSE),0)</f>
        <v>0</v>
      </c>
      <c r="K41" s="97">
        <f>IFERROR(VLOOKUP(A41,Union!$C:$AA,11,FALSE),0)+IFERROR(VLOOKUP(A41,Union!$C:$AA,12,FALSE),0)</f>
        <v>0</v>
      </c>
      <c r="L41" s="97">
        <f t="shared" si="1"/>
        <v>0</v>
      </c>
      <c r="M41" s="97">
        <f t="shared" ref="M41:M55" si="6">L41*H41/100</f>
        <v>0</v>
      </c>
      <c r="N41" s="432">
        <f t="shared" si="3"/>
        <v>0</v>
      </c>
      <c r="O41" s="577">
        <f t="shared" si="4"/>
        <v>0</v>
      </c>
      <c r="P41" s="578"/>
      <c r="Q41" s="578"/>
    </row>
    <row r="42" spans="1:17">
      <c r="A42" s="713"/>
      <c r="B42" s="94" t="s">
        <v>216</v>
      </c>
      <c r="C42" s="94">
        <v>120206</v>
      </c>
      <c r="E42" s="94" t="s">
        <v>286</v>
      </c>
      <c r="F42" s="94" t="s">
        <v>58</v>
      </c>
      <c r="G42" s="94" t="s">
        <v>59</v>
      </c>
      <c r="H42" s="306">
        <v>4</v>
      </c>
      <c r="I42" s="97">
        <f>IFERROR(VLOOKUP(A42,'NU Hrly'!C:O,13,FALSE),0)</f>
        <v>0</v>
      </c>
      <c r="J42" s="97">
        <f>IFERROR(VLOOKUP(A42,'NU Slry'!G:P,10,FALSE),0)</f>
        <v>0</v>
      </c>
      <c r="K42" s="97">
        <f>IFERROR(VLOOKUP(A42,Union!$C:$AA,11,FALSE),0)+IFERROR(VLOOKUP(A42,Union!$C:$AA,12,FALSE),0)</f>
        <v>0</v>
      </c>
      <c r="L42" s="97">
        <f t="shared" si="1"/>
        <v>0</v>
      </c>
      <c r="M42" s="97">
        <f t="shared" si="6"/>
        <v>0</v>
      </c>
      <c r="N42" s="432">
        <f t="shared" si="3"/>
        <v>0</v>
      </c>
      <c r="O42" s="432">
        <f t="shared" si="4"/>
        <v>0</v>
      </c>
    </row>
    <row r="43" spans="1:17">
      <c r="A43" s="713"/>
      <c r="B43" s="94" t="s">
        <v>6</v>
      </c>
      <c r="C43" s="94">
        <v>120105</v>
      </c>
      <c r="E43" s="94" t="s">
        <v>5</v>
      </c>
      <c r="F43" s="94" t="s">
        <v>58</v>
      </c>
      <c r="G43" s="94" t="s">
        <v>59</v>
      </c>
      <c r="H43" s="306">
        <v>5</v>
      </c>
      <c r="I43" s="97">
        <f>IFERROR(VLOOKUP(A43,'NU Hrly'!C:O,13,FALSE),0)</f>
        <v>0</v>
      </c>
      <c r="J43" s="97">
        <f>IFERROR(VLOOKUP(A43,'NU Slry'!G:P,10,FALSE),0)</f>
        <v>0</v>
      </c>
      <c r="K43" s="97">
        <f>IFERROR(VLOOKUP(A43,Union!$C:$AA,11,FALSE),0)+IFERROR(VLOOKUP(A43,Union!$C:$AA,12,FALSE),0)</f>
        <v>0</v>
      </c>
      <c r="L43" s="97">
        <f t="shared" si="1"/>
        <v>0</v>
      </c>
      <c r="M43" s="97">
        <f t="shared" si="6"/>
        <v>0</v>
      </c>
      <c r="N43" s="432">
        <f t="shared" si="3"/>
        <v>0</v>
      </c>
      <c r="O43" s="577">
        <f t="shared" si="4"/>
        <v>0</v>
      </c>
      <c r="P43" s="578"/>
      <c r="Q43" s="578"/>
    </row>
    <row r="44" spans="1:17">
      <c r="A44" s="713"/>
      <c r="B44" s="94" t="s">
        <v>6</v>
      </c>
      <c r="C44" s="94">
        <v>120206</v>
      </c>
      <c r="E44" s="94" t="s">
        <v>286</v>
      </c>
      <c r="F44" s="94" t="s">
        <v>58</v>
      </c>
      <c r="G44" s="94" t="s">
        <v>59</v>
      </c>
      <c r="H44" s="306">
        <v>5</v>
      </c>
      <c r="I44" s="97">
        <f>IFERROR(VLOOKUP(A44,'NU Hrly'!C:O,13,FALSE),0)</f>
        <v>0</v>
      </c>
      <c r="J44" s="97">
        <f>IFERROR(VLOOKUP(A44,'NU Slry'!G:P,10,FALSE),0)</f>
        <v>0</v>
      </c>
      <c r="K44" s="97">
        <f>IFERROR(VLOOKUP(A44,Union!$C:$AA,11,FALSE),0)+IFERROR(VLOOKUP(A44,Union!$C:$AA,12,FALSE),0)</f>
        <v>0</v>
      </c>
      <c r="L44" s="97">
        <f t="shared" si="1"/>
        <v>0</v>
      </c>
      <c r="M44" s="97">
        <f t="shared" si="6"/>
        <v>0</v>
      </c>
      <c r="N44" s="432">
        <f t="shared" si="3"/>
        <v>0</v>
      </c>
      <c r="O44" s="577">
        <f t="shared" si="4"/>
        <v>0</v>
      </c>
      <c r="P44" s="578"/>
      <c r="Q44" s="578"/>
    </row>
    <row r="45" spans="1:17">
      <c r="A45" s="713"/>
      <c r="B45" s="94" t="s">
        <v>781</v>
      </c>
      <c r="C45" s="94">
        <v>120201</v>
      </c>
      <c r="E45" s="94" t="s">
        <v>264</v>
      </c>
      <c r="F45" s="94" t="s">
        <v>58</v>
      </c>
      <c r="G45" s="94" t="s">
        <v>59</v>
      </c>
      <c r="H45" s="306">
        <v>5</v>
      </c>
      <c r="I45" s="97">
        <f>IFERROR(VLOOKUP(A45,'NU Hrly'!C:O,13,FALSE),0)</f>
        <v>0</v>
      </c>
      <c r="J45" s="97">
        <f>IFERROR(VLOOKUP(A45,'NU Slry'!G:P,10,FALSE),0)</f>
        <v>0</v>
      </c>
      <c r="K45" s="97">
        <f>IFERROR(VLOOKUP(A45,Union!$C:$AA,11,FALSE),0)+IFERROR(VLOOKUP(A45,Union!$C:$AA,12,FALSE),0)</f>
        <v>0</v>
      </c>
      <c r="L45" s="97">
        <f t="shared" si="1"/>
        <v>0</v>
      </c>
      <c r="M45" s="97">
        <f t="shared" si="6"/>
        <v>0</v>
      </c>
      <c r="N45" s="432">
        <f t="shared" si="3"/>
        <v>0</v>
      </c>
      <c r="O45" s="577">
        <f t="shared" si="4"/>
        <v>0</v>
      </c>
      <c r="P45" s="578"/>
      <c r="Q45" s="578"/>
    </row>
    <row r="46" spans="1:17">
      <c r="A46" s="713"/>
      <c r="B46" s="94" t="s">
        <v>6</v>
      </c>
      <c r="C46" s="94">
        <v>120206</v>
      </c>
      <c r="E46" s="94" t="s">
        <v>286</v>
      </c>
      <c r="F46" s="94" t="s">
        <v>58</v>
      </c>
      <c r="G46" s="94" t="s">
        <v>59</v>
      </c>
      <c r="H46" s="306">
        <v>5</v>
      </c>
      <c r="I46" s="97">
        <f>IFERROR(VLOOKUP(A46,'NU Hrly'!C:O,13,FALSE),0)</f>
        <v>0</v>
      </c>
      <c r="J46" s="97">
        <f>IFERROR(VLOOKUP(A46,'NU Slry'!G:P,10,FALSE),0)</f>
        <v>0</v>
      </c>
      <c r="K46" s="97">
        <f>IFERROR(VLOOKUP(A46,Union!$C:$AA,11,FALSE),0)+IFERROR(VLOOKUP(A46,Union!$C:$AA,12,FALSE),0)</f>
        <v>0</v>
      </c>
      <c r="L46" s="97">
        <f t="shared" si="1"/>
        <v>0</v>
      </c>
      <c r="M46" s="97">
        <f t="shared" si="6"/>
        <v>0</v>
      </c>
      <c r="N46" s="432">
        <f t="shared" si="3"/>
        <v>0</v>
      </c>
      <c r="O46" s="577">
        <f t="shared" si="4"/>
        <v>0</v>
      </c>
      <c r="P46" s="578"/>
      <c r="Q46" s="578"/>
    </row>
    <row r="47" spans="1:17">
      <c r="A47" s="713"/>
      <c r="B47" s="94" t="s">
        <v>216</v>
      </c>
      <c r="C47" s="94">
        <v>120206</v>
      </c>
      <c r="E47" s="94" t="s">
        <v>286</v>
      </c>
      <c r="F47" s="94" t="s">
        <v>58</v>
      </c>
      <c r="G47" s="94" t="s">
        <v>59</v>
      </c>
      <c r="H47" s="306">
        <v>5</v>
      </c>
      <c r="I47" s="97">
        <f>IFERROR(VLOOKUP(A47,'NU Hrly'!C:O,13,FALSE),0)</f>
        <v>0</v>
      </c>
      <c r="J47" s="97">
        <f>IFERROR(VLOOKUP(A47,'NU Slry'!G:P,10,FALSE),0)</f>
        <v>0</v>
      </c>
      <c r="K47" s="97">
        <f>IFERROR(VLOOKUP(A47,Union!$C:$AA,11,FALSE),0)+IFERROR(VLOOKUP(A47,Union!$C:$AA,12,FALSE),0)</f>
        <v>0</v>
      </c>
      <c r="L47" s="97">
        <f t="shared" si="1"/>
        <v>0</v>
      </c>
      <c r="M47" s="97">
        <f t="shared" si="6"/>
        <v>0</v>
      </c>
      <c r="N47" s="432">
        <f t="shared" si="3"/>
        <v>0</v>
      </c>
      <c r="O47" s="432">
        <f t="shared" si="4"/>
        <v>0</v>
      </c>
    </row>
    <row r="48" spans="1:17">
      <c r="A48" s="713"/>
      <c r="B48" s="94" t="s">
        <v>216</v>
      </c>
      <c r="C48" s="94">
        <v>120250</v>
      </c>
      <c r="E48" s="94" t="s">
        <v>256</v>
      </c>
      <c r="F48" s="94" t="s">
        <v>58</v>
      </c>
      <c r="G48" s="94" t="s">
        <v>59</v>
      </c>
      <c r="H48" s="306">
        <v>5</v>
      </c>
      <c r="I48" s="97">
        <f>IFERROR(VLOOKUP(A48,'NU Hrly'!C:O,13,FALSE),0)</f>
        <v>0</v>
      </c>
      <c r="J48" s="97">
        <f>IFERROR(VLOOKUP(A48,'NU Slry'!G:P,10,FALSE),0)</f>
        <v>0</v>
      </c>
      <c r="K48" s="97">
        <f>IFERROR(VLOOKUP(A48,Union!$C:$AA,11,FALSE),0)+IFERROR(VLOOKUP(A48,Union!$C:$AA,12,FALSE),0)</f>
        <v>0</v>
      </c>
      <c r="L48" s="97">
        <f t="shared" si="1"/>
        <v>0</v>
      </c>
      <c r="M48" s="97">
        <f t="shared" si="6"/>
        <v>0</v>
      </c>
      <c r="N48" s="432">
        <f t="shared" si="3"/>
        <v>0</v>
      </c>
      <c r="O48" s="432">
        <f t="shared" si="4"/>
        <v>0</v>
      </c>
    </row>
    <row r="49" spans="1:17">
      <c r="A49" s="713"/>
      <c r="B49" s="94" t="s">
        <v>6</v>
      </c>
      <c r="C49" s="94">
        <v>120217</v>
      </c>
      <c r="E49" s="94" t="s">
        <v>247</v>
      </c>
      <c r="F49" s="94" t="s">
        <v>58</v>
      </c>
      <c r="G49" s="94" t="s">
        <v>59</v>
      </c>
      <c r="H49" s="306">
        <v>5</v>
      </c>
      <c r="I49" s="97">
        <f>IFERROR(VLOOKUP(A49,'NU Hrly'!C:O,13,FALSE),0)</f>
        <v>0</v>
      </c>
      <c r="J49" s="97">
        <f>IFERROR(VLOOKUP(A49,'NU Slry'!G:P,10,FALSE),0)</f>
        <v>0</v>
      </c>
      <c r="K49" s="97">
        <f>IFERROR(VLOOKUP(A49,Union!$C:$AA,11,FALSE),0)+IFERROR(VLOOKUP(A49,Union!$C:$AA,12,FALSE),0)</f>
        <v>0</v>
      </c>
      <c r="L49" s="97">
        <f t="shared" si="1"/>
        <v>0</v>
      </c>
      <c r="M49" s="97">
        <f t="shared" si="6"/>
        <v>0</v>
      </c>
      <c r="N49" s="432">
        <f t="shared" si="3"/>
        <v>0</v>
      </c>
      <c r="O49" s="577">
        <f t="shared" si="4"/>
        <v>0</v>
      </c>
      <c r="P49" s="578"/>
      <c r="Q49" s="578"/>
    </row>
    <row r="50" spans="1:17">
      <c r="A50" s="713"/>
      <c r="B50" s="94" t="s">
        <v>216</v>
      </c>
      <c r="C50" s="94">
        <v>120206</v>
      </c>
      <c r="E50" s="94" t="s">
        <v>286</v>
      </c>
      <c r="F50" s="94" t="s">
        <v>58</v>
      </c>
      <c r="G50" s="94" t="s">
        <v>59</v>
      </c>
      <c r="H50" s="306">
        <v>5</v>
      </c>
      <c r="I50" s="97">
        <f>IFERROR(VLOOKUP(A50,'NU Hrly'!C:O,13,FALSE),0)</f>
        <v>0</v>
      </c>
      <c r="J50" s="97">
        <f>IFERROR(VLOOKUP(A50,'NU Slry'!G:P,10,FALSE),0)</f>
        <v>0</v>
      </c>
      <c r="K50" s="97">
        <f>IFERROR(VLOOKUP(A50,Union!$C:$AA,11,FALSE),0)+IFERROR(VLOOKUP(A50,Union!$C:$AA,12,FALSE),0)</f>
        <v>0</v>
      </c>
      <c r="L50" s="97">
        <f t="shared" si="1"/>
        <v>0</v>
      </c>
      <c r="M50" s="97">
        <f t="shared" si="6"/>
        <v>0</v>
      </c>
      <c r="N50" s="432">
        <f t="shared" si="3"/>
        <v>0</v>
      </c>
      <c r="O50" s="432">
        <f t="shared" si="4"/>
        <v>0</v>
      </c>
    </row>
    <row r="51" spans="1:17">
      <c r="A51" s="713"/>
      <c r="B51" s="94" t="s">
        <v>6</v>
      </c>
      <c r="C51" s="94">
        <v>120121</v>
      </c>
      <c r="E51" s="94" t="s">
        <v>18</v>
      </c>
      <c r="F51" s="94" t="s">
        <v>58</v>
      </c>
      <c r="G51" s="94" t="s">
        <v>59</v>
      </c>
      <c r="H51" s="306">
        <v>10</v>
      </c>
      <c r="I51" s="97">
        <f>IFERROR(VLOOKUP(A51,'NU Hrly'!C:O,13,FALSE),0)</f>
        <v>0</v>
      </c>
      <c r="J51" s="97">
        <f>IFERROR(VLOOKUP(A51,'NU Slry'!G:P,10,FALSE),0)</f>
        <v>0</v>
      </c>
      <c r="K51" s="97">
        <f>IFERROR(VLOOKUP(A51,Union!$C:$AA,11,FALSE),0)+IFERROR(VLOOKUP(A51,Union!$C:$AA,12,FALSE),0)</f>
        <v>0</v>
      </c>
      <c r="L51" s="97">
        <f t="shared" si="1"/>
        <v>0</v>
      </c>
      <c r="M51" s="97">
        <f t="shared" si="6"/>
        <v>0</v>
      </c>
      <c r="N51" s="432">
        <f t="shared" si="3"/>
        <v>0</v>
      </c>
      <c r="O51" s="577">
        <f t="shared" si="4"/>
        <v>0</v>
      </c>
      <c r="P51" s="578"/>
      <c r="Q51" s="578"/>
    </row>
    <row r="52" spans="1:17">
      <c r="A52" s="713"/>
      <c r="B52" s="94" t="s">
        <v>6</v>
      </c>
      <c r="C52" s="94">
        <v>120114</v>
      </c>
      <c r="E52" s="94" t="s">
        <v>9</v>
      </c>
      <c r="F52" s="94" t="s">
        <v>58</v>
      </c>
      <c r="G52" s="94" t="s">
        <v>59</v>
      </c>
      <c r="H52" s="306">
        <v>10</v>
      </c>
      <c r="I52" s="97">
        <f>IFERROR(VLOOKUP(A52,'NU Hrly'!C:O,13,FALSE),0)</f>
        <v>0</v>
      </c>
      <c r="J52" s="97">
        <f>IFERROR(VLOOKUP(A52,'NU Slry'!G:P,10,FALSE),0)</f>
        <v>0</v>
      </c>
      <c r="K52" s="97">
        <f>IFERROR(VLOOKUP(A52,Union!$C:$AA,11,FALSE),0)+IFERROR(VLOOKUP(A52,Union!$C:$AA,12,FALSE),0)</f>
        <v>0</v>
      </c>
      <c r="L52" s="97">
        <f t="shared" si="1"/>
        <v>0</v>
      </c>
      <c r="M52" s="97">
        <f t="shared" si="6"/>
        <v>0</v>
      </c>
      <c r="N52" s="432">
        <f t="shared" si="3"/>
        <v>0</v>
      </c>
      <c r="O52" s="577">
        <f t="shared" si="4"/>
        <v>0</v>
      </c>
      <c r="P52" s="578"/>
      <c r="Q52" s="578"/>
    </row>
    <row r="53" spans="1:17">
      <c r="A53" s="713"/>
      <c r="B53" s="94" t="s">
        <v>6</v>
      </c>
      <c r="C53" s="94">
        <v>120114</v>
      </c>
      <c r="E53" s="94" t="s">
        <v>9</v>
      </c>
      <c r="F53" s="94" t="s">
        <v>58</v>
      </c>
      <c r="G53" s="94" t="s">
        <v>59</v>
      </c>
      <c r="H53" s="306">
        <v>10</v>
      </c>
      <c r="I53" s="97">
        <f>IFERROR(VLOOKUP(A53,'NU Hrly'!C:O,13,FALSE),0)</f>
        <v>0</v>
      </c>
      <c r="J53" s="97">
        <f>IFERROR(VLOOKUP(A53,'NU Slry'!G:P,10,FALSE),0)</f>
        <v>0</v>
      </c>
      <c r="K53" s="97">
        <f>IFERROR(VLOOKUP(A53,Union!$C:$AA,11,FALSE),0)+IFERROR(VLOOKUP(A53,Union!$C:$AA,12,FALSE),0)</f>
        <v>0</v>
      </c>
      <c r="L53" s="97">
        <f t="shared" si="1"/>
        <v>0</v>
      </c>
      <c r="M53" s="97">
        <f t="shared" si="6"/>
        <v>0</v>
      </c>
      <c r="N53" s="432">
        <f t="shared" si="3"/>
        <v>0</v>
      </c>
      <c r="O53" s="577">
        <f t="shared" si="4"/>
        <v>0</v>
      </c>
      <c r="P53" s="578"/>
      <c r="Q53" s="578"/>
    </row>
    <row r="54" spans="1:17">
      <c r="A54" s="713"/>
      <c r="B54" s="94" t="s">
        <v>781</v>
      </c>
      <c r="C54" s="94">
        <v>120252</v>
      </c>
      <c r="E54" s="94" t="s">
        <v>357</v>
      </c>
      <c r="F54" s="94" t="s">
        <v>58</v>
      </c>
      <c r="G54" s="94" t="s">
        <v>59</v>
      </c>
      <c r="H54" s="306">
        <v>10</v>
      </c>
      <c r="I54" s="97">
        <f>IFERROR(VLOOKUP(A54,'NU Hrly'!C:O,13,FALSE),0)</f>
        <v>0</v>
      </c>
      <c r="J54" s="97">
        <f>IFERROR(VLOOKUP(A54,'NU Slry'!G:P,10,FALSE),0)</f>
        <v>0</v>
      </c>
      <c r="K54" s="97">
        <f>IFERROR(VLOOKUP(A54,Union!$C:$AA,11,FALSE),0)+IFERROR(VLOOKUP(A54,Union!$C:$AA,12,FALSE),0)</f>
        <v>0</v>
      </c>
      <c r="L54" s="97">
        <f t="shared" si="1"/>
        <v>0</v>
      </c>
      <c r="M54" s="97">
        <f t="shared" si="6"/>
        <v>0</v>
      </c>
      <c r="N54" s="432">
        <f t="shared" si="3"/>
        <v>0</v>
      </c>
      <c r="O54" s="577">
        <f t="shared" si="4"/>
        <v>0</v>
      </c>
      <c r="P54" s="578"/>
      <c r="Q54" s="578"/>
    </row>
    <row r="55" spans="1:17">
      <c r="A55" s="713"/>
      <c r="B55" s="94" t="s">
        <v>216</v>
      </c>
      <c r="C55" s="94">
        <v>120201</v>
      </c>
      <c r="E55" s="94" t="s">
        <v>264</v>
      </c>
      <c r="F55" s="94" t="s">
        <v>58</v>
      </c>
      <c r="G55" s="94" t="s">
        <v>59</v>
      </c>
      <c r="H55" s="306">
        <v>10</v>
      </c>
      <c r="I55" s="97">
        <f>IFERROR(VLOOKUP(A55,'NU Hrly'!C:O,13,FALSE),0)</f>
        <v>0</v>
      </c>
      <c r="J55" s="97">
        <f>IFERROR(VLOOKUP(A55,'NU Slry'!G:P,10,FALSE),0)</f>
        <v>0</v>
      </c>
      <c r="K55" s="97">
        <f>IFERROR(VLOOKUP(A55,Union!$C:$AA,11,FALSE),0)+IFERROR(VLOOKUP(A55,Union!$C:$AA,12,FALSE),0)</f>
        <v>0</v>
      </c>
      <c r="L55" s="97">
        <f t="shared" si="1"/>
        <v>0</v>
      </c>
      <c r="M55" s="97">
        <f t="shared" si="6"/>
        <v>0</v>
      </c>
      <c r="N55" s="432">
        <f t="shared" si="3"/>
        <v>0</v>
      </c>
      <c r="O55" s="432">
        <f t="shared" si="4"/>
        <v>0</v>
      </c>
    </row>
    <row r="56" spans="1:17">
      <c r="O56" s="579"/>
      <c r="P56" s="578"/>
      <c r="Q56" s="578"/>
    </row>
    <row r="57" spans="1:17">
      <c r="N57" s="575"/>
      <c r="O57" s="580"/>
      <c r="P57" s="578"/>
      <c r="Q57" s="578"/>
    </row>
    <row r="60" spans="1:17">
      <c r="O60" s="576"/>
    </row>
  </sheetData>
  <autoFilter ref="A5:O55"/>
  <pageMargins left="0.7" right="0.7" top="0.75" bottom="0.75" header="0.3" footer="0.3"/>
  <pageSetup scale="74" fitToHeight="0" orientation="landscape" r:id="rId1"/>
  <customProperties>
    <customPr name="_pios_id" r:id="rId2"/>
  </customPropertie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80" zoomScaleNormal="80" workbookViewId="0"/>
  </sheetViews>
  <sheetFormatPr defaultColWidth="8.88671875" defaultRowHeight="14.4"/>
  <cols>
    <col min="1" max="1" width="7.33203125" style="12" customWidth="1"/>
    <col min="2" max="2" width="10.44140625" style="12" customWidth="1"/>
    <col min="3" max="3" width="11.6640625" style="12" customWidth="1"/>
    <col min="4" max="5" width="14.109375" style="12" bestFit="1" customWidth="1"/>
    <col min="6" max="6" width="2.44140625" style="12" customWidth="1"/>
    <col min="7" max="7" width="14.109375" style="12" bestFit="1" customWidth="1"/>
    <col min="8" max="8" width="16.6640625" style="12" customWidth="1"/>
    <col min="9" max="9" width="1.6640625" style="12" customWidth="1"/>
    <col min="10" max="10" width="17.109375" style="12" customWidth="1"/>
    <col min="11" max="11" width="15.109375" style="12" customWidth="1"/>
    <col min="12" max="12" width="11" style="12" customWidth="1"/>
    <col min="13" max="13" width="13.33203125" style="12" bestFit="1" customWidth="1"/>
    <col min="14" max="14" width="9.33203125" style="12" bestFit="1" customWidth="1"/>
    <col min="15" max="16384" width="8.88671875" style="12"/>
  </cols>
  <sheetData>
    <row r="1" spans="1:14">
      <c r="A1" s="93" t="s">
        <v>431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4">
      <c r="A2" s="55" t="s">
        <v>1132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4">
      <c r="A3" s="581" t="s">
        <v>1067</v>
      </c>
      <c r="B3" s="55"/>
      <c r="C3" s="64"/>
      <c r="D3" s="64"/>
      <c r="E3" s="64"/>
      <c r="F3" s="64"/>
      <c r="G3" s="64"/>
      <c r="H3" s="64"/>
      <c r="I3" s="64"/>
      <c r="J3" s="69" t="s">
        <v>140</v>
      </c>
      <c r="K3" s="69" t="s">
        <v>141</v>
      </c>
      <c r="L3" s="64"/>
      <c r="M3" s="62" t="s">
        <v>13</v>
      </c>
    </row>
    <row r="4" spans="1:14">
      <c r="A4" s="64"/>
      <c r="B4" s="55"/>
      <c r="C4" s="64"/>
      <c r="D4" s="64"/>
      <c r="E4" s="64"/>
      <c r="F4" s="64"/>
      <c r="G4" s="64"/>
      <c r="H4" s="70" t="s">
        <v>104</v>
      </c>
      <c r="I4" s="63"/>
      <c r="J4" s="49">
        <f>AVERAGE(J11:J78)</f>
        <v>15200.327647058837</v>
      </c>
      <c r="K4" s="49">
        <f>AVERAGE(K11:K78)</f>
        <v>2687.0529411764714</v>
      </c>
      <c r="L4" s="64"/>
      <c r="M4" s="47">
        <f>J4+K4</f>
        <v>17887.380588235308</v>
      </c>
    </row>
    <row r="5" spans="1:14">
      <c r="A5" s="64"/>
      <c r="B5" s="64"/>
      <c r="C5" s="64"/>
      <c r="D5" s="64"/>
      <c r="E5" s="64"/>
      <c r="F5" s="64"/>
      <c r="G5" s="64"/>
      <c r="H5" s="70" t="s">
        <v>142</v>
      </c>
      <c r="I5" s="63"/>
      <c r="J5" s="57">
        <f>COUNTA(C11:C78)/71</f>
        <v>0</v>
      </c>
      <c r="K5" s="57">
        <f>J5</f>
        <v>0</v>
      </c>
      <c r="L5" s="64"/>
      <c r="M5" s="72"/>
    </row>
    <row r="6" spans="1:14">
      <c r="A6" s="64"/>
      <c r="B6" s="63"/>
      <c r="C6" s="63"/>
      <c r="D6" s="63"/>
      <c r="E6" s="63"/>
      <c r="F6" s="63"/>
      <c r="G6" s="63"/>
      <c r="H6" s="70" t="s">
        <v>143</v>
      </c>
      <c r="I6" s="63"/>
      <c r="J6" s="49">
        <f>J4*J5</f>
        <v>0</v>
      </c>
      <c r="K6" s="49">
        <f>K4*K5</f>
        <v>0</v>
      </c>
      <c r="L6" s="64"/>
      <c r="M6" s="47">
        <f>J6+K6</f>
        <v>0</v>
      </c>
    </row>
    <row r="8" spans="1:14">
      <c r="A8" s="64"/>
      <c r="B8" s="67"/>
      <c r="C8" s="702" t="s">
        <v>1134</v>
      </c>
      <c r="D8" s="67"/>
      <c r="E8" s="67"/>
      <c r="F8" s="67"/>
      <c r="G8" s="67"/>
      <c r="H8" s="67"/>
      <c r="I8" s="67"/>
      <c r="J8" s="67"/>
      <c r="K8" s="67"/>
      <c r="L8" s="64"/>
      <c r="M8" s="64"/>
    </row>
    <row r="9" spans="1:14" ht="14.4" customHeight="1">
      <c r="A9" s="65"/>
      <c r="B9" s="66"/>
      <c r="C9" s="66"/>
      <c r="D9" s="762" t="s">
        <v>66</v>
      </c>
      <c r="E9" s="762"/>
      <c r="F9" s="71"/>
      <c r="G9" s="762" t="s">
        <v>69</v>
      </c>
      <c r="H9" s="762"/>
      <c r="I9" s="66"/>
      <c r="J9" s="71"/>
      <c r="K9" s="71"/>
      <c r="L9" s="65"/>
      <c r="M9" s="61"/>
      <c r="N9" s="56"/>
    </row>
    <row r="10" spans="1:14" ht="43.95" customHeight="1">
      <c r="A10" s="68" t="s">
        <v>82</v>
      </c>
      <c r="B10" s="68" t="s">
        <v>150</v>
      </c>
      <c r="C10" s="68" t="s">
        <v>146</v>
      </c>
      <c r="D10" s="68" t="s">
        <v>147</v>
      </c>
      <c r="E10" s="68" t="s">
        <v>148</v>
      </c>
      <c r="F10" s="68"/>
      <c r="G10" s="68" t="s">
        <v>147</v>
      </c>
      <c r="H10" s="68" t="s">
        <v>148</v>
      </c>
      <c r="I10" s="68"/>
      <c r="J10" s="68" t="s">
        <v>144</v>
      </c>
      <c r="K10" s="68" t="s">
        <v>145</v>
      </c>
      <c r="L10" s="553" t="s">
        <v>1041</v>
      </c>
      <c r="M10" s="68" t="s">
        <v>149</v>
      </c>
      <c r="N10" s="56"/>
    </row>
    <row r="11" spans="1:14">
      <c r="A11" s="65">
        <v>1</v>
      </c>
      <c r="B11" s="63" t="s">
        <v>33</v>
      </c>
      <c r="C11" s="714"/>
      <c r="D11" s="60">
        <v>389.64</v>
      </c>
      <c r="E11" s="60">
        <v>74.040000000000006</v>
      </c>
      <c r="F11" s="60"/>
      <c r="G11" s="60">
        <v>6650.28</v>
      </c>
      <c r="H11" s="60">
        <v>1173.5999999999999</v>
      </c>
      <c r="I11" s="60"/>
      <c r="J11" s="60">
        <f>D11+G11</f>
        <v>7039.92</v>
      </c>
      <c r="K11" s="60">
        <f>E11+H11</f>
        <v>1247.6399999999999</v>
      </c>
      <c r="L11" s="58"/>
      <c r="M11" s="58">
        <f>J11+K11+L11</f>
        <v>8287.56</v>
      </c>
    </row>
    <row r="12" spans="1:14">
      <c r="A12" s="65">
        <f>A11+1</f>
        <v>2</v>
      </c>
      <c r="B12" s="63" t="s">
        <v>33</v>
      </c>
      <c r="C12" s="714"/>
      <c r="D12" s="52">
        <v>389.64</v>
      </c>
      <c r="E12" s="52">
        <v>74.040000000000006</v>
      </c>
      <c r="F12" s="52"/>
      <c r="G12" s="52">
        <v>6650.28</v>
      </c>
      <c r="H12" s="52">
        <v>1173.5999999999999</v>
      </c>
      <c r="I12" s="52"/>
      <c r="J12" s="52">
        <f>D12+G12</f>
        <v>7039.92</v>
      </c>
      <c r="K12" s="52">
        <f>E12+H12</f>
        <v>1247.6399999999999</v>
      </c>
      <c r="L12" s="50"/>
      <c r="M12" s="50">
        <f>J12+K12+L12</f>
        <v>8287.56</v>
      </c>
    </row>
    <row r="13" spans="1:14">
      <c r="A13" s="65">
        <f t="shared" ref="A13:A76" si="0">A12+1</f>
        <v>3</v>
      </c>
      <c r="B13" s="63" t="s">
        <v>33</v>
      </c>
      <c r="C13" s="714"/>
      <c r="D13" s="52">
        <v>389.64</v>
      </c>
      <c r="E13" s="52">
        <v>74.040000000000006</v>
      </c>
      <c r="F13" s="52"/>
      <c r="G13" s="52">
        <v>6650.28</v>
      </c>
      <c r="H13" s="52">
        <v>1173.5999999999999</v>
      </c>
      <c r="I13" s="52"/>
      <c r="J13" s="52">
        <f t="shared" ref="J13:K74" si="1">D13+G13</f>
        <v>7039.92</v>
      </c>
      <c r="K13" s="52">
        <f t="shared" si="1"/>
        <v>1247.6399999999999</v>
      </c>
      <c r="L13" s="50"/>
      <c r="M13" s="50">
        <f t="shared" ref="M13:M76" si="2">J13+K13+L13</f>
        <v>8287.56</v>
      </c>
      <c r="N13" s="48"/>
    </row>
    <row r="14" spans="1:14">
      <c r="A14" s="65">
        <f t="shared" si="0"/>
        <v>4</v>
      </c>
      <c r="B14" s="63" t="s">
        <v>33</v>
      </c>
      <c r="C14" s="714"/>
      <c r="D14" s="52">
        <v>389.64</v>
      </c>
      <c r="E14" s="52">
        <v>74.040000000000006</v>
      </c>
      <c r="F14" s="52"/>
      <c r="G14" s="52">
        <v>6650.28</v>
      </c>
      <c r="H14" s="52">
        <v>1173.5999999999999</v>
      </c>
      <c r="I14" s="52"/>
      <c r="J14" s="52">
        <f t="shared" si="1"/>
        <v>7039.92</v>
      </c>
      <c r="K14" s="52">
        <f t="shared" si="1"/>
        <v>1247.6399999999999</v>
      </c>
      <c r="L14" s="50"/>
      <c r="M14" s="50">
        <f t="shared" si="2"/>
        <v>8287.56</v>
      </c>
      <c r="N14" s="48"/>
    </row>
    <row r="15" spans="1:14">
      <c r="A15" s="65">
        <f t="shared" si="0"/>
        <v>5</v>
      </c>
      <c r="B15" s="63" t="s">
        <v>33</v>
      </c>
      <c r="C15" s="714"/>
      <c r="D15" s="52">
        <v>389.64</v>
      </c>
      <c r="E15" s="52">
        <v>74.040000000000006</v>
      </c>
      <c r="F15" s="52"/>
      <c r="G15" s="52">
        <v>6650.28</v>
      </c>
      <c r="H15" s="52">
        <v>1173.5999999999999</v>
      </c>
      <c r="I15" s="52"/>
      <c r="J15" s="52">
        <f t="shared" si="1"/>
        <v>7039.92</v>
      </c>
      <c r="K15" s="52">
        <f t="shared" si="1"/>
        <v>1247.6399999999999</v>
      </c>
      <c r="L15" s="50"/>
      <c r="M15" s="50">
        <f t="shared" si="2"/>
        <v>8287.56</v>
      </c>
      <c r="N15" s="48"/>
    </row>
    <row r="16" spans="1:14">
      <c r="A16" s="65">
        <f t="shared" si="0"/>
        <v>6</v>
      </c>
      <c r="B16" s="63" t="s">
        <v>33</v>
      </c>
      <c r="C16" s="714"/>
      <c r="D16" s="52">
        <v>389.64</v>
      </c>
      <c r="E16" s="52">
        <v>74.040000000000006</v>
      </c>
      <c r="F16" s="52"/>
      <c r="G16" s="52">
        <v>6650.28</v>
      </c>
      <c r="H16" s="52">
        <v>1173.5999999999999</v>
      </c>
      <c r="I16" s="52"/>
      <c r="J16" s="52">
        <f t="shared" si="1"/>
        <v>7039.92</v>
      </c>
      <c r="K16" s="52">
        <f t="shared" si="1"/>
        <v>1247.6399999999999</v>
      </c>
      <c r="L16" s="50"/>
      <c r="M16" s="50">
        <f t="shared" si="2"/>
        <v>8287.56</v>
      </c>
      <c r="N16" s="48"/>
    </row>
    <row r="17" spans="1:14">
      <c r="A17" s="65">
        <f t="shared" si="0"/>
        <v>7</v>
      </c>
      <c r="B17" s="63" t="s">
        <v>33</v>
      </c>
      <c r="C17" s="714"/>
      <c r="D17" s="52">
        <v>389.64</v>
      </c>
      <c r="E17" s="52">
        <v>74.040000000000006</v>
      </c>
      <c r="F17" s="52"/>
      <c r="G17" s="52">
        <v>15295.68</v>
      </c>
      <c r="H17" s="52">
        <v>2699.28</v>
      </c>
      <c r="I17" s="52"/>
      <c r="J17" s="52">
        <f t="shared" si="1"/>
        <v>15685.32</v>
      </c>
      <c r="K17" s="52">
        <f t="shared" si="1"/>
        <v>2773.32</v>
      </c>
      <c r="L17" s="50"/>
      <c r="M17" s="50">
        <f>J17+K17+L17</f>
        <v>18458.64</v>
      </c>
      <c r="N17" s="48"/>
    </row>
    <row r="18" spans="1:14">
      <c r="A18" s="65">
        <f t="shared" si="0"/>
        <v>8</v>
      </c>
      <c r="B18" s="63" t="s">
        <v>33</v>
      </c>
      <c r="C18" s="714"/>
      <c r="D18" s="52">
        <v>389.64</v>
      </c>
      <c r="E18" s="52">
        <v>74.040000000000006</v>
      </c>
      <c r="F18" s="52"/>
      <c r="G18" s="52">
        <v>6650.28</v>
      </c>
      <c r="H18" s="52">
        <v>1173.5999999999999</v>
      </c>
      <c r="I18" s="52"/>
      <c r="J18" s="52">
        <f t="shared" si="1"/>
        <v>7039.92</v>
      </c>
      <c r="K18" s="52">
        <f t="shared" si="1"/>
        <v>1247.6399999999999</v>
      </c>
      <c r="L18" s="50"/>
      <c r="M18" s="50">
        <f t="shared" si="2"/>
        <v>8287.56</v>
      </c>
      <c r="N18" s="48"/>
    </row>
    <row r="19" spans="1:14">
      <c r="A19" s="65">
        <f t="shared" si="0"/>
        <v>9</v>
      </c>
      <c r="B19" s="63" t="s">
        <v>33</v>
      </c>
      <c r="C19" s="714"/>
      <c r="D19" s="52">
        <v>389.64</v>
      </c>
      <c r="E19" s="52">
        <v>74.040000000000006</v>
      </c>
      <c r="F19" s="52"/>
      <c r="G19" s="52">
        <v>6650.28</v>
      </c>
      <c r="H19" s="52">
        <v>1173.5999999999999</v>
      </c>
      <c r="I19" s="52"/>
      <c r="J19" s="52">
        <f t="shared" si="1"/>
        <v>7039.92</v>
      </c>
      <c r="K19" s="52">
        <f t="shared" si="1"/>
        <v>1247.6399999999999</v>
      </c>
      <c r="L19" s="50"/>
      <c r="M19" s="50">
        <f t="shared" si="2"/>
        <v>8287.56</v>
      </c>
      <c r="N19" s="48"/>
    </row>
    <row r="20" spans="1:14">
      <c r="A20" s="65">
        <f t="shared" si="0"/>
        <v>10</v>
      </c>
      <c r="B20" s="63" t="s">
        <v>33</v>
      </c>
      <c r="C20" s="714"/>
      <c r="D20" s="52">
        <v>389.64</v>
      </c>
      <c r="E20" s="52">
        <v>74.040000000000006</v>
      </c>
      <c r="F20" s="52"/>
      <c r="G20" s="52">
        <v>6650.28</v>
      </c>
      <c r="H20" s="52">
        <v>1173.5999999999999</v>
      </c>
      <c r="I20" s="52"/>
      <c r="J20" s="52">
        <f t="shared" si="1"/>
        <v>7039.92</v>
      </c>
      <c r="K20" s="52">
        <f t="shared" si="1"/>
        <v>1247.6399999999999</v>
      </c>
      <c r="L20" s="50"/>
      <c r="M20" s="50">
        <f t="shared" si="2"/>
        <v>8287.56</v>
      </c>
      <c r="N20" s="48"/>
    </row>
    <row r="21" spans="1:14">
      <c r="A21" s="65">
        <f t="shared" si="0"/>
        <v>11</v>
      </c>
      <c r="B21" s="63" t="s">
        <v>33</v>
      </c>
      <c r="C21" s="714"/>
      <c r="D21" s="52">
        <v>389.64</v>
      </c>
      <c r="E21" s="52">
        <v>74.040000000000006</v>
      </c>
      <c r="F21" s="52"/>
      <c r="G21" s="52">
        <v>6650.28</v>
      </c>
      <c r="H21" s="52">
        <v>1173.5999999999999</v>
      </c>
      <c r="I21" s="52"/>
      <c r="J21" s="52">
        <f t="shared" si="1"/>
        <v>7039.92</v>
      </c>
      <c r="K21" s="52">
        <f t="shared" si="1"/>
        <v>1247.6399999999999</v>
      </c>
      <c r="L21" s="50"/>
      <c r="M21" s="50">
        <f t="shared" si="2"/>
        <v>8287.56</v>
      </c>
      <c r="N21" s="48"/>
    </row>
    <row r="22" spans="1:14">
      <c r="A22" s="65">
        <f t="shared" si="0"/>
        <v>12</v>
      </c>
      <c r="B22" s="63" t="s">
        <v>33</v>
      </c>
      <c r="C22" s="714"/>
      <c r="D22" s="52">
        <v>389.64</v>
      </c>
      <c r="E22" s="52">
        <v>74.040000000000006</v>
      </c>
      <c r="F22" s="52"/>
      <c r="G22" s="52">
        <v>6650.28</v>
      </c>
      <c r="H22" s="52">
        <v>1173.5999999999999</v>
      </c>
      <c r="I22" s="52"/>
      <c r="J22" s="52">
        <f t="shared" si="1"/>
        <v>7039.92</v>
      </c>
      <c r="K22" s="52">
        <f t="shared" si="1"/>
        <v>1247.6399999999999</v>
      </c>
      <c r="L22" s="50"/>
      <c r="M22" s="50">
        <f t="shared" si="2"/>
        <v>8287.56</v>
      </c>
      <c r="N22" s="48"/>
    </row>
    <row r="23" spans="1:14">
      <c r="A23" s="65">
        <f t="shared" si="0"/>
        <v>13</v>
      </c>
      <c r="B23" s="63" t="s">
        <v>33</v>
      </c>
      <c r="C23" s="714"/>
      <c r="D23" s="52">
        <v>389.64</v>
      </c>
      <c r="E23" s="52">
        <v>74.040000000000006</v>
      </c>
      <c r="F23" s="52"/>
      <c r="G23" s="52">
        <v>6650.28</v>
      </c>
      <c r="H23" s="52">
        <v>726.6</v>
      </c>
      <c r="I23" s="52"/>
      <c r="J23" s="52">
        <f t="shared" si="1"/>
        <v>7039.92</v>
      </c>
      <c r="K23" s="52">
        <f t="shared" si="1"/>
        <v>800.64</v>
      </c>
      <c r="L23" s="50">
        <v>750</v>
      </c>
      <c r="M23" s="50">
        <f>J23+K23+L23</f>
        <v>8590.5600000000013</v>
      </c>
      <c r="N23" s="48"/>
    </row>
    <row r="24" spans="1:14">
      <c r="A24" s="65">
        <f t="shared" si="0"/>
        <v>14</v>
      </c>
      <c r="B24" s="63" t="s">
        <v>33</v>
      </c>
      <c r="C24" s="714"/>
      <c r="D24" s="52">
        <v>389.64</v>
      </c>
      <c r="E24" s="52">
        <v>74.040000000000006</v>
      </c>
      <c r="F24" s="52"/>
      <c r="G24" s="52">
        <v>6650.28</v>
      </c>
      <c r="H24" s="52">
        <v>1173.5999999999999</v>
      </c>
      <c r="I24" s="52"/>
      <c r="J24" s="52">
        <f t="shared" si="1"/>
        <v>7039.92</v>
      </c>
      <c r="K24" s="52">
        <f t="shared" si="1"/>
        <v>1247.6399999999999</v>
      </c>
      <c r="L24" s="50"/>
      <c r="M24" s="50">
        <f t="shared" si="2"/>
        <v>8287.56</v>
      </c>
      <c r="N24" s="48"/>
    </row>
    <row r="25" spans="1:14">
      <c r="A25" s="65">
        <f t="shared" si="0"/>
        <v>15</v>
      </c>
      <c r="B25" s="63" t="s">
        <v>33</v>
      </c>
      <c r="C25" s="714"/>
      <c r="D25" s="52">
        <v>389.64</v>
      </c>
      <c r="E25" s="52">
        <v>74.040000000000006</v>
      </c>
      <c r="F25" s="52"/>
      <c r="G25" s="52">
        <v>6650.28</v>
      </c>
      <c r="H25" s="52">
        <v>1173.5999999999999</v>
      </c>
      <c r="I25" s="52"/>
      <c r="J25" s="52">
        <f t="shared" si="1"/>
        <v>7039.92</v>
      </c>
      <c r="K25" s="52">
        <f t="shared" si="1"/>
        <v>1247.6399999999999</v>
      </c>
      <c r="L25" s="50"/>
      <c r="M25" s="50">
        <f t="shared" si="2"/>
        <v>8287.56</v>
      </c>
      <c r="N25" s="48"/>
    </row>
    <row r="26" spans="1:14">
      <c r="A26" s="65">
        <f t="shared" si="0"/>
        <v>16</v>
      </c>
      <c r="B26" s="63" t="s">
        <v>33</v>
      </c>
      <c r="C26" s="714"/>
      <c r="D26" s="52">
        <v>389.64</v>
      </c>
      <c r="E26" s="52">
        <v>74.040000000000006</v>
      </c>
      <c r="F26" s="52"/>
      <c r="G26" s="52">
        <v>6650.28</v>
      </c>
      <c r="H26" s="52">
        <v>1173.5999999999999</v>
      </c>
      <c r="I26" s="52"/>
      <c r="J26" s="52">
        <f t="shared" si="1"/>
        <v>7039.92</v>
      </c>
      <c r="K26" s="52">
        <f t="shared" si="1"/>
        <v>1247.6399999999999</v>
      </c>
      <c r="L26" s="50"/>
      <c r="M26" s="50">
        <f t="shared" si="2"/>
        <v>8287.56</v>
      </c>
      <c r="N26" s="48"/>
    </row>
    <row r="27" spans="1:14">
      <c r="A27" s="65">
        <f t="shared" si="0"/>
        <v>17</v>
      </c>
      <c r="B27" s="63" t="s">
        <v>33</v>
      </c>
      <c r="C27" s="714"/>
      <c r="D27" s="52">
        <v>389.64</v>
      </c>
      <c r="E27" s="52">
        <v>74.040000000000006</v>
      </c>
      <c r="F27" s="52"/>
      <c r="G27" s="52">
        <v>6650.28</v>
      </c>
      <c r="H27" s="52">
        <v>1173.5999999999999</v>
      </c>
      <c r="I27" s="52"/>
      <c r="J27" s="52">
        <f t="shared" si="1"/>
        <v>7039.92</v>
      </c>
      <c r="K27" s="52">
        <f t="shared" si="1"/>
        <v>1247.6399999999999</v>
      </c>
      <c r="L27" s="50"/>
      <c r="M27" s="50">
        <f t="shared" si="2"/>
        <v>8287.56</v>
      </c>
      <c r="N27" s="48"/>
    </row>
    <row r="28" spans="1:14">
      <c r="A28" s="65">
        <f t="shared" si="0"/>
        <v>18</v>
      </c>
      <c r="B28" s="63" t="s">
        <v>33</v>
      </c>
      <c r="C28" s="714"/>
      <c r="D28" s="52">
        <v>857.16</v>
      </c>
      <c r="E28" s="52">
        <v>162.84</v>
      </c>
      <c r="F28" s="52"/>
      <c r="G28" s="52">
        <v>14630.64</v>
      </c>
      <c r="H28" s="52">
        <v>2581.92</v>
      </c>
      <c r="I28" s="52"/>
      <c r="J28" s="52">
        <f t="shared" si="1"/>
        <v>15487.8</v>
      </c>
      <c r="K28" s="52">
        <f t="shared" si="1"/>
        <v>2744.76</v>
      </c>
      <c r="L28" s="50"/>
      <c r="M28" s="50">
        <f t="shared" si="2"/>
        <v>18232.559999999998</v>
      </c>
      <c r="N28" s="48"/>
    </row>
    <row r="29" spans="1:14">
      <c r="A29" s="65">
        <f t="shared" si="0"/>
        <v>19</v>
      </c>
      <c r="B29" s="63" t="s">
        <v>33</v>
      </c>
      <c r="C29" s="714"/>
      <c r="D29" s="52">
        <v>857.16</v>
      </c>
      <c r="E29" s="52">
        <v>162.84</v>
      </c>
      <c r="F29" s="52"/>
      <c r="G29" s="52">
        <v>14630.64</v>
      </c>
      <c r="H29" s="52">
        <v>2581.92</v>
      </c>
      <c r="I29" s="52"/>
      <c r="J29" s="52">
        <f t="shared" si="1"/>
        <v>15487.8</v>
      </c>
      <c r="K29" s="52">
        <f t="shared" si="1"/>
        <v>2744.76</v>
      </c>
      <c r="L29" s="50"/>
      <c r="M29" s="50">
        <f t="shared" si="2"/>
        <v>18232.559999999998</v>
      </c>
      <c r="N29" s="48"/>
    </row>
    <row r="30" spans="1:14">
      <c r="A30" s="65">
        <f t="shared" si="0"/>
        <v>20</v>
      </c>
      <c r="B30" s="63" t="s">
        <v>33</v>
      </c>
      <c r="C30" s="714"/>
      <c r="D30" s="52">
        <v>857.16</v>
      </c>
      <c r="E30" s="52">
        <v>162.84</v>
      </c>
      <c r="F30" s="52"/>
      <c r="G30" s="52">
        <v>14630.64</v>
      </c>
      <c r="H30" s="52">
        <v>2581.92</v>
      </c>
      <c r="I30" s="52"/>
      <c r="J30" s="52">
        <f t="shared" si="1"/>
        <v>15487.8</v>
      </c>
      <c r="K30" s="52">
        <f t="shared" si="1"/>
        <v>2744.76</v>
      </c>
      <c r="L30" s="50"/>
      <c r="M30" s="50">
        <f t="shared" si="2"/>
        <v>18232.559999999998</v>
      </c>
      <c r="N30" s="48"/>
    </row>
    <row r="31" spans="1:14">
      <c r="A31" s="65">
        <f t="shared" si="0"/>
        <v>21</v>
      </c>
      <c r="B31" s="63" t="s">
        <v>33</v>
      </c>
      <c r="C31" s="714"/>
      <c r="D31" s="52">
        <v>857.16</v>
      </c>
      <c r="E31" s="52">
        <v>162.84</v>
      </c>
      <c r="F31" s="52"/>
      <c r="G31" s="52">
        <v>14630.64</v>
      </c>
      <c r="H31" s="52">
        <v>2581.92</v>
      </c>
      <c r="I31" s="52"/>
      <c r="J31" s="52">
        <f t="shared" si="1"/>
        <v>15487.8</v>
      </c>
      <c r="K31" s="52">
        <f t="shared" si="1"/>
        <v>2744.76</v>
      </c>
      <c r="L31" s="50"/>
      <c r="M31" s="50">
        <f t="shared" si="2"/>
        <v>18232.559999999998</v>
      </c>
      <c r="N31" s="48"/>
    </row>
    <row r="32" spans="1:14">
      <c r="A32" s="65">
        <f t="shared" si="0"/>
        <v>22</v>
      </c>
      <c r="B32" s="63" t="s">
        <v>33</v>
      </c>
      <c r="C32" s="714"/>
      <c r="D32" s="52">
        <v>857.16</v>
      </c>
      <c r="E32" s="52">
        <v>162.84</v>
      </c>
      <c r="F32" s="52"/>
      <c r="G32" s="52">
        <v>14630.64</v>
      </c>
      <c r="H32" s="52">
        <v>2581.92</v>
      </c>
      <c r="I32" s="52"/>
      <c r="J32" s="52">
        <f t="shared" si="1"/>
        <v>15487.8</v>
      </c>
      <c r="K32" s="52">
        <f t="shared" si="1"/>
        <v>2744.76</v>
      </c>
      <c r="L32" s="50"/>
      <c r="M32" s="50">
        <f t="shared" si="2"/>
        <v>18232.559999999998</v>
      </c>
      <c r="N32" s="48"/>
    </row>
    <row r="33" spans="1:14">
      <c r="A33" s="65">
        <f t="shared" si="0"/>
        <v>23</v>
      </c>
      <c r="B33" s="63" t="s">
        <v>33</v>
      </c>
      <c r="C33" s="714"/>
      <c r="D33" s="52">
        <v>857.16</v>
      </c>
      <c r="E33" s="52">
        <v>162.84</v>
      </c>
      <c r="F33" s="52"/>
      <c r="G33" s="52">
        <v>6650.28</v>
      </c>
      <c r="H33" s="52">
        <v>1173.5999999999999</v>
      </c>
      <c r="I33" s="52"/>
      <c r="J33" s="52">
        <f t="shared" si="1"/>
        <v>7507.44</v>
      </c>
      <c r="K33" s="52">
        <f t="shared" si="1"/>
        <v>1336.4399999999998</v>
      </c>
      <c r="L33" s="50"/>
      <c r="M33" s="50">
        <f t="shared" si="2"/>
        <v>8843.8799999999992</v>
      </c>
      <c r="N33" s="48"/>
    </row>
    <row r="34" spans="1:14">
      <c r="A34" s="65">
        <f t="shared" si="0"/>
        <v>24</v>
      </c>
      <c r="B34" s="63" t="s">
        <v>33</v>
      </c>
      <c r="C34" s="714"/>
      <c r="D34" s="52">
        <v>857.16</v>
      </c>
      <c r="E34" s="52">
        <v>162.84</v>
      </c>
      <c r="F34" s="52"/>
      <c r="G34" s="52">
        <v>6650.28</v>
      </c>
      <c r="H34" s="52">
        <v>1173.5999999999999</v>
      </c>
      <c r="I34" s="52"/>
      <c r="J34" s="52">
        <f t="shared" si="1"/>
        <v>7507.44</v>
      </c>
      <c r="K34" s="52">
        <f t="shared" si="1"/>
        <v>1336.4399999999998</v>
      </c>
      <c r="L34" s="50"/>
      <c r="M34" s="50">
        <f t="shared" si="2"/>
        <v>8843.8799999999992</v>
      </c>
      <c r="N34" s="48"/>
    </row>
    <row r="35" spans="1:14">
      <c r="A35" s="65">
        <f t="shared" si="0"/>
        <v>25</v>
      </c>
      <c r="B35" s="63" t="s">
        <v>33</v>
      </c>
      <c r="C35" s="714"/>
      <c r="D35" s="52">
        <v>857.16</v>
      </c>
      <c r="E35" s="52">
        <v>162.84</v>
      </c>
      <c r="F35" s="52"/>
      <c r="G35" s="52">
        <v>14630.64</v>
      </c>
      <c r="H35" s="52">
        <v>2581.92</v>
      </c>
      <c r="I35" s="52"/>
      <c r="J35" s="52">
        <f t="shared" si="1"/>
        <v>15487.8</v>
      </c>
      <c r="K35" s="52">
        <f t="shared" si="1"/>
        <v>2744.76</v>
      </c>
      <c r="L35" s="50"/>
      <c r="M35" s="50">
        <f t="shared" si="2"/>
        <v>18232.559999999998</v>
      </c>
      <c r="N35" s="48"/>
    </row>
    <row r="36" spans="1:14">
      <c r="A36" s="65">
        <f t="shared" si="0"/>
        <v>26</v>
      </c>
      <c r="B36" s="63" t="s">
        <v>33</v>
      </c>
      <c r="C36" s="714"/>
      <c r="D36" s="52">
        <v>857.16</v>
      </c>
      <c r="E36" s="52">
        <v>162.84</v>
      </c>
      <c r="F36" s="52"/>
      <c r="G36" s="52">
        <v>14630.64</v>
      </c>
      <c r="H36" s="52">
        <v>2581.92</v>
      </c>
      <c r="I36" s="52"/>
      <c r="J36" s="52">
        <f t="shared" si="1"/>
        <v>15487.8</v>
      </c>
      <c r="K36" s="52">
        <f t="shared" si="1"/>
        <v>2744.76</v>
      </c>
      <c r="L36" s="50"/>
      <c r="M36" s="50">
        <f t="shared" si="2"/>
        <v>18232.559999999998</v>
      </c>
      <c r="N36" s="48"/>
    </row>
    <row r="37" spans="1:14">
      <c r="A37" s="65">
        <f t="shared" si="0"/>
        <v>27</v>
      </c>
      <c r="B37" s="63" t="s">
        <v>33</v>
      </c>
      <c r="C37" s="714"/>
      <c r="D37" s="52">
        <v>857.16</v>
      </c>
      <c r="E37" s="52">
        <v>162.84</v>
      </c>
      <c r="F37" s="52"/>
      <c r="G37" s="52">
        <v>14630.64</v>
      </c>
      <c r="H37" s="52">
        <v>2581.92</v>
      </c>
      <c r="I37" s="52"/>
      <c r="J37" s="52">
        <f t="shared" si="1"/>
        <v>15487.8</v>
      </c>
      <c r="K37" s="52">
        <f t="shared" si="1"/>
        <v>2744.76</v>
      </c>
      <c r="L37" s="50"/>
      <c r="M37" s="50">
        <f t="shared" si="2"/>
        <v>18232.559999999998</v>
      </c>
      <c r="N37" s="48"/>
    </row>
    <row r="38" spans="1:14">
      <c r="A38" s="65">
        <f t="shared" si="0"/>
        <v>28</v>
      </c>
      <c r="B38" s="63" t="s">
        <v>33</v>
      </c>
      <c r="C38" s="714"/>
      <c r="D38" s="52">
        <v>857.16</v>
      </c>
      <c r="E38" s="52">
        <v>162.84</v>
      </c>
      <c r="F38" s="52"/>
      <c r="G38" s="52">
        <v>14630.64</v>
      </c>
      <c r="H38" s="52">
        <v>2581.92</v>
      </c>
      <c r="I38" s="52"/>
      <c r="J38" s="52">
        <f t="shared" si="1"/>
        <v>15487.8</v>
      </c>
      <c r="K38" s="52">
        <f t="shared" si="1"/>
        <v>2744.76</v>
      </c>
      <c r="L38" s="50"/>
      <c r="M38" s="50">
        <f t="shared" si="2"/>
        <v>18232.559999999998</v>
      </c>
      <c r="N38" s="48"/>
    </row>
    <row r="39" spans="1:14">
      <c r="A39" s="65">
        <f t="shared" si="0"/>
        <v>29</v>
      </c>
      <c r="B39" s="63" t="s">
        <v>33</v>
      </c>
      <c r="C39" s="714"/>
      <c r="D39" s="52">
        <v>857.16</v>
      </c>
      <c r="E39" s="52">
        <v>162.84</v>
      </c>
      <c r="F39" s="52"/>
      <c r="G39" s="52">
        <v>14630.64</v>
      </c>
      <c r="H39" s="52">
        <v>2581.92</v>
      </c>
      <c r="I39" s="52"/>
      <c r="J39" s="52">
        <f t="shared" si="1"/>
        <v>15487.8</v>
      </c>
      <c r="K39" s="52">
        <f t="shared" si="1"/>
        <v>2744.76</v>
      </c>
      <c r="L39" s="50"/>
      <c r="M39" s="50">
        <f t="shared" si="2"/>
        <v>18232.559999999998</v>
      </c>
      <c r="N39" s="48"/>
    </row>
    <row r="40" spans="1:14">
      <c r="A40" s="65">
        <f t="shared" si="0"/>
        <v>30</v>
      </c>
      <c r="B40" s="63" t="s">
        <v>33</v>
      </c>
      <c r="C40" s="714"/>
      <c r="D40" s="52">
        <v>857.16</v>
      </c>
      <c r="E40" s="52">
        <v>162.84</v>
      </c>
      <c r="F40" s="52"/>
      <c r="G40" s="52">
        <v>14630.64</v>
      </c>
      <c r="H40" s="52">
        <v>2581.92</v>
      </c>
      <c r="I40" s="52"/>
      <c r="J40" s="52">
        <f t="shared" si="1"/>
        <v>15487.8</v>
      </c>
      <c r="K40" s="52">
        <f t="shared" si="1"/>
        <v>2744.76</v>
      </c>
      <c r="L40" s="50"/>
      <c r="M40" s="50">
        <f t="shared" si="2"/>
        <v>18232.559999999998</v>
      </c>
      <c r="N40" s="48"/>
    </row>
    <row r="41" spans="1:14">
      <c r="A41" s="65">
        <f t="shared" si="0"/>
        <v>31</v>
      </c>
      <c r="B41" s="63" t="s">
        <v>33</v>
      </c>
      <c r="C41" s="714"/>
      <c r="D41" s="52">
        <v>857.16</v>
      </c>
      <c r="E41" s="52">
        <v>162.84</v>
      </c>
      <c r="F41" s="52"/>
      <c r="G41" s="52">
        <v>14630.64</v>
      </c>
      <c r="H41" s="52">
        <v>2581.92</v>
      </c>
      <c r="I41" s="52"/>
      <c r="J41" s="52">
        <f t="shared" si="1"/>
        <v>15487.8</v>
      </c>
      <c r="K41" s="52">
        <f t="shared" si="1"/>
        <v>2744.76</v>
      </c>
      <c r="L41" s="50"/>
      <c r="M41" s="50">
        <f t="shared" si="2"/>
        <v>18232.559999999998</v>
      </c>
      <c r="N41" s="48"/>
    </row>
    <row r="42" spans="1:14">
      <c r="A42" s="65">
        <f t="shared" si="0"/>
        <v>32</v>
      </c>
      <c r="B42" s="63" t="s">
        <v>33</v>
      </c>
      <c r="C42" s="714"/>
      <c r="D42" s="52">
        <v>896.28</v>
      </c>
      <c r="E42" s="52">
        <v>170.2</v>
      </c>
      <c r="F42" s="52"/>
      <c r="G42" s="52">
        <v>15295.68</v>
      </c>
      <c r="H42" s="52">
        <v>2699.28</v>
      </c>
      <c r="I42" s="52"/>
      <c r="J42" s="52">
        <f t="shared" si="1"/>
        <v>16191.960000000001</v>
      </c>
      <c r="K42" s="52">
        <f t="shared" si="1"/>
        <v>2869.48</v>
      </c>
      <c r="L42" s="50"/>
      <c r="M42" s="50">
        <f t="shared" si="2"/>
        <v>19061.440000000002</v>
      </c>
      <c r="N42" s="48"/>
    </row>
    <row r="43" spans="1:14">
      <c r="A43" s="65">
        <f t="shared" si="0"/>
        <v>33</v>
      </c>
      <c r="B43" s="63" t="s">
        <v>33</v>
      </c>
      <c r="C43" s="714"/>
      <c r="D43" s="52">
        <v>896.28</v>
      </c>
      <c r="E43" s="52">
        <v>170.2</v>
      </c>
      <c r="F43" s="52"/>
      <c r="G43" s="52">
        <v>6650.28</v>
      </c>
      <c r="H43" s="52">
        <v>1173.5999999999999</v>
      </c>
      <c r="I43" s="52"/>
      <c r="J43" s="52">
        <f t="shared" si="1"/>
        <v>7546.5599999999995</v>
      </c>
      <c r="K43" s="52">
        <f t="shared" si="1"/>
        <v>1343.8</v>
      </c>
      <c r="L43" s="50"/>
      <c r="M43" s="50">
        <f t="shared" si="2"/>
        <v>8890.3599999999988</v>
      </c>
      <c r="N43" s="48"/>
    </row>
    <row r="44" spans="1:14">
      <c r="A44" s="65">
        <f t="shared" si="0"/>
        <v>34</v>
      </c>
      <c r="B44" s="63" t="s">
        <v>33</v>
      </c>
      <c r="C44" s="714"/>
      <c r="D44" s="52">
        <v>896.28</v>
      </c>
      <c r="E44" s="52">
        <v>170.2</v>
      </c>
      <c r="F44" s="52"/>
      <c r="G44" s="52">
        <v>15295.68</v>
      </c>
      <c r="H44" s="52">
        <v>2699.28</v>
      </c>
      <c r="I44" s="52"/>
      <c r="J44" s="52">
        <f t="shared" si="1"/>
        <v>16191.960000000001</v>
      </c>
      <c r="K44" s="52">
        <f t="shared" si="1"/>
        <v>2869.48</v>
      </c>
      <c r="L44" s="50"/>
      <c r="M44" s="50">
        <f t="shared" si="2"/>
        <v>19061.440000000002</v>
      </c>
      <c r="N44" s="48"/>
    </row>
    <row r="45" spans="1:14">
      <c r="A45" s="65">
        <f t="shared" si="0"/>
        <v>35</v>
      </c>
      <c r="B45" s="63" t="s">
        <v>33</v>
      </c>
      <c r="C45" s="714"/>
      <c r="D45" s="52">
        <v>896.28</v>
      </c>
      <c r="E45" s="52">
        <v>170.2</v>
      </c>
      <c r="F45" s="52"/>
      <c r="G45" s="52">
        <v>15295.68</v>
      </c>
      <c r="H45" s="52">
        <v>2699.28</v>
      </c>
      <c r="I45" s="52"/>
      <c r="J45" s="52">
        <f t="shared" si="1"/>
        <v>16191.960000000001</v>
      </c>
      <c r="K45" s="52">
        <f t="shared" si="1"/>
        <v>2869.48</v>
      </c>
      <c r="L45" s="50"/>
      <c r="M45" s="50">
        <f t="shared" si="2"/>
        <v>19061.440000000002</v>
      </c>
      <c r="N45" s="48"/>
    </row>
    <row r="46" spans="1:14">
      <c r="A46" s="65">
        <f t="shared" si="0"/>
        <v>36</v>
      </c>
      <c r="B46" s="63" t="s">
        <v>33</v>
      </c>
      <c r="C46" s="714"/>
      <c r="D46" s="52">
        <v>1091.04</v>
      </c>
      <c r="E46" s="52">
        <v>207.36</v>
      </c>
      <c r="F46" s="52"/>
      <c r="G46" s="52">
        <v>18620.759999999998</v>
      </c>
      <c r="H46" s="52">
        <v>3286.08</v>
      </c>
      <c r="I46" s="52"/>
      <c r="J46" s="52">
        <f t="shared" si="1"/>
        <v>19711.8</v>
      </c>
      <c r="K46" s="52">
        <f t="shared" si="1"/>
        <v>3493.44</v>
      </c>
      <c r="L46" s="50"/>
      <c r="M46" s="50">
        <f t="shared" si="2"/>
        <v>23205.239999999998</v>
      </c>
      <c r="N46" s="48"/>
    </row>
    <row r="47" spans="1:14">
      <c r="A47" s="65">
        <f t="shared" si="0"/>
        <v>37</v>
      </c>
      <c r="B47" s="63" t="s">
        <v>33</v>
      </c>
      <c r="C47" s="714"/>
      <c r="D47" s="52">
        <v>1091.04</v>
      </c>
      <c r="E47" s="52">
        <v>207.36</v>
      </c>
      <c r="F47" s="52"/>
      <c r="G47" s="52">
        <v>18620.759999999998</v>
      </c>
      <c r="H47" s="52">
        <v>3286.08</v>
      </c>
      <c r="I47" s="52"/>
      <c r="J47" s="52">
        <f>D47+G47</f>
        <v>19711.8</v>
      </c>
      <c r="K47" s="52">
        <f>E47+H47</f>
        <v>3493.44</v>
      </c>
      <c r="L47" s="50"/>
      <c r="M47" s="50">
        <f>J47+K47+L47</f>
        <v>23205.239999999998</v>
      </c>
      <c r="N47" s="48"/>
    </row>
    <row r="48" spans="1:14">
      <c r="A48" s="65">
        <f t="shared" si="0"/>
        <v>38</v>
      </c>
      <c r="B48" s="63" t="s">
        <v>33</v>
      </c>
      <c r="C48" s="714"/>
      <c r="D48" s="52">
        <v>1091.04</v>
      </c>
      <c r="E48" s="52">
        <v>207.36</v>
      </c>
      <c r="F48" s="52"/>
      <c r="G48" s="52">
        <v>18620.759999999998</v>
      </c>
      <c r="H48" s="52">
        <v>3286.08</v>
      </c>
      <c r="I48" s="52"/>
      <c r="J48" s="52">
        <f t="shared" si="1"/>
        <v>19711.8</v>
      </c>
      <c r="K48" s="52">
        <f t="shared" si="1"/>
        <v>3493.44</v>
      </c>
      <c r="L48" s="50"/>
      <c r="M48" s="50">
        <f t="shared" si="2"/>
        <v>23205.239999999998</v>
      </c>
      <c r="N48" s="48"/>
    </row>
    <row r="49" spans="1:14">
      <c r="A49" s="65">
        <f t="shared" si="0"/>
        <v>39</v>
      </c>
      <c r="B49" s="63" t="s">
        <v>33</v>
      </c>
      <c r="C49" s="714"/>
      <c r="D49" s="52">
        <v>1091.04</v>
      </c>
      <c r="E49" s="52">
        <v>207.36</v>
      </c>
      <c r="F49" s="52"/>
      <c r="G49" s="52">
        <v>18620.759999999998</v>
      </c>
      <c r="H49" s="52">
        <v>3286.08</v>
      </c>
      <c r="I49" s="52"/>
      <c r="J49" s="52">
        <f t="shared" si="1"/>
        <v>19711.8</v>
      </c>
      <c r="K49" s="52">
        <f t="shared" si="1"/>
        <v>3493.44</v>
      </c>
      <c r="L49" s="50"/>
      <c r="M49" s="50">
        <f t="shared" si="2"/>
        <v>23205.239999999998</v>
      </c>
      <c r="N49" s="48"/>
    </row>
    <row r="50" spans="1:14">
      <c r="A50" s="65">
        <f t="shared" si="0"/>
        <v>40</v>
      </c>
      <c r="B50" s="63" t="s">
        <v>33</v>
      </c>
      <c r="C50" s="714"/>
      <c r="D50" s="52">
        <v>1091.04</v>
      </c>
      <c r="E50" s="52">
        <v>207.36</v>
      </c>
      <c r="F50" s="52"/>
      <c r="G50" s="52">
        <v>18620.759999999998</v>
      </c>
      <c r="H50" s="52">
        <v>3286.08</v>
      </c>
      <c r="I50" s="52"/>
      <c r="J50" s="52">
        <f t="shared" si="1"/>
        <v>19711.8</v>
      </c>
      <c r="K50" s="52">
        <f t="shared" si="1"/>
        <v>3493.44</v>
      </c>
      <c r="L50" s="50"/>
      <c r="M50" s="50">
        <f t="shared" si="2"/>
        <v>23205.239999999998</v>
      </c>
      <c r="N50" s="48"/>
    </row>
    <row r="51" spans="1:14">
      <c r="A51" s="65">
        <f t="shared" si="0"/>
        <v>41</v>
      </c>
      <c r="B51" s="63" t="s">
        <v>33</v>
      </c>
      <c r="C51" s="714"/>
      <c r="D51" s="52">
        <v>1091.04</v>
      </c>
      <c r="E51" s="52">
        <v>207.36</v>
      </c>
      <c r="F51" s="52"/>
      <c r="G51" s="52">
        <v>18620.759999999998</v>
      </c>
      <c r="H51" s="52">
        <v>3286.08</v>
      </c>
      <c r="I51" s="52"/>
      <c r="J51" s="52">
        <f t="shared" si="1"/>
        <v>19711.8</v>
      </c>
      <c r="K51" s="52">
        <f t="shared" si="1"/>
        <v>3493.44</v>
      </c>
      <c r="L51" s="50"/>
      <c r="M51" s="50">
        <f t="shared" si="2"/>
        <v>23205.239999999998</v>
      </c>
      <c r="N51" s="48"/>
    </row>
    <row r="52" spans="1:14">
      <c r="A52" s="65">
        <f t="shared" si="0"/>
        <v>42</v>
      </c>
      <c r="B52" s="63" t="s">
        <v>33</v>
      </c>
      <c r="C52" s="714"/>
      <c r="D52" s="52">
        <v>1091.04</v>
      </c>
      <c r="E52" s="52">
        <v>207.36</v>
      </c>
      <c r="F52" s="52"/>
      <c r="G52" s="52">
        <v>18620.759999999998</v>
      </c>
      <c r="H52" s="52">
        <v>3286.08</v>
      </c>
      <c r="I52" s="52"/>
      <c r="J52" s="52">
        <f t="shared" si="1"/>
        <v>19711.8</v>
      </c>
      <c r="K52" s="52">
        <f t="shared" si="1"/>
        <v>3493.44</v>
      </c>
      <c r="L52" s="50"/>
      <c r="M52" s="50">
        <f t="shared" si="2"/>
        <v>23205.239999999998</v>
      </c>
      <c r="N52" s="48"/>
    </row>
    <row r="53" spans="1:14">
      <c r="A53" s="65">
        <f t="shared" si="0"/>
        <v>43</v>
      </c>
      <c r="B53" s="63" t="s">
        <v>33</v>
      </c>
      <c r="C53" s="714"/>
      <c r="D53" s="52">
        <v>1091.04</v>
      </c>
      <c r="E53" s="52">
        <v>207.36</v>
      </c>
      <c r="F53" s="52"/>
      <c r="G53" s="52">
        <v>18620.759999999998</v>
      </c>
      <c r="H53" s="52">
        <v>3286.08</v>
      </c>
      <c r="I53" s="52"/>
      <c r="J53" s="52">
        <f t="shared" si="1"/>
        <v>19711.8</v>
      </c>
      <c r="K53" s="52">
        <f t="shared" si="1"/>
        <v>3493.44</v>
      </c>
      <c r="L53" s="50"/>
      <c r="M53" s="50">
        <f t="shared" si="2"/>
        <v>23205.239999999998</v>
      </c>
      <c r="N53" s="48"/>
    </row>
    <row r="54" spans="1:14">
      <c r="A54" s="65">
        <f t="shared" si="0"/>
        <v>44</v>
      </c>
      <c r="B54" s="63" t="s">
        <v>33</v>
      </c>
      <c r="C54" s="714"/>
      <c r="D54" s="52">
        <v>1091.04</v>
      </c>
      <c r="E54" s="52">
        <v>207.36</v>
      </c>
      <c r="F54" s="52"/>
      <c r="G54" s="52">
        <v>18620.759999999998</v>
      </c>
      <c r="H54" s="52">
        <v>3286.08</v>
      </c>
      <c r="I54" s="52"/>
      <c r="J54" s="52">
        <f t="shared" si="1"/>
        <v>19711.8</v>
      </c>
      <c r="K54" s="52">
        <f t="shared" si="1"/>
        <v>3493.44</v>
      </c>
      <c r="L54" s="50"/>
      <c r="M54" s="50">
        <f t="shared" si="2"/>
        <v>23205.239999999998</v>
      </c>
      <c r="N54" s="48"/>
    </row>
    <row r="55" spans="1:14">
      <c r="A55" s="65">
        <f t="shared" si="0"/>
        <v>45</v>
      </c>
      <c r="B55" s="63" t="s">
        <v>33</v>
      </c>
      <c r="C55" s="714"/>
      <c r="D55" s="52">
        <v>1091.04</v>
      </c>
      <c r="E55" s="52">
        <v>207.36</v>
      </c>
      <c r="F55" s="52"/>
      <c r="G55" s="52">
        <v>18620.759999999998</v>
      </c>
      <c r="H55" s="52">
        <v>3286.08</v>
      </c>
      <c r="I55" s="52"/>
      <c r="J55" s="52">
        <f t="shared" si="1"/>
        <v>19711.8</v>
      </c>
      <c r="K55" s="52">
        <f t="shared" si="1"/>
        <v>3493.44</v>
      </c>
      <c r="L55" s="50"/>
      <c r="M55" s="50">
        <f t="shared" si="2"/>
        <v>23205.239999999998</v>
      </c>
      <c r="N55" s="48"/>
    </row>
    <row r="56" spans="1:14">
      <c r="A56" s="65">
        <f t="shared" si="0"/>
        <v>46</v>
      </c>
      <c r="B56" s="63" t="s">
        <v>33</v>
      </c>
      <c r="C56" s="714"/>
      <c r="D56" s="52">
        <v>1091.04</v>
      </c>
      <c r="E56" s="52">
        <v>207.36</v>
      </c>
      <c r="F56" s="52"/>
      <c r="G56" s="52">
        <v>18620.759999999998</v>
      </c>
      <c r="H56" s="52">
        <v>3286.08</v>
      </c>
      <c r="I56" s="52"/>
      <c r="J56" s="52">
        <f t="shared" si="1"/>
        <v>19711.8</v>
      </c>
      <c r="K56" s="52">
        <f t="shared" si="1"/>
        <v>3493.44</v>
      </c>
      <c r="L56" s="50"/>
      <c r="M56" s="50">
        <f t="shared" si="2"/>
        <v>23205.239999999998</v>
      </c>
      <c r="N56" s="48"/>
    </row>
    <row r="57" spans="1:14">
      <c r="A57" s="65">
        <f t="shared" si="0"/>
        <v>47</v>
      </c>
      <c r="B57" s="63" t="s">
        <v>33</v>
      </c>
      <c r="C57" s="714"/>
      <c r="D57" s="52">
        <v>1091.04</v>
      </c>
      <c r="E57" s="52">
        <v>207.36</v>
      </c>
      <c r="F57" s="52"/>
      <c r="G57" s="52">
        <v>18620.759999999998</v>
      </c>
      <c r="H57" s="52">
        <v>3286.08</v>
      </c>
      <c r="I57" s="52"/>
      <c r="J57" s="52">
        <f t="shared" si="1"/>
        <v>19711.8</v>
      </c>
      <c r="K57" s="52">
        <f t="shared" si="1"/>
        <v>3493.44</v>
      </c>
      <c r="L57" s="50"/>
      <c r="M57" s="50">
        <f t="shared" si="2"/>
        <v>23205.239999999998</v>
      </c>
      <c r="N57" s="48"/>
    </row>
    <row r="58" spans="1:14">
      <c r="A58" s="65">
        <f t="shared" si="0"/>
        <v>48</v>
      </c>
      <c r="B58" s="63" t="s">
        <v>33</v>
      </c>
      <c r="C58" s="714"/>
      <c r="D58" s="52">
        <v>1091.04</v>
      </c>
      <c r="E58" s="52">
        <v>207.36</v>
      </c>
      <c r="F58" s="52"/>
      <c r="G58" s="52">
        <v>18620.759999999998</v>
      </c>
      <c r="H58" s="52">
        <v>3286.08</v>
      </c>
      <c r="I58" s="52"/>
      <c r="J58" s="52">
        <f t="shared" si="1"/>
        <v>19711.8</v>
      </c>
      <c r="K58" s="52">
        <f t="shared" si="1"/>
        <v>3493.44</v>
      </c>
      <c r="L58" s="50"/>
      <c r="M58" s="50">
        <f t="shared" si="2"/>
        <v>23205.239999999998</v>
      </c>
      <c r="N58" s="48"/>
    </row>
    <row r="59" spans="1:14">
      <c r="A59" s="65">
        <f t="shared" si="0"/>
        <v>49</v>
      </c>
      <c r="B59" s="63" t="s">
        <v>33</v>
      </c>
      <c r="C59" s="714"/>
      <c r="D59" s="52">
        <v>1091.04</v>
      </c>
      <c r="E59" s="52">
        <v>207.36</v>
      </c>
      <c r="F59" s="52"/>
      <c r="G59" s="52">
        <v>18620.759999999998</v>
      </c>
      <c r="H59" s="52">
        <v>3286.08</v>
      </c>
      <c r="I59" s="52"/>
      <c r="J59" s="52">
        <f t="shared" si="1"/>
        <v>19711.8</v>
      </c>
      <c r="K59" s="52">
        <f t="shared" si="1"/>
        <v>3493.44</v>
      </c>
      <c r="L59" s="50"/>
      <c r="M59" s="50">
        <f t="shared" si="2"/>
        <v>23205.239999999998</v>
      </c>
      <c r="N59" s="48"/>
    </row>
    <row r="60" spans="1:14">
      <c r="A60" s="65">
        <f t="shared" si="0"/>
        <v>50</v>
      </c>
      <c r="B60" s="63" t="s">
        <v>33</v>
      </c>
      <c r="C60" s="714"/>
      <c r="D60" s="52">
        <v>1091.04</v>
      </c>
      <c r="E60" s="52">
        <v>207.36</v>
      </c>
      <c r="F60" s="52"/>
      <c r="G60" s="52">
        <v>18620.759999999998</v>
      </c>
      <c r="H60" s="52">
        <v>3286.08</v>
      </c>
      <c r="I60" s="52"/>
      <c r="J60" s="52">
        <f t="shared" si="1"/>
        <v>19711.8</v>
      </c>
      <c r="K60" s="52">
        <f t="shared" si="1"/>
        <v>3493.44</v>
      </c>
      <c r="L60" s="50"/>
      <c r="M60" s="50">
        <f t="shared" si="2"/>
        <v>23205.239999999998</v>
      </c>
      <c r="N60" s="48"/>
    </row>
    <row r="61" spans="1:14">
      <c r="A61" s="65">
        <f t="shared" si="0"/>
        <v>51</v>
      </c>
      <c r="B61" s="63" t="s">
        <v>33</v>
      </c>
      <c r="C61" s="714"/>
      <c r="D61" s="52">
        <v>1091.04</v>
      </c>
      <c r="E61" s="52">
        <v>207.36</v>
      </c>
      <c r="F61" s="52"/>
      <c r="G61" s="52">
        <v>18620.759999999998</v>
      </c>
      <c r="H61" s="52">
        <v>3286.08</v>
      </c>
      <c r="I61" s="52"/>
      <c r="J61" s="52">
        <f t="shared" si="1"/>
        <v>19711.8</v>
      </c>
      <c r="K61" s="52">
        <f t="shared" si="1"/>
        <v>3493.44</v>
      </c>
      <c r="L61" s="50"/>
      <c r="M61" s="50">
        <f t="shared" si="2"/>
        <v>23205.239999999998</v>
      </c>
      <c r="N61" s="48"/>
    </row>
    <row r="62" spans="1:14">
      <c r="A62" s="65">
        <f t="shared" si="0"/>
        <v>52</v>
      </c>
      <c r="B62" s="63" t="s">
        <v>33</v>
      </c>
      <c r="C62" s="714"/>
      <c r="D62" s="52">
        <v>1091.04</v>
      </c>
      <c r="E62" s="52">
        <v>207.36</v>
      </c>
      <c r="F62" s="52"/>
      <c r="G62" s="52">
        <v>18620.759999999998</v>
      </c>
      <c r="H62" s="52">
        <v>3286.08</v>
      </c>
      <c r="I62" s="52"/>
      <c r="J62" s="52">
        <f t="shared" si="1"/>
        <v>19711.8</v>
      </c>
      <c r="K62" s="52">
        <f t="shared" si="1"/>
        <v>3493.44</v>
      </c>
      <c r="L62" s="50"/>
      <c r="M62" s="50">
        <f t="shared" si="2"/>
        <v>23205.239999999998</v>
      </c>
      <c r="N62" s="48"/>
    </row>
    <row r="63" spans="1:14">
      <c r="A63" s="65">
        <f t="shared" si="0"/>
        <v>53</v>
      </c>
      <c r="B63" s="63" t="s">
        <v>33</v>
      </c>
      <c r="C63" s="714"/>
      <c r="D63" s="52">
        <v>1091.04</v>
      </c>
      <c r="E63" s="52">
        <v>207.36</v>
      </c>
      <c r="F63" s="52"/>
      <c r="G63" s="52">
        <v>18620.759999999998</v>
      </c>
      <c r="H63" s="52">
        <v>3286.08</v>
      </c>
      <c r="I63" s="52"/>
      <c r="J63" s="52">
        <f t="shared" si="1"/>
        <v>19711.8</v>
      </c>
      <c r="K63" s="52">
        <f t="shared" si="1"/>
        <v>3493.44</v>
      </c>
      <c r="L63" s="50"/>
      <c r="M63" s="50">
        <f t="shared" si="2"/>
        <v>23205.239999999998</v>
      </c>
      <c r="N63" s="48"/>
    </row>
    <row r="64" spans="1:14">
      <c r="A64" s="65">
        <f t="shared" si="0"/>
        <v>54</v>
      </c>
      <c r="B64" s="63" t="s">
        <v>33</v>
      </c>
      <c r="C64" s="714"/>
      <c r="D64" s="52">
        <v>1091.04</v>
      </c>
      <c r="E64" s="52">
        <v>207.36</v>
      </c>
      <c r="F64" s="52"/>
      <c r="G64" s="52">
        <v>18620.759999999998</v>
      </c>
      <c r="H64" s="52">
        <v>3286.08</v>
      </c>
      <c r="I64" s="52"/>
      <c r="J64" s="52">
        <f t="shared" si="1"/>
        <v>19711.8</v>
      </c>
      <c r="K64" s="52">
        <f t="shared" si="1"/>
        <v>3493.44</v>
      </c>
      <c r="L64" s="50"/>
      <c r="M64" s="50">
        <f t="shared" si="2"/>
        <v>23205.239999999998</v>
      </c>
      <c r="N64" s="48"/>
    </row>
    <row r="65" spans="1:14">
      <c r="A65" s="65">
        <f t="shared" si="0"/>
        <v>55</v>
      </c>
      <c r="B65" s="63" t="s">
        <v>33</v>
      </c>
      <c r="C65" s="714"/>
      <c r="D65" s="52">
        <v>1091.04</v>
      </c>
      <c r="E65" s="52">
        <v>207.36</v>
      </c>
      <c r="F65" s="52"/>
      <c r="G65" s="52">
        <v>18620.759999999998</v>
      </c>
      <c r="H65" s="52">
        <v>3286.08</v>
      </c>
      <c r="I65" s="52"/>
      <c r="J65" s="52">
        <f t="shared" si="1"/>
        <v>19711.8</v>
      </c>
      <c r="K65" s="52">
        <f t="shared" si="1"/>
        <v>3493.44</v>
      </c>
      <c r="L65" s="50"/>
      <c r="M65" s="50">
        <f t="shared" si="2"/>
        <v>23205.239999999998</v>
      </c>
      <c r="N65" s="48"/>
    </row>
    <row r="66" spans="1:14">
      <c r="A66" s="65">
        <f t="shared" si="0"/>
        <v>56</v>
      </c>
      <c r="B66" s="63" t="s">
        <v>33</v>
      </c>
      <c r="C66" s="714"/>
      <c r="D66" s="52">
        <v>1091.04</v>
      </c>
      <c r="E66" s="52">
        <v>207.36</v>
      </c>
      <c r="F66" s="52"/>
      <c r="G66" s="52">
        <v>18620.759999999998</v>
      </c>
      <c r="H66" s="52">
        <v>3286.08</v>
      </c>
      <c r="I66" s="52"/>
      <c r="J66" s="52">
        <f t="shared" si="1"/>
        <v>19711.8</v>
      </c>
      <c r="K66" s="52">
        <f t="shared" si="1"/>
        <v>3493.44</v>
      </c>
      <c r="L66" s="50"/>
      <c r="M66" s="50">
        <f t="shared" si="2"/>
        <v>23205.239999999998</v>
      </c>
      <c r="N66" s="48"/>
    </row>
    <row r="67" spans="1:14">
      <c r="A67" s="65">
        <f t="shared" si="0"/>
        <v>57</v>
      </c>
      <c r="B67" s="63" t="s">
        <v>33</v>
      </c>
      <c r="C67" s="714"/>
      <c r="D67" s="52">
        <v>1091.04</v>
      </c>
      <c r="E67" s="52">
        <v>207.36</v>
      </c>
      <c r="F67" s="52"/>
      <c r="G67" s="52">
        <v>18620.759999999998</v>
      </c>
      <c r="H67" s="52">
        <v>3286.08</v>
      </c>
      <c r="I67" s="52"/>
      <c r="J67" s="52">
        <f t="shared" si="1"/>
        <v>19711.8</v>
      </c>
      <c r="K67" s="52">
        <f t="shared" si="1"/>
        <v>3493.44</v>
      </c>
      <c r="L67" s="50"/>
      <c r="M67" s="50">
        <f t="shared" si="2"/>
        <v>23205.239999999998</v>
      </c>
      <c r="N67" s="48"/>
    </row>
    <row r="68" spans="1:14">
      <c r="A68" s="65">
        <f t="shared" si="0"/>
        <v>58</v>
      </c>
      <c r="B68" s="63" t="s">
        <v>33</v>
      </c>
      <c r="C68" s="714"/>
      <c r="D68" s="52">
        <v>1091.04</v>
      </c>
      <c r="E68" s="52">
        <v>207.36</v>
      </c>
      <c r="F68" s="52"/>
      <c r="G68" s="52">
        <v>18620.759999999998</v>
      </c>
      <c r="H68" s="52">
        <v>3286.08</v>
      </c>
      <c r="I68" s="52"/>
      <c r="J68" s="52">
        <f t="shared" si="1"/>
        <v>19711.8</v>
      </c>
      <c r="K68" s="52">
        <f t="shared" si="1"/>
        <v>3493.44</v>
      </c>
      <c r="L68" s="50"/>
      <c r="M68" s="50">
        <f t="shared" si="2"/>
        <v>23205.239999999998</v>
      </c>
      <c r="N68" s="48"/>
    </row>
    <row r="69" spans="1:14">
      <c r="A69" s="65">
        <f t="shared" si="0"/>
        <v>59</v>
      </c>
      <c r="B69" s="63" t="s">
        <v>33</v>
      </c>
      <c r="C69" s="714"/>
      <c r="D69" s="52">
        <v>1091.04</v>
      </c>
      <c r="E69" s="52">
        <v>207.36</v>
      </c>
      <c r="F69" s="52"/>
      <c r="G69" s="52">
        <v>18620.759999999998</v>
      </c>
      <c r="H69" s="52">
        <v>3286.08</v>
      </c>
      <c r="I69" s="52"/>
      <c r="J69" s="52">
        <f t="shared" si="1"/>
        <v>19711.8</v>
      </c>
      <c r="K69" s="52">
        <f t="shared" si="1"/>
        <v>3493.44</v>
      </c>
      <c r="L69" s="50"/>
      <c r="M69" s="50">
        <f t="shared" si="2"/>
        <v>23205.239999999998</v>
      </c>
      <c r="N69" s="48"/>
    </row>
    <row r="70" spans="1:14">
      <c r="A70" s="65">
        <f t="shared" si="0"/>
        <v>60</v>
      </c>
      <c r="B70" s="63" t="s">
        <v>33</v>
      </c>
      <c r="C70" s="714"/>
      <c r="D70" s="52">
        <v>1091.04</v>
      </c>
      <c r="E70" s="52">
        <v>207.36</v>
      </c>
      <c r="F70" s="52"/>
      <c r="G70" s="52">
        <v>18620.759999999998</v>
      </c>
      <c r="H70" s="52">
        <v>3286.08</v>
      </c>
      <c r="I70" s="52"/>
      <c r="J70" s="52">
        <f t="shared" si="1"/>
        <v>19711.8</v>
      </c>
      <c r="K70" s="52">
        <f t="shared" si="1"/>
        <v>3493.44</v>
      </c>
      <c r="L70" s="50"/>
      <c r="M70" s="50">
        <f t="shared" si="2"/>
        <v>23205.239999999998</v>
      </c>
      <c r="N70" s="48"/>
    </row>
    <row r="71" spans="1:14">
      <c r="A71" s="65">
        <f t="shared" si="0"/>
        <v>61</v>
      </c>
      <c r="B71" s="63" t="s">
        <v>33</v>
      </c>
      <c r="C71" s="714"/>
      <c r="D71" s="52">
        <v>1091.04</v>
      </c>
      <c r="E71" s="52">
        <v>207.36</v>
      </c>
      <c r="F71" s="52"/>
      <c r="G71" s="52">
        <v>18620.759999999998</v>
      </c>
      <c r="H71" s="52">
        <v>3286.08</v>
      </c>
      <c r="I71" s="52"/>
      <c r="J71" s="52">
        <f t="shared" si="1"/>
        <v>19711.8</v>
      </c>
      <c r="K71" s="52">
        <f t="shared" si="1"/>
        <v>3493.44</v>
      </c>
      <c r="L71" s="50"/>
      <c r="M71" s="50">
        <f t="shared" si="2"/>
        <v>23205.239999999998</v>
      </c>
      <c r="N71" s="48"/>
    </row>
    <row r="72" spans="1:14">
      <c r="A72" s="65">
        <f t="shared" si="0"/>
        <v>62</v>
      </c>
      <c r="B72" s="63" t="s">
        <v>33</v>
      </c>
      <c r="C72" s="714"/>
      <c r="D72" s="52">
        <v>1091.04</v>
      </c>
      <c r="E72" s="52">
        <v>207.36</v>
      </c>
      <c r="F72" s="52"/>
      <c r="G72" s="52">
        <v>18620.759999999998</v>
      </c>
      <c r="H72" s="52">
        <v>3286.08</v>
      </c>
      <c r="I72" s="52"/>
      <c r="J72" s="52">
        <f t="shared" si="1"/>
        <v>19711.8</v>
      </c>
      <c r="K72" s="52">
        <f t="shared" si="1"/>
        <v>3493.44</v>
      </c>
      <c r="L72" s="50"/>
      <c r="M72" s="50">
        <f t="shared" si="2"/>
        <v>23205.239999999998</v>
      </c>
      <c r="N72" s="48"/>
    </row>
    <row r="73" spans="1:14">
      <c r="A73" s="65">
        <f t="shared" si="0"/>
        <v>63</v>
      </c>
      <c r="B73" s="63" t="s">
        <v>33</v>
      </c>
      <c r="C73" s="714"/>
      <c r="D73" s="52">
        <v>1091.04</v>
      </c>
      <c r="E73" s="52">
        <v>207.36</v>
      </c>
      <c r="F73" s="52"/>
      <c r="G73" s="52">
        <v>18620.759999999998</v>
      </c>
      <c r="H73" s="52">
        <v>3286.08</v>
      </c>
      <c r="I73" s="52"/>
      <c r="J73" s="52">
        <f t="shared" si="1"/>
        <v>19711.8</v>
      </c>
      <c r="K73" s="52">
        <f t="shared" si="1"/>
        <v>3493.44</v>
      </c>
      <c r="L73" s="50"/>
      <c r="M73" s="50">
        <f t="shared" si="2"/>
        <v>23205.239999999998</v>
      </c>
      <c r="N73" s="48"/>
    </row>
    <row r="74" spans="1:14">
      <c r="A74" s="65">
        <f t="shared" si="0"/>
        <v>64</v>
      </c>
      <c r="B74" s="63" t="s">
        <v>33</v>
      </c>
      <c r="C74" s="714"/>
      <c r="D74" s="52">
        <v>1091.04</v>
      </c>
      <c r="E74" s="52">
        <v>207.36</v>
      </c>
      <c r="F74" s="52"/>
      <c r="G74" s="52">
        <v>18620.759999999998</v>
      </c>
      <c r="H74" s="52">
        <v>3286.08</v>
      </c>
      <c r="I74" s="52"/>
      <c r="J74" s="52">
        <f t="shared" si="1"/>
        <v>19711.8</v>
      </c>
      <c r="K74" s="52">
        <f t="shared" si="1"/>
        <v>3493.44</v>
      </c>
      <c r="L74" s="50"/>
      <c r="M74" s="50">
        <f t="shared" si="2"/>
        <v>23205.239999999998</v>
      </c>
      <c r="N74" s="48"/>
    </row>
    <row r="75" spans="1:14">
      <c r="A75" s="65">
        <f t="shared" si="0"/>
        <v>65</v>
      </c>
      <c r="B75" s="63" t="s">
        <v>33</v>
      </c>
      <c r="C75" s="714"/>
      <c r="D75" s="52">
        <v>1091.04</v>
      </c>
      <c r="E75" s="52">
        <v>207.36</v>
      </c>
      <c r="F75" s="52"/>
      <c r="G75" s="52">
        <v>18620.759999999998</v>
      </c>
      <c r="H75" s="52">
        <v>3286.08</v>
      </c>
      <c r="J75" s="52">
        <f t="shared" ref="J75:J78" si="3">D75+G75</f>
        <v>19711.8</v>
      </c>
      <c r="K75" s="52">
        <f t="shared" ref="K75:K78" si="4">E75+H75</f>
        <v>3493.44</v>
      </c>
      <c r="L75" s="50"/>
      <c r="M75" s="50">
        <f t="shared" si="2"/>
        <v>23205.239999999998</v>
      </c>
    </row>
    <row r="76" spans="1:14">
      <c r="A76" s="65">
        <f t="shared" si="0"/>
        <v>66</v>
      </c>
      <c r="B76" s="63" t="s">
        <v>33</v>
      </c>
      <c r="C76" s="714"/>
      <c r="D76" s="52">
        <v>1091.04</v>
      </c>
      <c r="E76" s="52">
        <v>207.36</v>
      </c>
      <c r="F76" s="52"/>
      <c r="G76" s="52">
        <v>18620.759999999998</v>
      </c>
      <c r="H76" s="52">
        <v>3286.08</v>
      </c>
      <c r="J76" s="52">
        <f t="shared" si="3"/>
        <v>19711.8</v>
      </c>
      <c r="K76" s="52">
        <f t="shared" si="4"/>
        <v>3493.44</v>
      </c>
      <c r="L76" s="50"/>
      <c r="M76" s="50">
        <f t="shared" si="2"/>
        <v>23205.239999999998</v>
      </c>
    </row>
    <row r="77" spans="1:14">
      <c r="A77" s="65">
        <f t="shared" ref="A77:A78" si="5">A76+1</f>
        <v>67</v>
      </c>
      <c r="B77" s="63" t="s">
        <v>33</v>
      </c>
      <c r="C77" s="714"/>
      <c r="D77" s="52">
        <v>0</v>
      </c>
      <c r="E77" s="52">
        <v>0</v>
      </c>
      <c r="F77" s="52"/>
      <c r="G77" s="52">
        <v>18620.759999999998</v>
      </c>
      <c r="H77" s="52">
        <v>3286.08</v>
      </c>
      <c r="J77" s="52">
        <f t="shared" si="3"/>
        <v>18620.759999999998</v>
      </c>
      <c r="K77" s="52">
        <f t="shared" si="4"/>
        <v>3286.08</v>
      </c>
      <c r="L77" s="50"/>
      <c r="M77" s="50">
        <f t="shared" ref="M77:M78" si="6">J77+K77+L77</f>
        <v>21906.839999999997</v>
      </c>
    </row>
    <row r="78" spans="1:14">
      <c r="A78" s="65">
        <f t="shared" si="5"/>
        <v>68</v>
      </c>
      <c r="B78" s="63" t="s">
        <v>33</v>
      </c>
      <c r="C78" s="714"/>
      <c r="D78" s="52">
        <v>0</v>
      </c>
      <c r="E78" s="52">
        <v>0</v>
      </c>
      <c r="F78" s="52"/>
      <c r="G78" s="52">
        <v>18620.759999999998</v>
      </c>
      <c r="H78" s="52">
        <v>3286.08</v>
      </c>
      <c r="J78" s="52">
        <f t="shared" si="3"/>
        <v>18620.759999999998</v>
      </c>
      <c r="K78" s="52">
        <f t="shared" si="4"/>
        <v>3286.08</v>
      </c>
      <c r="L78" s="50"/>
      <c r="M78" s="50">
        <f t="shared" si="6"/>
        <v>21906.839999999997</v>
      </c>
    </row>
    <row r="79" spans="1:14" ht="15" thickBot="1">
      <c r="A79" s="65"/>
      <c r="B79" s="12" t="s">
        <v>152</v>
      </c>
      <c r="D79" s="59">
        <f>SUM(D11:D78)</f>
        <v>56031.480000000018</v>
      </c>
      <c r="E79" s="59">
        <f t="shared" ref="E79:L79" si="7">SUM(E11:E78)</f>
        <v>10647.400000000001</v>
      </c>
      <c r="F79" s="59"/>
      <c r="G79" s="59">
        <f t="shared" si="7"/>
        <v>977590.8000000004</v>
      </c>
      <c r="H79" s="59">
        <f t="shared" si="7"/>
        <v>172072.19999999984</v>
      </c>
      <c r="I79" s="59"/>
      <c r="J79" s="59">
        <f t="shared" si="7"/>
        <v>1033622.280000001</v>
      </c>
      <c r="K79" s="59">
        <f t="shared" si="7"/>
        <v>182719.60000000006</v>
      </c>
      <c r="L79" s="59">
        <f t="shared" si="7"/>
        <v>750</v>
      </c>
      <c r="M79" s="59">
        <f>SUM(M11:M78)</f>
        <v>1217091.8799999999</v>
      </c>
    </row>
    <row r="80" spans="1:14" ht="15" thickTop="1"/>
  </sheetData>
  <autoFilter ref="A10:M79"/>
  <mergeCells count="2">
    <mergeCell ref="D9:E9"/>
    <mergeCell ref="G9:H9"/>
  </mergeCells>
  <pageMargins left="0.7" right="0.7" top="0.75" bottom="0.75" header="0.3" footer="0.3"/>
  <pageSetup scale="62" orientation="portrait" horizontalDpi="1200" verticalDpi="1200" r:id="rId1"/>
  <customProperties>
    <customPr name="_pios_id" r:id="rId2"/>
  </customPropertie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zoomScale="80" zoomScaleNormal="80" workbookViewId="0"/>
  </sheetViews>
  <sheetFormatPr defaultColWidth="8.88671875" defaultRowHeight="14.4"/>
  <cols>
    <col min="1" max="2" width="8.88671875" style="12"/>
    <col min="3" max="3" width="11.6640625" style="12" customWidth="1"/>
    <col min="4" max="5" width="14.109375" style="12" bestFit="1" customWidth="1"/>
    <col min="6" max="6" width="2.44140625" style="12" customWidth="1"/>
    <col min="7" max="7" width="14.109375" style="12" bestFit="1" customWidth="1"/>
    <col min="8" max="8" width="16.6640625" style="12" customWidth="1"/>
    <col min="9" max="9" width="1.6640625" style="12" customWidth="1"/>
    <col min="10" max="10" width="16.44140625" style="12" customWidth="1"/>
    <col min="11" max="11" width="15.109375" style="12" customWidth="1"/>
    <col min="12" max="12" width="1.6640625" style="12" customWidth="1"/>
    <col min="13" max="13" width="13.33203125" style="12" bestFit="1" customWidth="1"/>
    <col min="14" max="16384" width="8.88671875" style="12"/>
  </cols>
  <sheetData>
    <row r="1" spans="1:14">
      <c r="A1" s="93" t="s">
        <v>431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4">
      <c r="A2" s="55" t="s">
        <v>1133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4">
      <c r="A3" s="581" t="s">
        <v>1067</v>
      </c>
      <c r="B3" s="55"/>
      <c r="C3" s="64"/>
      <c r="D3" s="64"/>
      <c r="E3" s="64"/>
      <c r="F3" s="64"/>
      <c r="G3" s="64"/>
      <c r="H3" s="64"/>
      <c r="I3" s="64"/>
      <c r="J3" s="69" t="s">
        <v>140</v>
      </c>
      <c r="K3" s="69" t="s">
        <v>141</v>
      </c>
      <c r="L3" s="64"/>
      <c r="M3" s="62" t="s">
        <v>13</v>
      </c>
    </row>
    <row r="4" spans="1:14">
      <c r="A4" s="64"/>
      <c r="B4" s="55"/>
      <c r="C4" s="64"/>
      <c r="D4" s="64"/>
      <c r="E4" s="64"/>
      <c r="F4" s="64"/>
      <c r="G4" s="64"/>
      <c r="H4" s="70" t="s">
        <v>104</v>
      </c>
      <c r="I4" s="63"/>
      <c r="J4" s="49">
        <f>AVERAGE(J11:J77)</f>
        <v>17125.58149253732</v>
      </c>
      <c r="K4" s="49">
        <f>AVERAGE(K11:K77)</f>
        <v>2863.936119402983</v>
      </c>
      <c r="L4" s="64"/>
      <c r="M4" s="47">
        <f>J4+K4</f>
        <v>19989.517611940304</v>
      </c>
    </row>
    <row r="5" spans="1:14">
      <c r="A5" s="64"/>
      <c r="B5" s="64"/>
      <c r="C5" s="64"/>
      <c r="D5" s="64"/>
      <c r="E5" s="64"/>
      <c r="F5" s="64"/>
      <c r="G5" s="64"/>
      <c r="H5" s="70" t="s">
        <v>142</v>
      </c>
      <c r="I5" s="63"/>
      <c r="J5" s="57">
        <f>COUNTA(C11:C77)/70</f>
        <v>0</v>
      </c>
      <c r="K5" s="57">
        <f>J5</f>
        <v>0</v>
      </c>
      <c r="L5" s="64"/>
      <c r="M5" s="72"/>
    </row>
    <row r="6" spans="1:14">
      <c r="A6" s="64"/>
      <c r="B6" s="63"/>
      <c r="C6" s="63"/>
      <c r="D6" s="63"/>
      <c r="E6" s="63"/>
      <c r="F6" s="63"/>
      <c r="G6" s="63"/>
      <c r="H6" s="70" t="s">
        <v>143</v>
      </c>
      <c r="I6" s="63"/>
      <c r="J6" s="49">
        <f>J4*J5</f>
        <v>0</v>
      </c>
      <c r="K6" s="49">
        <f>K4*K5</f>
        <v>0</v>
      </c>
      <c r="L6" s="64"/>
      <c r="M6" s="47">
        <f>J6+K6</f>
        <v>0</v>
      </c>
    </row>
    <row r="8" spans="1:14">
      <c r="A8" s="64"/>
      <c r="B8" s="67"/>
      <c r="C8" s="702" t="s">
        <v>1134</v>
      </c>
      <c r="D8" s="67"/>
      <c r="E8" s="67"/>
      <c r="F8" s="67"/>
      <c r="G8" s="67"/>
      <c r="H8" s="67"/>
      <c r="I8" s="67"/>
      <c r="J8" s="67"/>
      <c r="K8" s="67"/>
      <c r="L8" s="64"/>
      <c r="M8" s="64"/>
    </row>
    <row r="9" spans="1:14" ht="14.4" customHeight="1">
      <c r="A9" s="65"/>
      <c r="B9" s="66"/>
      <c r="C9" s="66"/>
      <c r="D9" s="762" t="s">
        <v>66</v>
      </c>
      <c r="E9" s="762"/>
      <c r="F9" s="71"/>
      <c r="G9" s="762" t="s">
        <v>69</v>
      </c>
      <c r="H9" s="762"/>
      <c r="I9" s="66"/>
      <c r="J9" s="51"/>
      <c r="K9" s="51"/>
      <c r="L9" s="65"/>
      <c r="M9" s="61"/>
      <c r="N9" s="56"/>
    </row>
    <row r="10" spans="1:14" ht="43.95" customHeight="1">
      <c r="A10" s="68" t="s">
        <v>82</v>
      </c>
      <c r="B10" s="68" t="s">
        <v>150</v>
      </c>
      <c r="C10" s="68" t="s">
        <v>146</v>
      </c>
      <c r="D10" s="68" t="s">
        <v>147</v>
      </c>
      <c r="E10" s="68" t="s">
        <v>148</v>
      </c>
      <c r="F10" s="68"/>
      <c r="G10" s="68" t="s">
        <v>147</v>
      </c>
      <c r="H10" s="68" t="s">
        <v>148</v>
      </c>
      <c r="I10" s="68"/>
      <c r="J10" s="68" t="s">
        <v>144</v>
      </c>
      <c r="K10" s="68" t="s">
        <v>145</v>
      </c>
      <c r="L10" s="65"/>
      <c r="M10" s="68" t="s">
        <v>149</v>
      </c>
      <c r="N10" s="56"/>
    </row>
    <row r="11" spans="1:14">
      <c r="A11" s="65">
        <v>1</v>
      </c>
      <c r="B11" s="63" t="s">
        <v>68</v>
      </c>
      <c r="C11" s="715"/>
      <c r="D11" s="60">
        <v>356.04</v>
      </c>
      <c r="E11" s="60">
        <v>68.760000000000005</v>
      </c>
      <c r="F11" s="60"/>
      <c r="G11" s="60">
        <v>6548.4</v>
      </c>
      <c r="H11" s="60">
        <v>1437</v>
      </c>
      <c r="I11" s="60"/>
      <c r="J11" s="60">
        <f>D11+G11</f>
        <v>6904.44</v>
      </c>
      <c r="K11" s="60">
        <f>E11+H11</f>
        <v>1505.76</v>
      </c>
      <c r="L11" s="58"/>
      <c r="M11" s="58">
        <f>J11+K11</f>
        <v>8410.1999999999989</v>
      </c>
    </row>
    <row r="12" spans="1:14">
      <c r="A12" s="65">
        <f>A11+1</f>
        <v>2</v>
      </c>
      <c r="B12" s="63" t="s">
        <v>68</v>
      </c>
      <c r="C12" s="715"/>
      <c r="D12" s="52">
        <v>356.04</v>
      </c>
      <c r="E12" s="52">
        <v>68.760000000000005</v>
      </c>
      <c r="F12" s="52"/>
      <c r="G12" s="52">
        <v>6548.4</v>
      </c>
      <c r="H12" s="52">
        <v>1437</v>
      </c>
      <c r="I12" s="52"/>
      <c r="J12" s="52">
        <f>D12+G12</f>
        <v>6904.44</v>
      </c>
      <c r="K12" s="52">
        <f>E12+H12</f>
        <v>1505.76</v>
      </c>
      <c r="L12" s="50"/>
      <c r="M12" s="50">
        <f t="shared" ref="M12" si="0">J12+K12</f>
        <v>8410.1999999999989</v>
      </c>
    </row>
    <row r="13" spans="1:14">
      <c r="A13" s="65">
        <f t="shared" ref="A13:A77" si="1">A12+1</f>
        <v>3</v>
      </c>
      <c r="B13" s="63" t="s">
        <v>68</v>
      </c>
      <c r="C13" s="715"/>
      <c r="D13" s="52">
        <v>356.04</v>
      </c>
      <c r="E13" s="52">
        <v>68.760000000000005</v>
      </c>
      <c r="F13" s="52"/>
      <c r="G13" s="52">
        <v>6548.4</v>
      </c>
      <c r="H13" s="52">
        <v>1437</v>
      </c>
      <c r="I13" s="52"/>
      <c r="J13" s="52">
        <f t="shared" ref="J13:J70" si="2">D13+G13</f>
        <v>6904.44</v>
      </c>
      <c r="K13" s="52">
        <f>E13+H13</f>
        <v>1505.76</v>
      </c>
      <c r="L13" s="50"/>
      <c r="M13" s="50">
        <f t="shared" ref="M13:M70" si="3">J13+K13</f>
        <v>8410.1999999999989</v>
      </c>
      <c r="N13" s="48"/>
    </row>
    <row r="14" spans="1:14">
      <c r="A14" s="65">
        <f t="shared" si="1"/>
        <v>4</v>
      </c>
      <c r="B14" s="63" t="s">
        <v>68</v>
      </c>
      <c r="C14" s="715"/>
      <c r="D14" s="52">
        <v>356.04</v>
      </c>
      <c r="E14" s="52">
        <v>68.760000000000005</v>
      </c>
      <c r="F14" s="52"/>
      <c r="G14" s="52">
        <v>6548.4</v>
      </c>
      <c r="H14" s="52">
        <v>1437</v>
      </c>
      <c r="I14" s="52"/>
      <c r="J14" s="52">
        <f t="shared" si="2"/>
        <v>6904.44</v>
      </c>
      <c r="K14" s="52">
        <f t="shared" ref="K14:K70" si="4">E14+H14</f>
        <v>1505.76</v>
      </c>
      <c r="L14" s="50"/>
      <c r="M14" s="50">
        <f t="shared" si="3"/>
        <v>8410.1999999999989</v>
      </c>
      <c r="N14" s="48"/>
    </row>
    <row r="15" spans="1:14">
      <c r="A15" s="65">
        <f t="shared" si="1"/>
        <v>5</v>
      </c>
      <c r="B15" s="63" t="s">
        <v>68</v>
      </c>
      <c r="C15" s="715"/>
      <c r="D15" s="52">
        <v>356.04</v>
      </c>
      <c r="E15" s="52">
        <v>68.760000000000005</v>
      </c>
      <c r="F15" s="52"/>
      <c r="G15" s="52">
        <v>6548.4</v>
      </c>
      <c r="H15" s="52">
        <v>1437</v>
      </c>
      <c r="I15" s="52"/>
      <c r="J15" s="52">
        <f t="shared" si="2"/>
        <v>6904.44</v>
      </c>
      <c r="K15" s="52">
        <f t="shared" si="4"/>
        <v>1505.76</v>
      </c>
      <c r="L15" s="50"/>
      <c r="M15" s="50">
        <f t="shared" si="3"/>
        <v>8410.1999999999989</v>
      </c>
      <c r="N15" s="48"/>
    </row>
    <row r="16" spans="1:14">
      <c r="A16" s="65">
        <f t="shared" si="1"/>
        <v>6</v>
      </c>
      <c r="B16" s="63" t="s">
        <v>68</v>
      </c>
      <c r="C16" s="715"/>
      <c r="D16" s="52">
        <v>356.04</v>
      </c>
      <c r="E16" s="52">
        <v>68.760000000000005</v>
      </c>
      <c r="F16" s="52"/>
      <c r="G16" s="52">
        <v>6548.4</v>
      </c>
      <c r="H16" s="52">
        <v>1437</v>
      </c>
      <c r="I16" s="52"/>
      <c r="J16" s="52">
        <f t="shared" si="2"/>
        <v>6904.44</v>
      </c>
      <c r="K16" s="52">
        <f t="shared" si="4"/>
        <v>1505.76</v>
      </c>
      <c r="L16" s="50"/>
      <c r="M16" s="50">
        <f t="shared" si="3"/>
        <v>8410.1999999999989</v>
      </c>
      <c r="N16" s="48"/>
    </row>
    <row r="17" spans="1:14">
      <c r="A17" s="65">
        <f t="shared" si="1"/>
        <v>7</v>
      </c>
      <c r="B17" s="63" t="s">
        <v>68</v>
      </c>
      <c r="C17" s="715"/>
      <c r="D17" s="52">
        <v>356.04</v>
      </c>
      <c r="E17" s="52">
        <v>68.760000000000005</v>
      </c>
      <c r="F17" s="52"/>
      <c r="G17" s="52">
        <v>6548.4</v>
      </c>
      <c r="H17" s="52">
        <v>1437</v>
      </c>
      <c r="I17" s="52"/>
      <c r="J17" s="52">
        <f t="shared" si="2"/>
        <v>6904.44</v>
      </c>
      <c r="K17" s="52">
        <f t="shared" si="4"/>
        <v>1505.76</v>
      </c>
      <c r="L17" s="50"/>
      <c r="M17" s="50">
        <f t="shared" si="3"/>
        <v>8410.1999999999989</v>
      </c>
      <c r="N17" s="48"/>
    </row>
    <row r="18" spans="1:14">
      <c r="A18" s="65">
        <f t="shared" si="1"/>
        <v>8</v>
      </c>
      <c r="B18" s="63" t="s">
        <v>68</v>
      </c>
      <c r="C18" s="715"/>
      <c r="D18" s="52">
        <v>356.04</v>
      </c>
      <c r="E18" s="52">
        <v>68.760000000000005</v>
      </c>
      <c r="F18" s="52"/>
      <c r="G18" s="52">
        <v>6548.4</v>
      </c>
      <c r="H18" s="52">
        <v>1437</v>
      </c>
      <c r="I18" s="52"/>
      <c r="J18" s="52">
        <f t="shared" si="2"/>
        <v>6904.44</v>
      </c>
      <c r="K18" s="52">
        <f t="shared" si="4"/>
        <v>1505.76</v>
      </c>
      <c r="L18" s="50"/>
      <c r="M18" s="50">
        <f t="shared" si="3"/>
        <v>8410.1999999999989</v>
      </c>
      <c r="N18" s="48"/>
    </row>
    <row r="19" spans="1:14">
      <c r="A19" s="65">
        <f t="shared" si="1"/>
        <v>9</v>
      </c>
      <c r="B19" s="63" t="s">
        <v>68</v>
      </c>
      <c r="C19" s="715"/>
      <c r="D19" s="52">
        <v>356.04</v>
      </c>
      <c r="E19" s="52">
        <v>68.760000000000005</v>
      </c>
      <c r="F19" s="52"/>
      <c r="G19" s="52">
        <v>6548.4</v>
      </c>
      <c r="H19" s="52">
        <v>1437</v>
      </c>
      <c r="I19" s="52"/>
      <c r="J19" s="52">
        <f t="shared" si="2"/>
        <v>6904.44</v>
      </c>
      <c r="K19" s="52">
        <f t="shared" si="4"/>
        <v>1505.76</v>
      </c>
      <c r="L19" s="50"/>
      <c r="M19" s="50">
        <f t="shared" si="3"/>
        <v>8410.1999999999989</v>
      </c>
      <c r="N19" s="48"/>
    </row>
    <row r="20" spans="1:14">
      <c r="A20" s="65">
        <f t="shared" si="1"/>
        <v>10</v>
      </c>
      <c r="B20" s="63" t="s">
        <v>68</v>
      </c>
      <c r="C20" s="715"/>
      <c r="D20" s="52">
        <v>356.04</v>
      </c>
      <c r="E20" s="52">
        <v>68.760000000000005</v>
      </c>
      <c r="F20" s="52"/>
      <c r="G20" s="52">
        <v>6548.4</v>
      </c>
      <c r="H20" s="52">
        <v>1437</v>
      </c>
      <c r="I20" s="52"/>
      <c r="J20" s="52">
        <f t="shared" si="2"/>
        <v>6904.44</v>
      </c>
      <c r="K20" s="52">
        <f t="shared" si="4"/>
        <v>1505.76</v>
      </c>
      <c r="L20" s="50"/>
      <c r="M20" s="50">
        <f t="shared" si="3"/>
        <v>8410.1999999999989</v>
      </c>
      <c r="N20" s="48"/>
    </row>
    <row r="21" spans="1:14">
      <c r="A21" s="65">
        <f t="shared" si="1"/>
        <v>11</v>
      </c>
      <c r="B21" s="63" t="s">
        <v>68</v>
      </c>
      <c r="C21" s="715"/>
      <c r="D21" s="52">
        <v>356.04</v>
      </c>
      <c r="E21" s="52">
        <v>68.760000000000005</v>
      </c>
      <c r="F21" s="52"/>
      <c r="G21" s="52">
        <v>6548.4</v>
      </c>
      <c r="H21" s="52">
        <v>1437</v>
      </c>
      <c r="I21" s="52"/>
      <c r="J21" s="52">
        <f t="shared" si="2"/>
        <v>6904.44</v>
      </c>
      <c r="K21" s="52">
        <f t="shared" si="4"/>
        <v>1505.76</v>
      </c>
      <c r="L21" s="50"/>
      <c r="M21" s="50">
        <f t="shared" si="3"/>
        <v>8410.1999999999989</v>
      </c>
      <c r="N21" s="48"/>
    </row>
    <row r="22" spans="1:14">
      <c r="A22" s="65">
        <f t="shared" si="1"/>
        <v>12</v>
      </c>
      <c r="B22" s="63" t="s">
        <v>68</v>
      </c>
      <c r="C22" s="715"/>
      <c r="D22" s="52">
        <v>356.04</v>
      </c>
      <c r="E22" s="52">
        <v>68.760000000000005</v>
      </c>
      <c r="F22" s="52"/>
      <c r="G22" s="52">
        <v>6548.4</v>
      </c>
      <c r="H22" s="52">
        <v>1437</v>
      </c>
      <c r="I22" s="52"/>
      <c r="J22" s="52">
        <f t="shared" si="2"/>
        <v>6904.44</v>
      </c>
      <c r="K22" s="52">
        <f t="shared" si="4"/>
        <v>1505.76</v>
      </c>
      <c r="L22" s="50"/>
      <c r="M22" s="50">
        <f t="shared" si="3"/>
        <v>8410.1999999999989</v>
      </c>
      <c r="N22" s="48"/>
    </row>
    <row r="23" spans="1:14">
      <c r="A23" s="65">
        <f t="shared" si="1"/>
        <v>13</v>
      </c>
      <c r="B23" s="63" t="s">
        <v>68</v>
      </c>
      <c r="C23" s="715"/>
      <c r="D23" s="52">
        <v>356.04</v>
      </c>
      <c r="E23" s="52">
        <v>68.760000000000005</v>
      </c>
      <c r="F23" s="52"/>
      <c r="G23" s="52">
        <v>6548.4</v>
      </c>
      <c r="H23" s="52">
        <v>1437</v>
      </c>
      <c r="I23" s="52"/>
      <c r="J23" s="52">
        <f t="shared" si="2"/>
        <v>6904.44</v>
      </c>
      <c r="K23" s="52">
        <f t="shared" si="4"/>
        <v>1505.76</v>
      </c>
      <c r="L23" s="50"/>
      <c r="M23" s="50">
        <f t="shared" si="3"/>
        <v>8410.1999999999989</v>
      </c>
      <c r="N23" s="48"/>
    </row>
    <row r="24" spans="1:14">
      <c r="A24" s="65">
        <f t="shared" si="1"/>
        <v>14</v>
      </c>
      <c r="B24" s="63" t="s">
        <v>68</v>
      </c>
      <c r="C24" s="715"/>
      <c r="D24" s="52">
        <v>356.04</v>
      </c>
      <c r="E24" s="52">
        <v>68.760000000000005</v>
      </c>
      <c r="F24" s="52"/>
      <c r="G24" s="52">
        <v>6548.4</v>
      </c>
      <c r="H24" s="52">
        <v>1437</v>
      </c>
      <c r="I24" s="52"/>
      <c r="J24" s="52">
        <f t="shared" si="2"/>
        <v>6904.44</v>
      </c>
      <c r="K24" s="52">
        <f t="shared" si="4"/>
        <v>1505.76</v>
      </c>
      <c r="L24" s="50"/>
      <c r="M24" s="50">
        <f t="shared" si="3"/>
        <v>8410.1999999999989</v>
      </c>
      <c r="N24" s="48"/>
    </row>
    <row r="25" spans="1:14">
      <c r="A25" s="65">
        <f t="shared" si="1"/>
        <v>15</v>
      </c>
      <c r="B25" s="63" t="s">
        <v>68</v>
      </c>
      <c r="C25" s="715"/>
      <c r="D25" s="52">
        <v>356.04</v>
      </c>
      <c r="E25" s="52">
        <v>68.760000000000005</v>
      </c>
      <c r="F25" s="52"/>
      <c r="G25" s="52">
        <v>6548.4</v>
      </c>
      <c r="H25" s="52">
        <v>1437</v>
      </c>
      <c r="I25" s="52"/>
      <c r="J25" s="52">
        <f t="shared" si="2"/>
        <v>6904.44</v>
      </c>
      <c r="K25" s="52">
        <f t="shared" si="4"/>
        <v>1505.76</v>
      </c>
      <c r="L25" s="50"/>
      <c r="M25" s="50">
        <f t="shared" si="3"/>
        <v>8410.1999999999989</v>
      </c>
      <c r="N25" s="48"/>
    </row>
    <row r="26" spans="1:14">
      <c r="A26" s="65">
        <f t="shared" si="1"/>
        <v>16</v>
      </c>
      <c r="B26" s="63" t="s">
        <v>68</v>
      </c>
      <c r="C26" s="715"/>
      <c r="D26" s="52">
        <v>356.04</v>
      </c>
      <c r="E26" s="52">
        <v>68.760000000000005</v>
      </c>
      <c r="F26" s="52"/>
      <c r="G26" s="52">
        <v>6548.4</v>
      </c>
      <c r="H26" s="52">
        <v>1437</v>
      </c>
      <c r="I26" s="52"/>
      <c r="J26" s="52">
        <f t="shared" si="2"/>
        <v>6904.44</v>
      </c>
      <c r="K26" s="52">
        <f t="shared" si="4"/>
        <v>1505.76</v>
      </c>
      <c r="L26" s="50"/>
      <c r="M26" s="50">
        <f t="shared" si="3"/>
        <v>8410.1999999999989</v>
      </c>
      <c r="N26" s="48"/>
    </row>
    <row r="27" spans="1:14">
      <c r="A27" s="65">
        <f t="shared" si="1"/>
        <v>17</v>
      </c>
      <c r="B27" s="63" t="s">
        <v>68</v>
      </c>
      <c r="C27" s="715"/>
      <c r="D27" s="52">
        <v>356.04</v>
      </c>
      <c r="E27" s="52">
        <v>68.760000000000005</v>
      </c>
      <c r="F27" s="52"/>
      <c r="G27" s="52">
        <v>6548.4</v>
      </c>
      <c r="H27" s="52">
        <v>1437</v>
      </c>
      <c r="I27" s="52"/>
      <c r="J27" s="52">
        <f t="shared" si="2"/>
        <v>6904.44</v>
      </c>
      <c r="K27" s="52">
        <f t="shared" si="4"/>
        <v>1505.76</v>
      </c>
      <c r="L27" s="50"/>
      <c r="M27" s="50">
        <f t="shared" si="3"/>
        <v>8410.1999999999989</v>
      </c>
      <c r="N27" s="48"/>
    </row>
    <row r="28" spans="1:14">
      <c r="A28" s="65">
        <f t="shared" si="1"/>
        <v>18</v>
      </c>
      <c r="B28" s="63" t="s">
        <v>68</v>
      </c>
      <c r="C28" s="715"/>
      <c r="D28" s="52">
        <v>1032.5999999999999</v>
      </c>
      <c r="E28" s="52">
        <v>199.32</v>
      </c>
      <c r="F28" s="52"/>
      <c r="G28" s="52">
        <v>19967.52</v>
      </c>
      <c r="H28" s="52">
        <v>3190.2</v>
      </c>
      <c r="I28" s="52"/>
      <c r="J28" s="52">
        <f t="shared" si="2"/>
        <v>21000.12</v>
      </c>
      <c r="K28" s="52">
        <f t="shared" si="4"/>
        <v>3389.52</v>
      </c>
      <c r="L28" s="50"/>
      <c r="M28" s="50">
        <f t="shared" si="3"/>
        <v>24389.64</v>
      </c>
      <c r="N28" s="48"/>
    </row>
    <row r="29" spans="1:14">
      <c r="A29" s="65">
        <f t="shared" si="1"/>
        <v>19</v>
      </c>
      <c r="B29" s="63" t="s">
        <v>68</v>
      </c>
      <c r="C29" s="715"/>
      <c r="D29" s="52">
        <v>1032.5999999999999</v>
      </c>
      <c r="E29" s="52">
        <v>199.32</v>
      </c>
      <c r="F29" s="52"/>
      <c r="G29" s="52">
        <v>19967.52</v>
      </c>
      <c r="H29" s="52">
        <v>3190.2</v>
      </c>
      <c r="I29" s="52"/>
      <c r="J29" s="52">
        <f>D29+G29</f>
        <v>21000.12</v>
      </c>
      <c r="K29" s="52">
        <f t="shared" si="4"/>
        <v>3389.52</v>
      </c>
      <c r="L29" s="50"/>
      <c r="M29" s="50">
        <f t="shared" si="3"/>
        <v>24389.64</v>
      </c>
      <c r="N29" s="48"/>
    </row>
    <row r="30" spans="1:14">
      <c r="A30" s="65">
        <f t="shared" si="1"/>
        <v>20</v>
      </c>
      <c r="B30" s="63" t="s">
        <v>68</v>
      </c>
      <c r="C30" s="715"/>
      <c r="D30" s="52">
        <v>1032.5999999999999</v>
      </c>
      <c r="E30" s="52">
        <v>199.32</v>
      </c>
      <c r="F30" s="52"/>
      <c r="G30" s="52">
        <v>19967.52</v>
      </c>
      <c r="H30" s="52">
        <v>3190.2</v>
      </c>
      <c r="I30" s="52"/>
      <c r="J30" s="52">
        <f t="shared" si="2"/>
        <v>21000.12</v>
      </c>
      <c r="K30" s="52">
        <f t="shared" si="4"/>
        <v>3389.52</v>
      </c>
      <c r="L30" s="50"/>
      <c r="M30" s="50">
        <f t="shared" si="3"/>
        <v>24389.64</v>
      </c>
      <c r="N30" s="48"/>
    </row>
    <row r="31" spans="1:14">
      <c r="A31" s="65">
        <f t="shared" si="1"/>
        <v>21</v>
      </c>
      <c r="B31" s="63" t="s">
        <v>68</v>
      </c>
      <c r="C31" s="701"/>
      <c r="D31" s="52">
        <v>1032.5999999999999</v>
      </c>
      <c r="E31" s="52">
        <v>199.32</v>
      </c>
      <c r="F31" s="52"/>
      <c r="G31" s="52">
        <v>19967.52</v>
      </c>
      <c r="H31" s="52">
        <v>3190.2</v>
      </c>
      <c r="I31" s="52"/>
      <c r="J31" s="52">
        <f t="shared" si="2"/>
        <v>21000.12</v>
      </c>
      <c r="K31" s="52">
        <f t="shared" si="4"/>
        <v>3389.52</v>
      </c>
      <c r="L31" s="50"/>
      <c r="M31" s="50">
        <f t="shared" si="3"/>
        <v>24389.64</v>
      </c>
      <c r="N31" s="48"/>
    </row>
    <row r="32" spans="1:14">
      <c r="A32" s="65">
        <f t="shared" si="1"/>
        <v>22</v>
      </c>
      <c r="B32" s="63" t="s">
        <v>68</v>
      </c>
      <c r="C32" s="701"/>
      <c r="D32" s="52">
        <v>1032.5999999999999</v>
      </c>
      <c r="E32" s="52">
        <v>199.32</v>
      </c>
      <c r="F32" s="52"/>
      <c r="G32" s="52">
        <v>19967.52</v>
      </c>
      <c r="H32" s="52">
        <v>3190.2</v>
      </c>
      <c r="I32" s="52"/>
      <c r="J32" s="52">
        <f t="shared" si="2"/>
        <v>21000.12</v>
      </c>
      <c r="K32" s="52">
        <f t="shared" si="4"/>
        <v>3389.52</v>
      </c>
      <c r="L32" s="50"/>
      <c r="M32" s="50">
        <f t="shared" si="3"/>
        <v>24389.64</v>
      </c>
      <c r="N32" s="48"/>
    </row>
    <row r="33" spans="1:14">
      <c r="A33" s="65">
        <f t="shared" si="1"/>
        <v>23</v>
      </c>
      <c r="B33" s="63" t="s">
        <v>68</v>
      </c>
      <c r="C33" s="701"/>
      <c r="D33" s="52">
        <v>1032.5999999999999</v>
      </c>
      <c r="E33" s="52">
        <v>199.32</v>
      </c>
      <c r="F33" s="52"/>
      <c r="G33" s="52">
        <v>19967.52</v>
      </c>
      <c r="H33" s="52">
        <v>3190.2</v>
      </c>
      <c r="I33" s="52"/>
      <c r="J33" s="52">
        <f t="shared" si="2"/>
        <v>21000.12</v>
      </c>
      <c r="K33" s="52">
        <f t="shared" si="4"/>
        <v>3389.52</v>
      </c>
      <c r="L33" s="50"/>
      <c r="M33" s="50">
        <f t="shared" si="3"/>
        <v>24389.64</v>
      </c>
      <c r="N33" s="48"/>
    </row>
    <row r="34" spans="1:14">
      <c r="A34" s="65">
        <f t="shared" si="1"/>
        <v>24</v>
      </c>
      <c r="B34" s="63" t="s">
        <v>68</v>
      </c>
      <c r="C34" s="701"/>
      <c r="D34" s="52">
        <v>1032.5999999999999</v>
      </c>
      <c r="E34" s="52">
        <v>199.32</v>
      </c>
      <c r="F34" s="52"/>
      <c r="G34" s="52">
        <v>19967.52</v>
      </c>
      <c r="H34" s="52">
        <v>3190.2</v>
      </c>
      <c r="I34" s="52"/>
      <c r="J34" s="52">
        <f t="shared" si="2"/>
        <v>21000.12</v>
      </c>
      <c r="K34" s="52">
        <f t="shared" si="4"/>
        <v>3389.52</v>
      </c>
      <c r="L34" s="50"/>
      <c r="M34" s="50">
        <f t="shared" si="3"/>
        <v>24389.64</v>
      </c>
      <c r="N34" s="48"/>
    </row>
    <row r="35" spans="1:14">
      <c r="A35" s="65">
        <f t="shared" si="1"/>
        <v>25</v>
      </c>
      <c r="B35" s="63" t="s">
        <v>68</v>
      </c>
      <c r="C35" s="701"/>
      <c r="D35" s="52">
        <v>1032.5999999999999</v>
      </c>
      <c r="E35" s="52">
        <v>199.32</v>
      </c>
      <c r="F35" s="52"/>
      <c r="G35" s="52">
        <v>19967.52</v>
      </c>
      <c r="H35" s="52">
        <v>3190.2</v>
      </c>
      <c r="I35" s="52"/>
      <c r="J35" s="52">
        <f t="shared" si="2"/>
        <v>21000.12</v>
      </c>
      <c r="K35" s="52">
        <f t="shared" si="4"/>
        <v>3389.52</v>
      </c>
      <c r="L35" s="50"/>
      <c r="M35" s="50">
        <f t="shared" si="3"/>
        <v>24389.64</v>
      </c>
      <c r="N35" s="48"/>
    </row>
    <row r="36" spans="1:14">
      <c r="A36" s="65">
        <f t="shared" si="1"/>
        <v>26</v>
      </c>
      <c r="B36" s="63" t="s">
        <v>68</v>
      </c>
      <c r="C36" s="701"/>
      <c r="D36" s="52">
        <v>1032.5999999999999</v>
      </c>
      <c r="E36" s="52">
        <v>199.32</v>
      </c>
      <c r="F36" s="52"/>
      <c r="G36" s="52">
        <v>19967.52</v>
      </c>
      <c r="H36" s="52">
        <v>3190.2</v>
      </c>
      <c r="I36" s="52"/>
      <c r="J36" s="52">
        <f t="shared" si="2"/>
        <v>21000.12</v>
      </c>
      <c r="K36" s="52">
        <f t="shared" si="4"/>
        <v>3389.52</v>
      </c>
      <c r="L36" s="50"/>
      <c r="M36" s="50">
        <f t="shared" si="3"/>
        <v>24389.64</v>
      </c>
      <c r="N36" s="48"/>
    </row>
    <row r="37" spans="1:14">
      <c r="A37" s="65">
        <f t="shared" si="1"/>
        <v>27</v>
      </c>
      <c r="B37" s="63" t="s">
        <v>68</v>
      </c>
      <c r="C37" s="701"/>
      <c r="D37" s="52">
        <v>1032.5999999999999</v>
      </c>
      <c r="E37" s="52">
        <v>199.32</v>
      </c>
      <c r="F37" s="52"/>
      <c r="G37" s="52">
        <v>19967.52</v>
      </c>
      <c r="H37" s="52">
        <v>3190.2</v>
      </c>
      <c r="I37" s="52"/>
      <c r="J37" s="52">
        <f t="shared" si="2"/>
        <v>21000.12</v>
      </c>
      <c r="K37" s="52">
        <f t="shared" si="4"/>
        <v>3389.52</v>
      </c>
      <c r="L37" s="50"/>
      <c r="M37" s="50">
        <f t="shared" si="3"/>
        <v>24389.64</v>
      </c>
      <c r="N37" s="48"/>
    </row>
    <row r="38" spans="1:14">
      <c r="A38" s="65">
        <f t="shared" si="1"/>
        <v>28</v>
      </c>
      <c r="B38" s="63" t="s">
        <v>68</v>
      </c>
      <c r="C38" s="701"/>
      <c r="D38" s="52">
        <v>1032.5999999999999</v>
      </c>
      <c r="E38" s="52">
        <v>199.32</v>
      </c>
      <c r="F38" s="52"/>
      <c r="G38" s="52">
        <v>19967.52</v>
      </c>
      <c r="H38" s="52">
        <v>3190.2</v>
      </c>
      <c r="I38" s="52"/>
      <c r="J38" s="52">
        <f t="shared" si="2"/>
        <v>21000.12</v>
      </c>
      <c r="K38" s="52">
        <f t="shared" si="4"/>
        <v>3389.52</v>
      </c>
      <c r="L38" s="50"/>
      <c r="M38" s="50">
        <f t="shared" si="3"/>
        <v>24389.64</v>
      </c>
      <c r="N38" s="48"/>
    </row>
    <row r="39" spans="1:14">
      <c r="A39" s="65">
        <f t="shared" si="1"/>
        <v>29</v>
      </c>
      <c r="B39" s="63" t="s">
        <v>68</v>
      </c>
      <c r="C39" s="701"/>
      <c r="D39" s="52">
        <v>1032.5999999999999</v>
      </c>
      <c r="E39" s="52">
        <v>199.32</v>
      </c>
      <c r="F39" s="52"/>
      <c r="G39" s="52">
        <v>19967.52</v>
      </c>
      <c r="H39" s="52">
        <v>3190.2</v>
      </c>
      <c r="I39" s="52"/>
      <c r="J39" s="52">
        <f t="shared" si="2"/>
        <v>21000.12</v>
      </c>
      <c r="K39" s="52">
        <f t="shared" si="4"/>
        <v>3389.52</v>
      </c>
      <c r="L39" s="50"/>
      <c r="M39" s="50">
        <f t="shared" si="3"/>
        <v>24389.64</v>
      </c>
      <c r="N39" s="48"/>
    </row>
    <row r="40" spans="1:14">
      <c r="A40" s="65">
        <f t="shared" si="1"/>
        <v>30</v>
      </c>
      <c r="B40" s="63" t="s">
        <v>68</v>
      </c>
      <c r="C40" s="701"/>
      <c r="D40" s="52">
        <v>1032.5999999999999</v>
      </c>
      <c r="E40" s="52">
        <v>199.32</v>
      </c>
      <c r="F40" s="52"/>
      <c r="G40" s="52">
        <v>19967.52</v>
      </c>
      <c r="H40" s="52">
        <v>3190.2</v>
      </c>
      <c r="I40" s="52"/>
      <c r="J40" s="52">
        <f t="shared" si="2"/>
        <v>21000.12</v>
      </c>
      <c r="K40" s="52">
        <f t="shared" si="4"/>
        <v>3389.52</v>
      </c>
      <c r="L40" s="50"/>
      <c r="M40" s="50">
        <f t="shared" si="3"/>
        <v>24389.64</v>
      </c>
      <c r="N40" s="48"/>
    </row>
    <row r="41" spans="1:14">
      <c r="A41" s="65">
        <f t="shared" si="1"/>
        <v>31</v>
      </c>
      <c r="B41" s="63" t="s">
        <v>68</v>
      </c>
      <c r="C41" s="701"/>
      <c r="D41" s="52">
        <v>1032.5999999999999</v>
      </c>
      <c r="E41" s="52">
        <v>199.32</v>
      </c>
      <c r="F41" s="52"/>
      <c r="G41" s="52">
        <v>19967.52</v>
      </c>
      <c r="H41" s="52">
        <v>3190.2</v>
      </c>
      <c r="I41" s="52"/>
      <c r="J41" s="52">
        <f t="shared" si="2"/>
        <v>21000.12</v>
      </c>
      <c r="K41" s="52">
        <f t="shared" si="4"/>
        <v>3389.52</v>
      </c>
      <c r="L41" s="50"/>
      <c r="M41" s="50">
        <f t="shared" si="3"/>
        <v>24389.64</v>
      </c>
      <c r="N41" s="48"/>
    </row>
    <row r="42" spans="1:14">
      <c r="A42" s="65">
        <f t="shared" si="1"/>
        <v>32</v>
      </c>
      <c r="B42" s="63" t="s">
        <v>68</v>
      </c>
      <c r="C42" s="701"/>
      <c r="D42" s="52">
        <v>1032.5999999999999</v>
      </c>
      <c r="E42" s="52">
        <v>199.32</v>
      </c>
      <c r="F42" s="52"/>
      <c r="G42" s="52">
        <v>19967.52</v>
      </c>
      <c r="H42" s="52">
        <v>3190.2</v>
      </c>
      <c r="I42" s="52"/>
      <c r="J42" s="52">
        <f t="shared" si="2"/>
        <v>21000.12</v>
      </c>
      <c r="K42" s="52">
        <f t="shared" si="4"/>
        <v>3389.52</v>
      </c>
      <c r="L42" s="50"/>
      <c r="M42" s="50">
        <f t="shared" si="3"/>
        <v>24389.64</v>
      </c>
      <c r="N42" s="48"/>
    </row>
    <row r="43" spans="1:14">
      <c r="A43" s="65">
        <f t="shared" si="1"/>
        <v>33</v>
      </c>
      <c r="B43" s="63" t="s">
        <v>68</v>
      </c>
      <c r="C43" s="701"/>
      <c r="D43" s="52">
        <v>1032.5999999999999</v>
      </c>
      <c r="E43" s="52">
        <v>199.32</v>
      </c>
      <c r="F43" s="52"/>
      <c r="G43" s="52">
        <v>19967.52</v>
      </c>
      <c r="H43" s="52">
        <v>3190.2</v>
      </c>
      <c r="I43" s="52"/>
      <c r="J43" s="52">
        <f t="shared" si="2"/>
        <v>21000.12</v>
      </c>
      <c r="K43" s="52">
        <f t="shared" si="4"/>
        <v>3389.52</v>
      </c>
      <c r="L43" s="50"/>
      <c r="M43" s="50">
        <f t="shared" si="3"/>
        <v>24389.64</v>
      </c>
      <c r="N43" s="48"/>
    </row>
    <row r="44" spans="1:14">
      <c r="A44" s="65">
        <f t="shared" si="1"/>
        <v>34</v>
      </c>
      <c r="B44" s="63" t="s">
        <v>68</v>
      </c>
      <c r="C44" s="701"/>
      <c r="D44" s="52">
        <v>1032.5999999999999</v>
      </c>
      <c r="E44" s="52">
        <v>199.32</v>
      </c>
      <c r="F44" s="52"/>
      <c r="G44" s="52">
        <v>19967.52</v>
      </c>
      <c r="H44" s="52">
        <v>3190.2</v>
      </c>
      <c r="I44" s="52"/>
      <c r="J44" s="52">
        <f t="shared" si="2"/>
        <v>21000.12</v>
      </c>
      <c r="K44" s="52">
        <f t="shared" si="4"/>
        <v>3389.52</v>
      </c>
      <c r="L44" s="50"/>
      <c r="M44" s="50">
        <f t="shared" si="3"/>
        <v>24389.64</v>
      </c>
      <c r="N44" s="48"/>
    </row>
    <row r="45" spans="1:14">
      <c r="A45" s="65">
        <f t="shared" si="1"/>
        <v>35</v>
      </c>
      <c r="B45" s="63" t="s">
        <v>68</v>
      </c>
      <c r="C45" s="701"/>
      <c r="D45" s="52">
        <v>1032.5999999999999</v>
      </c>
      <c r="E45" s="52">
        <v>199.32</v>
      </c>
      <c r="F45" s="52"/>
      <c r="G45" s="52">
        <v>19967.52</v>
      </c>
      <c r="H45" s="52">
        <v>3190.2</v>
      </c>
      <c r="I45" s="52"/>
      <c r="J45" s="52">
        <f t="shared" si="2"/>
        <v>21000.12</v>
      </c>
      <c r="K45" s="52">
        <f t="shared" si="4"/>
        <v>3389.52</v>
      </c>
      <c r="L45" s="50"/>
      <c r="M45" s="50">
        <f t="shared" si="3"/>
        <v>24389.64</v>
      </c>
      <c r="N45" s="48"/>
    </row>
    <row r="46" spans="1:14">
      <c r="A46" s="65">
        <f t="shared" si="1"/>
        <v>36</v>
      </c>
      <c r="B46" s="63" t="s">
        <v>68</v>
      </c>
      <c r="C46" s="701"/>
      <c r="D46" s="52">
        <v>1032.5999999999999</v>
      </c>
      <c r="E46" s="52">
        <v>199.32</v>
      </c>
      <c r="F46" s="52"/>
      <c r="G46" s="52">
        <v>19967.52</v>
      </c>
      <c r="H46" s="52">
        <v>3190.2</v>
      </c>
      <c r="I46" s="52"/>
      <c r="J46" s="52">
        <f t="shared" si="2"/>
        <v>21000.12</v>
      </c>
      <c r="K46" s="52">
        <f t="shared" si="4"/>
        <v>3389.52</v>
      </c>
      <c r="L46" s="50"/>
      <c r="M46" s="50">
        <f t="shared" si="3"/>
        <v>24389.64</v>
      </c>
      <c r="N46" s="48"/>
    </row>
    <row r="47" spans="1:14">
      <c r="A47" s="65">
        <f t="shared" si="1"/>
        <v>37</v>
      </c>
      <c r="B47" s="63" t="s">
        <v>68</v>
      </c>
      <c r="C47" s="701"/>
      <c r="D47" s="52">
        <v>1032.5999999999999</v>
      </c>
      <c r="E47" s="52">
        <v>199.32</v>
      </c>
      <c r="F47" s="52"/>
      <c r="G47" s="52">
        <v>19967.52</v>
      </c>
      <c r="H47" s="52">
        <v>3190.2</v>
      </c>
      <c r="I47" s="52"/>
      <c r="J47" s="52">
        <f t="shared" si="2"/>
        <v>21000.12</v>
      </c>
      <c r="K47" s="52">
        <f t="shared" si="4"/>
        <v>3389.52</v>
      </c>
      <c r="L47" s="50"/>
      <c r="M47" s="50">
        <f t="shared" si="3"/>
        <v>24389.64</v>
      </c>
      <c r="N47" s="48"/>
    </row>
    <row r="48" spans="1:14">
      <c r="A48" s="65">
        <f t="shared" si="1"/>
        <v>38</v>
      </c>
      <c r="B48" s="63" t="s">
        <v>68</v>
      </c>
      <c r="C48" s="701"/>
      <c r="D48" s="52">
        <v>1032.5999999999999</v>
      </c>
      <c r="E48" s="52">
        <v>199.32</v>
      </c>
      <c r="F48" s="52"/>
      <c r="G48" s="52">
        <v>19967.52</v>
      </c>
      <c r="H48" s="52">
        <v>3190.2</v>
      </c>
      <c r="I48" s="52"/>
      <c r="J48" s="52">
        <f t="shared" si="2"/>
        <v>21000.12</v>
      </c>
      <c r="K48" s="52">
        <f t="shared" si="4"/>
        <v>3389.52</v>
      </c>
      <c r="L48" s="50"/>
      <c r="M48" s="50">
        <f t="shared" si="3"/>
        <v>24389.64</v>
      </c>
      <c r="N48" s="48"/>
    </row>
    <row r="49" spans="1:14">
      <c r="A49" s="65">
        <f t="shared" si="1"/>
        <v>39</v>
      </c>
      <c r="B49" s="63" t="s">
        <v>68</v>
      </c>
      <c r="C49" s="701"/>
      <c r="D49" s="52">
        <v>1032.5999999999999</v>
      </c>
      <c r="E49" s="52">
        <v>199.32</v>
      </c>
      <c r="F49" s="52"/>
      <c r="G49" s="52">
        <v>19967.52</v>
      </c>
      <c r="H49" s="52">
        <v>3190.2</v>
      </c>
      <c r="I49" s="52"/>
      <c r="J49" s="52">
        <f t="shared" si="2"/>
        <v>21000.12</v>
      </c>
      <c r="K49" s="52">
        <f t="shared" si="4"/>
        <v>3389.52</v>
      </c>
      <c r="L49" s="50"/>
      <c r="M49" s="50">
        <f t="shared" si="3"/>
        <v>24389.64</v>
      </c>
      <c r="N49" s="48"/>
    </row>
    <row r="50" spans="1:14">
      <c r="A50" s="65">
        <f t="shared" si="1"/>
        <v>40</v>
      </c>
      <c r="B50" s="63" t="s">
        <v>68</v>
      </c>
      <c r="C50" s="701"/>
      <c r="D50" s="52">
        <v>1032.5999999999999</v>
      </c>
      <c r="E50" s="52">
        <v>199.32</v>
      </c>
      <c r="F50" s="52"/>
      <c r="G50" s="52">
        <v>19967.52</v>
      </c>
      <c r="H50" s="52">
        <v>3190.2</v>
      </c>
      <c r="I50" s="52"/>
      <c r="J50" s="52">
        <f t="shared" si="2"/>
        <v>21000.12</v>
      </c>
      <c r="K50" s="52">
        <f t="shared" si="4"/>
        <v>3389.52</v>
      </c>
      <c r="L50" s="50"/>
      <c r="M50" s="50">
        <f t="shared" si="3"/>
        <v>24389.64</v>
      </c>
      <c r="N50" s="48"/>
    </row>
    <row r="51" spans="1:14">
      <c r="A51" s="65">
        <f t="shared" si="1"/>
        <v>41</v>
      </c>
      <c r="B51" s="63" t="s">
        <v>68</v>
      </c>
      <c r="C51" s="701"/>
      <c r="D51" s="52">
        <v>1032.5999999999999</v>
      </c>
      <c r="E51" s="52">
        <v>199.32</v>
      </c>
      <c r="F51" s="52"/>
      <c r="G51" s="52">
        <v>19967.52</v>
      </c>
      <c r="H51" s="52">
        <v>3190.2</v>
      </c>
      <c r="I51" s="52"/>
      <c r="J51" s="52">
        <f t="shared" si="2"/>
        <v>21000.12</v>
      </c>
      <c r="K51" s="52">
        <f t="shared" si="4"/>
        <v>3389.52</v>
      </c>
      <c r="L51" s="50"/>
      <c r="M51" s="50">
        <f t="shared" si="3"/>
        <v>24389.64</v>
      </c>
      <c r="N51" s="48"/>
    </row>
    <row r="52" spans="1:14">
      <c r="A52" s="65">
        <f t="shared" si="1"/>
        <v>42</v>
      </c>
      <c r="B52" s="63" t="s">
        <v>68</v>
      </c>
      <c r="C52" s="701"/>
      <c r="D52" s="52">
        <v>1032.5999999999999</v>
      </c>
      <c r="E52" s="52">
        <v>199.32</v>
      </c>
      <c r="F52" s="52"/>
      <c r="G52" s="52">
        <v>19967.52</v>
      </c>
      <c r="H52" s="52">
        <v>3190.2</v>
      </c>
      <c r="I52" s="52"/>
      <c r="J52" s="52">
        <f t="shared" si="2"/>
        <v>21000.12</v>
      </c>
      <c r="K52" s="52">
        <f t="shared" si="4"/>
        <v>3389.52</v>
      </c>
      <c r="L52" s="50"/>
      <c r="M52" s="50">
        <f t="shared" si="3"/>
        <v>24389.64</v>
      </c>
      <c r="N52" s="48"/>
    </row>
    <row r="53" spans="1:14">
      <c r="A53" s="65">
        <f t="shared" si="1"/>
        <v>43</v>
      </c>
      <c r="B53" s="63" t="s">
        <v>68</v>
      </c>
      <c r="C53" s="701"/>
      <c r="D53" s="52">
        <v>1032.5999999999999</v>
      </c>
      <c r="E53" s="52">
        <v>199.32</v>
      </c>
      <c r="F53" s="52"/>
      <c r="G53" s="52">
        <v>19967.52</v>
      </c>
      <c r="H53" s="52">
        <v>3190.2</v>
      </c>
      <c r="I53" s="52"/>
      <c r="J53" s="52">
        <f t="shared" si="2"/>
        <v>21000.12</v>
      </c>
      <c r="K53" s="52">
        <f t="shared" si="4"/>
        <v>3389.52</v>
      </c>
      <c r="L53" s="50"/>
      <c r="M53" s="50">
        <f t="shared" si="3"/>
        <v>24389.64</v>
      </c>
      <c r="N53" s="48"/>
    </row>
    <row r="54" spans="1:14">
      <c r="A54" s="65">
        <f t="shared" si="1"/>
        <v>44</v>
      </c>
      <c r="B54" s="63" t="s">
        <v>68</v>
      </c>
      <c r="C54" s="701"/>
      <c r="D54" s="52">
        <v>1032.5999999999999</v>
      </c>
      <c r="E54" s="52">
        <v>199.32</v>
      </c>
      <c r="F54" s="52"/>
      <c r="G54" s="52">
        <v>19967.52</v>
      </c>
      <c r="H54" s="52">
        <v>3190.2</v>
      </c>
      <c r="I54" s="52"/>
      <c r="J54" s="52">
        <f t="shared" si="2"/>
        <v>21000.12</v>
      </c>
      <c r="K54" s="52">
        <f t="shared" si="4"/>
        <v>3389.52</v>
      </c>
      <c r="L54" s="50"/>
      <c r="M54" s="50">
        <f t="shared" si="3"/>
        <v>24389.64</v>
      </c>
      <c r="N54" s="48"/>
    </row>
    <row r="55" spans="1:14">
      <c r="A55" s="65">
        <f t="shared" si="1"/>
        <v>45</v>
      </c>
      <c r="B55" s="63" t="s">
        <v>68</v>
      </c>
      <c r="C55" s="701"/>
      <c r="D55" s="52">
        <v>1032.5999999999999</v>
      </c>
      <c r="E55" s="52">
        <v>199.32</v>
      </c>
      <c r="F55" s="52"/>
      <c r="G55" s="52">
        <v>19967.52</v>
      </c>
      <c r="H55" s="52">
        <v>3190.2</v>
      </c>
      <c r="I55" s="52"/>
      <c r="J55" s="52">
        <f t="shared" si="2"/>
        <v>21000.12</v>
      </c>
      <c r="K55" s="52">
        <f t="shared" si="4"/>
        <v>3389.52</v>
      </c>
      <c r="L55" s="50"/>
      <c r="M55" s="50">
        <f t="shared" si="3"/>
        <v>24389.64</v>
      </c>
      <c r="N55" s="48"/>
    </row>
    <row r="56" spans="1:14">
      <c r="A56" s="65">
        <f t="shared" si="1"/>
        <v>46</v>
      </c>
      <c r="B56" s="63" t="s">
        <v>68</v>
      </c>
      <c r="C56" s="701"/>
      <c r="D56" s="52">
        <v>1032.5999999999999</v>
      </c>
      <c r="E56" s="52">
        <v>199.32</v>
      </c>
      <c r="F56" s="52"/>
      <c r="G56" s="52">
        <v>19967.52</v>
      </c>
      <c r="H56" s="52">
        <v>3190.2</v>
      </c>
      <c r="I56" s="52"/>
      <c r="J56" s="52">
        <f t="shared" si="2"/>
        <v>21000.12</v>
      </c>
      <c r="K56" s="52">
        <f t="shared" si="4"/>
        <v>3389.52</v>
      </c>
      <c r="L56" s="50"/>
      <c r="M56" s="50">
        <f t="shared" si="3"/>
        <v>24389.64</v>
      </c>
      <c r="N56" s="48"/>
    </row>
    <row r="57" spans="1:14">
      <c r="A57" s="65">
        <f t="shared" si="1"/>
        <v>47</v>
      </c>
      <c r="B57" s="63" t="s">
        <v>68</v>
      </c>
      <c r="C57" s="701"/>
      <c r="D57" s="52">
        <v>1032.5999999999999</v>
      </c>
      <c r="E57" s="52">
        <v>199.32</v>
      </c>
      <c r="F57" s="52"/>
      <c r="G57" s="52">
        <v>19967.52</v>
      </c>
      <c r="H57" s="52">
        <v>3190.2</v>
      </c>
      <c r="I57" s="52"/>
      <c r="J57" s="52">
        <f t="shared" si="2"/>
        <v>21000.12</v>
      </c>
      <c r="K57" s="52">
        <f t="shared" si="4"/>
        <v>3389.52</v>
      </c>
      <c r="L57" s="50"/>
      <c r="M57" s="50">
        <f t="shared" si="3"/>
        <v>24389.64</v>
      </c>
      <c r="N57" s="48"/>
    </row>
    <row r="58" spans="1:14">
      <c r="A58" s="65">
        <f t="shared" si="1"/>
        <v>48</v>
      </c>
      <c r="B58" s="63" t="s">
        <v>68</v>
      </c>
      <c r="C58" s="701"/>
      <c r="D58" s="52">
        <v>1032.5999999999999</v>
      </c>
      <c r="E58" s="52">
        <v>199.32</v>
      </c>
      <c r="F58" s="52"/>
      <c r="G58" s="52">
        <v>19967.52</v>
      </c>
      <c r="H58" s="52">
        <v>3190.2</v>
      </c>
      <c r="I58" s="52"/>
      <c r="J58" s="52">
        <f t="shared" si="2"/>
        <v>21000.12</v>
      </c>
      <c r="K58" s="52">
        <f t="shared" si="4"/>
        <v>3389.52</v>
      </c>
      <c r="L58" s="50"/>
      <c r="M58" s="50">
        <f t="shared" si="3"/>
        <v>24389.64</v>
      </c>
      <c r="N58" s="48"/>
    </row>
    <row r="59" spans="1:14">
      <c r="A59" s="65">
        <f t="shared" si="1"/>
        <v>49</v>
      </c>
      <c r="B59" s="63" t="s">
        <v>68</v>
      </c>
      <c r="C59" s="701"/>
      <c r="D59" s="52">
        <v>1032.5999999999999</v>
      </c>
      <c r="E59" s="52">
        <v>199.32</v>
      </c>
      <c r="F59" s="52"/>
      <c r="G59" s="52">
        <v>19967.52</v>
      </c>
      <c r="H59" s="52">
        <v>3190.2</v>
      </c>
      <c r="I59" s="52"/>
      <c r="J59" s="52">
        <f t="shared" si="2"/>
        <v>21000.12</v>
      </c>
      <c r="K59" s="52">
        <f t="shared" si="4"/>
        <v>3389.52</v>
      </c>
      <c r="L59" s="50"/>
      <c r="M59" s="50">
        <f t="shared" si="3"/>
        <v>24389.64</v>
      </c>
      <c r="N59" s="48"/>
    </row>
    <row r="60" spans="1:14">
      <c r="A60" s="65">
        <f t="shared" si="1"/>
        <v>50</v>
      </c>
      <c r="B60" s="63" t="s">
        <v>68</v>
      </c>
      <c r="C60" s="701"/>
      <c r="D60" s="52">
        <v>1032.5999999999999</v>
      </c>
      <c r="E60" s="52">
        <v>199.32</v>
      </c>
      <c r="F60" s="52"/>
      <c r="G60" s="52">
        <v>19967.52</v>
      </c>
      <c r="H60" s="52">
        <v>3190.2</v>
      </c>
      <c r="I60" s="52"/>
      <c r="J60" s="52">
        <f t="shared" si="2"/>
        <v>21000.12</v>
      </c>
      <c r="K60" s="52">
        <f t="shared" si="4"/>
        <v>3389.52</v>
      </c>
      <c r="L60" s="50"/>
      <c r="M60" s="50">
        <f t="shared" si="3"/>
        <v>24389.64</v>
      </c>
      <c r="N60" s="48"/>
    </row>
    <row r="61" spans="1:14">
      <c r="A61" s="65">
        <f t="shared" si="1"/>
        <v>51</v>
      </c>
      <c r="B61" s="63" t="s">
        <v>68</v>
      </c>
      <c r="C61" s="701"/>
      <c r="D61" s="52">
        <v>1032.5999999999999</v>
      </c>
      <c r="E61" s="52">
        <v>199.32</v>
      </c>
      <c r="F61" s="52"/>
      <c r="G61" s="52">
        <v>19967.52</v>
      </c>
      <c r="H61" s="52">
        <v>3190.2</v>
      </c>
      <c r="I61" s="52"/>
      <c r="J61" s="52">
        <f t="shared" si="2"/>
        <v>21000.12</v>
      </c>
      <c r="K61" s="52">
        <f t="shared" si="4"/>
        <v>3389.52</v>
      </c>
      <c r="L61" s="50"/>
      <c r="M61" s="50">
        <f t="shared" si="3"/>
        <v>24389.64</v>
      </c>
      <c r="N61" s="48"/>
    </row>
    <row r="62" spans="1:14">
      <c r="A62" s="65">
        <f t="shared" si="1"/>
        <v>52</v>
      </c>
      <c r="B62" s="63" t="s">
        <v>68</v>
      </c>
      <c r="C62" s="701"/>
      <c r="D62" s="52">
        <v>1032.5999999999999</v>
      </c>
      <c r="E62" s="52">
        <v>199.32</v>
      </c>
      <c r="F62" s="52"/>
      <c r="G62" s="52">
        <v>19967.52</v>
      </c>
      <c r="H62" s="52">
        <v>3190.2</v>
      </c>
      <c r="I62" s="52"/>
      <c r="J62" s="52">
        <f t="shared" si="2"/>
        <v>21000.12</v>
      </c>
      <c r="K62" s="52">
        <f t="shared" si="4"/>
        <v>3389.52</v>
      </c>
      <c r="L62" s="50"/>
      <c r="M62" s="50">
        <f t="shared" si="3"/>
        <v>24389.64</v>
      </c>
      <c r="N62" s="48"/>
    </row>
    <row r="63" spans="1:14">
      <c r="A63" s="65">
        <f t="shared" si="1"/>
        <v>53</v>
      </c>
      <c r="B63" s="63" t="s">
        <v>68</v>
      </c>
      <c r="C63" s="701"/>
      <c r="D63" s="52">
        <v>1032.5999999999999</v>
      </c>
      <c r="E63" s="52">
        <v>199.32</v>
      </c>
      <c r="F63" s="52"/>
      <c r="G63" s="52">
        <v>19967.52</v>
      </c>
      <c r="H63" s="52">
        <v>3190.2</v>
      </c>
      <c r="I63" s="52"/>
      <c r="J63" s="52">
        <f t="shared" si="2"/>
        <v>21000.12</v>
      </c>
      <c r="K63" s="52">
        <f t="shared" si="4"/>
        <v>3389.52</v>
      </c>
      <c r="L63" s="50"/>
      <c r="M63" s="50">
        <f t="shared" si="3"/>
        <v>24389.64</v>
      </c>
      <c r="N63" s="48"/>
    </row>
    <row r="64" spans="1:14">
      <c r="A64" s="65">
        <f t="shared" si="1"/>
        <v>54</v>
      </c>
      <c r="B64" s="63" t="s">
        <v>68</v>
      </c>
      <c r="C64" s="701"/>
      <c r="D64" s="52">
        <v>1032.5999999999999</v>
      </c>
      <c r="E64" s="52">
        <v>199.32</v>
      </c>
      <c r="F64" s="52"/>
      <c r="G64" s="52">
        <v>19967.52</v>
      </c>
      <c r="H64" s="52">
        <v>3190.2</v>
      </c>
      <c r="I64" s="52"/>
      <c r="J64" s="52">
        <f t="shared" si="2"/>
        <v>21000.12</v>
      </c>
      <c r="K64" s="52">
        <f t="shared" si="4"/>
        <v>3389.52</v>
      </c>
      <c r="L64" s="50"/>
      <c r="M64" s="50">
        <f t="shared" si="3"/>
        <v>24389.64</v>
      </c>
      <c r="N64" s="48"/>
    </row>
    <row r="65" spans="1:14">
      <c r="A65" s="65">
        <f t="shared" si="1"/>
        <v>55</v>
      </c>
      <c r="B65" s="63" t="s">
        <v>68</v>
      </c>
      <c r="C65" s="701"/>
      <c r="D65" s="52">
        <v>1032.5999999999999</v>
      </c>
      <c r="E65" s="52">
        <v>199.32</v>
      </c>
      <c r="F65" s="52"/>
      <c r="G65" s="52">
        <v>19967.52</v>
      </c>
      <c r="H65" s="52">
        <v>3190.2</v>
      </c>
      <c r="I65" s="52"/>
      <c r="J65" s="52">
        <f t="shared" si="2"/>
        <v>21000.12</v>
      </c>
      <c r="K65" s="52">
        <f t="shared" si="4"/>
        <v>3389.52</v>
      </c>
      <c r="L65" s="50"/>
      <c r="M65" s="50">
        <f t="shared" si="3"/>
        <v>24389.64</v>
      </c>
      <c r="N65" s="48"/>
    </row>
    <row r="66" spans="1:14">
      <c r="A66" s="65">
        <f t="shared" si="1"/>
        <v>56</v>
      </c>
      <c r="B66" s="63" t="s">
        <v>68</v>
      </c>
      <c r="C66" s="701"/>
      <c r="D66" s="52">
        <v>1032.5999999999999</v>
      </c>
      <c r="E66" s="52">
        <v>199.32</v>
      </c>
      <c r="F66" s="52"/>
      <c r="G66" s="52">
        <v>19967.52</v>
      </c>
      <c r="H66" s="52">
        <v>3190.2</v>
      </c>
      <c r="I66" s="52"/>
      <c r="J66" s="52">
        <f t="shared" si="2"/>
        <v>21000.12</v>
      </c>
      <c r="K66" s="52">
        <f t="shared" si="4"/>
        <v>3389.52</v>
      </c>
      <c r="L66" s="50"/>
      <c r="M66" s="50">
        <f t="shared" si="3"/>
        <v>24389.64</v>
      </c>
      <c r="N66" s="48"/>
    </row>
    <row r="67" spans="1:14">
      <c r="A67" s="65">
        <f t="shared" si="1"/>
        <v>57</v>
      </c>
      <c r="B67" s="63" t="s">
        <v>68</v>
      </c>
      <c r="C67" s="701"/>
      <c r="D67" s="52">
        <v>1032.5999999999999</v>
      </c>
      <c r="E67" s="52">
        <v>199.32</v>
      </c>
      <c r="F67" s="52"/>
      <c r="G67" s="52">
        <v>19967.52</v>
      </c>
      <c r="H67" s="52">
        <v>3190.2</v>
      </c>
      <c r="I67" s="52"/>
      <c r="J67" s="52">
        <f t="shared" si="2"/>
        <v>21000.12</v>
      </c>
      <c r="K67" s="52">
        <f t="shared" si="4"/>
        <v>3389.52</v>
      </c>
      <c r="L67" s="50"/>
      <c r="M67" s="50">
        <f t="shared" si="3"/>
        <v>24389.64</v>
      </c>
      <c r="N67" s="48"/>
    </row>
    <row r="68" spans="1:14">
      <c r="A68" s="65">
        <f t="shared" si="1"/>
        <v>58</v>
      </c>
      <c r="B68" s="63" t="s">
        <v>68</v>
      </c>
      <c r="C68" s="701"/>
      <c r="D68" s="52">
        <v>1032.5999999999999</v>
      </c>
      <c r="E68" s="52">
        <v>199.32</v>
      </c>
      <c r="F68" s="52"/>
      <c r="G68" s="52">
        <v>19967.52</v>
      </c>
      <c r="H68" s="52">
        <v>3190.2</v>
      </c>
      <c r="I68" s="52"/>
      <c r="J68" s="52">
        <f t="shared" si="2"/>
        <v>21000.12</v>
      </c>
      <c r="K68" s="52">
        <f t="shared" si="4"/>
        <v>3389.52</v>
      </c>
      <c r="L68" s="50"/>
      <c r="M68" s="50">
        <f t="shared" si="3"/>
        <v>24389.64</v>
      </c>
      <c r="N68" s="48"/>
    </row>
    <row r="69" spans="1:14">
      <c r="A69" s="65">
        <f t="shared" si="1"/>
        <v>59</v>
      </c>
      <c r="B69" s="63" t="s">
        <v>68</v>
      </c>
      <c r="C69" s="701"/>
      <c r="D69" s="52">
        <v>1032.5999999999999</v>
      </c>
      <c r="E69" s="52">
        <v>199.32</v>
      </c>
      <c r="F69" s="52"/>
      <c r="G69" s="52">
        <v>0</v>
      </c>
      <c r="H69" s="52">
        <v>0</v>
      </c>
      <c r="I69" s="52"/>
      <c r="J69" s="52">
        <f t="shared" si="2"/>
        <v>1032.5999999999999</v>
      </c>
      <c r="K69" s="52">
        <f t="shared" si="4"/>
        <v>199.32</v>
      </c>
      <c r="L69" s="50"/>
      <c r="M69" s="50">
        <f t="shared" si="3"/>
        <v>1231.9199999999998</v>
      </c>
      <c r="N69" s="48"/>
    </row>
    <row r="70" spans="1:14">
      <c r="A70" s="65">
        <f t="shared" si="1"/>
        <v>60</v>
      </c>
      <c r="B70" s="63" t="s">
        <v>68</v>
      </c>
      <c r="C70" s="701"/>
      <c r="D70" s="52">
        <v>1032.5999999999999</v>
      </c>
      <c r="E70" s="52">
        <v>199.32</v>
      </c>
      <c r="F70" s="52"/>
      <c r="G70" s="52">
        <v>19967.52</v>
      </c>
      <c r="H70" s="52">
        <v>3190.2</v>
      </c>
      <c r="I70" s="52"/>
      <c r="J70" s="52">
        <f t="shared" si="2"/>
        <v>21000.12</v>
      </c>
      <c r="K70" s="52">
        <f t="shared" si="4"/>
        <v>3389.52</v>
      </c>
      <c r="L70" s="50"/>
      <c r="M70" s="50">
        <f t="shared" si="3"/>
        <v>24389.64</v>
      </c>
      <c r="N70" s="48"/>
    </row>
    <row r="71" spans="1:14">
      <c r="A71" s="65">
        <f t="shared" si="1"/>
        <v>61</v>
      </c>
      <c r="B71" s="63" t="s">
        <v>68</v>
      </c>
      <c r="C71" s="701"/>
      <c r="D71" s="52">
        <v>1032.5999999999999</v>
      </c>
      <c r="E71" s="52">
        <v>199.32</v>
      </c>
      <c r="F71" s="52"/>
      <c r="G71" s="52">
        <v>19967.52</v>
      </c>
      <c r="H71" s="52">
        <v>3190.2</v>
      </c>
      <c r="I71" s="52"/>
      <c r="J71" s="52">
        <f t="shared" ref="J71:J73" si="5">D71+G71</f>
        <v>21000.12</v>
      </c>
      <c r="K71" s="52">
        <f t="shared" ref="K71:K73" si="6">E71+H71</f>
        <v>3389.52</v>
      </c>
      <c r="L71" s="50"/>
      <c r="M71" s="50">
        <f t="shared" ref="M71:M73" si="7">J71+K71</f>
        <v>24389.64</v>
      </c>
    </row>
    <row r="72" spans="1:14">
      <c r="A72" s="65">
        <f t="shared" si="1"/>
        <v>62</v>
      </c>
      <c r="B72" s="63" t="s">
        <v>68</v>
      </c>
      <c r="C72" s="701"/>
      <c r="D72" s="52">
        <v>1032.5999999999999</v>
      </c>
      <c r="E72" s="52">
        <v>199.32</v>
      </c>
      <c r="F72" s="52"/>
      <c r="G72" s="52">
        <v>19967.52</v>
      </c>
      <c r="H72" s="52">
        <v>3190.2</v>
      </c>
      <c r="I72" s="52"/>
      <c r="J72" s="52">
        <f t="shared" si="5"/>
        <v>21000.12</v>
      </c>
      <c r="K72" s="52">
        <f t="shared" si="6"/>
        <v>3389.52</v>
      </c>
      <c r="L72" s="50"/>
      <c r="M72" s="50">
        <f t="shared" si="7"/>
        <v>24389.64</v>
      </c>
    </row>
    <row r="73" spans="1:14">
      <c r="A73" s="65">
        <f t="shared" si="1"/>
        <v>63</v>
      </c>
      <c r="B73" s="63" t="s">
        <v>68</v>
      </c>
      <c r="C73" s="701"/>
      <c r="D73" s="52">
        <v>1032.5999999999999</v>
      </c>
      <c r="E73" s="52">
        <v>199.32</v>
      </c>
      <c r="F73" s="52"/>
      <c r="G73" s="52">
        <v>19967.52</v>
      </c>
      <c r="H73" s="52">
        <v>3190.2</v>
      </c>
      <c r="I73" s="52"/>
      <c r="J73" s="52">
        <f t="shared" si="5"/>
        <v>21000.12</v>
      </c>
      <c r="K73" s="52">
        <f t="shared" si="6"/>
        <v>3389.52</v>
      </c>
      <c r="L73" s="50"/>
      <c r="M73" s="50">
        <f t="shared" si="7"/>
        <v>24389.64</v>
      </c>
    </row>
    <row r="74" spans="1:14">
      <c r="A74" s="65">
        <f t="shared" si="1"/>
        <v>64</v>
      </c>
      <c r="B74" s="63" t="s">
        <v>68</v>
      </c>
      <c r="C74" s="701"/>
      <c r="D74" s="52">
        <v>1032.5999999999999</v>
      </c>
      <c r="E74" s="52">
        <v>199.32</v>
      </c>
      <c r="F74" s="52"/>
      <c r="G74" s="52">
        <v>19967.52</v>
      </c>
      <c r="H74" s="52">
        <v>3190.2</v>
      </c>
      <c r="I74" s="52"/>
      <c r="J74" s="52">
        <f t="shared" ref="J74" si="8">D74+G74</f>
        <v>21000.12</v>
      </c>
      <c r="K74" s="52">
        <f t="shared" ref="K74" si="9">E74+H74</f>
        <v>3389.52</v>
      </c>
      <c r="L74" s="50"/>
      <c r="M74" s="50">
        <f t="shared" ref="M74" si="10">J74+K74</f>
        <v>24389.64</v>
      </c>
    </row>
    <row r="75" spans="1:14">
      <c r="A75" s="65">
        <f t="shared" si="1"/>
        <v>65</v>
      </c>
      <c r="B75" s="63" t="s">
        <v>68</v>
      </c>
      <c r="C75" s="701"/>
      <c r="D75" s="52">
        <v>1032.5999999999999</v>
      </c>
      <c r="E75" s="52">
        <v>199.32</v>
      </c>
      <c r="F75" s="52"/>
      <c r="G75" s="52">
        <v>19967.52</v>
      </c>
      <c r="H75" s="52">
        <v>3190.2</v>
      </c>
      <c r="I75" s="52"/>
      <c r="J75" s="52">
        <f t="shared" ref="J75" si="11">D75+G75</f>
        <v>21000.12</v>
      </c>
      <c r="K75" s="52">
        <f t="shared" ref="K75" si="12">E75+H75</f>
        <v>3389.52</v>
      </c>
      <c r="L75" s="50"/>
      <c r="M75" s="50">
        <f t="shared" ref="M75" si="13">J75+K75</f>
        <v>24389.64</v>
      </c>
    </row>
    <row r="76" spans="1:14">
      <c r="A76" s="65">
        <f t="shared" si="1"/>
        <v>66</v>
      </c>
      <c r="B76" s="63" t="s">
        <v>68</v>
      </c>
      <c r="C76" s="701"/>
      <c r="D76" s="52">
        <v>1032.5999999999999</v>
      </c>
      <c r="E76" s="52">
        <v>199.32</v>
      </c>
      <c r="F76" s="52"/>
      <c r="G76" s="52">
        <v>19967.52</v>
      </c>
      <c r="H76" s="52">
        <v>3190.2</v>
      </c>
      <c r="I76" s="52"/>
      <c r="J76" s="52">
        <f t="shared" ref="J76" si="14">D76+G76</f>
        <v>21000.12</v>
      </c>
      <c r="K76" s="52">
        <f t="shared" ref="K76" si="15">E76+H76</f>
        <v>3389.52</v>
      </c>
      <c r="L76" s="50"/>
      <c r="M76" s="50">
        <f t="shared" ref="M76" si="16">J76+K76</f>
        <v>24389.64</v>
      </c>
    </row>
    <row r="77" spans="1:14">
      <c r="A77" s="65">
        <f t="shared" si="1"/>
        <v>67</v>
      </c>
      <c r="B77" s="63" t="s">
        <v>68</v>
      </c>
      <c r="C77" s="701"/>
      <c r="D77" s="52">
        <v>1032.5999999999999</v>
      </c>
      <c r="E77" s="52">
        <v>199.32</v>
      </c>
      <c r="G77" s="52">
        <v>19967.52</v>
      </c>
      <c r="H77" s="52">
        <v>3190.2</v>
      </c>
      <c r="J77" s="52">
        <f t="shared" ref="J77" si="17">D77+G77</f>
        <v>21000.12</v>
      </c>
      <c r="K77" s="52">
        <f t="shared" ref="K77" si="18">E77+H77</f>
        <v>3389.52</v>
      </c>
      <c r="L77" s="50"/>
      <c r="M77" s="50">
        <f t="shared" ref="M77" si="19">J77+K77</f>
        <v>24389.64</v>
      </c>
    </row>
    <row r="78" spans="1:14" ht="15" thickBot="1">
      <c r="B78" s="12" t="s">
        <v>151</v>
      </c>
      <c r="D78" s="59">
        <f>SUM(D11:D77)</f>
        <v>57682.679999999949</v>
      </c>
      <c r="E78" s="59">
        <f t="shared" ref="E78:H78" si="20">SUM(E11:E77)</f>
        <v>11134.919999999991</v>
      </c>
      <c r="F78" s="59"/>
      <c r="G78" s="59">
        <f t="shared" si="20"/>
        <v>1089731.2800000005</v>
      </c>
      <c r="H78" s="59">
        <f t="shared" si="20"/>
        <v>180748.8000000001</v>
      </c>
      <c r="I78" s="59"/>
      <c r="J78" s="59">
        <f>SUM(J11:J77)</f>
        <v>1147413.9600000004</v>
      </c>
      <c r="K78" s="59">
        <f>SUM(K11:K77)</f>
        <v>191883.71999999986</v>
      </c>
      <c r="L78" s="59"/>
      <c r="M78" s="59">
        <f>SUM(M11:M77)</f>
        <v>1339297.6799999992</v>
      </c>
    </row>
    <row r="79" spans="1:14" ht="15" thickTop="1"/>
  </sheetData>
  <autoFilter ref="A10:M78"/>
  <mergeCells count="2">
    <mergeCell ref="D9:E9"/>
    <mergeCell ref="G9:H9"/>
  </mergeCells>
  <pageMargins left="0.7" right="0.7" top="0.75" bottom="0.75" header="0.3" footer="0.3"/>
  <pageSetup scale="63" orientation="portrait" horizontalDpi="1200" verticalDpi="1200" r:id="rId1"/>
  <customProperties>
    <customPr name="_pios_id" r:id="rId2"/>
  </customPropertie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opLeftCell="A7" zoomScale="80" zoomScaleNormal="80" workbookViewId="0"/>
  </sheetViews>
  <sheetFormatPr defaultColWidth="8.88671875" defaultRowHeight="14.4"/>
  <cols>
    <col min="1" max="1" width="35.109375" style="12" customWidth="1"/>
    <col min="2" max="2" width="14.33203125" style="12" customWidth="1"/>
    <col min="3" max="3" width="11.88671875" style="12" customWidth="1"/>
    <col min="4" max="4" width="13.6640625" style="12" customWidth="1"/>
    <col min="5" max="5" width="9" style="12" bestFit="1" customWidth="1"/>
    <col min="6" max="6" width="15" style="12" bestFit="1" customWidth="1"/>
    <col min="7" max="7" width="17.44140625" style="12" bestFit="1" customWidth="1"/>
    <col min="8" max="16384" width="8.88671875" style="12"/>
  </cols>
  <sheetData>
    <row r="1" spans="1:15">
      <c r="A1" s="55"/>
      <c r="B1" s="75"/>
      <c r="C1" s="75"/>
      <c r="D1" s="75"/>
      <c r="E1" s="75"/>
      <c r="F1" s="75"/>
      <c r="G1" s="75"/>
    </row>
    <row r="2" spans="1:15">
      <c r="A2" s="74" t="s">
        <v>153</v>
      </c>
      <c r="B2" s="75"/>
      <c r="C2" s="75"/>
      <c r="D2" s="75"/>
      <c r="E2" s="75"/>
      <c r="F2" s="75"/>
      <c r="G2" s="75"/>
    </row>
    <row r="3" spans="1:15">
      <c r="A3" s="74"/>
      <c r="B3" s="75"/>
      <c r="C3" s="75"/>
      <c r="D3" s="75"/>
      <c r="E3" s="75"/>
      <c r="F3" s="75"/>
      <c r="G3" s="75"/>
    </row>
    <row r="4" spans="1:15">
      <c r="A4" s="75"/>
      <c r="B4" s="75"/>
      <c r="C4" s="75"/>
      <c r="D4" s="75"/>
      <c r="E4" s="75"/>
      <c r="F4" s="75"/>
      <c r="G4" s="75"/>
    </row>
    <row r="5" spans="1:15">
      <c r="A5" s="75"/>
      <c r="B5" s="763" t="s">
        <v>154</v>
      </c>
      <c r="C5" s="763"/>
      <c r="D5" s="763"/>
      <c r="E5" s="763"/>
      <c r="F5" s="763"/>
      <c r="G5" s="75"/>
    </row>
    <row r="6" spans="1:15" ht="43.2">
      <c r="A6" s="75"/>
      <c r="B6" s="54" t="s">
        <v>155</v>
      </c>
      <c r="C6" s="54" t="s">
        <v>156</v>
      </c>
      <c r="D6" s="54" t="s">
        <v>757</v>
      </c>
      <c r="E6" s="54" t="s">
        <v>157</v>
      </c>
      <c r="F6" s="53" t="s">
        <v>158</v>
      </c>
      <c r="G6" s="79" t="s">
        <v>159</v>
      </c>
    </row>
    <row r="7" spans="1:15">
      <c r="A7" s="75" t="s">
        <v>73</v>
      </c>
      <c r="B7" s="77"/>
      <c r="C7" s="77"/>
      <c r="D7" s="77"/>
      <c r="E7" s="77"/>
      <c r="F7" s="427">
        <f>3.77*12</f>
        <v>45.24</v>
      </c>
      <c r="G7" s="75"/>
    </row>
    <row r="8" spans="1:15">
      <c r="A8" s="75" t="s">
        <v>72</v>
      </c>
      <c r="B8" s="75">
        <v>1</v>
      </c>
      <c r="C8" s="426">
        <f>12*15000</f>
        <v>180000</v>
      </c>
      <c r="D8" s="428">
        <v>0.25</v>
      </c>
      <c r="E8" s="426">
        <v>100</v>
      </c>
      <c r="F8" s="75"/>
      <c r="G8" s="76"/>
      <c r="O8" s="80"/>
    </row>
    <row r="9" spans="1:15">
      <c r="A9" s="75" t="s">
        <v>96</v>
      </c>
      <c r="B9" s="75">
        <v>1.5</v>
      </c>
      <c r="C9" s="426">
        <v>200000</v>
      </c>
      <c r="D9" s="428">
        <v>0.17199999999999999</v>
      </c>
      <c r="E9" s="426">
        <v>1000</v>
      </c>
      <c r="F9" s="75"/>
      <c r="G9" s="75"/>
      <c r="I9" s="80"/>
      <c r="O9" s="80"/>
    </row>
    <row r="10" spans="1:15">
      <c r="A10" s="75" t="s">
        <v>160</v>
      </c>
      <c r="B10" s="75">
        <v>1.5</v>
      </c>
      <c r="C10" s="75"/>
      <c r="D10" s="428">
        <v>0.02</v>
      </c>
      <c r="E10" s="426">
        <v>1000</v>
      </c>
      <c r="F10" s="75"/>
      <c r="G10" s="75"/>
      <c r="I10" s="80"/>
      <c r="O10" s="80"/>
    </row>
    <row r="11" spans="1:15">
      <c r="M11" s="80"/>
    </row>
    <row r="13" spans="1:15">
      <c r="A13" s="75"/>
      <c r="B13" s="763" t="s">
        <v>161</v>
      </c>
      <c r="C13" s="763"/>
      <c r="D13" s="763"/>
      <c r="E13" s="763"/>
      <c r="F13" s="763"/>
      <c r="G13" s="75"/>
    </row>
    <row r="14" spans="1:15" ht="43.2">
      <c r="A14" s="75"/>
      <c r="B14" s="54" t="s">
        <v>155</v>
      </c>
      <c r="C14" s="54" t="s">
        <v>156</v>
      </c>
      <c r="D14" s="54" t="s">
        <v>757</v>
      </c>
      <c r="E14" s="54" t="s">
        <v>157</v>
      </c>
      <c r="F14" s="53" t="s">
        <v>158</v>
      </c>
      <c r="G14" s="79" t="s">
        <v>159</v>
      </c>
    </row>
    <row r="15" spans="1:15">
      <c r="A15" s="75" t="s">
        <v>73</v>
      </c>
      <c r="B15" s="77"/>
      <c r="C15" s="77"/>
      <c r="D15" s="77"/>
      <c r="E15" s="77"/>
      <c r="F15" s="427">
        <f>3.77*12</f>
        <v>45.24</v>
      </c>
      <c r="G15" s="75"/>
      <c r="L15" s="80"/>
    </row>
    <row r="16" spans="1:15">
      <c r="A16" s="75" t="s">
        <v>72</v>
      </c>
      <c r="B16" s="75"/>
      <c r="C16" s="75"/>
      <c r="D16" s="78"/>
      <c r="E16" s="73"/>
      <c r="F16" s="75"/>
      <c r="G16" s="75"/>
    </row>
    <row r="17" spans="1:12">
      <c r="A17" s="75" t="s">
        <v>96</v>
      </c>
      <c r="B17" s="75">
        <v>1.25</v>
      </c>
      <c r="C17" s="426">
        <v>200000</v>
      </c>
      <c r="D17" s="428">
        <v>0.17199999999999999</v>
      </c>
      <c r="E17" s="426">
        <v>1000</v>
      </c>
      <c r="F17" s="75"/>
      <c r="G17" s="75"/>
      <c r="K17" s="23"/>
      <c r="L17" s="26"/>
    </row>
    <row r="18" spans="1:12">
      <c r="A18" s="75" t="s">
        <v>160</v>
      </c>
      <c r="B18" s="75"/>
      <c r="C18" s="426">
        <v>10000</v>
      </c>
      <c r="D18" s="428">
        <v>0.02</v>
      </c>
      <c r="E18" s="426">
        <v>1000</v>
      </c>
      <c r="F18" s="427">
        <f>C18*D18/E18*12</f>
        <v>2.4000000000000004</v>
      </c>
      <c r="G18" s="75" t="s">
        <v>162</v>
      </c>
    </row>
  </sheetData>
  <mergeCells count="2">
    <mergeCell ref="B5:F5"/>
    <mergeCell ref="B13:F13"/>
  </mergeCells>
  <pageMargins left="0.7" right="0.7" top="0.75" bottom="0.75" header="0.3" footer="0.3"/>
  <pageSetup orientation="landscape" horizontalDpi="1200" verticalDpi="1200" r:id="rId1"/>
  <customProperties>
    <customPr name="_pios_id" r:id="rId2"/>
  </customProperties>
  <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48"/>
  <sheetViews>
    <sheetView zoomScale="80" zoomScaleNormal="80" workbookViewId="0"/>
  </sheetViews>
  <sheetFormatPr defaultColWidth="9.109375" defaultRowHeight="14.4"/>
  <cols>
    <col min="1" max="1" width="9.109375" style="17"/>
    <col min="2" max="2" width="13.5546875" style="17" customWidth="1"/>
    <col min="3" max="3" width="16" style="17" customWidth="1"/>
    <col min="4" max="4" width="9.109375" style="17"/>
    <col min="5" max="5" width="14.109375" style="17" bestFit="1" customWidth="1"/>
    <col min="6" max="6" width="9.109375" style="17"/>
    <col min="7" max="7" width="14" style="17" bestFit="1" customWidth="1"/>
    <col min="8" max="8" width="12.44140625" style="17" customWidth="1"/>
    <col min="9" max="9" width="14.109375" style="17" bestFit="1" customWidth="1"/>
    <col min="10" max="10" width="13.33203125" style="17" customWidth="1"/>
    <col min="11" max="11" width="14.109375" style="17" bestFit="1" customWidth="1"/>
    <col min="12" max="12" width="14.6640625" style="17" customWidth="1"/>
    <col min="13" max="13" width="14.109375" style="17" bestFit="1" customWidth="1"/>
    <col min="14" max="14" width="13.5546875" style="17" bestFit="1" customWidth="1"/>
    <col min="15" max="15" width="14.88671875" style="17" bestFit="1" customWidth="1"/>
    <col min="16" max="16" width="12.33203125" style="17" bestFit="1" customWidth="1"/>
    <col min="17" max="17" width="18.88671875" style="17" customWidth="1"/>
    <col min="18" max="18" width="12" style="17" bestFit="1" customWidth="1"/>
    <col min="19" max="19" width="14.44140625" style="17" bestFit="1" customWidth="1"/>
    <col min="20" max="20" width="9.109375" style="17"/>
    <col min="21" max="21" width="11.5546875" style="17" bestFit="1" customWidth="1"/>
    <col min="22" max="23" width="9.109375" style="17"/>
    <col min="24" max="24" width="10.33203125" style="17" bestFit="1" customWidth="1"/>
    <col min="25" max="26" width="10.44140625" style="17" bestFit="1" customWidth="1"/>
    <col min="27" max="27" width="9.109375" style="17"/>
    <col min="28" max="28" width="10.44140625" style="17" bestFit="1" customWidth="1"/>
    <col min="29" max="29" width="10.88671875" style="17" bestFit="1" customWidth="1"/>
    <col min="30" max="16384" width="9.109375" style="17"/>
  </cols>
  <sheetData>
    <row r="1" spans="1:18">
      <c r="A1" s="338"/>
      <c r="Q1" s="339" t="s">
        <v>684</v>
      </c>
    </row>
    <row r="2" spans="1:18">
      <c r="A2" s="338"/>
      <c r="Q2" s="340" t="str">
        <f ca="1">RIGHT(CELL("filename",$A$3),LEN(CELL("filename",$A$3))-SEARCH("\Exhibits",CELL("filename",$A$3),1))</f>
        <v>Exhibits\O&amp;M\[KAWC 2018 Rate Case - Labor and Labor Related Exhibit.xlsx]Exh 37 G</v>
      </c>
    </row>
    <row r="3" spans="1:18">
      <c r="A3" s="764" t="str">
        <f>'Link In'!$A$2</f>
        <v>Kentucky American Water Company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</row>
    <row r="4" spans="1:18">
      <c r="A4" s="341" t="str">
        <f>'Link In'!$A$3</f>
        <v>Case No. 2018-00358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</row>
    <row r="5" spans="1:18">
      <c r="A5" s="341" t="s">
        <v>685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</row>
    <row r="6" spans="1:18">
      <c r="A6" s="341" t="s">
        <v>997</v>
      </c>
      <c r="B6" s="342"/>
      <c r="C6" s="342"/>
      <c r="D6" s="342"/>
      <c r="E6" s="342"/>
      <c r="F6" s="342"/>
      <c r="G6" s="343"/>
      <c r="H6" s="342"/>
      <c r="I6" s="342"/>
      <c r="J6" s="342"/>
      <c r="K6" s="342"/>
      <c r="L6" s="342"/>
      <c r="M6" s="342"/>
      <c r="N6" s="342"/>
      <c r="O6" s="342"/>
      <c r="P6" s="342"/>
      <c r="Q6" s="342"/>
    </row>
    <row r="7" spans="1:18">
      <c r="A7" s="341" t="s">
        <v>998</v>
      </c>
      <c r="B7" s="342"/>
      <c r="C7" s="342"/>
      <c r="D7" s="342"/>
      <c r="E7" s="342"/>
      <c r="F7" s="342"/>
      <c r="G7" s="343"/>
      <c r="H7" s="342"/>
      <c r="I7" s="342"/>
      <c r="J7" s="342"/>
      <c r="K7" s="342"/>
      <c r="L7" s="342"/>
      <c r="M7" s="342"/>
      <c r="N7" s="342"/>
      <c r="O7" s="342"/>
      <c r="P7" s="342"/>
      <c r="Q7" s="342"/>
    </row>
    <row r="8" spans="1:18">
      <c r="A8" s="344" t="s">
        <v>686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6" t="s">
        <v>684</v>
      </c>
      <c r="R8" s="347"/>
    </row>
    <row r="9" spans="1:18">
      <c r="A9" s="348" t="s">
        <v>687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9" t="str">
        <f ca="1">RIGHT(CELL("filename",$A$3),LEN(CELL("filename",$A$3))-SEARCH("\O&amp;M",CELL("filename",$A$3),1))</f>
        <v>O&amp;M\[KAWC 2018 Rate Case - Labor and Labor Related Exhibit.xlsx]Exh 37 G</v>
      </c>
      <c r="R9" s="338"/>
    </row>
    <row r="10" spans="1:18">
      <c r="A10" s="345"/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50" t="str">
        <f>'Link In'!$A$20</f>
        <v>Witness Responsible:   James Pellock</v>
      </c>
      <c r="R10" s="347"/>
    </row>
    <row r="11" spans="1:18" ht="15" thickBot="1"/>
    <row r="12" spans="1:18" ht="15" thickTop="1">
      <c r="A12" s="351"/>
      <c r="B12" s="351"/>
      <c r="C12" s="351"/>
      <c r="D12" s="351"/>
      <c r="E12" s="351"/>
      <c r="F12" s="351"/>
      <c r="G12" s="351"/>
      <c r="H12" s="352"/>
      <c r="I12" s="351"/>
      <c r="J12" s="351"/>
      <c r="K12" s="351"/>
      <c r="L12" s="351"/>
      <c r="M12" s="351"/>
      <c r="N12" s="351"/>
      <c r="O12" s="351"/>
      <c r="P12" s="351"/>
      <c r="Q12" s="351"/>
    </row>
    <row r="13" spans="1:18">
      <c r="A13" s="353" t="s">
        <v>593</v>
      </c>
      <c r="F13" s="353"/>
      <c r="H13" s="353" t="s">
        <v>476</v>
      </c>
      <c r="J13" s="353" t="s">
        <v>688</v>
      </c>
      <c r="L13" s="353" t="s">
        <v>688</v>
      </c>
      <c r="P13" s="353" t="s">
        <v>688</v>
      </c>
    </row>
    <row r="14" spans="1:18" ht="15" thickBot="1">
      <c r="A14" s="353" t="s">
        <v>689</v>
      </c>
      <c r="C14" s="765" t="s">
        <v>596</v>
      </c>
      <c r="D14" s="765"/>
      <c r="E14" s="765"/>
      <c r="F14" s="353"/>
      <c r="H14" s="353" t="s">
        <v>574</v>
      </c>
      <c r="J14" s="353" t="s">
        <v>461</v>
      </c>
      <c r="L14" s="353" t="s">
        <v>690</v>
      </c>
      <c r="N14" s="353" t="s">
        <v>657</v>
      </c>
      <c r="P14" s="353" t="s">
        <v>691</v>
      </c>
    </row>
    <row r="15" spans="1:18" ht="15" thickTop="1">
      <c r="A15" s="352">
        <v>1</v>
      </c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</row>
    <row r="16" spans="1:18">
      <c r="A16" s="353">
        <v>2</v>
      </c>
    </row>
    <row r="17" spans="1:27">
      <c r="A17" s="353">
        <v>3</v>
      </c>
      <c r="C17" s="355" t="s">
        <v>692</v>
      </c>
    </row>
    <row r="18" spans="1:27" ht="15" thickBot="1">
      <c r="A18" s="353">
        <v>4</v>
      </c>
      <c r="C18" s="356" t="s">
        <v>693</v>
      </c>
      <c r="H18" s="367">
        <f>SUM('Link In'!I35:I84)</f>
        <v>6774861</v>
      </c>
      <c r="I18" s="338"/>
      <c r="J18" s="358">
        <v>1</v>
      </c>
      <c r="L18" s="357">
        <f>H18</f>
        <v>6774861</v>
      </c>
      <c r="N18" s="357">
        <v>0</v>
      </c>
      <c r="P18" s="357">
        <f>L18+N18</f>
        <v>6774861</v>
      </c>
      <c r="S18" s="359"/>
      <c r="AA18" s="17" t="s">
        <v>694</v>
      </c>
    </row>
    <row r="19" spans="1:27" ht="15" thickTop="1">
      <c r="A19" s="353">
        <v>5</v>
      </c>
      <c r="C19" s="356" t="s">
        <v>695</v>
      </c>
      <c r="F19" s="360"/>
      <c r="H19" s="361">
        <f>SUM('Link In'!I85:I88)</f>
        <v>409263</v>
      </c>
      <c r="J19" s="362"/>
      <c r="L19" s="363">
        <f>H19</f>
        <v>409263</v>
      </c>
      <c r="N19" s="363">
        <v>0</v>
      </c>
      <c r="P19" s="357">
        <f>L19+N19</f>
        <v>409263</v>
      </c>
      <c r="R19" s="364"/>
      <c r="S19" s="365"/>
      <c r="AA19" s="17" t="s">
        <v>694</v>
      </c>
    </row>
    <row r="20" spans="1:27">
      <c r="A20" s="353">
        <v>6</v>
      </c>
      <c r="C20" s="366" t="s">
        <v>696</v>
      </c>
      <c r="H20" s="367">
        <f>SUM(H18:H19)</f>
        <v>7184124</v>
      </c>
      <c r="L20" s="367">
        <f>SUM(L18:L19)</f>
        <v>7184124</v>
      </c>
      <c r="N20" s="367">
        <v>0</v>
      </c>
      <c r="P20" s="368">
        <f>SUM(P18:P19)</f>
        <v>7184124</v>
      </c>
      <c r="R20" s="364"/>
    </row>
    <row r="21" spans="1:27">
      <c r="A21" s="353">
        <v>7</v>
      </c>
      <c r="H21" s="369"/>
      <c r="L21" s="369"/>
      <c r="N21" s="369"/>
      <c r="P21" s="370"/>
    </row>
    <row r="22" spans="1:27">
      <c r="A22" s="353">
        <v>8</v>
      </c>
      <c r="C22" s="371" t="s">
        <v>697</v>
      </c>
      <c r="R22" s="364"/>
    </row>
    <row r="23" spans="1:27">
      <c r="A23" s="353">
        <v>9</v>
      </c>
      <c r="C23" s="356" t="s">
        <v>620</v>
      </c>
      <c r="F23" s="372"/>
      <c r="H23" s="367">
        <f>SUM('Link In'!I90:I91)</f>
        <v>439161</v>
      </c>
      <c r="I23" s="365"/>
      <c r="L23" s="367">
        <f>H23</f>
        <v>439161</v>
      </c>
      <c r="N23" s="367">
        <v>0</v>
      </c>
      <c r="P23" s="367">
        <f>L23+N23</f>
        <v>439161</v>
      </c>
      <c r="AA23" s="17" t="s">
        <v>694</v>
      </c>
    </row>
    <row r="24" spans="1:27">
      <c r="A24" s="353">
        <v>10</v>
      </c>
      <c r="C24" s="356" t="s">
        <v>542</v>
      </c>
      <c r="F24" s="372"/>
      <c r="H24" s="373">
        <f>SUM('Link In'!I93:I97)</f>
        <v>1530118</v>
      </c>
      <c r="I24" s="374"/>
      <c r="L24" s="367">
        <f t="shared" ref="L24:L26" si="0">H24</f>
        <v>1530118</v>
      </c>
      <c r="N24" s="373">
        <v>0</v>
      </c>
      <c r="P24" s="367">
        <f t="shared" ref="P24:P26" si="1">L24+N24</f>
        <v>1530118</v>
      </c>
      <c r="AA24" s="17" t="s">
        <v>694</v>
      </c>
    </row>
    <row r="25" spans="1:27">
      <c r="A25" s="353">
        <v>11</v>
      </c>
      <c r="C25" s="356" t="s">
        <v>86</v>
      </c>
      <c r="F25" s="372"/>
      <c r="H25" s="373">
        <f>SUM('Link In'!I101:I102)</f>
        <v>226863</v>
      </c>
      <c r="L25" s="367">
        <f t="shared" si="0"/>
        <v>226863</v>
      </c>
      <c r="N25" s="373">
        <v>0</v>
      </c>
      <c r="P25" s="367">
        <f t="shared" si="1"/>
        <v>226863</v>
      </c>
      <c r="R25" s="375"/>
      <c r="AA25" s="17" t="s">
        <v>694</v>
      </c>
    </row>
    <row r="26" spans="1:27">
      <c r="A26" s="353">
        <v>12</v>
      </c>
      <c r="C26" s="356" t="s">
        <v>698</v>
      </c>
      <c r="F26" s="372"/>
      <c r="H26" s="376">
        <f>SUM('Link In'!I99:I100)</f>
        <v>192877</v>
      </c>
      <c r="L26" s="367">
        <f t="shared" si="0"/>
        <v>192877</v>
      </c>
      <c r="N26" s="376">
        <v>0</v>
      </c>
      <c r="P26" s="367">
        <f t="shared" si="1"/>
        <v>192877</v>
      </c>
      <c r="AA26" s="17" t="s">
        <v>694</v>
      </c>
    </row>
    <row r="27" spans="1:27">
      <c r="A27" s="353">
        <v>13</v>
      </c>
      <c r="C27" s="366" t="s">
        <v>696</v>
      </c>
      <c r="F27" s="353"/>
      <c r="H27" s="367">
        <f>SUM(H23:H26)</f>
        <v>2389019</v>
      </c>
      <c r="L27" s="368">
        <f>SUM(L23:L26)</f>
        <v>2389019</v>
      </c>
      <c r="N27" s="367">
        <v>0</v>
      </c>
      <c r="P27" s="368">
        <f>SUM(P23:P26)</f>
        <v>2389019</v>
      </c>
    </row>
    <row r="28" spans="1:27">
      <c r="A28" s="353">
        <v>14</v>
      </c>
      <c r="F28" s="353"/>
      <c r="H28" s="369"/>
      <c r="L28" s="370"/>
      <c r="N28" s="369"/>
      <c r="P28" s="370"/>
    </row>
    <row r="29" spans="1:27">
      <c r="A29" s="353">
        <v>15</v>
      </c>
      <c r="C29" s="371" t="s">
        <v>699</v>
      </c>
      <c r="F29" s="353"/>
      <c r="R29" s="377"/>
    </row>
    <row r="30" spans="1:27">
      <c r="A30" s="353">
        <v>16</v>
      </c>
      <c r="C30" s="356" t="s">
        <v>700</v>
      </c>
      <c r="F30" s="372"/>
      <c r="H30" s="367">
        <f>SUM('Link In'!I120:I121)</f>
        <v>543034</v>
      </c>
      <c r="L30" s="367">
        <f>H30</f>
        <v>543034</v>
      </c>
      <c r="N30" s="367">
        <v>0</v>
      </c>
      <c r="P30" s="367">
        <f>L30+N30</f>
        <v>543034</v>
      </c>
      <c r="R30" s="378"/>
      <c r="AA30" s="17" t="s">
        <v>694</v>
      </c>
    </row>
    <row r="31" spans="1:27">
      <c r="A31" s="353">
        <v>17</v>
      </c>
      <c r="C31" s="356" t="s">
        <v>701</v>
      </c>
      <c r="F31" s="372"/>
      <c r="H31" s="367">
        <f>SUM('Link In'!I118:I119)</f>
        <v>4959</v>
      </c>
      <c r="L31" s="373">
        <f>H31</f>
        <v>4959</v>
      </c>
      <c r="N31" s="373">
        <v>0</v>
      </c>
      <c r="P31" s="367">
        <f t="shared" ref="P31:P32" si="2">L31+N31</f>
        <v>4959</v>
      </c>
      <c r="AA31" s="17" t="s">
        <v>694</v>
      </c>
    </row>
    <row r="32" spans="1:27">
      <c r="A32" s="353">
        <v>18</v>
      </c>
      <c r="C32" s="356" t="s">
        <v>702</v>
      </c>
      <c r="F32" s="372"/>
      <c r="H32" s="367">
        <f>SUM('Link In'!I122:I123)</f>
        <v>18565</v>
      </c>
      <c r="L32" s="363">
        <f>H32</f>
        <v>18565</v>
      </c>
      <c r="N32" s="363">
        <v>0</v>
      </c>
      <c r="P32" s="367">
        <f t="shared" si="2"/>
        <v>18565</v>
      </c>
      <c r="R32" s="377"/>
      <c r="AA32" s="17" t="s">
        <v>694</v>
      </c>
    </row>
    <row r="33" spans="1:20">
      <c r="A33" s="353">
        <v>19</v>
      </c>
      <c r="C33" s="366" t="s">
        <v>696</v>
      </c>
      <c r="H33" s="368">
        <f>SUM(H30:H32)</f>
        <v>566558</v>
      </c>
      <c r="L33" s="368">
        <f>SUM(L30:L32)</f>
        <v>566558</v>
      </c>
      <c r="N33" s="367">
        <v>0</v>
      </c>
      <c r="P33" s="368">
        <f>SUM(P30:P32)</f>
        <v>566558</v>
      </c>
    </row>
    <row r="34" spans="1:20">
      <c r="A34" s="353">
        <v>20</v>
      </c>
      <c r="H34" s="370"/>
      <c r="L34" s="369"/>
      <c r="N34" s="369"/>
      <c r="P34" s="369"/>
    </row>
    <row r="35" spans="1:20" ht="15" thickBot="1">
      <c r="A35" s="353">
        <v>21</v>
      </c>
      <c r="C35" s="17" t="s">
        <v>703</v>
      </c>
      <c r="H35" s="357">
        <f>H20+H27+H33</f>
        <v>10139701</v>
      </c>
      <c r="L35" s="357">
        <f>L20+L27+L33</f>
        <v>10139701</v>
      </c>
      <c r="N35" s="357">
        <v>0</v>
      </c>
      <c r="P35" s="357">
        <f>P20+P27+P33</f>
        <v>10139701</v>
      </c>
      <c r="R35" s="375"/>
    </row>
    <row r="36" spans="1:20" ht="15" thickTop="1">
      <c r="A36" s="353">
        <v>22</v>
      </c>
      <c r="H36" s="362"/>
      <c r="L36" s="362"/>
      <c r="N36" s="362"/>
      <c r="P36" s="362"/>
    </row>
    <row r="37" spans="1:20">
      <c r="A37" s="353">
        <v>23</v>
      </c>
    </row>
    <row r="38" spans="1:20">
      <c r="A38" s="353">
        <v>24</v>
      </c>
      <c r="R38" s="377"/>
    </row>
    <row r="39" spans="1:20">
      <c r="A39" s="353">
        <v>25</v>
      </c>
      <c r="C39" s="355" t="s">
        <v>704</v>
      </c>
    </row>
    <row r="40" spans="1:20" ht="15" thickBot="1">
      <c r="A40" s="353">
        <v>26</v>
      </c>
      <c r="C40" s="356" t="s">
        <v>693</v>
      </c>
      <c r="H40" s="357">
        <f>Summary!D7+Summary!D8+Summary!D9+Summary!D14+Summary!D15+Summary!D21+Summary!D24</f>
        <v>7209323</v>
      </c>
      <c r="I40" s="338"/>
      <c r="J40" s="358">
        <v>1</v>
      </c>
      <c r="L40" s="357">
        <f>H40*J40</f>
        <v>7209323</v>
      </c>
      <c r="N40" s="379">
        <v>0</v>
      </c>
      <c r="P40" s="357">
        <f>L40+N40</f>
        <v>7209323</v>
      </c>
      <c r="R40" s="357"/>
      <c r="S40" s="359"/>
      <c r="T40" s="365"/>
    </row>
    <row r="41" spans="1:20" ht="15" thickTop="1">
      <c r="A41" s="353">
        <v>27</v>
      </c>
      <c r="C41" s="356" t="s">
        <v>695</v>
      </c>
      <c r="F41" s="353"/>
      <c r="H41" s="361">
        <f>Summary!D16+Summary!D22+Summary!D23+Summary!D10</f>
        <v>593127</v>
      </c>
      <c r="I41" s="338"/>
      <c r="J41" s="362"/>
      <c r="L41" s="363">
        <f>H41*J40</f>
        <v>593127</v>
      </c>
      <c r="N41" s="363">
        <v>0</v>
      </c>
      <c r="P41" s="379">
        <f>L41+N41</f>
        <v>593127</v>
      </c>
      <c r="S41" s="359"/>
      <c r="T41" s="380"/>
    </row>
    <row r="42" spans="1:20">
      <c r="A42" s="353">
        <v>28</v>
      </c>
      <c r="C42" s="366" t="s">
        <v>696</v>
      </c>
      <c r="F42" s="353"/>
      <c r="H42" s="367">
        <f>SUM(H40:H41)</f>
        <v>7802450</v>
      </c>
      <c r="L42" s="379">
        <f>SUM(L40:L41)</f>
        <v>7802450</v>
      </c>
      <c r="N42" s="379">
        <v>0</v>
      </c>
      <c r="P42" s="381">
        <f>SUM(P40:P41)</f>
        <v>7802450</v>
      </c>
    </row>
    <row r="43" spans="1:20">
      <c r="A43" s="353">
        <v>29</v>
      </c>
      <c r="F43" s="353"/>
      <c r="H43" s="369"/>
      <c r="L43" s="369"/>
      <c r="N43" s="369"/>
      <c r="P43" s="370"/>
      <c r="R43" s="382"/>
    </row>
    <row r="44" spans="1:20">
      <c r="A44" s="353">
        <v>30</v>
      </c>
      <c r="C44" s="371" t="s">
        <v>697</v>
      </c>
      <c r="D44" s="383"/>
      <c r="F44" s="353"/>
      <c r="R44" s="382"/>
    </row>
    <row r="45" spans="1:20">
      <c r="A45" s="353">
        <v>31</v>
      </c>
      <c r="C45" s="356" t="s">
        <v>620</v>
      </c>
      <c r="F45" s="353"/>
      <c r="H45" s="384">
        <f>'Pension Exhibit'!K25</f>
        <v>399519</v>
      </c>
      <c r="L45" s="373">
        <f>H45</f>
        <v>399519</v>
      </c>
      <c r="N45" s="373">
        <v>0</v>
      </c>
      <c r="P45" s="379">
        <f>L45+N45</f>
        <v>399519</v>
      </c>
    </row>
    <row r="46" spans="1:20">
      <c r="A46" s="353">
        <v>32</v>
      </c>
      <c r="C46" s="356" t="s">
        <v>542</v>
      </c>
      <c r="F46" s="353"/>
      <c r="H46" s="385">
        <f>'Group Ins Exhibit'!K29</f>
        <v>1794347</v>
      </c>
      <c r="L46" s="373">
        <f t="shared" ref="L46:L48" si="3">H46</f>
        <v>1794347</v>
      </c>
      <c r="N46" s="373">
        <v>0</v>
      </c>
      <c r="P46" s="379">
        <f t="shared" ref="P46:P48" si="4">L46+N46</f>
        <v>1794347</v>
      </c>
      <c r="R46" s="375"/>
    </row>
    <row r="47" spans="1:20">
      <c r="A47" s="353">
        <v>33</v>
      </c>
      <c r="C47" s="356" t="s">
        <v>86</v>
      </c>
      <c r="F47" s="353"/>
      <c r="H47" s="385">
        <f>'Other Benefits Exhibit'!K43</f>
        <v>262375</v>
      </c>
      <c r="L47" s="373">
        <f t="shared" si="3"/>
        <v>262375</v>
      </c>
      <c r="N47" s="373">
        <v>0</v>
      </c>
      <c r="P47" s="379">
        <f t="shared" si="4"/>
        <v>262375</v>
      </c>
    </row>
    <row r="48" spans="1:20">
      <c r="A48" s="353">
        <v>34</v>
      </c>
      <c r="C48" s="356" t="s">
        <v>698</v>
      </c>
      <c r="F48" s="353"/>
      <c r="H48" s="361">
        <f>'Other Benefits Exhibit'!K42</f>
        <v>219120</v>
      </c>
      <c r="L48" s="373">
        <f t="shared" si="3"/>
        <v>219120</v>
      </c>
      <c r="N48" s="376">
        <v>0</v>
      </c>
      <c r="P48" s="379">
        <f t="shared" si="4"/>
        <v>219120</v>
      </c>
    </row>
    <row r="49" spans="1:33">
      <c r="A49" s="353">
        <v>35</v>
      </c>
      <c r="C49" s="366" t="s">
        <v>696</v>
      </c>
      <c r="F49" s="353"/>
      <c r="H49" s="367">
        <f>SUM(H45:H48)</f>
        <v>2675361</v>
      </c>
      <c r="L49" s="368">
        <f>SUM(L45:L48)</f>
        <v>2675361</v>
      </c>
      <c r="N49" s="386">
        <v>0</v>
      </c>
      <c r="P49" s="368">
        <f>SUM(P45:P48)</f>
        <v>2675361</v>
      </c>
      <c r="R49" s="382"/>
    </row>
    <row r="50" spans="1:33">
      <c r="A50" s="353">
        <v>36</v>
      </c>
      <c r="F50" s="353"/>
      <c r="H50" s="369"/>
      <c r="L50" s="370"/>
      <c r="N50" s="369"/>
      <c r="P50" s="370"/>
      <c r="R50" s="382"/>
    </row>
    <row r="51" spans="1:33">
      <c r="A51" s="353">
        <v>37</v>
      </c>
      <c r="C51" s="371" t="s">
        <v>699</v>
      </c>
      <c r="D51" s="383"/>
      <c r="F51" s="353"/>
    </row>
    <row r="52" spans="1:33">
      <c r="A52" s="353">
        <v>38</v>
      </c>
      <c r="C52" s="356" t="s">
        <v>700</v>
      </c>
      <c r="F52" s="353"/>
      <c r="H52" s="387">
        <f>'Payroll Tax Exhibit'!K26</f>
        <v>578496</v>
      </c>
      <c r="I52" s="365"/>
      <c r="L52" s="373">
        <f>H52</f>
        <v>578496</v>
      </c>
      <c r="N52" s="373">
        <v>0</v>
      </c>
      <c r="P52" s="373">
        <f>L52+N52</f>
        <v>578496</v>
      </c>
      <c r="R52" s="375"/>
    </row>
    <row r="53" spans="1:33">
      <c r="A53" s="353">
        <v>39</v>
      </c>
      <c r="C53" s="356" t="s">
        <v>701</v>
      </c>
      <c r="F53" s="353"/>
      <c r="H53" s="387">
        <f>'Payroll Tax Exhibit'!K28</f>
        <v>4480</v>
      </c>
      <c r="I53" s="365"/>
      <c r="L53" s="373">
        <f t="shared" ref="L53:L54" si="5">H53</f>
        <v>4480</v>
      </c>
      <c r="N53" s="373">
        <v>0</v>
      </c>
      <c r="P53" s="373">
        <f t="shared" ref="P53:P54" si="6">L53+N53</f>
        <v>4480</v>
      </c>
    </row>
    <row r="54" spans="1:33">
      <c r="A54" s="353">
        <v>40</v>
      </c>
      <c r="C54" s="356" t="s">
        <v>702</v>
      </c>
      <c r="F54" s="353"/>
      <c r="H54" s="388">
        <f>'Payroll Tax Exhibit'!K27</f>
        <v>13034</v>
      </c>
      <c r="I54" s="389"/>
      <c r="L54" s="373">
        <f t="shared" si="5"/>
        <v>13034</v>
      </c>
      <c r="N54" s="363">
        <v>0</v>
      </c>
      <c r="P54" s="373">
        <f t="shared" si="6"/>
        <v>13034</v>
      </c>
    </row>
    <row r="55" spans="1:33">
      <c r="A55" s="353">
        <v>41</v>
      </c>
      <c r="C55" s="366" t="s">
        <v>696</v>
      </c>
      <c r="H55" s="367">
        <f>SUM(H52:H54)</f>
        <v>596010</v>
      </c>
      <c r="I55" s="365"/>
      <c r="L55" s="386">
        <f>H55</f>
        <v>596010</v>
      </c>
      <c r="N55" s="386">
        <v>0</v>
      </c>
      <c r="P55" s="386">
        <f>L55</f>
        <v>596010</v>
      </c>
      <c r="R55" s="378"/>
    </row>
    <row r="56" spans="1:33">
      <c r="A56" s="353">
        <v>42</v>
      </c>
      <c r="H56" s="369"/>
      <c r="L56" s="369"/>
      <c r="N56" s="369"/>
      <c r="P56" s="369"/>
    </row>
    <row r="57" spans="1:33" ht="15" thickBot="1">
      <c r="A57" s="353">
        <v>43</v>
      </c>
      <c r="C57" s="17" t="s">
        <v>703</v>
      </c>
      <c r="H57" s="390">
        <f>H42+H49+H55</f>
        <v>11073821</v>
      </c>
      <c r="L57" s="390">
        <f>L42+L49+L55</f>
        <v>11073821</v>
      </c>
      <c r="N57" s="390">
        <v>0</v>
      </c>
      <c r="P57" s="390">
        <f>P42+P49+P55</f>
        <v>11073821</v>
      </c>
      <c r="R57" s="378"/>
    </row>
    <row r="58" spans="1:33" ht="15" thickTop="1">
      <c r="A58" s="353">
        <v>44</v>
      </c>
    </row>
    <row r="59" spans="1:33">
      <c r="A59" s="353">
        <v>45</v>
      </c>
    </row>
    <row r="60" spans="1:33">
      <c r="A60" s="353"/>
    </row>
    <row r="61" spans="1:33">
      <c r="A61" s="338"/>
      <c r="Q61" s="347"/>
    </row>
    <row r="62" spans="1:33">
      <c r="A62" s="338"/>
      <c r="Q62" s="391"/>
    </row>
    <row r="63" spans="1:33">
      <c r="A63" s="764" t="str">
        <f>'Link In'!$A$2</f>
        <v>Kentucky American Water Company</v>
      </c>
      <c r="B63" s="764"/>
      <c r="C63" s="764"/>
      <c r="D63" s="764"/>
      <c r="E63" s="764"/>
      <c r="F63" s="764"/>
      <c r="G63" s="764"/>
      <c r="H63" s="764"/>
      <c r="I63" s="764"/>
      <c r="J63" s="764"/>
      <c r="K63" s="764"/>
      <c r="L63" s="764"/>
      <c r="M63" s="764"/>
      <c r="N63" s="764"/>
      <c r="O63" s="764"/>
      <c r="P63" s="764"/>
      <c r="Q63" s="764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8"/>
      <c r="AD63" s="378"/>
      <c r="AE63" s="378"/>
      <c r="AF63" s="378"/>
      <c r="AG63" s="378"/>
    </row>
    <row r="64" spans="1:33">
      <c r="A64" s="341" t="str">
        <f>'Link In'!$A$3</f>
        <v>Case No. 2018-00358</v>
      </c>
      <c r="B64" s="342"/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</row>
    <row r="65" spans="1:19">
      <c r="A65" s="341" t="s">
        <v>705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2"/>
    </row>
    <row r="66" spans="1:19">
      <c r="A66" s="341" t="str">
        <f>+A6</f>
        <v>FOR THE TWELVE MONTHS ENDED:  February 28, 2019  (Base Period)</v>
      </c>
      <c r="B66" s="342"/>
      <c r="C66" s="342"/>
      <c r="D66" s="342"/>
      <c r="E66" s="342"/>
      <c r="F66" s="342"/>
      <c r="G66" s="343"/>
      <c r="H66" s="342"/>
      <c r="I66" s="342"/>
      <c r="J66" s="342"/>
      <c r="K66" s="342"/>
      <c r="L66" s="342"/>
      <c r="M66" s="342"/>
      <c r="N66" s="342"/>
      <c r="O66" s="342"/>
      <c r="P66" s="342"/>
      <c r="Q66" s="342"/>
    </row>
    <row r="67" spans="1:19">
      <c r="A67" s="341" t="str">
        <f>+A7</f>
        <v>FOR THE TWELVE MONTHS ENDED:  June 30, 2020  (Forecast Period)</v>
      </c>
      <c r="B67" s="342"/>
      <c r="C67" s="342"/>
      <c r="D67" s="342"/>
      <c r="E67" s="342"/>
      <c r="F67" s="342"/>
      <c r="G67" s="343"/>
      <c r="H67" s="342"/>
      <c r="I67" s="342"/>
      <c r="J67" s="342"/>
      <c r="K67" s="342"/>
      <c r="L67" s="342"/>
      <c r="M67" s="342"/>
      <c r="N67" s="342"/>
      <c r="O67" s="342"/>
      <c r="P67" s="342"/>
      <c r="Q67" s="342"/>
    </row>
    <row r="68" spans="1:19">
      <c r="A68" s="344" t="s">
        <v>686</v>
      </c>
      <c r="B68" s="345"/>
      <c r="C68" s="345"/>
      <c r="D68" s="345"/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345"/>
      <c r="P68" s="345"/>
      <c r="Q68" s="346" t="s">
        <v>706</v>
      </c>
    </row>
    <row r="69" spans="1:19">
      <c r="A69" s="348" t="s">
        <v>687</v>
      </c>
      <c r="B69" s="345"/>
      <c r="C69" s="345"/>
      <c r="D69" s="345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9" t="str">
        <f ca="1">RIGHT(CELL("filename",$A$3),LEN(CELL("filename",$A$3))-SEARCH("\O&amp;M",CELL("filename",$A$3),1))</f>
        <v>O&amp;M\[KAWC 2018 Rate Case - Labor and Labor Related Exhibit.xlsx]Exh 37 G</v>
      </c>
    </row>
    <row r="70" spans="1:19">
      <c r="A70" s="345"/>
      <c r="B70" s="345"/>
      <c r="C70" s="345"/>
      <c r="D70" s="345"/>
      <c r="E70" s="345"/>
      <c r="F70" s="345"/>
      <c r="G70" s="345"/>
      <c r="H70" s="345"/>
      <c r="I70" s="345"/>
      <c r="J70" s="345"/>
      <c r="K70" s="345"/>
      <c r="L70" s="345"/>
      <c r="M70" s="345"/>
      <c r="N70" s="345"/>
      <c r="O70" s="345"/>
      <c r="P70" s="345"/>
      <c r="Q70" s="350" t="str">
        <f>'Link In'!$A$20</f>
        <v>Witness Responsible:   James Pellock</v>
      </c>
    </row>
    <row r="71" spans="1:19" ht="15" thickBot="1"/>
    <row r="72" spans="1:19" ht="15" thickTop="1">
      <c r="A72" s="351"/>
      <c r="B72" s="351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</row>
    <row r="73" spans="1:19">
      <c r="A73" s="353" t="s">
        <v>593</v>
      </c>
      <c r="E73" s="353" t="s">
        <v>1127</v>
      </c>
      <c r="F73" s="353" t="s">
        <v>707</v>
      </c>
      <c r="G73" s="353" t="s">
        <v>1127</v>
      </c>
      <c r="H73" s="353" t="s">
        <v>707</v>
      </c>
      <c r="I73" s="353" t="s">
        <v>1127</v>
      </c>
      <c r="J73" s="353" t="s">
        <v>707</v>
      </c>
      <c r="K73" s="353" t="s">
        <v>1127</v>
      </c>
      <c r="L73" s="353" t="s">
        <v>707</v>
      </c>
      <c r="M73" s="353" t="s">
        <v>1127</v>
      </c>
      <c r="N73" s="353" t="s">
        <v>707</v>
      </c>
      <c r="O73" s="353" t="s">
        <v>708</v>
      </c>
      <c r="P73" s="353" t="s">
        <v>707</v>
      </c>
      <c r="Q73" s="353" t="s">
        <v>709</v>
      </c>
    </row>
    <row r="74" spans="1:19" ht="15" thickBot="1">
      <c r="A74" s="353" t="s">
        <v>689</v>
      </c>
      <c r="B74" s="342" t="s">
        <v>596</v>
      </c>
      <c r="C74" s="342"/>
      <c r="E74" s="392">
        <v>2014</v>
      </c>
      <c r="F74" s="353" t="s">
        <v>710</v>
      </c>
      <c r="G74" s="392">
        <v>2015</v>
      </c>
      <c r="H74" s="353" t="s">
        <v>710</v>
      </c>
      <c r="I74" s="392">
        <v>2016</v>
      </c>
      <c r="J74" s="353" t="s">
        <v>710</v>
      </c>
      <c r="K74" s="392">
        <v>2017</v>
      </c>
      <c r="L74" s="353" t="s">
        <v>710</v>
      </c>
      <c r="M74" s="392">
        <v>2018</v>
      </c>
      <c r="N74" s="353" t="s">
        <v>710</v>
      </c>
      <c r="O74" s="353" t="s">
        <v>711</v>
      </c>
      <c r="P74" s="353" t="s">
        <v>710</v>
      </c>
      <c r="Q74" s="353" t="s">
        <v>711</v>
      </c>
    </row>
    <row r="75" spans="1:19" ht="15" thickTop="1">
      <c r="A75" s="352">
        <v>1</v>
      </c>
      <c r="B75" s="354"/>
      <c r="C75" s="354"/>
      <c r="D75" s="354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</row>
    <row r="76" spans="1:19">
      <c r="A76" s="353">
        <v>2</v>
      </c>
      <c r="B76" s="355" t="s">
        <v>712</v>
      </c>
    </row>
    <row r="77" spans="1:19">
      <c r="A77" s="353">
        <v>3</v>
      </c>
    </row>
    <row r="78" spans="1:19">
      <c r="A78" s="353">
        <v>4</v>
      </c>
      <c r="B78" s="383" t="s">
        <v>713</v>
      </c>
    </row>
    <row r="79" spans="1:19">
      <c r="A79" s="353">
        <v>5</v>
      </c>
      <c r="B79" s="17" t="s">
        <v>714</v>
      </c>
      <c r="E79" s="393">
        <f>E138+E198+E258+E316+E378</f>
        <v>250841</v>
      </c>
      <c r="F79" s="375">
        <f>G79/E79-1</f>
        <v>-2.8344648602102174E-3</v>
      </c>
      <c r="G79" s="393">
        <f>G138+G198+G258+G316+G378</f>
        <v>250130</v>
      </c>
      <c r="H79" s="375">
        <f>I79/G79-1</f>
        <v>6.1691920201495165E-2</v>
      </c>
      <c r="I79" s="393">
        <f>I138+I198+I258+I316+I378</f>
        <v>265561</v>
      </c>
      <c r="J79" s="375">
        <f>K79/I79-1</f>
        <v>3.0953340287165343E-3</v>
      </c>
      <c r="K79" s="393">
        <f>K138+K198+K258+K316+K378</f>
        <v>266383</v>
      </c>
      <c r="L79" s="375">
        <f>M79/K79-1</f>
        <v>3.4288974897046742E-2</v>
      </c>
      <c r="M79" s="393">
        <f>M138+M198+M258+M316+M378</f>
        <v>275517</v>
      </c>
      <c r="N79" s="375">
        <f>O79/M79-1</f>
        <v>9.8053840597857933E-2</v>
      </c>
      <c r="O79" s="393">
        <f>O138+O198+O258+O316+O378</f>
        <v>302532.5</v>
      </c>
      <c r="P79" s="375">
        <f>Q79/O79-1</f>
        <v>4.8323766868022533E-2</v>
      </c>
      <c r="Q79" s="393">
        <f>Q138+Q198+Q258+Q316+Q378</f>
        <v>317152.01</v>
      </c>
      <c r="R79" s="393"/>
      <c r="S79" s="393"/>
    </row>
    <row r="80" spans="1:19">
      <c r="A80" s="353">
        <v>6</v>
      </c>
      <c r="B80" s="17" t="s">
        <v>715</v>
      </c>
      <c r="E80" s="393">
        <f>E139+E199+E259+E317+E379</f>
        <v>27756</v>
      </c>
      <c r="F80" s="375">
        <f>G80/E80-1</f>
        <v>-0.12076668107796518</v>
      </c>
      <c r="G80" s="393">
        <f>G139+G199+G259+G317+G379</f>
        <v>24404</v>
      </c>
      <c r="H80" s="375">
        <f>I80/G80-1</f>
        <v>-6.2653663333879672E-2</v>
      </c>
      <c r="I80" s="393">
        <f>I139+I199+I259+I317+I379</f>
        <v>22875</v>
      </c>
      <c r="J80" s="375">
        <f>K80/I80-1</f>
        <v>9.5606557377049262E-2</v>
      </c>
      <c r="K80" s="393">
        <f>K139+K199+K259+K317+K379</f>
        <v>25062</v>
      </c>
      <c r="L80" s="375">
        <f>M80/K80-1</f>
        <v>0.30632032559253042</v>
      </c>
      <c r="M80" s="393">
        <f>M139+M199+M259+M317+M379</f>
        <v>32739</v>
      </c>
      <c r="N80" s="375">
        <f>O80/M80-1</f>
        <v>-9.9139534589327671E-2</v>
      </c>
      <c r="O80" s="393">
        <f>O139+O199+O259+O317+O379</f>
        <v>29493.270777080001</v>
      </c>
      <c r="P80" s="375">
        <f>Q80/O80-1</f>
        <v>-0.45634954762425095</v>
      </c>
      <c r="Q80" s="393">
        <f>Q139+Q199+Q259+Q317+Q379</f>
        <v>16034.030000000002</v>
      </c>
      <c r="R80" s="393"/>
      <c r="S80" s="393"/>
    </row>
    <row r="81" spans="1:21">
      <c r="A81" s="353">
        <v>7</v>
      </c>
      <c r="E81" s="394"/>
      <c r="G81" s="394"/>
      <c r="I81" s="394"/>
      <c r="K81" s="394"/>
      <c r="M81" s="394"/>
      <c r="O81" s="394"/>
      <c r="Q81" s="394"/>
    </row>
    <row r="82" spans="1:21" ht="15" thickBot="1">
      <c r="A82" s="353">
        <v>8</v>
      </c>
      <c r="B82" s="17" t="s">
        <v>716</v>
      </c>
      <c r="E82" s="386">
        <f>SUM(E79:E80)</f>
        <v>278597</v>
      </c>
      <c r="F82" s="375"/>
      <c r="G82" s="386">
        <f>SUM(G79:G80)</f>
        <v>274534</v>
      </c>
      <c r="H82" s="375"/>
      <c r="I82" s="386">
        <f>SUM(I79:I80)</f>
        <v>288436</v>
      </c>
      <c r="J82" s="375"/>
      <c r="K82" s="386">
        <f>SUM(K79:K80)</f>
        <v>291445</v>
      </c>
      <c r="L82" s="375"/>
      <c r="M82" s="386">
        <f>SUM(M79:M80)</f>
        <v>308256</v>
      </c>
      <c r="N82" s="375"/>
      <c r="O82" s="386">
        <f>SUM(O79:O80)</f>
        <v>332025.77077707998</v>
      </c>
      <c r="P82" s="375"/>
      <c r="Q82" s="386">
        <f>SUM(Q79:Q80)</f>
        <v>333186.04000000004</v>
      </c>
    </row>
    <row r="83" spans="1:21" ht="15" thickTop="1">
      <c r="A83" s="353">
        <v>9</v>
      </c>
      <c r="E83" s="362"/>
      <c r="G83" s="362"/>
      <c r="I83" s="362"/>
      <c r="K83" s="362"/>
      <c r="M83" s="362"/>
      <c r="O83" s="362"/>
      <c r="Q83" s="362"/>
    </row>
    <row r="84" spans="1:21">
      <c r="A84" s="353">
        <v>10</v>
      </c>
      <c r="B84" s="17" t="s">
        <v>717</v>
      </c>
    </row>
    <row r="85" spans="1:21" ht="15" thickBot="1">
      <c r="A85" s="353">
        <v>11</v>
      </c>
      <c r="B85" s="17" t="s">
        <v>718</v>
      </c>
      <c r="E85" s="395">
        <f>E80/E79</f>
        <v>0.11065176745428379</v>
      </c>
      <c r="G85" s="395">
        <f>G80/G79</f>
        <v>9.7565266061647948E-2</v>
      </c>
      <c r="I85" s="395">
        <f>I80/I79</f>
        <v>8.6138401346583265E-2</v>
      </c>
      <c r="K85" s="395">
        <f>K80/K79</f>
        <v>9.4082580344841821E-2</v>
      </c>
      <c r="M85" s="395">
        <f>M80/M79</f>
        <v>0.11882751336578143</v>
      </c>
      <c r="O85" s="395">
        <f>O80/O79</f>
        <v>9.7487941880888829E-2</v>
      </c>
      <c r="Q85" s="395">
        <f>Q80/Q79</f>
        <v>5.0556293179412619E-2</v>
      </c>
    </row>
    <row r="86" spans="1:21" ht="15" thickTop="1">
      <c r="A86" s="353">
        <v>12</v>
      </c>
      <c r="E86" s="362"/>
      <c r="G86" s="362"/>
      <c r="I86" s="362"/>
      <c r="K86" s="362"/>
      <c r="M86" s="362"/>
      <c r="O86" s="362"/>
      <c r="Q86" s="362"/>
    </row>
    <row r="87" spans="1:21">
      <c r="A87" s="353">
        <v>13</v>
      </c>
      <c r="S87" s="396"/>
      <c r="T87" s="396"/>
      <c r="U87" s="396"/>
    </row>
    <row r="88" spans="1:21">
      <c r="A88" s="353">
        <v>14</v>
      </c>
      <c r="B88" s="383" t="s">
        <v>719</v>
      </c>
    </row>
    <row r="89" spans="1:21">
      <c r="A89" s="353">
        <v>15</v>
      </c>
      <c r="B89" s="17" t="s">
        <v>720</v>
      </c>
      <c r="E89" s="357">
        <f>E148+E208+E268+E326+E388</f>
        <v>7067185</v>
      </c>
      <c r="F89" s="375">
        <f>G89/E89-1</f>
        <v>9.6097668307819628E-3</v>
      </c>
      <c r="G89" s="357">
        <f>G148+G208+G268+G326+G388</f>
        <v>7135099</v>
      </c>
      <c r="H89" s="375">
        <f>I89/G89-1</f>
        <v>5.0764537394645926E-2</v>
      </c>
      <c r="I89" s="357">
        <f>I148+I208+I268+I326+I388</f>
        <v>7497309</v>
      </c>
      <c r="J89" s="375">
        <f>K89/I89-1</f>
        <v>4.7531454285797636E-2</v>
      </c>
      <c r="K89" s="357">
        <f>K148+K208+K268+K326+K388</f>
        <v>7853667</v>
      </c>
      <c r="L89" s="375">
        <f>M89/K89-1</f>
        <v>4.9425319408118451E-2</v>
      </c>
      <c r="M89" s="357">
        <f>M148+M208+M268+M326+M388</f>
        <v>8241837</v>
      </c>
      <c r="N89" s="375">
        <f>O89/M89-1</f>
        <v>8.7560333940115642E-2</v>
      </c>
      <c r="O89" s="357">
        <f>O148+O208+O268+O326+O388</f>
        <v>8963495</v>
      </c>
      <c r="P89" s="375">
        <f>Q89/O89-1</f>
        <v>0.10608951530625044</v>
      </c>
      <c r="Q89" s="357">
        <f>Q148+Q208+Q268+Q326+Q388</f>
        <v>9914427.8399999999</v>
      </c>
      <c r="S89" s="425"/>
      <c r="U89" s="393"/>
    </row>
    <row r="90" spans="1:21">
      <c r="A90" s="353">
        <v>16</v>
      </c>
      <c r="B90" s="17" t="s">
        <v>721</v>
      </c>
      <c r="E90" s="367">
        <f>E149+E209+E269+E327+E389</f>
        <v>1092735</v>
      </c>
      <c r="F90" s="375">
        <f>G90/E90-1</f>
        <v>-0.12466425986172314</v>
      </c>
      <c r="G90" s="367">
        <f>G149+G209+G269+G327+G389</f>
        <v>956510</v>
      </c>
      <c r="H90" s="375">
        <f>I90/G90-1</f>
        <v>-1.6607249270786495E-2</v>
      </c>
      <c r="I90" s="367">
        <f>I149+I209+I269+I327+I389</f>
        <v>940625</v>
      </c>
      <c r="J90" s="375">
        <f>K90/I90-1</f>
        <v>-2.8690498338870385E-2</v>
      </c>
      <c r="K90" s="367">
        <f>K149+K209+K269+K327+K389</f>
        <v>913638</v>
      </c>
      <c r="L90" s="375">
        <f>M90/K90-1</f>
        <v>0.32801612892633636</v>
      </c>
      <c r="M90" s="367">
        <f>M149+M209+M269+M327+M389</f>
        <v>1213326</v>
      </c>
      <c r="N90" s="375">
        <f>O90/M90-1</f>
        <v>-0.15281053896479591</v>
      </c>
      <c r="O90" s="367">
        <f>O149+O209+O269+O327+O389</f>
        <v>1027917</v>
      </c>
      <c r="P90" s="375">
        <f>Q90/O90-1</f>
        <v>-0.32730560930503139</v>
      </c>
      <c r="Q90" s="367">
        <f>Q149+Q209+Q269+Q327+Q389</f>
        <v>691474</v>
      </c>
      <c r="S90" s="425"/>
      <c r="U90" s="393"/>
    </row>
    <row r="91" spans="1:21">
      <c r="A91" s="353">
        <v>17</v>
      </c>
    </row>
    <row r="92" spans="1:21" ht="15" thickBot="1">
      <c r="A92" s="353">
        <v>18</v>
      </c>
      <c r="B92" s="17" t="s">
        <v>722</v>
      </c>
      <c r="E92" s="397">
        <f>E89+E90</f>
        <v>8159920</v>
      </c>
      <c r="G92" s="397">
        <f>G89+G90</f>
        <v>8091609</v>
      </c>
      <c r="I92" s="397">
        <f>I89+I90</f>
        <v>8437934</v>
      </c>
      <c r="K92" s="397">
        <f>K89+K90</f>
        <v>8767305</v>
      </c>
      <c r="M92" s="397">
        <f>M89+M90</f>
        <v>9455163</v>
      </c>
      <c r="O92" s="397">
        <f>O89+O90</f>
        <v>9991412</v>
      </c>
      <c r="Q92" s="397">
        <f>SUM(Q89:Q91)</f>
        <v>10605901.84</v>
      </c>
      <c r="S92" s="425"/>
    </row>
    <row r="93" spans="1:21" ht="15" thickTop="1">
      <c r="A93" s="353">
        <v>19</v>
      </c>
      <c r="E93" s="625"/>
      <c r="G93" s="624"/>
      <c r="I93" s="414"/>
      <c r="K93" s="625"/>
      <c r="M93" s="625"/>
      <c r="O93" s="398"/>
      <c r="Q93" s="398"/>
    </row>
    <row r="94" spans="1:21">
      <c r="A94" s="353">
        <v>20</v>
      </c>
      <c r="B94" s="17" t="s">
        <v>723</v>
      </c>
      <c r="E94" s="399"/>
      <c r="F94" s="400"/>
      <c r="G94" s="399"/>
      <c r="H94" s="400"/>
      <c r="I94" s="399"/>
      <c r="J94" s="400"/>
      <c r="K94" s="399"/>
      <c r="L94" s="400"/>
      <c r="M94" s="399"/>
      <c r="N94" s="400"/>
      <c r="O94" s="399"/>
      <c r="P94" s="400"/>
      <c r="Q94" s="399"/>
    </row>
    <row r="95" spans="1:21" ht="15" thickBot="1">
      <c r="A95" s="353">
        <v>21</v>
      </c>
      <c r="B95" s="17" t="s">
        <v>724</v>
      </c>
      <c r="E95" s="395">
        <f>E90/E89</f>
        <v>0.15462097001847269</v>
      </c>
      <c r="G95" s="395">
        <f>G90/G89</f>
        <v>0.13405700467505777</v>
      </c>
      <c r="I95" s="395">
        <f>I90/I89</f>
        <v>0.12546168231828247</v>
      </c>
      <c r="K95" s="395">
        <f>K90/K89</f>
        <v>0.11633266345517324</v>
      </c>
      <c r="M95" s="395">
        <f>M90/M89</f>
        <v>0.14721548120886158</v>
      </c>
      <c r="O95" s="395">
        <f>O90/O89</f>
        <v>0.11467814730749556</v>
      </c>
      <c r="Q95" s="395">
        <f>Q90/Q89</f>
        <v>6.9744216323833777E-2</v>
      </c>
      <c r="R95" s="401"/>
    </row>
    <row r="96" spans="1:21" ht="15" thickTop="1">
      <c r="A96" s="353">
        <v>22</v>
      </c>
      <c r="E96" s="362"/>
      <c r="G96" s="362"/>
      <c r="I96" s="362"/>
      <c r="K96" s="362"/>
      <c r="M96" s="362"/>
      <c r="O96" s="362"/>
      <c r="Q96" s="362"/>
      <c r="R96" s="401"/>
    </row>
    <row r="97" spans="1:21">
      <c r="A97" s="353">
        <v>23</v>
      </c>
    </row>
    <row r="98" spans="1:21">
      <c r="A98" s="353">
        <v>24</v>
      </c>
      <c r="B98" s="17" t="s">
        <v>725</v>
      </c>
      <c r="E98" s="367">
        <f>E92-E391</f>
        <v>6511973</v>
      </c>
      <c r="F98" s="375">
        <f>G98/E98-1</f>
        <v>-1.0176639245893515E-3</v>
      </c>
      <c r="G98" s="367">
        <f>G92-G391</f>
        <v>6505346</v>
      </c>
      <c r="H98" s="375">
        <f>I98/G98-1</f>
        <v>-2.6165710478735504E-2</v>
      </c>
      <c r="I98" s="367">
        <f>I92-I391</f>
        <v>6335129</v>
      </c>
      <c r="J98" s="375">
        <f>K98/I98-1</f>
        <v>-1.4601123355183487E-3</v>
      </c>
      <c r="K98" s="367">
        <f>K92-K391</f>
        <v>6325879</v>
      </c>
      <c r="L98" s="375">
        <f>M98/K98-1</f>
        <v>6.799418705289817E-2</v>
      </c>
      <c r="M98" s="367">
        <f>M92-M391</f>
        <v>6756002</v>
      </c>
      <c r="N98" s="375">
        <f>O98/M98-1</f>
        <v>6.3369134585809839E-2</v>
      </c>
      <c r="O98" s="367">
        <f>O92-O391</f>
        <v>7184124</v>
      </c>
      <c r="P98" s="375">
        <f>Q98/O98-1</f>
        <v>8.6068369643953702E-2</v>
      </c>
      <c r="Q98" s="367">
        <f>Q92-Q391</f>
        <v>7802449.8399999999</v>
      </c>
      <c r="S98" s="424"/>
      <c r="T98" s="393"/>
      <c r="U98" s="393"/>
    </row>
    <row r="99" spans="1:21">
      <c r="A99" s="353">
        <v>25</v>
      </c>
      <c r="B99" s="17" t="s">
        <v>726</v>
      </c>
      <c r="F99" s="375"/>
      <c r="H99" s="375"/>
      <c r="J99" s="375"/>
      <c r="L99" s="375"/>
      <c r="N99" s="375"/>
      <c r="P99" s="375"/>
    </row>
    <row r="100" spans="1:21" ht="15" thickBot="1">
      <c r="A100" s="353">
        <v>26</v>
      </c>
      <c r="B100" s="17" t="s">
        <v>727</v>
      </c>
      <c r="E100" s="395">
        <f>E98/E92</f>
        <v>0.79804373082089042</v>
      </c>
      <c r="G100" s="395">
        <f>G98/G92</f>
        <v>0.80396198086190274</v>
      </c>
      <c r="I100" s="395">
        <f>I98/I92</f>
        <v>0.75079148521427164</v>
      </c>
      <c r="K100" s="395">
        <f>K98/K92</f>
        <v>0.72153061858803813</v>
      </c>
      <c r="M100" s="395">
        <f>M98/M92</f>
        <v>0.71453046340925064</v>
      </c>
      <c r="O100" s="395">
        <f>O98/O92</f>
        <v>0.71902990288059387</v>
      </c>
      <c r="Q100" s="395">
        <f>Q98/Q92</f>
        <v>0.73567056886885163</v>
      </c>
    </row>
    <row r="101" spans="1:21" ht="15" thickTop="1">
      <c r="A101" s="353">
        <v>27</v>
      </c>
      <c r="E101" s="362"/>
      <c r="G101" s="362"/>
      <c r="I101" s="362"/>
      <c r="K101" s="370"/>
      <c r="M101" s="362"/>
      <c r="O101" s="362"/>
      <c r="Q101" s="362"/>
    </row>
    <row r="102" spans="1:21">
      <c r="A102" s="353">
        <v>28</v>
      </c>
      <c r="R102" s="375"/>
    </row>
    <row r="103" spans="1:21">
      <c r="A103" s="353">
        <v>29</v>
      </c>
      <c r="B103" s="17" t="s">
        <v>728</v>
      </c>
      <c r="E103" s="379">
        <v>2811156</v>
      </c>
      <c r="F103" s="375">
        <f>G103/E103-1</f>
        <v>4.8800920333129882E-2</v>
      </c>
      <c r="G103" s="379">
        <v>2948343</v>
      </c>
      <c r="H103" s="375">
        <f>I103/G103-1</f>
        <v>0.19295075233783865</v>
      </c>
      <c r="I103" s="379">
        <v>3517228</v>
      </c>
      <c r="J103" s="375">
        <f>K103/I103-1</f>
        <v>-3.9015952335191284E-2</v>
      </c>
      <c r="K103" s="379">
        <v>3380000</v>
      </c>
      <c r="L103" s="375">
        <f>M103/K103-1</f>
        <v>-8.948520710059138E-3</v>
      </c>
      <c r="M103" s="379">
        <v>3349754</v>
      </c>
      <c r="N103" s="375">
        <f>O103/M103-1</f>
        <v>3.2479997038592501E-4</v>
      </c>
      <c r="O103" s="379">
        <v>3350842</v>
      </c>
      <c r="P103" s="375">
        <f>Q103/O103-1</f>
        <v>0.11166566492839713</v>
      </c>
      <c r="Q103" s="379">
        <v>3725016</v>
      </c>
      <c r="S103" s="628"/>
      <c r="T103" s="393"/>
      <c r="U103" s="393"/>
    </row>
    <row r="104" spans="1:21">
      <c r="A104" s="353">
        <v>30</v>
      </c>
      <c r="B104" s="17" t="s">
        <v>729</v>
      </c>
      <c r="E104" s="393">
        <v>2135200</v>
      </c>
      <c r="F104" s="375">
        <f>G104/E104-1</f>
        <v>9.8821187710752989E-2</v>
      </c>
      <c r="G104" s="393">
        <v>2346203</v>
      </c>
      <c r="H104" s="375">
        <f>I104/G104-1</f>
        <v>0.12734575823149141</v>
      </c>
      <c r="I104" s="393">
        <v>2644982</v>
      </c>
      <c r="J104" s="375">
        <f>K104/I104-1</f>
        <v>-6.6980796088593419E-2</v>
      </c>
      <c r="K104" s="393">
        <v>2467819</v>
      </c>
      <c r="L104" s="375">
        <f>M104/K104-1</f>
        <v>-1.7954315126028297E-2</v>
      </c>
      <c r="M104" s="393">
        <v>2423511</v>
      </c>
      <c r="N104" s="375">
        <f>O104/M104-1</f>
        <v>-1.4232244045931708E-2</v>
      </c>
      <c r="O104" s="379">
        <v>2389019</v>
      </c>
      <c r="P104" s="375">
        <f>Q104/O104-1</f>
        <v>0.11985756496704303</v>
      </c>
      <c r="Q104" s="629">
        <v>2675361</v>
      </c>
      <c r="R104" s="630"/>
      <c r="S104" s="628"/>
      <c r="T104" s="393"/>
      <c r="U104" s="393"/>
    </row>
    <row r="105" spans="1:21">
      <c r="A105" s="353">
        <v>31</v>
      </c>
      <c r="B105" s="17" t="s">
        <v>730</v>
      </c>
    </row>
    <row r="106" spans="1:21" ht="15" thickBot="1">
      <c r="A106" s="353">
        <v>32</v>
      </c>
      <c r="B106" s="17" t="s">
        <v>731</v>
      </c>
      <c r="E106" s="395">
        <f>+E104/E103</f>
        <v>0.75954518354726663</v>
      </c>
      <c r="G106" s="395">
        <f>+G104/G103</f>
        <v>0.7957700308274851</v>
      </c>
      <c r="I106" s="395">
        <f>+I104/I103</f>
        <v>0.75200754685223703</v>
      </c>
      <c r="K106" s="402">
        <f>+K104/K103</f>
        <v>0.73012396449704142</v>
      </c>
      <c r="M106" s="395">
        <f>+M104/M103</f>
        <v>0.723489247270098</v>
      </c>
      <c r="O106" s="395">
        <f>O104/O103</f>
        <v>0.71296080209093715</v>
      </c>
      <c r="Q106" s="395">
        <f>+Q104/Q103</f>
        <v>0.71821463317204548</v>
      </c>
    </row>
    <row r="107" spans="1:21" ht="15" thickTop="1">
      <c r="A107" s="353">
        <v>33</v>
      </c>
      <c r="E107" s="362"/>
      <c r="G107" s="362"/>
      <c r="I107" s="362"/>
      <c r="K107" s="370"/>
      <c r="M107" s="362"/>
      <c r="O107" s="362"/>
      <c r="Q107" s="362"/>
      <c r="R107" s="382"/>
    </row>
    <row r="108" spans="1:21">
      <c r="A108" s="353">
        <v>34</v>
      </c>
      <c r="R108" s="378"/>
    </row>
    <row r="109" spans="1:21">
      <c r="A109" s="353">
        <v>35</v>
      </c>
      <c r="B109" s="17" t="s">
        <v>732</v>
      </c>
      <c r="E109" s="379">
        <v>611973</v>
      </c>
      <c r="F109" s="375">
        <f>G109/E109-1</f>
        <v>8.9263742027834603E-2</v>
      </c>
      <c r="G109" s="379">
        <v>666600</v>
      </c>
      <c r="H109" s="375">
        <f>I109/G109-1</f>
        <v>4.5316531653165404E-2</v>
      </c>
      <c r="I109" s="379">
        <v>696808</v>
      </c>
      <c r="J109" s="375">
        <f>K109/I109-1</f>
        <v>3.3268848807705975E-2</v>
      </c>
      <c r="K109" s="379">
        <v>719990</v>
      </c>
      <c r="L109" s="375">
        <f>M109/K109-1</f>
        <v>5.8179974721871197E-2</v>
      </c>
      <c r="M109" s="379">
        <v>761879</v>
      </c>
      <c r="N109" s="375">
        <f>O109/M109-1</f>
        <v>4.673314266438644E-2</v>
      </c>
      <c r="O109" s="379">
        <v>797484</v>
      </c>
      <c r="P109" s="375">
        <f>Q109/O109-1</f>
        <v>3.9156898445611432E-2</v>
      </c>
      <c r="Q109" s="631">
        <f>SUM('Link Out'!E42:E44)</f>
        <v>828711</v>
      </c>
      <c r="S109" s="628"/>
      <c r="T109" s="393"/>
      <c r="U109" s="393"/>
    </row>
    <row r="110" spans="1:21">
      <c r="A110" s="353">
        <v>36</v>
      </c>
      <c r="B110" s="17" t="s">
        <v>733</v>
      </c>
      <c r="E110" s="393">
        <v>471426</v>
      </c>
      <c r="F110" s="375">
        <f>G110/E110-1</f>
        <v>0.15105870274443922</v>
      </c>
      <c r="G110" s="393">
        <v>542639</v>
      </c>
      <c r="H110" s="375">
        <f>I110/G110-1</f>
        <v>-6.7687726094143308E-3</v>
      </c>
      <c r="I110" s="393">
        <v>538966</v>
      </c>
      <c r="J110" s="375">
        <f>K110/I110-1</f>
        <v>-1.1434858599614794E-2</v>
      </c>
      <c r="K110" s="393">
        <v>532803</v>
      </c>
      <c r="L110" s="375">
        <f>M110/K110-1</f>
        <v>4.8173527551458983E-2</v>
      </c>
      <c r="M110" s="393">
        <v>558470</v>
      </c>
      <c r="N110" s="375">
        <f>O110/M110-1</f>
        <v>1.4482425197414273E-2</v>
      </c>
      <c r="O110" s="379">
        <v>566558</v>
      </c>
      <c r="P110" s="375">
        <f>Q110/O110-1</f>
        <v>5.198408636009022E-2</v>
      </c>
      <c r="Q110" s="631">
        <f>SUM('Link Out'!G42:G44)</f>
        <v>596010</v>
      </c>
      <c r="R110" s="377"/>
      <c r="S110" s="628"/>
      <c r="T110" s="393"/>
      <c r="U110" s="393"/>
    </row>
    <row r="111" spans="1:21">
      <c r="A111" s="353">
        <v>37</v>
      </c>
      <c r="B111" s="17" t="s">
        <v>734</v>
      </c>
    </row>
    <row r="112" spans="1:21" ht="15" thickBot="1">
      <c r="A112" s="353">
        <v>38</v>
      </c>
      <c r="B112" s="17" t="s">
        <v>735</v>
      </c>
      <c r="E112" s="395">
        <f>+E110/E109</f>
        <v>0.77033790706452732</v>
      </c>
      <c r="G112" s="395">
        <f>+G110/G109</f>
        <v>0.81403990399039905</v>
      </c>
      <c r="I112" s="395">
        <f>+I110/I109</f>
        <v>0.77347849048805406</v>
      </c>
      <c r="K112" s="402">
        <f>+K110/K109</f>
        <v>0.7400144446450645</v>
      </c>
      <c r="M112" s="395">
        <f>+M110/M109</f>
        <v>0.73301666012582045</v>
      </c>
      <c r="O112" s="395">
        <f>O110/O109</f>
        <v>0.71043180803627404</v>
      </c>
      <c r="Q112" s="395">
        <f>Q110/Q109</f>
        <v>0.7192012655799187</v>
      </c>
    </row>
    <row r="113" spans="1:33" ht="15" thickTop="1">
      <c r="A113" s="353">
        <v>39</v>
      </c>
      <c r="E113" s="362"/>
      <c r="G113" s="362"/>
      <c r="I113" s="362"/>
      <c r="K113" s="370"/>
      <c r="M113" s="362"/>
      <c r="O113" s="362"/>
      <c r="Q113" s="362"/>
    </row>
    <row r="114" spans="1:33">
      <c r="A114" s="353">
        <v>40</v>
      </c>
      <c r="R114" s="375"/>
    </row>
    <row r="115" spans="1:33" ht="15" thickBot="1">
      <c r="A115" s="353">
        <v>41</v>
      </c>
      <c r="B115" s="17" t="s">
        <v>736</v>
      </c>
      <c r="E115" s="367">
        <f>E174+E234+E294+E352</f>
        <v>124</v>
      </c>
      <c r="F115" s="375">
        <f>G115/E115-1</f>
        <v>2.4193548387096753E-2</v>
      </c>
      <c r="G115" s="367">
        <f>G174+G234+G294+G352</f>
        <v>127</v>
      </c>
      <c r="H115" s="375">
        <f>I115/G115-1</f>
        <v>4.7244094488188892E-2</v>
      </c>
      <c r="I115" s="367">
        <f>I174+I234+I294+I352</f>
        <v>133</v>
      </c>
      <c r="J115" s="375">
        <f>K115/I115-1</f>
        <v>0</v>
      </c>
      <c r="K115" s="367">
        <f>K174+K234+K294+K352</f>
        <v>133</v>
      </c>
      <c r="L115" s="375">
        <f>M115/K115-1</f>
        <v>7.5187969924812581E-3</v>
      </c>
      <c r="M115" s="367">
        <f>M174+M234+M294+M352</f>
        <v>134</v>
      </c>
      <c r="N115" s="375">
        <f>O115/M115-1</f>
        <v>7.4626865671641784E-2</v>
      </c>
      <c r="O115" s="367">
        <f>O174+O234+O294+O352</f>
        <v>144</v>
      </c>
      <c r="P115" s="375">
        <f>Q115/O115-1</f>
        <v>5.555555555555558E-2</v>
      </c>
      <c r="Q115" s="367">
        <f>Q174+Q234+Q294+Q352</f>
        <v>152</v>
      </c>
    </row>
    <row r="116" spans="1:33" ht="15" thickTop="1">
      <c r="A116" s="353">
        <v>42</v>
      </c>
      <c r="E116" s="403"/>
      <c r="F116" s="375"/>
      <c r="G116" s="403"/>
      <c r="H116" s="375"/>
      <c r="I116" s="403"/>
      <c r="J116" s="375"/>
      <c r="K116" s="403"/>
      <c r="L116" s="375"/>
      <c r="M116" s="403"/>
      <c r="N116" s="375"/>
      <c r="O116" s="403"/>
      <c r="P116" s="375"/>
      <c r="Q116" s="403"/>
    </row>
    <row r="117" spans="1:33" ht="15" thickBot="1">
      <c r="A117" s="353">
        <v>43</v>
      </c>
      <c r="B117" s="17" t="s">
        <v>737</v>
      </c>
      <c r="E117" s="367">
        <f>E176+E236+E296+E354</f>
        <v>120</v>
      </c>
      <c r="F117" s="375">
        <f>G117/E117-1</f>
        <v>6.6666666666666652E-2</v>
      </c>
      <c r="G117" s="367">
        <f>G176+G236+G296+G354</f>
        <v>128</v>
      </c>
      <c r="H117" s="375">
        <f>I117/G117-1</f>
        <v>4.6875E-2</v>
      </c>
      <c r="I117" s="367">
        <f>I176+I236+I296+I354</f>
        <v>134</v>
      </c>
      <c r="J117" s="375">
        <f>K117/I117-1</f>
        <v>1.4925373134328401E-2</v>
      </c>
      <c r="K117" s="367">
        <f>K176+K236+K296+K354</f>
        <v>136</v>
      </c>
      <c r="L117" s="375">
        <f>M117/K117-1</f>
        <v>1.4705882352941124E-2</v>
      </c>
      <c r="M117" s="367">
        <f>M176+M236+M296+M354</f>
        <v>138</v>
      </c>
      <c r="N117" s="375">
        <f>O117/M117-1</f>
        <v>0.10144927536231885</v>
      </c>
      <c r="O117" s="367">
        <f>O176+O236+O296+O354</f>
        <v>152</v>
      </c>
      <c r="P117" s="375">
        <f>Q117/O117-1</f>
        <v>0</v>
      </c>
      <c r="Q117" s="367">
        <f>Q176+Q236+Q296+Q354</f>
        <v>152</v>
      </c>
    </row>
    <row r="118" spans="1:33" ht="15" thickTop="1">
      <c r="A118" s="353"/>
      <c r="E118" s="362"/>
      <c r="G118" s="362"/>
      <c r="I118" s="362"/>
      <c r="K118" s="362"/>
      <c r="M118" s="362"/>
      <c r="O118" s="362"/>
      <c r="Q118" s="362"/>
      <c r="R118" s="382"/>
    </row>
    <row r="119" spans="1:33">
      <c r="A119" s="353"/>
    </row>
    <row r="120" spans="1:33">
      <c r="A120" s="338"/>
      <c r="Q120" s="347"/>
    </row>
    <row r="121" spans="1:33">
      <c r="A121" s="353"/>
      <c r="R121" s="377"/>
    </row>
    <row r="122" spans="1:33">
      <c r="A122" s="764" t="str">
        <f>'Link In'!$A$2</f>
        <v>Kentucky American Water Company</v>
      </c>
      <c r="B122" s="764"/>
      <c r="C122" s="764"/>
      <c r="D122" s="764"/>
      <c r="E122" s="764"/>
      <c r="F122" s="764"/>
      <c r="G122" s="764"/>
      <c r="H122" s="764"/>
      <c r="I122" s="764"/>
      <c r="J122" s="764"/>
      <c r="K122" s="764"/>
      <c r="L122" s="764"/>
      <c r="M122" s="764"/>
      <c r="N122" s="764"/>
      <c r="O122" s="764"/>
      <c r="P122" s="764"/>
      <c r="Q122" s="764"/>
      <c r="R122" s="378"/>
      <c r="S122" s="378"/>
      <c r="T122" s="378"/>
      <c r="U122" s="378"/>
      <c r="V122" s="378"/>
      <c r="W122" s="378"/>
      <c r="X122" s="378"/>
      <c r="Y122" s="378"/>
      <c r="Z122" s="378"/>
      <c r="AA122" s="378"/>
      <c r="AB122" s="378"/>
      <c r="AC122" s="378"/>
      <c r="AD122" s="378"/>
      <c r="AE122" s="378"/>
      <c r="AF122" s="378"/>
      <c r="AG122" s="378"/>
    </row>
    <row r="123" spans="1:33">
      <c r="A123" s="341" t="str">
        <f>'Link In'!$A$3</f>
        <v>Case No. 2018-00358</v>
      </c>
      <c r="B123" s="342"/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75"/>
      <c r="AC123" s="377"/>
      <c r="AG123" s="377"/>
    </row>
    <row r="124" spans="1:33">
      <c r="A124" s="341" t="s">
        <v>705</v>
      </c>
      <c r="B124" s="341"/>
      <c r="C124" s="341"/>
      <c r="D124" s="341"/>
      <c r="E124" s="341"/>
      <c r="F124" s="341"/>
      <c r="G124" s="341"/>
      <c r="H124" s="341"/>
      <c r="I124" s="341"/>
      <c r="J124" s="341"/>
      <c r="K124" s="341"/>
      <c r="L124" s="341"/>
      <c r="M124" s="341"/>
      <c r="N124" s="341"/>
      <c r="O124" s="341"/>
      <c r="P124" s="341"/>
      <c r="Q124" s="342"/>
    </row>
    <row r="125" spans="1:33">
      <c r="A125" s="341" t="str">
        <f>+A6</f>
        <v>FOR THE TWELVE MONTHS ENDED:  February 28, 2019  (Base Period)</v>
      </c>
      <c r="B125" s="342"/>
      <c r="C125" s="342"/>
      <c r="D125" s="342"/>
      <c r="E125" s="342"/>
      <c r="F125" s="342"/>
      <c r="G125" s="343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</row>
    <row r="126" spans="1:33">
      <c r="A126" s="341" t="str">
        <f>+A7</f>
        <v>FOR THE TWELVE MONTHS ENDED:  June 30, 2020  (Forecast Period)</v>
      </c>
      <c r="B126" s="342"/>
      <c r="C126" s="342"/>
      <c r="D126" s="342"/>
      <c r="E126" s="342"/>
      <c r="F126" s="342"/>
      <c r="G126" s="343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77"/>
    </row>
    <row r="127" spans="1:33">
      <c r="A127" s="344" t="s">
        <v>686</v>
      </c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  <c r="N127" s="345"/>
      <c r="O127" s="345"/>
      <c r="P127" s="345"/>
      <c r="Q127" s="346" t="s">
        <v>706</v>
      </c>
      <c r="R127" s="377"/>
    </row>
    <row r="128" spans="1:33">
      <c r="A128" s="348" t="s">
        <v>687</v>
      </c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  <c r="N128" s="345"/>
      <c r="O128" s="345"/>
      <c r="P128" s="345"/>
      <c r="Q128" s="349" t="str">
        <f ca="1">RIGHT(CELL("filename",$A$3),LEN(CELL("filename",$A$3))-SEARCH("\O&amp;M",CELL("filename",$A$3),1))</f>
        <v>O&amp;M\[KAWC 2018 Rate Case - Labor and Labor Related Exhibit.xlsx]Exh 37 G</v>
      </c>
    </row>
    <row r="129" spans="1:30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  <c r="N129" s="345"/>
      <c r="O129" s="345"/>
      <c r="P129" s="345"/>
      <c r="Q129" s="350" t="str">
        <f>'Link In'!$A$20</f>
        <v>Witness Responsible:   James Pellock</v>
      </c>
      <c r="R129" s="375"/>
      <c r="AD129" s="377"/>
    </row>
    <row r="130" spans="1:30" ht="15" thickBot="1"/>
    <row r="131" spans="1:30" ht="15" thickTop="1">
      <c r="A131" s="351"/>
      <c r="B131" s="351"/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</row>
    <row r="132" spans="1:30">
      <c r="A132" s="353" t="s">
        <v>593</v>
      </c>
      <c r="E132" s="353" t="s">
        <v>1127</v>
      </c>
      <c r="F132" s="353" t="s">
        <v>707</v>
      </c>
      <c r="G132" s="353" t="s">
        <v>1127</v>
      </c>
      <c r="H132" s="353" t="s">
        <v>707</v>
      </c>
      <c r="I132" s="353" t="s">
        <v>1127</v>
      </c>
      <c r="J132" s="353" t="s">
        <v>707</v>
      </c>
      <c r="K132" s="353" t="s">
        <v>1127</v>
      </c>
      <c r="L132" s="353" t="s">
        <v>707</v>
      </c>
      <c r="M132" s="353" t="s">
        <v>1127</v>
      </c>
      <c r="N132" s="353" t="s">
        <v>707</v>
      </c>
      <c r="O132" s="353" t="s">
        <v>708</v>
      </c>
      <c r="P132" s="353" t="s">
        <v>707</v>
      </c>
      <c r="Q132" s="353" t="s">
        <v>709</v>
      </c>
    </row>
    <row r="133" spans="1:30" ht="15" thickBot="1">
      <c r="A133" s="353" t="s">
        <v>689</v>
      </c>
      <c r="B133" s="342" t="s">
        <v>596</v>
      </c>
      <c r="C133" s="342"/>
      <c r="E133" s="392">
        <v>2014</v>
      </c>
      <c r="F133" s="353" t="s">
        <v>710</v>
      </c>
      <c r="G133" s="392">
        <v>2015</v>
      </c>
      <c r="H133" s="353" t="s">
        <v>710</v>
      </c>
      <c r="I133" s="392">
        <v>2016</v>
      </c>
      <c r="J133" s="353" t="s">
        <v>710</v>
      </c>
      <c r="K133" s="392">
        <v>2017</v>
      </c>
      <c r="L133" s="353" t="s">
        <v>710</v>
      </c>
      <c r="M133" s="392">
        <v>2018</v>
      </c>
      <c r="N133" s="353" t="s">
        <v>710</v>
      </c>
      <c r="O133" s="353" t="s">
        <v>711</v>
      </c>
      <c r="P133" s="353" t="s">
        <v>710</v>
      </c>
      <c r="Q133" s="353" t="s">
        <v>711</v>
      </c>
    </row>
    <row r="134" spans="1:30" ht="15" thickTop="1">
      <c r="A134" s="352">
        <v>1</v>
      </c>
      <c r="B134" s="354"/>
      <c r="C134" s="354"/>
      <c r="D134" s="354"/>
      <c r="E134" s="354"/>
      <c r="F134" s="354"/>
      <c r="G134" s="354"/>
      <c r="H134" s="354"/>
      <c r="I134" s="354"/>
      <c r="J134" s="354"/>
      <c r="K134" s="354"/>
      <c r="L134" s="354"/>
      <c r="M134" s="354"/>
      <c r="N134" s="354"/>
      <c r="O134" s="354"/>
      <c r="P134" s="354"/>
      <c r="Q134" s="354"/>
    </row>
    <row r="135" spans="1:30">
      <c r="A135" s="353">
        <v>2</v>
      </c>
      <c r="B135" s="355" t="s">
        <v>281</v>
      </c>
    </row>
    <row r="136" spans="1:30">
      <c r="A136" s="353">
        <v>3</v>
      </c>
    </row>
    <row r="137" spans="1:30">
      <c r="A137" s="353">
        <v>4</v>
      </c>
      <c r="B137" s="383" t="s">
        <v>713</v>
      </c>
    </row>
    <row r="138" spans="1:30">
      <c r="A138" s="353">
        <v>5</v>
      </c>
      <c r="B138" s="17" t="s">
        <v>714</v>
      </c>
      <c r="E138" s="393">
        <v>76351</v>
      </c>
      <c r="F138" s="375">
        <f>G138/E138-1</f>
        <v>-3.4852195780015971E-2</v>
      </c>
      <c r="G138" s="393">
        <v>73690</v>
      </c>
      <c r="H138" s="375">
        <f>I138/G138-1</f>
        <v>-1.9812728999864304E-2</v>
      </c>
      <c r="I138" s="393">
        <v>72230</v>
      </c>
      <c r="J138" s="375">
        <f>K138/I138-1</f>
        <v>2.407586875259593E-2</v>
      </c>
      <c r="K138" s="393">
        <v>73969</v>
      </c>
      <c r="L138" s="375">
        <f>M138/K138-1</f>
        <v>4.9358515053603558E-2</v>
      </c>
      <c r="M138" s="393">
        <v>77620</v>
      </c>
      <c r="N138" s="375">
        <f>O138/M138-1</f>
        <v>6.4516523306931362E-2</v>
      </c>
      <c r="O138" s="393">
        <v>82627.772539084021</v>
      </c>
      <c r="P138" s="375">
        <f>Q138/O138-1</f>
        <v>4.7234571875574449E-2</v>
      </c>
      <c r="Q138" s="415">
        <v>86530.66</v>
      </c>
      <c r="S138" s="404"/>
    </row>
    <row r="139" spans="1:30">
      <c r="A139" s="353">
        <v>6</v>
      </c>
      <c r="B139" s="17" t="s">
        <v>715</v>
      </c>
      <c r="E139" s="393">
        <v>9665</v>
      </c>
      <c r="F139" s="375">
        <f>G139/E139-1</f>
        <v>-0.15944128297982407</v>
      </c>
      <c r="G139" s="393">
        <v>8124</v>
      </c>
      <c r="H139" s="375">
        <f>I139/G139-1</f>
        <v>-7.3855243722304231E-2</v>
      </c>
      <c r="I139" s="393">
        <v>7524</v>
      </c>
      <c r="J139" s="375">
        <f>K139/I139-1</f>
        <v>8.9048378522062821E-2</v>
      </c>
      <c r="K139" s="393">
        <v>8194</v>
      </c>
      <c r="L139" s="375">
        <f>M139/K139-1</f>
        <v>0.16390041493775942</v>
      </c>
      <c r="M139" s="393">
        <v>9537</v>
      </c>
      <c r="N139" s="375">
        <f>O139/M139-1</f>
        <v>3.6377928842293183E-2</v>
      </c>
      <c r="O139" s="393">
        <v>9883.9363073689492</v>
      </c>
      <c r="P139" s="375">
        <f>Q139/O139-1</f>
        <v>-0.40607670694686593</v>
      </c>
      <c r="Q139" s="415">
        <v>5870.3</v>
      </c>
      <c r="S139" s="404"/>
    </row>
    <row r="140" spans="1:30">
      <c r="A140" s="353">
        <v>7</v>
      </c>
      <c r="E140" s="394"/>
      <c r="G140" s="394"/>
      <c r="I140" s="394"/>
      <c r="K140" s="394"/>
      <c r="M140" s="394"/>
      <c r="O140" s="394"/>
      <c r="Q140" s="394"/>
    </row>
    <row r="141" spans="1:30" ht="15" thickBot="1">
      <c r="A141" s="353">
        <v>8</v>
      </c>
      <c r="B141" s="17" t="s">
        <v>716</v>
      </c>
      <c r="E141" s="386">
        <f>SUM(E138:E139)</f>
        <v>86016</v>
      </c>
      <c r="F141" s="375"/>
      <c r="G141" s="386">
        <f>SUM(G138:G139)</f>
        <v>81814</v>
      </c>
      <c r="H141" s="375"/>
      <c r="I141" s="386">
        <f>SUM(I138:I139)</f>
        <v>79754</v>
      </c>
      <c r="J141" s="375"/>
      <c r="K141" s="386">
        <f>SUM(K138:K139)</f>
        <v>82163</v>
      </c>
      <c r="L141" s="375"/>
      <c r="M141" s="386">
        <f>SUM(M138:M139)</f>
        <v>87157</v>
      </c>
      <c r="N141" s="375"/>
      <c r="O141" s="386">
        <f>SUM(O138:O139)</f>
        <v>92511.708846452966</v>
      </c>
      <c r="P141" s="375"/>
      <c r="Q141" s="386">
        <f>SUM(Q138:Q139)</f>
        <v>92400.960000000006</v>
      </c>
    </row>
    <row r="142" spans="1:30" ht="15" thickTop="1">
      <c r="A142" s="353">
        <v>9</v>
      </c>
      <c r="E142" s="362"/>
      <c r="G142" s="362"/>
      <c r="I142" s="362"/>
      <c r="K142" s="362"/>
      <c r="M142" s="362"/>
      <c r="O142" s="362"/>
      <c r="Q142" s="362"/>
    </row>
    <row r="143" spans="1:30">
      <c r="A143" s="353">
        <v>10</v>
      </c>
      <c r="B143" s="17" t="s">
        <v>717</v>
      </c>
    </row>
    <row r="144" spans="1:30" ht="15" thickBot="1">
      <c r="A144" s="353">
        <v>11</v>
      </c>
      <c r="B144" s="17" t="s">
        <v>718</v>
      </c>
      <c r="E144" s="395">
        <f>E139/E138</f>
        <v>0.12658642322955824</v>
      </c>
      <c r="G144" s="395">
        <f>G139/G138</f>
        <v>0.110245623558149</v>
      </c>
      <c r="I144" s="395">
        <f>I139/I138</f>
        <v>0.10416724352762011</v>
      </c>
      <c r="K144" s="395">
        <f>K139/K138</f>
        <v>0.11077613594884343</v>
      </c>
      <c r="M144" s="395">
        <f>M139/M138</f>
        <v>0.12286781757279051</v>
      </c>
      <c r="O144" s="395">
        <f>O139/O138</f>
        <v>0.1196200260958713</v>
      </c>
      <c r="Q144" s="395">
        <f>Q139/Q138</f>
        <v>6.7840693691692627E-2</v>
      </c>
    </row>
    <row r="145" spans="1:19" ht="15" thickTop="1">
      <c r="A145" s="353">
        <v>12</v>
      </c>
      <c r="E145" s="362"/>
      <c r="G145" s="362"/>
      <c r="I145" s="362"/>
      <c r="K145" s="362"/>
      <c r="M145" s="362"/>
      <c r="O145" s="362"/>
      <c r="Q145" s="362"/>
    </row>
    <row r="146" spans="1:19">
      <c r="A146" s="353">
        <v>13</v>
      </c>
    </row>
    <row r="147" spans="1:19">
      <c r="A147" s="353">
        <v>14</v>
      </c>
      <c r="B147" s="383" t="s">
        <v>719</v>
      </c>
    </row>
    <row r="148" spans="1:19">
      <c r="A148" s="353">
        <v>15</v>
      </c>
      <c r="B148" s="17" t="s">
        <v>720</v>
      </c>
      <c r="E148" s="357">
        <v>2158820</v>
      </c>
      <c r="F148" s="375">
        <f>G148/E148-1</f>
        <v>-2.6646501329429917E-2</v>
      </c>
      <c r="G148" s="357">
        <v>2101295</v>
      </c>
      <c r="H148" s="375">
        <f>I148/G148-1</f>
        <v>-2.631377317320982E-2</v>
      </c>
      <c r="I148" s="357">
        <v>2046002</v>
      </c>
      <c r="J148" s="375">
        <f>K148/I148-1</f>
        <v>6.1391924348070059E-2</v>
      </c>
      <c r="K148" s="357">
        <v>2171610</v>
      </c>
      <c r="L148" s="375">
        <f>M148/K148-1</f>
        <v>7.2312247595102352E-2</v>
      </c>
      <c r="M148" s="357">
        <v>2328644</v>
      </c>
      <c r="N148" s="375">
        <f>O148/M148-1</f>
        <v>1.2764630402929633E-2</v>
      </c>
      <c r="O148" s="357">
        <v>2358368.2799999998</v>
      </c>
      <c r="P148" s="375">
        <f>Q148/O148-1</f>
        <v>0.15874099188613577</v>
      </c>
      <c r="Q148" s="357">
        <f>2579874+229+152635</f>
        <v>2732738</v>
      </c>
      <c r="S148" s="357"/>
    </row>
    <row r="149" spans="1:19">
      <c r="A149" s="353">
        <v>16</v>
      </c>
      <c r="B149" s="17" t="s">
        <v>721</v>
      </c>
      <c r="E149" s="393">
        <v>410237</v>
      </c>
      <c r="F149" s="375">
        <f>G149/E149-1</f>
        <v>-0.14633004824040741</v>
      </c>
      <c r="G149" s="393">
        <v>350207</v>
      </c>
      <c r="H149" s="375">
        <f>I149/G149-1</f>
        <v>-4.2517710953807297E-2</v>
      </c>
      <c r="I149" s="393">
        <v>335317</v>
      </c>
      <c r="J149" s="375">
        <f>K149/I149-1</f>
        <v>-0.10507668862598674</v>
      </c>
      <c r="K149" s="393">
        <v>300083</v>
      </c>
      <c r="L149" s="375">
        <f>M149/K149-1</f>
        <v>9.6606605505810128E-2</v>
      </c>
      <c r="M149" s="393">
        <v>329073</v>
      </c>
      <c r="N149" s="375">
        <f>O149/M149-1</f>
        <v>-0.10969939800591355</v>
      </c>
      <c r="O149" s="393">
        <v>292973.89</v>
      </c>
      <c r="P149" s="375">
        <f>Q149/O149-1</f>
        <v>-0.13471128775332164</v>
      </c>
      <c r="Q149" s="415">
        <v>253507</v>
      </c>
      <c r="S149" s="393"/>
    </row>
    <row r="150" spans="1:19">
      <c r="A150" s="353">
        <v>17</v>
      </c>
    </row>
    <row r="151" spans="1:19" ht="15" thickBot="1">
      <c r="A151" s="353">
        <v>18</v>
      </c>
      <c r="B151" s="17" t="s">
        <v>722</v>
      </c>
      <c r="E151" s="397">
        <f>SUM(E148:E149)</f>
        <v>2569057</v>
      </c>
      <c r="G151" s="397">
        <f>SUM(G148:G149)</f>
        <v>2451502</v>
      </c>
      <c r="I151" s="397">
        <f>SUM(I148:I149)</f>
        <v>2381319</v>
      </c>
      <c r="K151" s="397">
        <f>SUM(K148:K149)</f>
        <v>2471693</v>
      </c>
      <c r="M151" s="397">
        <f>SUM(M148:M149)</f>
        <v>2657717</v>
      </c>
      <c r="O151" s="397">
        <f>SUM(O148:O149)</f>
        <v>2651342.17</v>
      </c>
      <c r="Q151" s="397">
        <f>SUM(Q148:Q149)</f>
        <v>2986245</v>
      </c>
    </row>
    <row r="152" spans="1:19" ht="15" thickTop="1">
      <c r="A152" s="353">
        <v>19</v>
      </c>
      <c r="E152" s="398"/>
      <c r="G152" s="398"/>
      <c r="I152" s="398"/>
      <c r="K152" s="398"/>
      <c r="M152" s="398"/>
      <c r="O152" s="398"/>
      <c r="Q152" s="398"/>
    </row>
    <row r="153" spans="1:19">
      <c r="A153" s="353">
        <v>20</v>
      </c>
      <c r="B153" s="17" t="s">
        <v>723</v>
      </c>
      <c r="E153" s="399"/>
      <c r="F153" s="400"/>
      <c r="G153" s="399"/>
      <c r="H153" s="400"/>
      <c r="I153" s="399"/>
      <c r="J153" s="400"/>
      <c r="K153" s="399"/>
      <c r="L153" s="400"/>
      <c r="M153" s="399"/>
      <c r="N153" s="400"/>
      <c r="O153" s="399"/>
      <c r="P153" s="400"/>
      <c r="Q153" s="399"/>
    </row>
    <row r="154" spans="1:19" ht="15" thickBot="1">
      <c r="A154" s="353">
        <v>21</v>
      </c>
      <c r="B154" s="17" t="s">
        <v>724</v>
      </c>
      <c r="E154" s="395">
        <f>E149/E148</f>
        <v>0.19002834882018882</v>
      </c>
      <c r="G154" s="395">
        <f>G149/G148</f>
        <v>0.16666246290977707</v>
      </c>
      <c r="I154" s="395">
        <f>I149/I148</f>
        <v>0.16388889160421152</v>
      </c>
      <c r="K154" s="395">
        <f>K149/K148</f>
        <v>0.1381845727363569</v>
      </c>
      <c r="M154" s="395">
        <f>M149/M148</f>
        <v>0.14131528906951857</v>
      </c>
      <c r="O154" s="395">
        <f>O149/O148</f>
        <v>0.12422737045971464</v>
      </c>
      <c r="Q154" s="395">
        <f>Q149/Q148</f>
        <v>9.2766668447542361E-2</v>
      </c>
    </row>
    <row r="155" spans="1:19" ht="15" thickTop="1">
      <c r="A155" s="353">
        <v>22</v>
      </c>
      <c r="E155" s="362"/>
      <c r="G155" s="362"/>
      <c r="I155" s="362"/>
      <c r="K155" s="362"/>
      <c r="M155" s="362"/>
      <c r="O155" s="362"/>
      <c r="Q155" s="362"/>
    </row>
    <row r="156" spans="1:19">
      <c r="A156" s="353">
        <v>23</v>
      </c>
    </row>
    <row r="157" spans="1:19">
      <c r="A157" s="353">
        <v>24</v>
      </c>
      <c r="B157" s="17" t="s">
        <v>725</v>
      </c>
      <c r="E157" s="367">
        <f>E151</f>
        <v>2569057</v>
      </c>
      <c r="F157" s="375">
        <f>G157/E157-1</f>
        <v>-4.5758034952124493E-2</v>
      </c>
      <c r="G157" s="367">
        <f>G151</f>
        <v>2451502</v>
      </c>
      <c r="H157" s="375">
        <f>I157/G157-1</f>
        <v>-2.8628571381952739E-2</v>
      </c>
      <c r="I157" s="367">
        <f>I151</f>
        <v>2381319</v>
      </c>
      <c r="J157" s="375">
        <f>K157/I157-1</f>
        <v>3.7951236268639388E-2</v>
      </c>
      <c r="K157" s="367">
        <f>K151</f>
        <v>2471693</v>
      </c>
      <c r="L157" s="375">
        <f>M157/K157-1</f>
        <v>7.5261774014814931E-2</v>
      </c>
      <c r="M157" s="367">
        <f>M151</f>
        <v>2657717</v>
      </c>
      <c r="N157" s="375">
        <f>O157/M157-1</f>
        <v>-2.3986112893134015E-3</v>
      </c>
      <c r="O157" s="367">
        <f>O151</f>
        <v>2651342.17</v>
      </c>
      <c r="P157" s="375">
        <f>Q157/O157-1</f>
        <v>0.12631445076740144</v>
      </c>
      <c r="Q157" s="415">
        <f>Q151</f>
        <v>2986245</v>
      </c>
    </row>
    <row r="158" spans="1:19">
      <c r="A158" s="353">
        <v>25</v>
      </c>
      <c r="B158" s="17" t="s">
        <v>726</v>
      </c>
      <c r="F158" s="375"/>
      <c r="H158" s="375"/>
      <c r="J158" s="375"/>
      <c r="L158" s="375"/>
      <c r="N158" s="375"/>
      <c r="P158" s="375"/>
    </row>
    <row r="159" spans="1:19" ht="15" thickBot="1">
      <c r="A159" s="353">
        <v>26</v>
      </c>
      <c r="B159" s="17" t="s">
        <v>727</v>
      </c>
      <c r="E159" s="395">
        <v>1</v>
      </c>
      <c r="G159" s="395">
        <v>1</v>
      </c>
      <c r="I159" s="395">
        <v>1</v>
      </c>
      <c r="K159" s="402">
        <v>1</v>
      </c>
      <c r="M159" s="395">
        <v>1</v>
      </c>
      <c r="O159" s="395">
        <v>1</v>
      </c>
      <c r="Q159" s="395">
        <f>Q157/Q151</f>
        <v>1</v>
      </c>
    </row>
    <row r="160" spans="1:19" ht="15" thickTop="1">
      <c r="A160" s="353">
        <v>27</v>
      </c>
      <c r="E160" s="362"/>
      <c r="G160" s="362"/>
      <c r="I160" s="362"/>
      <c r="K160" s="370"/>
      <c r="M160" s="362"/>
      <c r="O160" s="362"/>
      <c r="Q160" s="362"/>
    </row>
    <row r="161" spans="1:18">
      <c r="A161" s="353">
        <v>28</v>
      </c>
    </row>
    <row r="162" spans="1:18">
      <c r="A162" s="353">
        <v>29</v>
      </c>
      <c r="B162" s="17" t="s">
        <v>728</v>
      </c>
      <c r="E162" s="379">
        <f>SUM(E157/E$98)*E$104</f>
        <v>842363.82835125388</v>
      </c>
      <c r="F162" s="375">
        <f>G162/E162-1</f>
        <v>4.9609439058387883E-2</v>
      </c>
      <c r="G162" s="379">
        <f>SUM(G157/G$98)*G$104</f>
        <v>884153.0253588357</v>
      </c>
      <c r="H162" s="375">
        <f>I162/G162-1</f>
        <v>0.12449466146663934</v>
      </c>
      <c r="I162" s="379">
        <f>SUM(I157/I$98)*I$104</f>
        <v>994225.35693558888</v>
      </c>
      <c r="J162" s="375">
        <f>K162/I162-1</f>
        <v>-3.0155481893351488E-2</v>
      </c>
      <c r="K162" s="379">
        <f>SUM(K157/K$98)*K$104</f>
        <v>964244.01218660676</v>
      </c>
      <c r="L162" s="375">
        <f>M162/K162-1</f>
        <v>-1.1271598588879828E-2</v>
      </c>
      <c r="M162" s="379">
        <f>SUM(M157/M$98)*M$104</f>
        <v>953375.44073950837</v>
      </c>
      <c r="N162" s="375">
        <f>O162/M162-1</f>
        <v>-7.5200463977131871E-2</v>
      </c>
      <c r="O162" s="379">
        <f>SUM(O157/O$98)*O$104</f>
        <v>881681.16525149473</v>
      </c>
      <c r="P162" s="375">
        <f>Q162/O162-1</f>
        <v>0.1613557612740999</v>
      </c>
      <c r="Q162" s="379">
        <f>SUM(Q157/Q$98)*Q$104</f>
        <v>1023945.5008716852</v>
      </c>
    </row>
    <row r="163" spans="1:18">
      <c r="A163" s="353">
        <v>30</v>
      </c>
      <c r="B163" s="17" t="s">
        <v>729</v>
      </c>
      <c r="E163" s="393">
        <f>E162</f>
        <v>842363.82835125388</v>
      </c>
      <c r="F163" s="375">
        <f>G163/E163-1</f>
        <v>4.9609439058387883E-2</v>
      </c>
      <c r="G163" s="393">
        <f>G162</f>
        <v>884153.0253588357</v>
      </c>
      <c r="H163" s="375">
        <f>I163/G163-1</f>
        <v>0.12449466146663934</v>
      </c>
      <c r="I163" s="393">
        <f>I162</f>
        <v>994225.35693558888</v>
      </c>
      <c r="J163" s="375">
        <f>K163/I163-1</f>
        <v>-3.0155481893351488E-2</v>
      </c>
      <c r="K163" s="393">
        <f>K162</f>
        <v>964244.01218660676</v>
      </c>
      <c r="L163" s="375">
        <f>M163/K163-1</f>
        <v>-1.1271598588879828E-2</v>
      </c>
      <c r="M163" s="393">
        <f>M162</f>
        <v>953375.44073950837</v>
      </c>
      <c r="N163" s="375">
        <f>O163/M163-1</f>
        <v>-7.5200463977131871E-2</v>
      </c>
      <c r="O163" s="379">
        <f>O162</f>
        <v>881681.16525149473</v>
      </c>
      <c r="P163" s="375">
        <f>Q163/O163-1</f>
        <v>0.1613557612740999</v>
      </c>
      <c r="Q163" s="415">
        <f>Q162</f>
        <v>1023945.5008716852</v>
      </c>
    </row>
    <row r="164" spans="1:18">
      <c r="A164" s="353">
        <v>31</v>
      </c>
      <c r="B164" s="17" t="s">
        <v>730</v>
      </c>
    </row>
    <row r="165" spans="1:18" ht="15" thickBot="1">
      <c r="A165" s="353">
        <v>32</v>
      </c>
      <c r="B165" s="17" t="s">
        <v>731</v>
      </c>
      <c r="E165" s="395">
        <v>1</v>
      </c>
      <c r="G165" s="395">
        <v>1</v>
      </c>
      <c r="I165" s="395">
        <v>1</v>
      </c>
      <c r="K165" s="402">
        <v>1</v>
      </c>
      <c r="M165" s="395">
        <v>1</v>
      </c>
      <c r="O165" s="395">
        <v>1</v>
      </c>
      <c r="Q165" s="395">
        <f>Q163/Q162</f>
        <v>1</v>
      </c>
    </row>
    <row r="166" spans="1:18" ht="15" thickTop="1">
      <c r="A166" s="353">
        <v>33</v>
      </c>
      <c r="E166" s="362"/>
      <c r="G166" s="362"/>
      <c r="I166" s="362"/>
      <c r="K166" s="370"/>
      <c r="M166" s="362"/>
      <c r="O166" s="362"/>
      <c r="Q166" s="362"/>
    </row>
    <row r="167" spans="1:18">
      <c r="A167" s="353">
        <v>34</v>
      </c>
    </row>
    <row r="168" spans="1:18">
      <c r="A168" s="353">
        <v>35</v>
      </c>
      <c r="B168" s="17" t="s">
        <v>732</v>
      </c>
      <c r="E168" s="379">
        <f>SUM(E157/E$98)*E$110</f>
        <v>185983.61284391073</v>
      </c>
      <c r="F168" s="375">
        <f>G168/E168-1</f>
        <v>9.9507447456406162E-2</v>
      </c>
      <c r="G168" s="379">
        <f>SUM(G157/G$98)*G$110</f>
        <v>204490.36742672874</v>
      </c>
      <c r="H168" s="375">
        <f>I168/G168-1</f>
        <v>-9.2806890454205648E-3</v>
      </c>
      <c r="I168" s="379">
        <f>SUM(I157/I$98)*I$110</f>
        <v>202592.55591385748</v>
      </c>
      <c r="J168" s="375">
        <f>K168/I168-1</f>
        <v>2.7582796966228784E-2</v>
      </c>
      <c r="K168" s="379">
        <f>SUM(K157/K$98)*K$110</f>
        <v>208180.62525049876</v>
      </c>
      <c r="L168" s="375">
        <f>M168/K168-1</f>
        <v>5.5306237031536032E-2</v>
      </c>
      <c r="M168" s="379">
        <f>SUM(M157/M$98)*M$110</f>
        <v>219694.31225597623</v>
      </c>
      <c r="N168" s="375">
        <f>O168/M168-1</f>
        <v>-4.8261752873120067E-2</v>
      </c>
      <c r="O168" s="379">
        <f>SUM(O157/O$98)*O$110</f>
        <v>209091.47965024822</v>
      </c>
      <c r="P168" s="375">
        <f>Q168/O168-1</f>
        <v>9.0967117321671287E-2</v>
      </c>
      <c r="Q168" s="379">
        <f>SUM(Q157/Q$98)*Q$110</f>
        <v>228111.92881055421</v>
      </c>
    </row>
    <row r="169" spans="1:18">
      <c r="A169" s="353">
        <v>36</v>
      </c>
      <c r="B169" s="17" t="s">
        <v>733</v>
      </c>
      <c r="E169" s="393">
        <f>E168</f>
        <v>185983.61284391073</v>
      </c>
      <c r="F169" s="375">
        <f>G169/E169-1</f>
        <v>9.9507447456406162E-2</v>
      </c>
      <c r="G169" s="393">
        <f>G168</f>
        <v>204490.36742672874</v>
      </c>
      <c r="H169" s="375">
        <f>I169/G169-1</f>
        <v>-9.2806890454205648E-3</v>
      </c>
      <c r="I169" s="393">
        <f>I168</f>
        <v>202592.55591385748</v>
      </c>
      <c r="J169" s="375">
        <f>K169/I169-1</f>
        <v>2.7582796966228784E-2</v>
      </c>
      <c r="K169" s="393">
        <f>K168</f>
        <v>208180.62525049876</v>
      </c>
      <c r="L169" s="375">
        <f>M169/K169-1</f>
        <v>5.5306237031536032E-2</v>
      </c>
      <c r="M169" s="393">
        <f>M168</f>
        <v>219694.31225597623</v>
      </c>
      <c r="N169" s="375">
        <f>O169/M169-1</f>
        <v>-4.8261752873120067E-2</v>
      </c>
      <c r="O169" s="379">
        <f>O168</f>
        <v>209091.47965024822</v>
      </c>
      <c r="P169" s="375">
        <f>Q169/O169-1</f>
        <v>9.0967117321671287E-2</v>
      </c>
      <c r="Q169" s="379">
        <f>Q168</f>
        <v>228111.92881055421</v>
      </c>
    </row>
    <row r="170" spans="1:18">
      <c r="A170" s="353">
        <v>37</v>
      </c>
      <c r="B170" s="17" t="s">
        <v>734</v>
      </c>
    </row>
    <row r="171" spans="1:18" ht="15" thickBot="1">
      <c r="A171" s="353">
        <v>38</v>
      </c>
      <c r="B171" s="17" t="s">
        <v>735</v>
      </c>
      <c r="E171" s="395">
        <v>1</v>
      </c>
      <c r="G171" s="395">
        <v>1</v>
      </c>
      <c r="I171" s="395">
        <v>1</v>
      </c>
      <c r="K171" s="402">
        <v>1</v>
      </c>
      <c r="M171" s="395">
        <v>1</v>
      </c>
      <c r="O171" s="395">
        <v>1</v>
      </c>
      <c r="Q171" s="395">
        <f>Q169/Q168</f>
        <v>1</v>
      </c>
      <c r="R171" s="401"/>
    </row>
    <row r="172" spans="1:18" ht="15" thickTop="1">
      <c r="A172" s="353">
        <v>39</v>
      </c>
      <c r="E172" s="362"/>
      <c r="G172" s="362"/>
      <c r="I172" s="362"/>
      <c r="K172" s="370"/>
      <c r="M172" s="362"/>
      <c r="O172" s="362"/>
      <c r="Q172" s="362"/>
      <c r="R172" s="401"/>
    </row>
    <row r="173" spans="1:18">
      <c r="A173" s="353">
        <v>40</v>
      </c>
    </row>
    <row r="174" spans="1:18" ht="15" thickBot="1">
      <c r="A174" s="353">
        <v>41</v>
      </c>
      <c r="B174" s="17" t="s">
        <v>736</v>
      </c>
      <c r="E174" s="367">
        <v>40</v>
      </c>
      <c r="F174" s="375">
        <f>G174/E174-1</f>
        <v>0</v>
      </c>
      <c r="G174" s="367">
        <v>40</v>
      </c>
      <c r="H174" s="375">
        <f>I174/G174-1</f>
        <v>0</v>
      </c>
      <c r="I174" s="367">
        <v>40</v>
      </c>
      <c r="J174" s="375">
        <f>K174/I174-1</f>
        <v>0</v>
      </c>
      <c r="K174" s="367">
        <v>40</v>
      </c>
      <c r="L174" s="375">
        <f>M174/K174-1</f>
        <v>2.4999999999999911E-2</v>
      </c>
      <c r="M174" s="367">
        <v>41</v>
      </c>
      <c r="N174" s="375">
        <f>O174/M174-1</f>
        <v>4.8780487804878092E-2</v>
      </c>
      <c r="O174" s="367">
        <v>43</v>
      </c>
      <c r="P174" s="375">
        <f>Q174/O174-1</f>
        <v>2.3255813953488413E-2</v>
      </c>
      <c r="Q174" s="367">
        <v>44</v>
      </c>
      <c r="R174" s="364"/>
    </row>
    <row r="175" spans="1:18" ht="15" thickTop="1">
      <c r="A175" s="353">
        <v>42</v>
      </c>
      <c r="E175" s="403"/>
      <c r="F175" s="375"/>
      <c r="G175" s="403"/>
      <c r="H175" s="375"/>
      <c r="I175" s="403"/>
      <c r="J175" s="375"/>
      <c r="K175" s="403"/>
      <c r="L175" s="375"/>
      <c r="M175" s="403"/>
      <c r="N175" s="375"/>
      <c r="O175" s="403"/>
      <c r="P175" s="375"/>
      <c r="Q175" s="403"/>
    </row>
    <row r="176" spans="1:18" ht="15" thickBot="1">
      <c r="A176" s="353">
        <v>43</v>
      </c>
      <c r="B176" s="17" t="s">
        <v>737</v>
      </c>
      <c r="E176" s="367">
        <v>38</v>
      </c>
      <c r="F176" s="375">
        <f>G176/E176-1</f>
        <v>5.2631578947368363E-2</v>
      </c>
      <c r="G176" s="367">
        <v>40</v>
      </c>
      <c r="H176" s="375">
        <f>I176/G176-1</f>
        <v>2.4999999999999911E-2</v>
      </c>
      <c r="I176" s="367">
        <v>41</v>
      </c>
      <c r="J176" s="375">
        <f>K176/I176-1</f>
        <v>0</v>
      </c>
      <c r="K176" s="367">
        <v>41</v>
      </c>
      <c r="L176" s="375">
        <f>M176/K176-1</f>
        <v>-2.4390243902439046E-2</v>
      </c>
      <c r="M176" s="367">
        <v>40</v>
      </c>
      <c r="N176" s="375">
        <f>O176/M176-1</f>
        <v>0.10000000000000009</v>
      </c>
      <c r="O176" s="367">
        <f>Q176</f>
        <v>44</v>
      </c>
      <c r="P176" s="375">
        <f>Q176/O176-1</f>
        <v>0</v>
      </c>
      <c r="Q176" s="367">
        <v>44</v>
      </c>
    </row>
    <row r="177" spans="1:33" ht="15" thickTop="1">
      <c r="A177" s="353">
        <v>44</v>
      </c>
      <c r="E177" s="362"/>
      <c r="G177" s="362"/>
      <c r="I177" s="362"/>
      <c r="K177" s="362"/>
      <c r="M177" s="362"/>
      <c r="O177" s="362"/>
      <c r="Q177" s="362"/>
    </row>
    <row r="178" spans="1:33">
      <c r="A178" s="353"/>
      <c r="R178" s="375"/>
    </row>
    <row r="179" spans="1:33">
      <c r="A179" s="353"/>
    </row>
    <row r="180" spans="1:33">
      <c r="A180" s="353"/>
    </row>
    <row r="181" spans="1:33">
      <c r="A181" s="353"/>
      <c r="R181" s="382"/>
    </row>
    <row r="182" spans="1:33">
      <c r="A182" s="764" t="str">
        <f>'Link In'!$A$2</f>
        <v>Kentucky American Water Company</v>
      </c>
      <c r="B182" s="764"/>
      <c r="C182" s="764"/>
      <c r="D182" s="764"/>
      <c r="E182" s="764"/>
      <c r="F182" s="764"/>
      <c r="G182" s="764"/>
      <c r="H182" s="764"/>
      <c r="I182" s="764"/>
      <c r="J182" s="764"/>
      <c r="K182" s="764"/>
      <c r="L182" s="764"/>
      <c r="M182" s="764"/>
      <c r="N182" s="764"/>
      <c r="O182" s="764"/>
      <c r="P182" s="764"/>
      <c r="Q182" s="764"/>
      <c r="R182" s="378"/>
      <c r="S182" s="378"/>
      <c r="T182" s="378"/>
      <c r="U182" s="378"/>
      <c r="V182" s="378"/>
      <c r="W182" s="378"/>
      <c r="X182" s="378"/>
      <c r="Y182" s="378"/>
      <c r="Z182" s="378"/>
      <c r="AA182" s="378"/>
      <c r="AB182" s="378"/>
      <c r="AC182" s="378"/>
      <c r="AD182" s="378"/>
      <c r="AE182" s="378"/>
      <c r="AF182" s="378"/>
      <c r="AG182" s="378"/>
    </row>
    <row r="183" spans="1:33">
      <c r="A183" s="341" t="str">
        <f>'Link In'!$A$3</f>
        <v>Case No. 2018-00358</v>
      </c>
      <c r="B183" s="342"/>
      <c r="C183" s="342"/>
      <c r="D183" s="342"/>
      <c r="E183" s="342"/>
      <c r="F183" s="342"/>
      <c r="G183" s="342"/>
      <c r="H183" s="342"/>
      <c r="I183" s="342"/>
      <c r="J183" s="342"/>
      <c r="K183" s="342"/>
      <c r="L183" s="342"/>
      <c r="M183" s="342"/>
      <c r="N183" s="342"/>
      <c r="O183" s="342"/>
      <c r="P183" s="342"/>
      <c r="Q183" s="342"/>
    </row>
    <row r="184" spans="1:33">
      <c r="A184" s="341" t="s">
        <v>705</v>
      </c>
      <c r="B184" s="341"/>
      <c r="C184" s="341"/>
      <c r="D184" s="341"/>
      <c r="E184" s="341"/>
      <c r="F184" s="341"/>
      <c r="G184" s="341"/>
      <c r="H184" s="341"/>
      <c r="I184" s="341"/>
      <c r="J184" s="341"/>
      <c r="K184" s="341"/>
      <c r="L184" s="341"/>
      <c r="M184" s="341"/>
      <c r="N184" s="341"/>
      <c r="O184" s="341"/>
      <c r="P184" s="341"/>
      <c r="Q184" s="342"/>
    </row>
    <row r="185" spans="1:33">
      <c r="A185" s="341" t="str">
        <f>+A6</f>
        <v>FOR THE TWELVE MONTHS ENDED:  February 28, 2019  (Base Period)</v>
      </c>
      <c r="B185" s="342"/>
      <c r="C185" s="342"/>
      <c r="D185" s="342"/>
      <c r="E185" s="342"/>
      <c r="F185" s="342"/>
      <c r="G185" s="343"/>
      <c r="H185" s="342"/>
      <c r="I185" s="342"/>
      <c r="J185" s="342"/>
      <c r="K185" s="342"/>
      <c r="L185" s="342"/>
      <c r="M185" s="342"/>
      <c r="N185" s="342"/>
      <c r="O185" s="342"/>
      <c r="P185" s="342"/>
      <c r="Q185" s="342"/>
    </row>
    <row r="186" spans="1:33">
      <c r="A186" s="341" t="str">
        <f>+A7</f>
        <v>FOR THE TWELVE MONTHS ENDED:  June 30, 2020  (Forecast Period)</v>
      </c>
      <c r="B186" s="342"/>
      <c r="C186" s="342"/>
      <c r="D186" s="342"/>
      <c r="E186" s="342"/>
      <c r="F186" s="342"/>
      <c r="G186" s="343"/>
      <c r="H186" s="342"/>
      <c r="I186" s="342"/>
      <c r="J186" s="342"/>
      <c r="K186" s="342"/>
      <c r="L186" s="342"/>
      <c r="M186" s="342"/>
      <c r="N186" s="342"/>
      <c r="O186" s="342"/>
      <c r="P186" s="342"/>
      <c r="Q186" s="342"/>
    </row>
    <row r="187" spans="1:33">
      <c r="A187" s="344" t="s">
        <v>686</v>
      </c>
      <c r="B187" s="345"/>
      <c r="C187" s="345"/>
      <c r="D187" s="345"/>
      <c r="E187" s="345"/>
      <c r="F187" s="345"/>
      <c r="G187" s="345"/>
      <c r="H187" s="345"/>
      <c r="I187" s="345"/>
      <c r="J187" s="345"/>
      <c r="K187" s="345"/>
      <c r="L187" s="345"/>
      <c r="M187" s="345"/>
      <c r="N187" s="345"/>
      <c r="O187" s="345"/>
      <c r="P187" s="345"/>
      <c r="Q187" s="346" t="s">
        <v>706</v>
      </c>
    </row>
    <row r="188" spans="1:33">
      <c r="A188" s="348" t="s">
        <v>687</v>
      </c>
      <c r="B188" s="345"/>
      <c r="C188" s="345"/>
      <c r="D188" s="345"/>
      <c r="E188" s="345"/>
      <c r="F188" s="345"/>
      <c r="G188" s="345"/>
      <c r="H188" s="345"/>
      <c r="I188" s="345"/>
      <c r="J188" s="345"/>
      <c r="K188" s="345"/>
      <c r="L188" s="345"/>
      <c r="M188" s="345"/>
      <c r="N188" s="345"/>
      <c r="O188" s="345"/>
      <c r="P188" s="345"/>
      <c r="Q188" s="349" t="str">
        <f ca="1">RIGHT(CELL("filename",$A$3),LEN(CELL("filename",$A$3))-SEARCH("\O&amp;M",CELL("filename",$A$3),1))</f>
        <v>O&amp;M\[KAWC 2018 Rate Case - Labor and Labor Related Exhibit.xlsx]Exh 37 G</v>
      </c>
    </row>
    <row r="189" spans="1:33">
      <c r="A189" s="345"/>
      <c r="B189" s="345"/>
      <c r="C189" s="345"/>
      <c r="D189" s="345"/>
      <c r="E189" s="345"/>
      <c r="F189" s="345"/>
      <c r="G189" s="345"/>
      <c r="H189" s="345"/>
      <c r="I189" s="345"/>
      <c r="J189" s="345"/>
      <c r="K189" s="345"/>
      <c r="L189" s="345"/>
      <c r="M189" s="345"/>
      <c r="N189" s="345"/>
      <c r="O189" s="345"/>
      <c r="P189" s="345"/>
      <c r="Q189" s="350" t="str">
        <f>'Link In'!$A$20</f>
        <v>Witness Responsible:   James Pellock</v>
      </c>
    </row>
    <row r="190" spans="1:33" ht="15" thickBot="1"/>
    <row r="191" spans="1:33" ht="15" thickTop="1">
      <c r="A191" s="351"/>
      <c r="B191" s="351"/>
      <c r="C191" s="351"/>
      <c r="D191" s="351"/>
      <c r="E191" s="351"/>
      <c r="F191" s="351"/>
      <c r="G191" s="351"/>
      <c r="H191" s="351"/>
      <c r="I191" s="351"/>
      <c r="J191" s="351"/>
      <c r="K191" s="351"/>
      <c r="L191" s="351"/>
      <c r="M191" s="351"/>
      <c r="N191" s="351"/>
      <c r="O191" s="351"/>
      <c r="P191" s="351"/>
      <c r="Q191" s="351"/>
    </row>
    <row r="192" spans="1:33">
      <c r="A192" s="353" t="s">
        <v>593</v>
      </c>
      <c r="E192" s="353" t="s">
        <v>1127</v>
      </c>
      <c r="F192" s="353" t="s">
        <v>707</v>
      </c>
      <c r="G192" s="353" t="s">
        <v>1127</v>
      </c>
      <c r="H192" s="353" t="s">
        <v>707</v>
      </c>
      <c r="I192" s="353" t="s">
        <v>1127</v>
      </c>
      <c r="J192" s="353" t="s">
        <v>707</v>
      </c>
      <c r="K192" s="353" t="s">
        <v>1127</v>
      </c>
      <c r="L192" s="353" t="s">
        <v>707</v>
      </c>
      <c r="M192" s="353" t="s">
        <v>1127</v>
      </c>
      <c r="N192" s="353" t="s">
        <v>707</v>
      </c>
      <c r="O192" s="353" t="s">
        <v>708</v>
      </c>
      <c r="P192" s="353" t="s">
        <v>707</v>
      </c>
      <c r="Q192" s="353" t="s">
        <v>709</v>
      </c>
    </row>
    <row r="193" spans="1:29" ht="15" thickBot="1">
      <c r="A193" s="353" t="s">
        <v>689</v>
      </c>
      <c r="B193" s="342" t="s">
        <v>596</v>
      </c>
      <c r="C193" s="342"/>
      <c r="E193" s="392">
        <v>2014</v>
      </c>
      <c r="F193" s="353" t="s">
        <v>710</v>
      </c>
      <c r="G193" s="392">
        <v>2015</v>
      </c>
      <c r="H193" s="353" t="s">
        <v>710</v>
      </c>
      <c r="I193" s="392">
        <v>2016</v>
      </c>
      <c r="J193" s="353" t="s">
        <v>710</v>
      </c>
      <c r="K193" s="392">
        <v>2017</v>
      </c>
      <c r="L193" s="353" t="s">
        <v>710</v>
      </c>
      <c r="M193" s="392">
        <v>2018</v>
      </c>
      <c r="N193" s="353" t="s">
        <v>710</v>
      </c>
      <c r="O193" s="353" t="s">
        <v>711</v>
      </c>
      <c r="P193" s="353" t="s">
        <v>710</v>
      </c>
      <c r="Q193" s="353" t="s">
        <v>711</v>
      </c>
    </row>
    <row r="194" spans="1:29" ht="15" thickTop="1">
      <c r="A194" s="352">
        <v>1</v>
      </c>
      <c r="B194" s="354"/>
      <c r="C194" s="354"/>
      <c r="D194" s="354"/>
      <c r="E194" s="354"/>
      <c r="F194" s="354"/>
      <c r="G194" s="354"/>
      <c r="H194" s="354"/>
      <c r="I194" s="354"/>
      <c r="J194" s="354"/>
      <c r="K194" s="354"/>
      <c r="L194" s="354"/>
      <c r="M194" s="354"/>
      <c r="N194" s="354"/>
      <c r="O194" s="354"/>
      <c r="P194" s="354"/>
      <c r="Q194" s="354"/>
    </row>
    <row r="195" spans="1:29">
      <c r="A195" s="353">
        <v>2</v>
      </c>
      <c r="B195" s="355" t="s">
        <v>738</v>
      </c>
      <c r="U195" s="374"/>
      <c r="V195" s="374"/>
      <c r="W195" s="374"/>
      <c r="X195" s="374"/>
      <c r="Y195" s="374"/>
      <c r="AB195" s="374"/>
      <c r="AC195" s="374"/>
    </row>
    <row r="196" spans="1:29">
      <c r="A196" s="353">
        <v>3</v>
      </c>
      <c r="U196" s="374"/>
      <c r="V196" s="374"/>
      <c r="W196" s="374"/>
      <c r="X196" s="374"/>
      <c r="Y196" s="374"/>
      <c r="AB196" s="374"/>
      <c r="AC196" s="374"/>
    </row>
    <row r="197" spans="1:29">
      <c r="A197" s="353">
        <v>4</v>
      </c>
      <c r="B197" s="383" t="s">
        <v>713</v>
      </c>
      <c r="U197" s="374"/>
      <c r="V197" s="374"/>
      <c r="W197" s="374"/>
      <c r="X197" s="374"/>
      <c r="Y197" s="374"/>
      <c r="AB197" s="374"/>
      <c r="AC197" s="374"/>
    </row>
    <row r="198" spans="1:29">
      <c r="A198" s="353">
        <v>5</v>
      </c>
      <c r="B198" s="17" t="s">
        <v>714</v>
      </c>
      <c r="E198" s="393">
        <f>56968+46175</f>
        <v>103143</v>
      </c>
      <c r="F198" s="375">
        <f>G198/E198-1</f>
        <v>-0.44150354362390076</v>
      </c>
      <c r="G198" s="393">
        <v>57605</v>
      </c>
      <c r="H198" s="375">
        <f>I198/G198-1</f>
        <v>0.4136272892978039</v>
      </c>
      <c r="I198" s="393">
        <v>81432</v>
      </c>
      <c r="J198" s="375">
        <f>K198/I198-1</f>
        <v>-2.3332350918557787E-2</v>
      </c>
      <c r="K198" s="393">
        <v>79532</v>
      </c>
      <c r="L198" s="375">
        <f>M198/K198-1</f>
        <v>7.0072423678519291E-2</v>
      </c>
      <c r="M198" s="393">
        <v>85105</v>
      </c>
      <c r="N198" s="375">
        <f>O198/M198-1</f>
        <v>8.892984225021805E-2</v>
      </c>
      <c r="O198" s="393">
        <v>92673.374224704807</v>
      </c>
      <c r="P198" s="375">
        <f>Q198/O198-1</f>
        <v>0.12938220794920441</v>
      </c>
      <c r="Q198" s="415">
        <v>104663.66</v>
      </c>
      <c r="U198" s="374"/>
      <c r="V198" s="374"/>
      <c r="W198" s="374"/>
      <c r="X198" s="374"/>
      <c r="Y198" s="374"/>
      <c r="AB198" s="374"/>
      <c r="AC198" s="374"/>
    </row>
    <row r="199" spans="1:29">
      <c r="A199" s="353">
        <v>6</v>
      </c>
      <c r="B199" s="17" t="s">
        <v>715</v>
      </c>
      <c r="E199" s="393">
        <f>5669+6342</f>
        <v>12011</v>
      </c>
      <c r="F199" s="375">
        <f>G199/E199-1</f>
        <v>-0.37707101823328615</v>
      </c>
      <c r="G199" s="393">
        <v>7482</v>
      </c>
      <c r="H199" s="375">
        <f>I199/G199-1</f>
        <v>0.13940122961774937</v>
      </c>
      <c r="I199" s="393">
        <v>8525</v>
      </c>
      <c r="J199" s="375">
        <f>K199/I199-1</f>
        <v>-4.2697947214076271E-2</v>
      </c>
      <c r="K199" s="393">
        <v>8161</v>
      </c>
      <c r="L199" s="375">
        <f>M199/K199-1</f>
        <v>0.3582894253155251</v>
      </c>
      <c r="M199" s="393">
        <v>11085</v>
      </c>
      <c r="N199" s="375">
        <f>O199/M199-1</f>
        <v>-0.11994710528031027</v>
      </c>
      <c r="O199" s="393">
        <v>9755.3863379677605</v>
      </c>
      <c r="P199" s="375">
        <f>Q199/O199-1</f>
        <v>-0.34670244937447992</v>
      </c>
      <c r="Q199" s="415">
        <v>6373.17</v>
      </c>
      <c r="U199" s="374"/>
      <c r="V199" s="374"/>
      <c r="W199" s="374"/>
      <c r="X199" s="374"/>
      <c r="Y199" s="374"/>
      <c r="AB199" s="374"/>
      <c r="AC199" s="374"/>
    </row>
    <row r="200" spans="1:29">
      <c r="A200" s="353">
        <v>7</v>
      </c>
      <c r="E200" s="394"/>
      <c r="G200" s="394"/>
      <c r="I200" s="394"/>
      <c r="K200" s="394"/>
      <c r="M200" s="394"/>
      <c r="O200" s="394"/>
      <c r="Q200" s="394"/>
      <c r="U200" s="374"/>
      <c r="V200" s="374"/>
      <c r="W200" s="374"/>
      <c r="X200" s="374"/>
      <c r="Y200" s="374"/>
      <c r="AB200" s="374"/>
      <c r="AC200" s="374"/>
    </row>
    <row r="201" spans="1:29" ht="15" thickBot="1">
      <c r="A201" s="353">
        <v>8</v>
      </c>
      <c r="B201" s="17" t="s">
        <v>716</v>
      </c>
      <c r="E201" s="386">
        <f>SUM(E198:E199)</f>
        <v>115154</v>
      </c>
      <c r="F201" s="375"/>
      <c r="G201" s="386">
        <f>SUM(G198:G199)</f>
        <v>65087</v>
      </c>
      <c r="H201" s="375"/>
      <c r="I201" s="386">
        <f>SUM(I198:I199)</f>
        <v>89957</v>
      </c>
      <c r="J201" s="375"/>
      <c r="K201" s="386">
        <f>SUM(K198:K199)</f>
        <v>87693</v>
      </c>
      <c r="L201" s="375"/>
      <c r="M201" s="386">
        <f>SUM(M198:M199)</f>
        <v>96190</v>
      </c>
      <c r="N201" s="375"/>
      <c r="O201" s="386">
        <f>SUM(O198:O199)</f>
        <v>102428.76056267257</v>
      </c>
      <c r="P201" s="375"/>
      <c r="Q201" s="386">
        <f>SUM(Q198:Q199)</f>
        <v>111036.83</v>
      </c>
      <c r="U201" s="374"/>
      <c r="V201" s="374"/>
      <c r="W201" s="374"/>
      <c r="X201" s="374"/>
      <c r="Y201" s="374"/>
      <c r="AB201" s="374"/>
      <c r="AC201" s="374"/>
    </row>
    <row r="202" spans="1:29" ht="15" thickTop="1">
      <c r="A202" s="353">
        <v>9</v>
      </c>
      <c r="E202" s="362"/>
      <c r="G202" s="362"/>
      <c r="I202" s="362"/>
      <c r="K202" s="362"/>
      <c r="M202" s="362"/>
      <c r="O202" s="362"/>
      <c r="Q202" s="362"/>
      <c r="U202" s="374"/>
      <c r="V202" s="374"/>
      <c r="W202" s="374"/>
      <c r="X202" s="374"/>
      <c r="Y202" s="374"/>
      <c r="AB202" s="374"/>
      <c r="AC202" s="374"/>
    </row>
    <row r="203" spans="1:29">
      <c r="A203" s="353">
        <v>10</v>
      </c>
      <c r="B203" s="17" t="s">
        <v>717</v>
      </c>
    </row>
    <row r="204" spans="1:29" ht="15" thickBot="1">
      <c r="A204" s="353">
        <v>11</v>
      </c>
      <c r="B204" s="17" t="s">
        <v>718</v>
      </c>
      <c r="E204" s="395">
        <f>E199/E198</f>
        <v>0.11644997721609804</v>
      </c>
      <c r="G204" s="395">
        <f>G199/G198</f>
        <v>0.12988455863206319</v>
      </c>
      <c r="I204" s="395">
        <f>I199/I198</f>
        <v>0.10468857451616072</v>
      </c>
      <c r="K204" s="395">
        <f>K199/K198</f>
        <v>0.10261278479102751</v>
      </c>
      <c r="M204" s="395">
        <f>M199/M198</f>
        <v>0.13025086657658186</v>
      </c>
      <c r="O204" s="395">
        <f>O199/O198</f>
        <v>0.10526633371861382</v>
      </c>
      <c r="Q204" s="395">
        <f>Q199/Q198</f>
        <v>6.0891908423611404E-2</v>
      </c>
    </row>
    <row r="205" spans="1:29" ht="15" thickTop="1">
      <c r="A205" s="353">
        <v>12</v>
      </c>
      <c r="E205" s="362"/>
      <c r="G205" s="362"/>
      <c r="I205" s="362"/>
      <c r="K205" s="362"/>
      <c r="M205" s="362"/>
      <c r="O205" s="362"/>
      <c r="Q205" s="362"/>
    </row>
    <row r="206" spans="1:29">
      <c r="A206" s="353">
        <v>13</v>
      </c>
    </row>
    <row r="207" spans="1:29">
      <c r="A207" s="353">
        <v>14</v>
      </c>
      <c r="B207" s="383" t="s">
        <v>719</v>
      </c>
    </row>
    <row r="208" spans="1:29">
      <c r="A208" s="353">
        <v>15</v>
      </c>
      <c r="B208" s="17" t="s">
        <v>720</v>
      </c>
      <c r="E208" s="357">
        <f>1469694+1157981</f>
        <v>2627675</v>
      </c>
      <c r="F208" s="375">
        <f>G208/E208-1</f>
        <v>-0.43438172528946695</v>
      </c>
      <c r="G208" s="357">
        <v>1486261</v>
      </c>
      <c r="H208" s="375">
        <f>I208/G208-1</f>
        <v>0.40395865867435132</v>
      </c>
      <c r="I208" s="357">
        <v>2086649</v>
      </c>
      <c r="J208" s="375">
        <f>K208/I208-1</f>
        <v>1.0600728728214381E-2</v>
      </c>
      <c r="K208" s="357">
        <v>2108769</v>
      </c>
      <c r="L208" s="375">
        <f>M208/K208-1</f>
        <v>0.11462374494313976</v>
      </c>
      <c r="M208" s="357">
        <v>2350484</v>
      </c>
      <c r="N208" s="375">
        <f>O208/M208-1</f>
        <v>4.1050783583296058E-2</v>
      </c>
      <c r="O208" s="357">
        <v>2446973.21</v>
      </c>
      <c r="P208" s="375">
        <f>Q208/O208-1</f>
        <v>0.23341317659951</v>
      </c>
      <c r="Q208" s="357">
        <f>2819307+316+198506</f>
        <v>3018129</v>
      </c>
    </row>
    <row r="209" spans="1:18">
      <c r="A209" s="353">
        <v>16</v>
      </c>
      <c r="B209" s="17" t="s">
        <v>721</v>
      </c>
      <c r="E209" s="393">
        <f>232719+214777</f>
        <v>447496</v>
      </c>
      <c r="F209" s="375">
        <f>G209/E209-1</f>
        <v>-0.38748726245597731</v>
      </c>
      <c r="G209" s="393">
        <v>274097</v>
      </c>
      <c r="H209" s="375">
        <f>I209/G209-1</f>
        <v>0.21104207634523542</v>
      </c>
      <c r="I209" s="393">
        <v>331943</v>
      </c>
      <c r="J209" s="375">
        <f>K209/I209-1</f>
        <v>-0.11522761437957718</v>
      </c>
      <c r="K209" s="393">
        <v>293694</v>
      </c>
      <c r="L209" s="375">
        <f>M209/K209-1</f>
        <v>0.41267782113356088</v>
      </c>
      <c r="M209" s="393">
        <v>414895</v>
      </c>
      <c r="N209" s="375">
        <f>O209/M209-1</f>
        <v>-0.14432943274804466</v>
      </c>
      <c r="O209" s="393">
        <v>355013.44</v>
      </c>
      <c r="P209" s="375">
        <f>Q209/O209-1</f>
        <v>-0.21870000189288608</v>
      </c>
      <c r="Q209" s="415">
        <v>277372</v>
      </c>
    </row>
    <row r="210" spans="1:18">
      <c r="A210" s="353">
        <v>17</v>
      </c>
    </row>
    <row r="211" spans="1:18" ht="15" thickBot="1">
      <c r="A211" s="353">
        <v>18</v>
      </c>
      <c r="B211" s="17" t="s">
        <v>722</v>
      </c>
      <c r="E211" s="397">
        <f>SUM(E208:E209)</f>
        <v>3075171</v>
      </c>
      <c r="G211" s="397">
        <f>SUM(G208:G209)</f>
        <v>1760358</v>
      </c>
      <c r="I211" s="397">
        <f>SUM(I208:I209)</f>
        <v>2418592</v>
      </c>
      <c r="K211" s="397">
        <f>SUM(K208:K209)</f>
        <v>2402463</v>
      </c>
      <c r="M211" s="397">
        <f>SUM(M208:M209)</f>
        <v>2765379</v>
      </c>
      <c r="O211" s="397">
        <f>SUM(O208:O209)</f>
        <v>2801986.65</v>
      </c>
      <c r="Q211" s="397">
        <f>SUM(Q208:Q209)</f>
        <v>3295501</v>
      </c>
    </row>
    <row r="212" spans="1:18" ht="15" thickTop="1">
      <c r="A212" s="353">
        <v>19</v>
      </c>
      <c r="E212" s="398"/>
      <c r="G212" s="398"/>
      <c r="I212" s="398"/>
      <c r="K212" s="398"/>
      <c r="M212" s="398"/>
      <c r="O212" s="398"/>
      <c r="Q212" s="398"/>
      <c r="R212" s="401"/>
    </row>
    <row r="213" spans="1:18">
      <c r="A213" s="353">
        <v>20</v>
      </c>
      <c r="B213" s="17" t="s">
        <v>723</v>
      </c>
      <c r="E213" s="399"/>
      <c r="F213" s="400"/>
      <c r="G213" s="399"/>
      <c r="H213" s="400"/>
      <c r="I213" s="399"/>
      <c r="J213" s="400"/>
      <c r="K213" s="399"/>
      <c r="L213" s="400"/>
      <c r="M213" s="399"/>
      <c r="N213" s="400"/>
      <c r="O213" s="399"/>
      <c r="P213" s="400"/>
      <c r="Q213" s="399"/>
      <c r="R213" s="401"/>
    </row>
    <row r="214" spans="1:18" ht="15" thickBot="1">
      <c r="A214" s="353">
        <v>21</v>
      </c>
      <c r="B214" s="17" t="s">
        <v>724</v>
      </c>
      <c r="E214" s="395">
        <f>E209/E208</f>
        <v>0.17030112171406281</v>
      </c>
      <c r="G214" s="395">
        <f>G209/G208</f>
        <v>0.18442050218635891</v>
      </c>
      <c r="I214" s="395">
        <f>I209/I208</f>
        <v>0.15907946185486874</v>
      </c>
      <c r="K214" s="395">
        <f>K209/K208</f>
        <v>0.13927272261684423</v>
      </c>
      <c r="M214" s="395">
        <f>M209/M208</f>
        <v>0.17651470931093341</v>
      </c>
      <c r="O214" s="395">
        <f>O209/O208</f>
        <v>0.14508268359832185</v>
      </c>
      <c r="Q214" s="395">
        <f>Q209/Q208</f>
        <v>9.1901969730253413E-2</v>
      </c>
    </row>
    <row r="215" spans="1:18" ht="15" thickTop="1">
      <c r="A215" s="353">
        <v>22</v>
      </c>
      <c r="E215" s="362"/>
      <c r="G215" s="362"/>
      <c r="I215" s="362"/>
      <c r="K215" s="362"/>
      <c r="M215" s="362"/>
      <c r="O215" s="362"/>
      <c r="Q215" s="362"/>
      <c r="R215" s="364"/>
    </row>
    <row r="216" spans="1:18">
      <c r="A216" s="353">
        <v>23</v>
      </c>
    </row>
    <row r="217" spans="1:18">
      <c r="A217" s="353">
        <v>24</v>
      </c>
      <c r="B217" s="17" t="s">
        <v>725</v>
      </c>
      <c r="E217" s="367">
        <f>1469694+232719</f>
        <v>1702413</v>
      </c>
      <c r="F217" s="375">
        <f>G217/E217-1</f>
        <v>3.4036981625492846E-2</v>
      </c>
      <c r="G217" s="367">
        <f>G211</f>
        <v>1760358</v>
      </c>
      <c r="H217" s="375">
        <f>I217/G217-1</f>
        <v>0.37392053207358966</v>
      </c>
      <c r="I217" s="367">
        <f>I211</f>
        <v>2418592</v>
      </c>
      <c r="J217" s="375">
        <f>K217/I217-1</f>
        <v>-6.6687560365700227E-3</v>
      </c>
      <c r="K217" s="367">
        <f>K211</f>
        <v>2402463</v>
      </c>
      <c r="L217" s="375">
        <f>M217/K217-1</f>
        <v>0.15105997470096311</v>
      </c>
      <c r="M217" s="367">
        <f>M211</f>
        <v>2765379</v>
      </c>
      <c r="N217" s="375">
        <f>O217/M217-1</f>
        <v>1.3237841901598157E-2</v>
      </c>
      <c r="O217" s="367">
        <f>O211</f>
        <v>2801986.65</v>
      </c>
      <c r="P217" s="375">
        <f>Q217/O217-1</f>
        <v>0.17613015750806671</v>
      </c>
      <c r="Q217" s="415">
        <f>Q211</f>
        <v>3295501</v>
      </c>
    </row>
    <row r="218" spans="1:18">
      <c r="A218" s="353">
        <v>25</v>
      </c>
      <c r="B218" s="17" t="s">
        <v>726</v>
      </c>
      <c r="F218" s="375"/>
      <c r="H218" s="375"/>
      <c r="J218" s="375"/>
      <c r="L218" s="375"/>
      <c r="N218" s="375"/>
      <c r="P218" s="375"/>
    </row>
    <row r="219" spans="1:18" ht="15" thickBot="1">
      <c r="A219" s="353">
        <v>26</v>
      </c>
      <c r="B219" s="17" t="s">
        <v>727</v>
      </c>
      <c r="E219" s="395">
        <v>1</v>
      </c>
      <c r="G219" s="395">
        <v>1</v>
      </c>
      <c r="I219" s="395">
        <v>1</v>
      </c>
      <c r="K219" s="402">
        <v>1</v>
      </c>
      <c r="M219" s="395">
        <v>1</v>
      </c>
      <c r="O219" s="395">
        <f>O217/O211</f>
        <v>1</v>
      </c>
      <c r="Q219" s="395">
        <f>Q217/Q211</f>
        <v>1</v>
      </c>
      <c r="R219" s="375"/>
    </row>
    <row r="220" spans="1:18" ht="15" thickTop="1">
      <c r="A220" s="353">
        <v>27</v>
      </c>
      <c r="E220" s="362"/>
      <c r="G220" s="362"/>
      <c r="I220" s="362"/>
      <c r="K220" s="370"/>
      <c r="M220" s="362"/>
      <c r="O220" s="362"/>
      <c r="Q220" s="362"/>
    </row>
    <row r="221" spans="1:18">
      <c r="A221" s="353">
        <v>28</v>
      </c>
    </row>
    <row r="222" spans="1:18">
      <c r="A222" s="353">
        <v>29</v>
      </c>
      <c r="B222" s="17" t="s">
        <v>728</v>
      </c>
      <c r="E222" s="379">
        <f>SUM(E217/E$98)*E$104</f>
        <v>558201.3680953529</v>
      </c>
      <c r="F222" s="375">
        <f>G222/E222-1</f>
        <v>0.13737921408131482</v>
      </c>
      <c r="G222" s="379">
        <f>SUM(G217/G$98)*G$104</f>
        <v>634886.63334340719</v>
      </c>
      <c r="H222" s="375">
        <f>I222/G222-1</f>
        <v>0.59050004774605314</v>
      </c>
      <c r="I222" s="379">
        <f>SUM(I217/I$98)*I$104</f>
        <v>1009787.22064602</v>
      </c>
      <c r="J222" s="375">
        <f>K222/I222-1</f>
        <v>-7.1847666866064475E-2</v>
      </c>
      <c r="K222" s="379">
        <f>SUM(K217/K$98)*K$104</f>
        <v>937236.36481143569</v>
      </c>
      <c r="L222" s="375">
        <f>M222/K222-1</f>
        <v>5.8426623374716158E-2</v>
      </c>
      <c r="M222" s="379">
        <f>SUM(M217/M$98)*M$104</f>
        <v>991995.92091136146</v>
      </c>
      <c r="N222" s="375">
        <f>O222/M222-1</f>
        <v>-6.0705110602887302E-2</v>
      </c>
      <c r="O222" s="379">
        <f>SUM(O217/O$98)*O$104</f>
        <v>931776.69881482422</v>
      </c>
      <c r="P222" s="375">
        <f>Q222/O222-1</f>
        <v>0.21272130842285097</v>
      </c>
      <c r="Q222" s="379">
        <f>SUM(Q217/Q$98)*Q$104</f>
        <v>1129985.4573446384</v>
      </c>
    </row>
    <row r="223" spans="1:18">
      <c r="A223" s="353">
        <v>30</v>
      </c>
      <c r="B223" s="17" t="s">
        <v>729</v>
      </c>
      <c r="E223" s="393">
        <f>E222</f>
        <v>558201.3680953529</v>
      </c>
      <c r="F223" s="375">
        <f>G223/E223-1</f>
        <v>0.13737921408131482</v>
      </c>
      <c r="G223" s="393">
        <f>G222</f>
        <v>634886.63334340719</v>
      </c>
      <c r="H223" s="375">
        <f>I223/G223-1</f>
        <v>0.59050004774605314</v>
      </c>
      <c r="I223" s="393">
        <f>I222</f>
        <v>1009787.22064602</v>
      </c>
      <c r="J223" s="375">
        <f>K223/I223-1</f>
        <v>-7.1847666866064475E-2</v>
      </c>
      <c r="K223" s="393">
        <f>K222</f>
        <v>937236.36481143569</v>
      </c>
      <c r="L223" s="375">
        <f>M223/K223-1</f>
        <v>5.8426623374716158E-2</v>
      </c>
      <c r="M223" s="393">
        <f>M222</f>
        <v>991995.92091136146</v>
      </c>
      <c r="N223" s="375">
        <f>O223/M223-1</f>
        <v>-6.0705110602887302E-2</v>
      </c>
      <c r="O223" s="393">
        <f>O222</f>
        <v>931776.69881482422</v>
      </c>
      <c r="P223" s="375">
        <f>Q223/O223-1</f>
        <v>0.21272130842285097</v>
      </c>
      <c r="Q223" s="393">
        <f>Q222</f>
        <v>1129985.4573446384</v>
      </c>
    </row>
    <row r="224" spans="1:18">
      <c r="A224" s="353">
        <v>31</v>
      </c>
      <c r="B224" s="17" t="s">
        <v>730</v>
      </c>
      <c r="R224" s="382"/>
    </row>
    <row r="225" spans="1:18" ht="15" thickBot="1">
      <c r="A225" s="353">
        <v>32</v>
      </c>
      <c r="B225" s="17" t="s">
        <v>731</v>
      </c>
      <c r="E225" s="395">
        <v>1</v>
      </c>
      <c r="G225" s="395">
        <v>1</v>
      </c>
      <c r="I225" s="395">
        <v>1</v>
      </c>
      <c r="K225" s="402">
        <v>1</v>
      </c>
      <c r="M225" s="395">
        <v>1</v>
      </c>
      <c r="O225" s="395">
        <v>1</v>
      </c>
      <c r="Q225" s="395">
        <f>Q223/Q222</f>
        <v>1</v>
      </c>
      <c r="R225" s="378"/>
    </row>
    <row r="226" spans="1:18" ht="15" thickTop="1">
      <c r="A226" s="353">
        <v>33</v>
      </c>
      <c r="E226" s="362"/>
      <c r="G226" s="362"/>
      <c r="I226" s="362"/>
      <c r="K226" s="370"/>
      <c r="M226" s="362"/>
      <c r="O226" s="362"/>
      <c r="Q226" s="362"/>
    </row>
    <row r="227" spans="1:18">
      <c r="A227" s="353">
        <v>34</v>
      </c>
      <c r="R227" s="377"/>
    </row>
    <row r="228" spans="1:18">
      <c r="A228" s="353">
        <v>35</v>
      </c>
      <c r="B228" s="17" t="s">
        <v>732</v>
      </c>
      <c r="E228" s="379">
        <f>SUM(E217/E$98)*E$110</f>
        <v>123244.02311526783</v>
      </c>
      <c r="F228" s="375">
        <f>G228/E228-1</f>
        <v>0.19144976210046538</v>
      </c>
      <c r="G228" s="379">
        <f>SUM(G217/G$98)*G$110</f>
        <v>146839.06202099012</v>
      </c>
      <c r="H228" s="375">
        <f>I228/G228-1</f>
        <v>0.40128643147226151</v>
      </c>
      <c r="I228" s="379">
        <f>SUM(I217/I$98)*I$110</f>
        <v>205763.58522012734</v>
      </c>
      <c r="J228" s="375">
        <f>K228/I228-1</f>
        <v>-1.6591471430453142E-2</v>
      </c>
      <c r="K228" s="379">
        <f>SUM(K217/K$98)*K$110</f>
        <v>202349.66457451999</v>
      </c>
      <c r="L228" s="375">
        <f>M228/K228-1</f>
        <v>0.12969771627216065</v>
      </c>
      <c r="M228" s="379">
        <f>SUM(M217/M$98)*M$110</f>
        <v>228593.95395827296</v>
      </c>
      <c r="N228" s="375">
        <f>O228/M228-1</f>
        <v>-3.3344160817205593E-2</v>
      </c>
      <c r="O228" s="379">
        <f>SUM(O217/O$98)*O$110</f>
        <v>220971.68039564742</v>
      </c>
      <c r="P228" s="375">
        <f>Q228/O228-1</f>
        <v>0.13921944858065172</v>
      </c>
      <c r="Q228" s="379">
        <f>SUM(Q217/Q$98)*Q$110</f>
        <v>251735.23589226947</v>
      </c>
    </row>
    <row r="229" spans="1:18">
      <c r="A229" s="353">
        <v>36</v>
      </c>
      <c r="B229" s="17" t="s">
        <v>733</v>
      </c>
      <c r="E229" s="393">
        <f>E228</f>
        <v>123244.02311526783</v>
      </c>
      <c r="F229" s="375">
        <f>G229/E229-1</f>
        <v>0.19144976210046538</v>
      </c>
      <c r="G229" s="393">
        <f>G228</f>
        <v>146839.06202099012</v>
      </c>
      <c r="H229" s="375">
        <f>I229/G229-1</f>
        <v>0.40128643147226151</v>
      </c>
      <c r="I229" s="393">
        <f>I228</f>
        <v>205763.58522012734</v>
      </c>
      <c r="J229" s="375">
        <f>K229/I229-1</f>
        <v>-1.6591471430453142E-2</v>
      </c>
      <c r="K229" s="393">
        <f>K228</f>
        <v>202349.66457451999</v>
      </c>
      <c r="L229" s="375">
        <f>M229/K229-1</f>
        <v>0.12969771627216065</v>
      </c>
      <c r="M229" s="393">
        <f>M228</f>
        <v>228593.95395827296</v>
      </c>
      <c r="N229" s="375">
        <f>O229/M229-1</f>
        <v>-3.3344160817205593E-2</v>
      </c>
      <c r="O229" s="393">
        <f>O228</f>
        <v>220971.68039564742</v>
      </c>
      <c r="P229" s="375">
        <f>Q229/O229-1</f>
        <v>0.13921944858065172</v>
      </c>
      <c r="Q229" s="393">
        <f>Q228</f>
        <v>251735.23589226947</v>
      </c>
    </row>
    <row r="230" spans="1:18">
      <c r="A230" s="353">
        <v>37</v>
      </c>
      <c r="B230" s="17" t="s">
        <v>734</v>
      </c>
    </row>
    <row r="231" spans="1:18" ht="15" thickBot="1">
      <c r="A231" s="353">
        <v>38</v>
      </c>
      <c r="B231" s="17" t="s">
        <v>735</v>
      </c>
      <c r="E231" s="395">
        <v>1</v>
      </c>
      <c r="G231" s="395">
        <v>1</v>
      </c>
      <c r="I231" s="395">
        <v>1</v>
      </c>
      <c r="K231" s="402">
        <v>1</v>
      </c>
      <c r="M231" s="395">
        <v>1</v>
      </c>
      <c r="O231" s="395">
        <f>O229/O228</f>
        <v>1</v>
      </c>
      <c r="Q231" s="395">
        <f>Q229/Q228</f>
        <v>1</v>
      </c>
      <c r="R231" s="375"/>
    </row>
    <row r="232" spans="1:18" ht="15" thickTop="1">
      <c r="A232" s="353">
        <v>39</v>
      </c>
      <c r="E232" s="362"/>
      <c r="G232" s="362"/>
      <c r="I232" s="362"/>
      <c r="K232" s="370"/>
      <c r="M232" s="362"/>
      <c r="O232" s="362"/>
      <c r="Q232" s="362"/>
    </row>
    <row r="233" spans="1:18">
      <c r="A233" s="353">
        <v>40</v>
      </c>
    </row>
    <row r="234" spans="1:18" ht="15" thickBot="1">
      <c r="A234" s="353">
        <v>41</v>
      </c>
      <c r="B234" s="17" t="s">
        <v>736</v>
      </c>
      <c r="E234" s="367">
        <v>63</v>
      </c>
      <c r="F234" s="375">
        <f>G234/E234-1</f>
        <v>-0.19047619047619047</v>
      </c>
      <c r="G234" s="367">
        <v>51</v>
      </c>
      <c r="H234" s="375">
        <f>I234/G234-1</f>
        <v>5.8823529411764719E-2</v>
      </c>
      <c r="I234" s="367">
        <v>54</v>
      </c>
      <c r="J234" s="375">
        <f>K234/I234-1</f>
        <v>0.11111111111111116</v>
      </c>
      <c r="K234" s="367">
        <v>60</v>
      </c>
      <c r="L234" s="375">
        <f>M234/K234-1</f>
        <v>1.6666666666666607E-2</v>
      </c>
      <c r="M234" s="367">
        <v>61</v>
      </c>
      <c r="N234" s="375">
        <f>O234/M234-1</f>
        <v>0.11475409836065564</v>
      </c>
      <c r="O234" s="367">
        <v>68</v>
      </c>
      <c r="P234" s="375">
        <f>Q234/O234-1</f>
        <v>0.10294117647058831</v>
      </c>
      <c r="Q234" s="367">
        <v>75</v>
      </c>
    </row>
    <row r="235" spans="1:18" ht="15" thickTop="1">
      <c r="A235" s="353">
        <v>42</v>
      </c>
      <c r="E235" s="403"/>
      <c r="F235" s="375"/>
      <c r="G235" s="403"/>
      <c r="H235" s="375"/>
      <c r="I235" s="403"/>
      <c r="J235" s="375"/>
      <c r="K235" s="403"/>
      <c r="L235" s="375"/>
      <c r="M235" s="403"/>
      <c r="N235" s="375"/>
      <c r="O235" s="403"/>
      <c r="P235" s="375"/>
      <c r="Q235" s="403"/>
      <c r="R235" s="382"/>
    </row>
    <row r="236" spans="1:18" ht="15" thickBot="1">
      <c r="A236" s="353">
        <v>43</v>
      </c>
      <c r="B236" s="17" t="s">
        <v>737</v>
      </c>
      <c r="E236" s="367">
        <v>62</v>
      </c>
      <c r="F236" s="375">
        <f>G236/E236-1</f>
        <v>-0.29032258064516125</v>
      </c>
      <c r="G236" s="367">
        <v>44</v>
      </c>
      <c r="H236" s="375">
        <f>I236/G236-1</f>
        <v>0.36363636363636354</v>
      </c>
      <c r="I236" s="367">
        <v>60</v>
      </c>
      <c r="J236" s="375">
        <f>K236/I236-1</f>
        <v>1.6666666666666607E-2</v>
      </c>
      <c r="K236" s="367">
        <v>61</v>
      </c>
      <c r="L236" s="375">
        <f>M236/K236-1</f>
        <v>9.8360655737705027E-2</v>
      </c>
      <c r="M236" s="367">
        <v>67</v>
      </c>
      <c r="N236" s="375">
        <f>O236/M236-1</f>
        <v>0.11940298507462677</v>
      </c>
      <c r="O236" s="367">
        <f>Q236</f>
        <v>75</v>
      </c>
      <c r="P236" s="375">
        <f>Q236/O236-1</f>
        <v>0</v>
      </c>
      <c r="Q236" s="367">
        <v>75</v>
      </c>
    </row>
    <row r="237" spans="1:18" ht="15" thickTop="1">
      <c r="A237" s="353">
        <v>44</v>
      </c>
      <c r="E237" s="362"/>
      <c r="G237" s="362"/>
      <c r="I237" s="362"/>
      <c r="K237" s="362"/>
      <c r="M237" s="362"/>
      <c r="O237" s="362"/>
      <c r="Q237" s="362"/>
      <c r="R237" s="375"/>
    </row>
    <row r="238" spans="1:18">
      <c r="A238" s="353"/>
      <c r="H238" s="405"/>
    </row>
    <row r="239" spans="1:18">
      <c r="A239" s="353"/>
    </row>
    <row r="240" spans="1:18">
      <c r="A240" s="338"/>
      <c r="Q240" s="391"/>
    </row>
    <row r="241" spans="1:33">
      <c r="A241" s="353"/>
      <c r="R241" s="375"/>
    </row>
    <row r="242" spans="1:33">
      <c r="A242" s="764" t="str">
        <f>'Link In'!$A$2</f>
        <v>Kentucky American Water Company</v>
      </c>
      <c r="B242" s="764"/>
      <c r="C242" s="764"/>
      <c r="D242" s="764"/>
      <c r="E242" s="764"/>
      <c r="F242" s="764"/>
      <c r="G242" s="764"/>
      <c r="H242" s="764"/>
      <c r="I242" s="764"/>
      <c r="J242" s="764"/>
      <c r="K242" s="764"/>
      <c r="L242" s="764"/>
      <c r="M242" s="764"/>
      <c r="N242" s="764"/>
      <c r="O242" s="764"/>
      <c r="P242" s="764"/>
      <c r="Q242" s="764"/>
      <c r="R242" s="378"/>
      <c r="S242" s="378"/>
      <c r="T242" s="378"/>
      <c r="U242" s="378"/>
      <c r="V242" s="378"/>
      <c r="W242" s="378"/>
      <c r="X242" s="378"/>
      <c r="Y242" s="378"/>
      <c r="Z242" s="378"/>
      <c r="AA242" s="378"/>
      <c r="AB242" s="378"/>
      <c r="AC242" s="378"/>
      <c r="AD242" s="378"/>
      <c r="AE242" s="378"/>
      <c r="AF242" s="378"/>
      <c r="AG242" s="378"/>
    </row>
    <row r="243" spans="1:33">
      <c r="A243" s="341" t="str">
        <f>'Link In'!$A$3</f>
        <v>Case No. 2018-00358</v>
      </c>
      <c r="B243" s="342"/>
      <c r="C243" s="342"/>
      <c r="D243" s="342"/>
      <c r="E243" s="342"/>
      <c r="F243" s="342"/>
      <c r="G243" s="342"/>
      <c r="H243" s="342"/>
      <c r="I243" s="342"/>
      <c r="J243" s="342"/>
      <c r="K243" s="342"/>
      <c r="L243" s="342"/>
      <c r="M243" s="342"/>
      <c r="N243" s="342"/>
      <c r="O243" s="342"/>
      <c r="P243" s="342"/>
      <c r="Q243" s="342"/>
    </row>
    <row r="244" spans="1:33">
      <c r="A244" s="341" t="s">
        <v>705</v>
      </c>
      <c r="B244" s="341"/>
      <c r="C244" s="341"/>
      <c r="D244" s="341"/>
      <c r="E244" s="341"/>
      <c r="F244" s="341"/>
      <c r="G244" s="341"/>
      <c r="H244" s="341"/>
      <c r="I244" s="341"/>
      <c r="J244" s="341"/>
      <c r="K244" s="341"/>
      <c r="L244" s="341"/>
      <c r="M244" s="341"/>
      <c r="N244" s="341"/>
      <c r="O244" s="341"/>
      <c r="P244" s="341"/>
      <c r="Q244" s="342"/>
    </row>
    <row r="245" spans="1:33">
      <c r="A245" s="341" t="str">
        <f>+A6</f>
        <v>FOR THE TWELVE MONTHS ENDED:  February 28, 2019  (Base Period)</v>
      </c>
      <c r="B245" s="342"/>
      <c r="C245" s="342"/>
      <c r="D245" s="342"/>
      <c r="E245" s="342"/>
      <c r="F245" s="342"/>
      <c r="G245" s="343"/>
      <c r="H245" s="342"/>
      <c r="I245" s="342"/>
      <c r="J245" s="342"/>
      <c r="K245" s="342"/>
      <c r="L245" s="342"/>
      <c r="M245" s="342"/>
      <c r="N245" s="342"/>
      <c r="O245" s="342"/>
      <c r="P245" s="342"/>
      <c r="Q245" s="342"/>
    </row>
    <row r="246" spans="1:33">
      <c r="A246" s="341" t="str">
        <f>+A7</f>
        <v>FOR THE TWELVE MONTHS ENDED:  June 30, 2020  (Forecast Period)</v>
      </c>
      <c r="B246" s="342"/>
      <c r="C246" s="342"/>
      <c r="D246" s="342"/>
      <c r="E246" s="342"/>
      <c r="F246" s="342"/>
      <c r="G246" s="343"/>
      <c r="H246" s="342"/>
      <c r="I246" s="342"/>
      <c r="J246" s="342"/>
      <c r="K246" s="342"/>
      <c r="L246" s="342"/>
      <c r="M246" s="342"/>
      <c r="N246" s="342"/>
      <c r="O246" s="342"/>
      <c r="P246" s="342"/>
      <c r="Q246" s="342"/>
    </row>
    <row r="247" spans="1:33">
      <c r="A247" s="344" t="s">
        <v>686</v>
      </c>
      <c r="B247" s="345"/>
      <c r="C247" s="345"/>
      <c r="D247" s="345"/>
      <c r="E247" s="345"/>
      <c r="F247" s="345"/>
      <c r="G247" s="345"/>
      <c r="H247" s="345"/>
      <c r="I247" s="345"/>
      <c r="J247" s="345"/>
      <c r="K247" s="345"/>
      <c r="L247" s="345"/>
      <c r="M247" s="345"/>
      <c r="N247" s="345"/>
      <c r="O247" s="345"/>
      <c r="P247" s="345"/>
      <c r="Q247" s="346" t="s">
        <v>706</v>
      </c>
    </row>
    <row r="248" spans="1:33">
      <c r="A248" s="348" t="s">
        <v>687</v>
      </c>
      <c r="B248" s="345"/>
      <c r="C248" s="345"/>
      <c r="D248" s="345"/>
      <c r="E248" s="345"/>
      <c r="F248" s="345"/>
      <c r="G248" s="345"/>
      <c r="H248" s="345"/>
      <c r="I248" s="345"/>
      <c r="J248" s="345"/>
      <c r="K248" s="345"/>
      <c r="L248" s="345"/>
      <c r="M248" s="345"/>
      <c r="N248" s="345"/>
      <c r="O248" s="345"/>
      <c r="P248" s="345"/>
      <c r="Q248" s="349" t="str">
        <f ca="1">RIGHT(CELL("filename",$A$3),LEN(CELL("filename",$A$3))-SEARCH("\O&amp;M",CELL("filename",$A$3),1))</f>
        <v>O&amp;M\[KAWC 2018 Rate Case - Labor and Labor Related Exhibit.xlsx]Exh 37 G</v>
      </c>
    </row>
    <row r="249" spans="1:33">
      <c r="A249" s="345"/>
      <c r="B249" s="345"/>
      <c r="C249" s="345"/>
      <c r="D249" s="345"/>
      <c r="E249" s="345"/>
      <c r="F249" s="345"/>
      <c r="G249" s="345"/>
      <c r="H249" s="345"/>
      <c r="I249" s="345"/>
      <c r="J249" s="345"/>
      <c r="K249" s="345"/>
      <c r="L249" s="345"/>
      <c r="M249" s="345"/>
      <c r="N249" s="345"/>
      <c r="O249" s="345"/>
      <c r="P249" s="345"/>
      <c r="Q249" s="350" t="str">
        <f>'Link In'!$A$20</f>
        <v>Witness Responsible:   James Pellock</v>
      </c>
    </row>
    <row r="250" spans="1:33" ht="15" thickBot="1"/>
    <row r="251" spans="1:33" ht="15" thickTop="1">
      <c r="A251" s="351"/>
      <c r="B251" s="351"/>
      <c r="C251" s="351"/>
      <c r="D251" s="351"/>
      <c r="E251" s="351"/>
      <c r="F251" s="351"/>
      <c r="G251" s="351"/>
      <c r="H251" s="351"/>
      <c r="I251" s="351"/>
      <c r="J251" s="351"/>
      <c r="K251" s="351"/>
      <c r="L251" s="351"/>
      <c r="M251" s="351"/>
      <c r="N251" s="351"/>
      <c r="O251" s="351"/>
      <c r="P251" s="351"/>
      <c r="Q251" s="351"/>
    </row>
    <row r="252" spans="1:33">
      <c r="A252" s="353" t="s">
        <v>593</v>
      </c>
      <c r="E252" s="353" t="s">
        <v>1127</v>
      </c>
      <c r="F252" s="353" t="s">
        <v>707</v>
      </c>
      <c r="G252" s="353" t="s">
        <v>1127</v>
      </c>
      <c r="H252" s="353" t="s">
        <v>707</v>
      </c>
      <c r="I252" s="353" t="s">
        <v>1127</v>
      </c>
      <c r="J252" s="353" t="s">
        <v>707</v>
      </c>
      <c r="K252" s="353" t="s">
        <v>1127</v>
      </c>
      <c r="L252" s="353" t="s">
        <v>707</v>
      </c>
      <c r="M252" s="353" t="s">
        <v>1127</v>
      </c>
      <c r="N252" s="353" t="s">
        <v>707</v>
      </c>
      <c r="O252" s="353" t="s">
        <v>708</v>
      </c>
      <c r="P252" s="353" t="s">
        <v>707</v>
      </c>
      <c r="Q252" s="353" t="s">
        <v>709</v>
      </c>
    </row>
    <row r="253" spans="1:33" ht="15" thickBot="1">
      <c r="A253" s="353" t="s">
        <v>689</v>
      </c>
      <c r="B253" s="342" t="s">
        <v>596</v>
      </c>
      <c r="C253" s="342"/>
      <c r="E253" s="392">
        <v>2014</v>
      </c>
      <c r="F253" s="353" t="s">
        <v>710</v>
      </c>
      <c r="G253" s="392">
        <v>2015</v>
      </c>
      <c r="H253" s="353" t="s">
        <v>710</v>
      </c>
      <c r="I253" s="392">
        <v>2016</v>
      </c>
      <c r="J253" s="353" t="s">
        <v>710</v>
      </c>
      <c r="K253" s="392">
        <v>2017</v>
      </c>
      <c r="L253" s="353" t="s">
        <v>710</v>
      </c>
      <c r="M253" s="392">
        <v>2018</v>
      </c>
      <c r="N253" s="353" t="s">
        <v>710</v>
      </c>
      <c r="O253" s="353" t="s">
        <v>711</v>
      </c>
      <c r="P253" s="353" t="s">
        <v>710</v>
      </c>
      <c r="Q253" s="353" t="s">
        <v>711</v>
      </c>
    </row>
    <row r="254" spans="1:33" ht="15" thickTop="1">
      <c r="A254" s="352">
        <v>1</v>
      </c>
      <c r="B254" s="406"/>
      <c r="C254" s="406"/>
      <c r="D254" s="354"/>
      <c r="E254" s="352"/>
      <c r="F254" s="354"/>
      <c r="G254" s="352"/>
      <c r="H254" s="354"/>
      <c r="I254" s="352"/>
      <c r="J254" s="354"/>
      <c r="K254" s="352"/>
      <c r="L254" s="354"/>
      <c r="M254" s="352"/>
      <c r="N254" s="354"/>
      <c r="O254" s="354"/>
      <c r="P254" s="354"/>
      <c r="Q254" s="354"/>
    </row>
    <row r="255" spans="1:33">
      <c r="A255" s="353">
        <v>2</v>
      </c>
      <c r="B255" s="355" t="s">
        <v>739</v>
      </c>
    </row>
    <row r="256" spans="1:33">
      <c r="A256" s="353">
        <v>3</v>
      </c>
    </row>
    <row r="257" spans="1:17">
      <c r="A257" s="353">
        <v>4</v>
      </c>
      <c r="B257" s="383" t="s">
        <v>713</v>
      </c>
    </row>
    <row r="258" spans="1:17">
      <c r="A258" s="353">
        <v>5</v>
      </c>
      <c r="B258" s="17" t="s">
        <v>714</v>
      </c>
      <c r="E258" s="393">
        <v>0</v>
      </c>
      <c r="F258" s="375">
        <v>0</v>
      </c>
      <c r="G258" s="393">
        <v>47182</v>
      </c>
      <c r="H258" s="375">
        <v>0</v>
      </c>
      <c r="I258" s="393">
        <v>13715</v>
      </c>
      <c r="J258" s="375">
        <f>K258/I258-1</f>
        <v>-0.14582573824279987</v>
      </c>
      <c r="K258" s="393">
        <v>11715</v>
      </c>
      <c r="L258" s="375">
        <v>0</v>
      </c>
      <c r="M258" s="393">
        <v>10488</v>
      </c>
      <c r="N258" s="375">
        <f>O258/M258-1</f>
        <v>0.10013067271928278</v>
      </c>
      <c r="O258" s="393">
        <v>11538.170495479837</v>
      </c>
      <c r="P258" s="375">
        <f>Q258/O258-1</f>
        <v>-7.9149506053633467E-2</v>
      </c>
      <c r="Q258" s="415">
        <v>10624.93</v>
      </c>
    </row>
    <row r="259" spans="1:17">
      <c r="A259" s="353">
        <v>6</v>
      </c>
      <c r="B259" s="17" t="s">
        <v>715</v>
      </c>
      <c r="E259" s="393">
        <v>0</v>
      </c>
      <c r="F259" s="375">
        <v>0</v>
      </c>
      <c r="G259" s="393">
        <v>5105</v>
      </c>
      <c r="H259" s="375">
        <v>0</v>
      </c>
      <c r="I259" s="393">
        <v>1075</v>
      </c>
      <c r="J259" s="375">
        <v>0</v>
      </c>
      <c r="K259" s="393">
        <v>854</v>
      </c>
      <c r="L259" s="375">
        <f>M259/K259-1</f>
        <v>-0.6276346604215457</v>
      </c>
      <c r="M259" s="393">
        <v>318</v>
      </c>
      <c r="N259" s="375">
        <f>O259/M259-1</f>
        <v>0.16316165791989579</v>
      </c>
      <c r="O259" s="393">
        <v>369.88540721852689</v>
      </c>
      <c r="P259" s="375">
        <f>Q259/O259-1</f>
        <v>-0.96617871439137593</v>
      </c>
      <c r="Q259" s="415">
        <v>12.51</v>
      </c>
    </row>
    <row r="260" spans="1:17">
      <c r="A260" s="353">
        <v>7</v>
      </c>
      <c r="E260" s="394"/>
      <c r="G260" s="394"/>
      <c r="I260" s="394"/>
      <c r="K260" s="394"/>
      <c r="M260" s="394"/>
      <c r="O260" s="394"/>
      <c r="Q260" s="394"/>
    </row>
    <row r="261" spans="1:17" ht="15" thickBot="1">
      <c r="A261" s="353">
        <v>8</v>
      </c>
      <c r="B261" s="17" t="s">
        <v>716</v>
      </c>
      <c r="E261" s="386">
        <f>SUM(E258:E259)</f>
        <v>0</v>
      </c>
      <c r="F261" s="375"/>
      <c r="G261" s="386">
        <f>SUM(G258:G259)</f>
        <v>52287</v>
      </c>
      <c r="I261" s="386">
        <f>SUM(I258:I259)</f>
        <v>14790</v>
      </c>
      <c r="K261" s="386">
        <f>SUM(K258:K259)</f>
        <v>12569</v>
      </c>
      <c r="M261" s="386">
        <f>SUM(M258:M259)</f>
        <v>10806</v>
      </c>
      <c r="O261" s="386">
        <f>SUM(O258:O259)</f>
        <v>11908.055902698365</v>
      </c>
      <c r="Q261" s="386">
        <f>SUM(Q258:Q259)</f>
        <v>10637.44</v>
      </c>
    </row>
    <row r="262" spans="1:17" ht="15" thickTop="1">
      <c r="A262" s="353">
        <v>9</v>
      </c>
      <c r="E262" s="362"/>
      <c r="G262" s="362"/>
      <c r="I262" s="362"/>
      <c r="K262" s="362"/>
      <c r="M262" s="362"/>
      <c r="O262" s="362"/>
      <c r="Q262" s="362"/>
    </row>
    <row r="263" spans="1:17">
      <c r="A263" s="353">
        <v>10</v>
      </c>
      <c r="B263" s="17" t="s">
        <v>717</v>
      </c>
    </row>
    <row r="264" spans="1:17" ht="15" thickBot="1">
      <c r="A264" s="353">
        <v>11</v>
      </c>
      <c r="B264" s="17" t="s">
        <v>718</v>
      </c>
      <c r="E264" s="395">
        <v>0</v>
      </c>
      <c r="G264" s="395">
        <v>0</v>
      </c>
      <c r="I264" s="395">
        <f>I259/I258</f>
        <v>7.8381334305504924E-2</v>
      </c>
      <c r="K264" s="395">
        <v>0</v>
      </c>
      <c r="M264" s="395">
        <f>M259/M258</f>
        <v>3.0320366132723112E-2</v>
      </c>
      <c r="O264" s="395">
        <f>O259/O258</f>
        <v>3.2057543902946503E-2</v>
      </c>
      <c r="Q264" s="395">
        <f>Q259/Q258</f>
        <v>1.177419521822732E-3</v>
      </c>
    </row>
    <row r="265" spans="1:17" ht="15" thickTop="1">
      <c r="A265" s="353">
        <v>12</v>
      </c>
      <c r="E265" s="362"/>
      <c r="G265" s="362"/>
      <c r="I265" s="362"/>
      <c r="K265" s="362"/>
      <c r="M265" s="362"/>
      <c r="O265" s="362"/>
      <c r="Q265" s="362"/>
    </row>
    <row r="266" spans="1:17">
      <c r="A266" s="353">
        <v>13</v>
      </c>
    </row>
    <row r="267" spans="1:17">
      <c r="A267" s="353">
        <v>14</v>
      </c>
      <c r="B267" s="383" t="s">
        <v>719</v>
      </c>
    </row>
    <row r="268" spans="1:17">
      <c r="A268" s="353">
        <v>15</v>
      </c>
      <c r="B268" s="17" t="s">
        <v>720</v>
      </c>
      <c r="E268" s="357">
        <v>0</v>
      </c>
      <c r="F268" s="375">
        <v>0</v>
      </c>
      <c r="G268" s="357">
        <v>1224498</v>
      </c>
      <c r="H268" s="375">
        <v>0</v>
      </c>
      <c r="I268" s="357">
        <v>356858</v>
      </c>
      <c r="J268" s="375">
        <f>K268/I268-1</f>
        <v>-7.037252912923353E-2</v>
      </c>
      <c r="K268" s="357">
        <v>331745</v>
      </c>
      <c r="L268" s="375">
        <v>0</v>
      </c>
      <c r="M268" s="357">
        <v>277223</v>
      </c>
      <c r="N268" s="375">
        <f>O268/M268-1</f>
        <v>3.9815888292096924E-2</v>
      </c>
      <c r="O268" s="357">
        <v>288260.88</v>
      </c>
      <c r="P268" s="375">
        <f>Q268/O268-1</f>
        <v>8.3060594278349553E-2</v>
      </c>
      <c r="Q268" s="415">
        <f>287814+24390</f>
        <v>312204</v>
      </c>
    </row>
    <row r="269" spans="1:17">
      <c r="A269" s="353">
        <v>16</v>
      </c>
      <c r="B269" s="17" t="s">
        <v>721</v>
      </c>
      <c r="E269" s="393">
        <v>0</v>
      </c>
      <c r="F269" s="375">
        <v>0</v>
      </c>
      <c r="G269" s="393">
        <v>192282</v>
      </c>
      <c r="H269" s="375">
        <v>0</v>
      </c>
      <c r="I269" s="393">
        <v>43278</v>
      </c>
      <c r="J269" s="375">
        <v>0</v>
      </c>
      <c r="K269" s="393">
        <v>33327</v>
      </c>
      <c r="L269" s="375">
        <f>M269/K269-1</f>
        <v>-0.74312119302667501</v>
      </c>
      <c r="M269" s="393">
        <v>8561</v>
      </c>
      <c r="N269" s="375">
        <f>O269/M269-1</f>
        <v>8.2052330335241397E-2</v>
      </c>
      <c r="O269" s="393">
        <v>9263.4500000000007</v>
      </c>
      <c r="P269" s="375">
        <f>Q269/O269-1</f>
        <v>-0.92821249102656134</v>
      </c>
      <c r="Q269" s="415">
        <v>665</v>
      </c>
    </row>
    <row r="270" spans="1:17">
      <c r="A270" s="353">
        <v>17</v>
      </c>
    </row>
    <row r="271" spans="1:17" ht="15" thickBot="1">
      <c r="A271" s="353">
        <v>18</v>
      </c>
      <c r="B271" s="17" t="s">
        <v>722</v>
      </c>
      <c r="E271" s="397">
        <f>SUM(E268:E269)</f>
        <v>0</v>
      </c>
      <c r="G271" s="397">
        <f>SUM(G268:G269)</f>
        <v>1416780</v>
      </c>
      <c r="I271" s="397">
        <f>SUM(I268:I269)</f>
        <v>400136</v>
      </c>
      <c r="K271" s="397">
        <f>SUM(K268:K269)</f>
        <v>365072</v>
      </c>
      <c r="M271" s="397">
        <f>SUM(M268:M269)</f>
        <v>285784</v>
      </c>
      <c r="O271" s="397">
        <f>SUM(O268:O269)</f>
        <v>297524.33</v>
      </c>
      <c r="Q271" s="397">
        <f>SUM(Q268:Q269)</f>
        <v>312869</v>
      </c>
    </row>
    <row r="272" spans="1:17" ht="15" thickTop="1">
      <c r="A272" s="353">
        <v>19</v>
      </c>
      <c r="E272" s="398"/>
      <c r="G272" s="398"/>
      <c r="I272" s="398"/>
      <c r="K272" s="398"/>
      <c r="M272" s="398"/>
      <c r="O272" s="398"/>
      <c r="Q272" s="398"/>
    </row>
    <row r="273" spans="1:18">
      <c r="A273" s="353">
        <v>20</v>
      </c>
      <c r="B273" s="17" t="s">
        <v>723</v>
      </c>
      <c r="E273" s="399"/>
      <c r="F273" s="400"/>
      <c r="G273" s="399"/>
      <c r="H273" s="400"/>
      <c r="I273" s="399"/>
      <c r="J273" s="400"/>
      <c r="K273" s="399"/>
      <c r="L273" s="400"/>
      <c r="M273" s="399"/>
      <c r="N273" s="400"/>
      <c r="O273" s="399"/>
      <c r="P273" s="400"/>
      <c r="Q273" s="399"/>
    </row>
    <row r="274" spans="1:18" ht="15" thickBot="1">
      <c r="A274" s="353">
        <v>21</v>
      </c>
      <c r="B274" s="17" t="s">
        <v>724</v>
      </c>
      <c r="E274" s="395">
        <v>0</v>
      </c>
      <c r="G274" s="395">
        <v>0</v>
      </c>
      <c r="I274" s="395">
        <f>I269/I268</f>
        <v>0.12127512904292463</v>
      </c>
      <c r="K274" s="395">
        <f>K269/K268</f>
        <v>0.10045969042487453</v>
      </c>
      <c r="M274" s="395">
        <f>M269/M268</f>
        <v>3.0881276084596156E-2</v>
      </c>
      <c r="O274" s="395">
        <f>O269/O268</f>
        <v>3.2135647403837807E-2</v>
      </c>
      <c r="Q274" s="395">
        <f>Q269/Q268</f>
        <v>2.1300175526258471E-3</v>
      </c>
      <c r="R274" s="401"/>
    </row>
    <row r="275" spans="1:18" ht="15" thickTop="1">
      <c r="A275" s="353">
        <v>22</v>
      </c>
      <c r="E275" s="362"/>
      <c r="G275" s="362"/>
      <c r="I275" s="362"/>
      <c r="K275" s="362"/>
      <c r="M275" s="362"/>
      <c r="O275" s="362"/>
      <c r="Q275" s="362"/>
      <c r="R275" s="401"/>
    </row>
    <row r="276" spans="1:18">
      <c r="A276" s="353">
        <v>23</v>
      </c>
    </row>
    <row r="277" spans="1:18">
      <c r="A277" s="353">
        <v>24</v>
      </c>
      <c r="B277" s="17" t="s">
        <v>725</v>
      </c>
      <c r="E277" s="367">
        <f>E271</f>
        <v>0</v>
      </c>
      <c r="F277" s="375">
        <v>0</v>
      </c>
      <c r="G277" s="367">
        <f>G271</f>
        <v>1416780</v>
      </c>
      <c r="H277" s="375">
        <v>0</v>
      </c>
      <c r="I277" s="367">
        <f>I271</f>
        <v>400136</v>
      </c>
      <c r="J277" s="375">
        <f>K277/I277-1</f>
        <v>-8.7630205730051758E-2</v>
      </c>
      <c r="K277" s="367">
        <f>K271</f>
        <v>365072</v>
      </c>
      <c r="L277" s="375">
        <f>M277/K277-1</f>
        <v>-0.21718455537537795</v>
      </c>
      <c r="M277" s="367">
        <f>M271</f>
        <v>285784</v>
      </c>
      <c r="N277" s="375">
        <f>O277/M277-1</f>
        <v>4.1081131203986265E-2</v>
      </c>
      <c r="O277" s="367">
        <f>O271</f>
        <v>297524.33</v>
      </c>
      <c r="P277" s="375">
        <f>Q277/O277-1</f>
        <v>5.1574504848057146E-2</v>
      </c>
      <c r="Q277" s="415">
        <f>Q271</f>
        <v>312869</v>
      </c>
      <c r="R277" s="364"/>
    </row>
    <row r="278" spans="1:18">
      <c r="A278" s="353">
        <v>25</v>
      </c>
      <c r="B278" s="17" t="s">
        <v>726</v>
      </c>
      <c r="F278" s="375"/>
      <c r="H278" s="375"/>
      <c r="J278" s="375"/>
      <c r="L278" s="375"/>
      <c r="N278" s="375"/>
      <c r="P278" s="375"/>
    </row>
    <row r="279" spans="1:18" ht="15" thickBot="1">
      <c r="A279" s="353">
        <v>26</v>
      </c>
      <c r="B279" s="17" t="s">
        <v>727</v>
      </c>
      <c r="E279" s="395">
        <v>1</v>
      </c>
      <c r="G279" s="395">
        <v>1</v>
      </c>
      <c r="I279" s="395">
        <v>1</v>
      </c>
      <c r="K279" s="402">
        <v>1</v>
      </c>
      <c r="M279" s="395">
        <v>1</v>
      </c>
      <c r="O279" s="395">
        <f>O277/O271</f>
        <v>1</v>
      </c>
      <c r="Q279" s="395">
        <f>Q277/Q271</f>
        <v>1</v>
      </c>
    </row>
    <row r="280" spans="1:18" ht="15" thickTop="1">
      <c r="A280" s="353">
        <v>27</v>
      </c>
      <c r="E280" s="362"/>
      <c r="G280" s="362"/>
      <c r="I280" s="362"/>
      <c r="K280" s="370"/>
      <c r="M280" s="362"/>
      <c r="O280" s="362"/>
      <c r="Q280" s="362"/>
    </row>
    <row r="281" spans="1:18">
      <c r="A281" s="353">
        <v>28</v>
      </c>
      <c r="R281" s="375"/>
    </row>
    <row r="282" spans="1:18">
      <c r="A282" s="353">
        <v>29</v>
      </c>
      <c r="B282" s="17" t="s">
        <v>728</v>
      </c>
      <c r="E282" s="379">
        <f>SUM(E277/E$98)*E$104</f>
        <v>0</v>
      </c>
      <c r="F282" s="375">
        <v>0</v>
      </c>
      <c r="G282" s="379">
        <f>SUM(G277/G$98)*G$104</f>
        <v>510972.58875085204</v>
      </c>
      <c r="H282" s="375">
        <v>0</v>
      </c>
      <c r="I282" s="379">
        <f>SUM(I277/I$98)*I$104</f>
        <v>167060.92607616988</v>
      </c>
      <c r="J282" s="375">
        <f>K282/I282-1</f>
        <v>-0.14749671030809008</v>
      </c>
      <c r="K282" s="379">
        <f>SUM(K277/K$98)*K$104</f>
        <v>142419.9890589118</v>
      </c>
      <c r="L282" s="375">
        <f>M282/K282-1</f>
        <v>-0.28018285233585016</v>
      </c>
      <c r="M282" s="379">
        <f>SUM(M277/M$98)*M$104</f>
        <v>102516.35029474532</v>
      </c>
      <c r="N282" s="375">
        <f>O282/M282-1</f>
        <v>-3.4893738125271079E-2</v>
      </c>
      <c r="O282" s="379">
        <f>SUM(O277/O$98)*O$104</f>
        <v>98939.171614001927</v>
      </c>
      <c r="P282" s="375">
        <f>Q282/O282-1</f>
        <v>8.4290544955864188E-2</v>
      </c>
      <c r="Q282" s="379">
        <f>SUM(Q277/Q$98)*Q$104</f>
        <v>107278.80830682791</v>
      </c>
    </row>
    <row r="283" spans="1:18">
      <c r="A283" s="353">
        <v>30</v>
      </c>
      <c r="B283" s="17" t="s">
        <v>729</v>
      </c>
      <c r="E283" s="393">
        <f>E282</f>
        <v>0</v>
      </c>
      <c r="F283" s="375">
        <v>0</v>
      </c>
      <c r="G283" s="393">
        <f>G282</f>
        <v>510972.58875085204</v>
      </c>
      <c r="H283" s="375">
        <v>0</v>
      </c>
      <c r="I283" s="393">
        <f>I282</f>
        <v>167060.92607616988</v>
      </c>
      <c r="J283" s="375">
        <f>K283/I283-1</f>
        <v>-0.14749671030809008</v>
      </c>
      <c r="K283" s="393">
        <f>K282</f>
        <v>142419.9890589118</v>
      </c>
      <c r="L283" s="375">
        <f>M283/K283-1</f>
        <v>-0.28018285233585016</v>
      </c>
      <c r="M283" s="393">
        <f>M282</f>
        <v>102516.35029474532</v>
      </c>
      <c r="N283" s="375">
        <f>O283/M283-1</f>
        <v>-3.4893738125271079E-2</v>
      </c>
      <c r="O283" s="393">
        <f>O282</f>
        <v>98939.171614001927</v>
      </c>
      <c r="P283" s="375">
        <f>Q283/O283-1</f>
        <v>8.4290544955864188E-2</v>
      </c>
      <c r="Q283" s="393">
        <f>Q282</f>
        <v>107278.80830682791</v>
      </c>
    </row>
    <row r="284" spans="1:18">
      <c r="A284" s="353">
        <v>31</v>
      </c>
      <c r="B284" s="17" t="s">
        <v>730</v>
      </c>
    </row>
    <row r="285" spans="1:18" ht="15" thickBot="1">
      <c r="A285" s="353">
        <v>32</v>
      </c>
      <c r="B285" s="17" t="s">
        <v>731</v>
      </c>
      <c r="E285" s="395">
        <v>1</v>
      </c>
      <c r="G285" s="395">
        <v>1</v>
      </c>
      <c r="I285" s="395">
        <v>1</v>
      </c>
      <c r="K285" s="402">
        <v>1</v>
      </c>
      <c r="M285" s="395">
        <v>1</v>
      </c>
      <c r="O285" s="395">
        <v>1</v>
      </c>
      <c r="Q285" s="395">
        <f>Q283/Q282</f>
        <v>1</v>
      </c>
    </row>
    <row r="286" spans="1:18" ht="15" thickTop="1">
      <c r="A286" s="353">
        <v>33</v>
      </c>
      <c r="E286" s="362"/>
      <c r="G286" s="362"/>
      <c r="I286" s="362"/>
      <c r="K286" s="370"/>
      <c r="M286" s="362"/>
      <c r="O286" s="362"/>
      <c r="Q286" s="362"/>
      <c r="R286" s="382"/>
    </row>
    <row r="287" spans="1:18">
      <c r="A287" s="353">
        <v>34</v>
      </c>
      <c r="R287" s="378"/>
    </row>
    <row r="288" spans="1:18">
      <c r="A288" s="353">
        <v>35</v>
      </c>
      <c r="B288" s="17" t="s">
        <v>732</v>
      </c>
      <c r="E288" s="379">
        <f>SUM(E277/E$98)*E$110</f>
        <v>0</v>
      </c>
      <c r="F288" s="375">
        <v>0</v>
      </c>
      <c r="G288" s="379">
        <f>SUM(G277/G$98)*G$110</f>
        <v>118179.73746822999</v>
      </c>
      <c r="H288" s="375">
        <v>0</v>
      </c>
      <c r="I288" s="379">
        <f>SUM(I277/I$98)*I$110</f>
        <v>34041.879711683847</v>
      </c>
      <c r="J288" s="375">
        <f>K288/I288-1</f>
        <v>-9.6744170339071456E-2</v>
      </c>
      <c r="K288" s="379">
        <f>SUM(K277/K$98)*K$110</f>
        <v>30748.526302194525</v>
      </c>
      <c r="L288" s="375">
        <f>M288/K288-1</f>
        <v>-0.23171264791414736</v>
      </c>
      <c r="M288" s="379">
        <f>SUM(M277/M$98)*M$110</f>
        <v>23623.703853255225</v>
      </c>
      <c r="N288" s="375">
        <f>O288/M288-1</f>
        <v>-6.780922579185833E-3</v>
      </c>
      <c r="O288" s="379">
        <f>SUM(O277/O$98)*O$110</f>
        <v>23463.513346392687</v>
      </c>
      <c r="P288" s="375">
        <f>Q288/O288-1</f>
        <v>1.8572748863689759E-2</v>
      </c>
      <c r="Q288" s="379">
        <f>SUM(Q277/Q$98)*Q$110</f>
        <v>23899.295287235069</v>
      </c>
    </row>
    <row r="289" spans="1:33">
      <c r="A289" s="353">
        <v>36</v>
      </c>
      <c r="B289" s="17" t="s">
        <v>733</v>
      </c>
      <c r="E289" s="393">
        <f>E288</f>
        <v>0</v>
      </c>
      <c r="F289" s="375">
        <v>0</v>
      </c>
      <c r="G289" s="393">
        <f>G288</f>
        <v>118179.73746822999</v>
      </c>
      <c r="H289" s="375">
        <v>0</v>
      </c>
      <c r="I289" s="393">
        <f>I288</f>
        <v>34041.879711683847</v>
      </c>
      <c r="J289" s="375">
        <f>K289/I289-1</f>
        <v>-9.6744170339071456E-2</v>
      </c>
      <c r="K289" s="393">
        <f>K288</f>
        <v>30748.526302194525</v>
      </c>
      <c r="L289" s="375">
        <f>M289/K289-1</f>
        <v>-0.23171264791414736</v>
      </c>
      <c r="M289" s="393">
        <f>M288</f>
        <v>23623.703853255225</v>
      </c>
      <c r="N289" s="375">
        <f>O289/M289-1</f>
        <v>-6.780922579185833E-3</v>
      </c>
      <c r="O289" s="393">
        <f>O288</f>
        <v>23463.513346392687</v>
      </c>
      <c r="P289" s="375">
        <f>Q289/O289-1</f>
        <v>1.8572748863689759E-2</v>
      </c>
      <c r="Q289" s="393">
        <f>Q288</f>
        <v>23899.295287235069</v>
      </c>
      <c r="R289" s="377"/>
    </row>
    <row r="290" spans="1:33">
      <c r="A290" s="353">
        <v>37</v>
      </c>
      <c r="B290" s="17" t="s">
        <v>734</v>
      </c>
    </row>
    <row r="291" spans="1:33" ht="15" thickBot="1">
      <c r="A291" s="353">
        <v>38</v>
      </c>
      <c r="B291" s="17" t="s">
        <v>735</v>
      </c>
      <c r="E291" s="395">
        <v>1</v>
      </c>
      <c r="G291" s="395">
        <v>1</v>
      </c>
      <c r="I291" s="395">
        <v>1</v>
      </c>
      <c r="K291" s="402">
        <v>1</v>
      </c>
      <c r="M291" s="395">
        <v>1</v>
      </c>
      <c r="O291" s="395">
        <f>O289/O288</f>
        <v>1</v>
      </c>
      <c r="Q291" s="395">
        <f>Q289/Q288</f>
        <v>1</v>
      </c>
    </row>
    <row r="292" spans="1:33" ht="15" thickTop="1">
      <c r="A292" s="353">
        <v>39</v>
      </c>
      <c r="E292" s="362"/>
      <c r="G292" s="362"/>
      <c r="I292" s="362"/>
      <c r="K292" s="370"/>
      <c r="M292" s="362"/>
      <c r="O292" s="362"/>
      <c r="Q292" s="362"/>
    </row>
    <row r="293" spans="1:33">
      <c r="A293" s="353">
        <v>40</v>
      </c>
      <c r="R293" s="375"/>
    </row>
    <row r="294" spans="1:33" ht="15" thickBot="1">
      <c r="A294" s="353">
        <v>41</v>
      </c>
      <c r="B294" s="17" t="s">
        <v>736</v>
      </c>
      <c r="E294" s="367">
        <v>0</v>
      </c>
      <c r="F294" s="375">
        <v>0</v>
      </c>
      <c r="G294" s="367">
        <v>15</v>
      </c>
      <c r="H294" s="375">
        <v>0</v>
      </c>
      <c r="I294" s="367">
        <v>17</v>
      </c>
      <c r="J294" s="375">
        <v>0</v>
      </c>
      <c r="K294" s="367">
        <v>9</v>
      </c>
      <c r="L294" s="375">
        <v>0</v>
      </c>
      <c r="M294" s="367">
        <v>8</v>
      </c>
      <c r="N294" s="375">
        <f>O294/M294-1</f>
        <v>-0.125</v>
      </c>
      <c r="O294" s="367">
        <v>7</v>
      </c>
      <c r="P294" s="375">
        <f>Q294/O294-1</f>
        <v>0</v>
      </c>
      <c r="Q294" s="367">
        <v>7</v>
      </c>
    </row>
    <row r="295" spans="1:33" ht="15" thickTop="1">
      <c r="A295" s="353">
        <v>42</v>
      </c>
      <c r="E295" s="403"/>
      <c r="F295" s="375"/>
      <c r="G295" s="403"/>
      <c r="H295" s="375"/>
      <c r="I295" s="403"/>
      <c r="J295" s="375"/>
      <c r="K295" s="403"/>
      <c r="L295" s="375"/>
      <c r="M295" s="403"/>
      <c r="N295" s="375"/>
      <c r="O295" s="403"/>
      <c r="P295" s="375"/>
      <c r="Q295" s="403"/>
    </row>
    <row r="296" spans="1:33" ht="15" thickBot="1">
      <c r="A296" s="353">
        <v>43</v>
      </c>
      <c r="B296" s="17" t="s">
        <v>737</v>
      </c>
      <c r="E296" s="367">
        <v>0</v>
      </c>
      <c r="F296" s="375">
        <v>0</v>
      </c>
      <c r="G296" s="367">
        <v>22</v>
      </c>
      <c r="H296" s="375">
        <v>0</v>
      </c>
      <c r="I296" s="367">
        <v>10</v>
      </c>
      <c r="J296" s="375">
        <v>0</v>
      </c>
      <c r="K296" s="367">
        <v>9</v>
      </c>
      <c r="L296" s="375">
        <v>0</v>
      </c>
      <c r="M296" s="367">
        <v>7</v>
      </c>
      <c r="N296" s="375">
        <f>O296/M296-1</f>
        <v>0</v>
      </c>
      <c r="O296" s="367">
        <v>7</v>
      </c>
      <c r="P296" s="375">
        <f>Q296/O296-1</f>
        <v>0</v>
      </c>
      <c r="Q296" s="367">
        <v>7</v>
      </c>
    </row>
    <row r="297" spans="1:33" ht="15" thickTop="1">
      <c r="A297" s="353">
        <v>44</v>
      </c>
      <c r="E297" s="362"/>
      <c r="G297" s="362"/>
      <c r="I297" s="362"/>
      <c r="K297" s="362"/>
      <c r="M297" s="362"/>
      <c r="O297" s="362"/>
      <c r="Q297" s="362"/>
      <c r="R297" s="382"/>
    </row>
    <row r="298" spans="1:33">
      <c r="A298" s="353"/>
    </row>
    <row r="299" spans="1:33">
      <c r="A299" s="338"/>
      <c r="Q299" s="391"/>
      <c r="R299" s="377"/>
    </row>
    <row r="300" spans="1:33">
      <c r="A300" s="764" t="str">
        <f>'Link In'!$A$2</f>
        <v>Kentucky American Water Company</v>
      </c>
      <c r="B300" s="764"/>
      <c r="C300" s="764"/>
      <c r="D300" s="764"/>
      <c r="E300" s="764"/>
      <c r="F300" s="764"/>
      <c r="G300" s="764"/>
      <c r="H300" s="764"/>
      <c r="I300" s="764"/>
      <c r="J300" s="764"/>
      <c r="K300" s="764"/>
      <c r="L300" s="764"/>
      <c r="M300" s="764"/>
      <c r="N300" s="764"/>
      <c r="O300" s="764"/>
      <c r="P300" s="764"/>
      <c r="Q300" s="764"/>
      <c r="R300" s="378"/>
      <c r="S300" s="378"/>
      <c r="T300" s="378"/>
      <c r="U300" s="378"/>
      <c r="V300" s="378"/>
      <c r="W300" s="378"/>
      <c r="X300" s="378"/>
      <c r="Y300" s="378"/>
      <c r="Z300" s="378"/>
      <c r="AA300" s="378"/>
      <c r="AB300" s="378"/>
      <c r="AC300" s="378"/>
      <c r="AD300" s="378"/>
      <c r="AE300" s="378"/>
      <c r="AF300" s="378"/>
      <c r="AG300" s="378"/>
    </row>
    <row r="301" spans="1:33">
      <c r="A301" s="341" t="str">
        <f>'Link In'!$A$3</f>
        <v>Case No. 2018-00358</v>
      </c>
      <c r="B301" s="342"/>
      <c r="C301" s="342"/>
      <c r="D301" s="342"/>
      <c r="E301" s="342"/>
      <c r="F301" s="342"/>
      <c r="G301" s="342"/>
      <c r="H301" s="342"/>
      <c r="I301" s="342"/>
      <c r="J301" s="342"/>
      <c r="K301" s="342"/>
      <c r="L301" s="342"/>
      <c r="M301" s="342"/>
      <c r="N301" s="342"/>
      <c r="O301" s="342"/>
      <c r="P301" s="342"/>
      <c r="Q301" s="342"/>
    </row>
    <row r="302" spans="1:33">
      <c r="A302" s="341" t="s">
        <v>705</v>
      </c>
      <c r="B302" s="341"/>
      <c r="C302" s="341"/>
      <c r="D302" s="341"/>
      <c r="E302" s="341"/>
      <c r="F302" s="341"/>
      <c r="G302" s="341"/>
      <c r="H302" s="341"/>
      <c r="I302" s="341"/>
      <c r="J302" s="341"/>
      <c r="K302" s="341"/>
      <c r="L302" s="341"/>
      <c r="M302" s="341"/>
      <c r="N302" s="341"/>
      <c r="O302" s="341"/>
      <c r="P302" s="341"/>
      <c r="Q302" s="342"/>
    </row>
    <row r="303" spans="1:33">
      <c r="A303" s="341" t="str">
        <f>+A6</f>
        <v>FOR THE TWELVE MONTHS ENDED:  February 28, 2019  (Base Period)</v>
      </c>
      <c r="B303" s="342"/>
      <c r="C303" s="342"/>
      <c r="D303" s="342"/>
      <c r="E303" s="342"/>
      <c r="F303" s="342"/>
      <c r="G303" s="343"/>
      <c r="H303" s="342"/>
      <c r="I303" s="342"/>
      <c r="J303" s="342"/>
      <c r="K303" s="342"/>
      <c r="L303" s="342"/>
      <c r="M303" s="342"/>
      <c r="N303" s="342"/>
      <c r="O303" s="342"/>
      <c r="P303" s="342"/>
      <c r="Q303" s="342"/>
    </row>
    <row r="304" spans="1:33">
      <c r="A304" s="341" t="str">
        <f>+A7</f>
        <v>FOR THE TWELVE MONTHS ENDED:  June 30, 2020  (Forecast Period)</v>
      </c>
      <c r="B304" s="342"/>
      <c r="C304" s="342"/>
      <c r="D304" s="342"/>
      <c r="E304" s="342"/>
      <c r="F304" s="342"/>
      <c r="G304" s="343"/>
      <c r="H304" s="342"/>
      <c r="I304" s="342"/>
      <c r="J304" s="342"/>
      <c r="K304" s="342"/>
      <c r="L304" s="342"/>
      <c r="M304" s="342"/>
      <c r="N304" s="342"/>
      <c r="O304" s="342"/>
      <c r="P304" s="342"/>
      <c r="Q304" s="342"/>
    </row>
    <row r="305" spans="1:29">
      <c r="A305" s="344" t="s">
        <v>686</v>
      </c>
      <c r="B305" s="345"/>
      <c r="C305" s="345"/>
      <c r="D305" s="345"/>
      <c r="E305" s="345"/>
      <c r="F305" s="345"/>
      <c r="G305" s="345"/>
      <c r="H305" s="345"/>
      <c r="I305" s="345"/>
      <c r="J305" s="345"/>
      <c r="K305" s="345"/>
      <c r="L305" s="345"/>
      <c r="M305" s="345"/>
      <c r="N305" s="345"/>
      <c r="O305" s="345"/>
      <c r="P305" s="345"/>
      <c r="Q305" s="346" t="s">
        <v>706</v>
      </c>
    </row>
    <row r="306" spans="1:29">
      <c r="A306" s="348" t="s">
        <v>687</v>
      </c>
      <c r="B306" s="345"/>
      <c r="C306" s="345"/>
      <c r="D306" s="345"/>
      <c r="E306" s="345"/>
      <c r="F306" s="345"/>
      <c r="G306" s="345"/>
      <c r="H306" s="345"/>
      <c r="I306" s="345"/>
      <c r="J306" s="345"/>
      <c r="K306" s="345"/>
      <c r="L306" s="345"/>
      <c r="M306" s="345"/>
      <c r="N306" s="345"/>
      <c r="O306" s="345"/>
      <c r="P306" s="345"/>
      <c r="Q306" s="349" t="str">
        <f ca="1">RIGHT(CELL("filename",$A$3),LEN(CELL("filename",$A$3))-SEARCH("\O&amp;M",CELL("filename",$A$3),1))</f>
        <v>O&amp;M\[KAWC 2018 Rate Case - Labor and Labor Related Exhibit.xlsx]Exh 37 G</v>
      </c>
    </row>
    <row r="307" spans="1:29">
      <c r="A307" s="345"/>
      <c r="B307" s="345"/>
      <c r="C307" s="345"/>
      <c r="D307" s="345"/>
      <c r="E307" s="345"/>
      <c r="F307" s="345"/>
      <c r="G307" s="345"/>
      <c r="H307" s="345"/>
      <c r="I307" s="345"/>
      <c r="J307" s="345"/>
      <c r="K307" s="345"/>
      <c r="L307" s="345"/>
      <c r="M307" s="345"/>
      <c r="N307" s="345"/>
      <c r="O307" s="345"/>
      <c r="P307" s="345"/>
      <c r="Q307" s="350" t="str">
        <f>'Link In'!$A$20</f>
        <v>Witness Responsible:   James Pellock</v>
      </c>
    </row>
    <row r="308" spans="1:29" ht="15" thickBot="1"/>
    <row r="309" spans="1:29" ht="15" thickTop="1">
      <c r="A309" s="351"/>
      <c r="B309" s="351"/>
      <c r="C309" s="351"/>
      <c r="D309" s="351"/>
      <c r="E309" s="351"/>
      <c r="F309" s="351"/>
      <c r="G309" s="351"/>
      <c r="H309" s="351"/>
      <c r="I309" s="351"/>
      <c r="J309" s="351"/>
      <c r="K309" s="351"/>
      <c r="L309" s="351"/>
      <c r="M309" s="351"/>
      <c r="N309" s="351"/>
      <c r="O309" s="351"/>
      <c r="P309" s="351"/>
      <c r="Q309" s="351"/>
    </row>
    <row r="310" spans="1:29">
      <c r="A310" s="353" t="s">
        <v>593</v>
      </c>
      <c r="E310" s="353" t="s">
        <v>1127</v>
      </c>
      <c r="F310" s="353" t="s">
        <v>707</v>
      </c>
      <c r="G310" s="353" t="s">
        <v>1127</v>
      </c>
      <c r="H310" s="353" t="s">
        <v>707</v>
      </c>
      <c r="I310" s="353" t="s">
        <v>1127</v>
      </c>
      <c r="J310" s="353" t="s">
        <v>707</v>
      </c>
      <c r="K310" s="353" t="s">
        <v>1127</v>
      </c>
      <c r="L310" s="353" t="s">
        <v>707</v>
      </c>
      <c r="M310" s="353" t="s">
        <v>1127</v>
      </c>
      <c r="N310" s="353" t="s">
        <v>707</v>
      </c>
      <c r="O310" s="353" t="s">
        <v>708</v>
      </c>
      <c r="P310" s="353" t="s">
        <v>707</v>
      </c>
      <c r="Q310" s="353" t="s">
        <v>709</v>
      </c>
      <c r="AB310" s="353"/>
      <c r="AC310" s="353"/>
    </row>
    <row r="311" spans="1:29" ht="15" thickBot="1">
      <c r="A311" s="353" t="s">
        <v>689</v>
      </c>
      <c r="B311" s="342" t="s">
        <v>596</v>
      </c>
      <c r="C311" s="342"/>
      <c r="E311" s="392">
        <v>2014</v>
      </c>
      <c r="F311" s="353" t="s">
        <v>710</v>
      </c>
      <c r="G311" s="392">
        <v>2015</v>
      </c>
      <c r="H311" s="353" t="s">
        <v>710</v>
      </c>
      <c r="I311" s="392">
        <v>2016</v>
      </c>
      <c r="J311" s="353" t="s">
        <v>710</v>
      </c>
      <c r="K311" s="392">
        <v>2017</v>
      </c>
      <c r="L311" s="353" t="s">
        <v>710</v>
      </c>
      <c r="M311" s="392">
        <v>2018</v>
      </c>
      <c r="N311" s="353" t="s">
        <v>710</v>
      </c>
      <c r="O311" s="353" t="s">
        <v>711</v>
      </c>
      <c r="P311" s="353" t="s">
        <v>710</v>
      </c>
      <c r="Q311" s="353" t="s">
        <v>711</v>
      </c>
      <c r="U311" s="374"/>
      <c r="V311" s="374"/>
      <c r="W311" s="374"/>
      <c r="X311" s="374"/>
      <c r="Y311" s="374"/>
      <c r="AB311" s="374"/>
      <c r="AC311" s="374"/>
    </row>
    <row r="312" spans="1:29" ht="15" thickTop="1">
      <c r="A312" s="352">
        <v>1</v>
      </c>
      <c r="B312" s="406"/>
      <c r="C312" s="406"/>
      <c r="D312" s="354"/>
      <c r="E312" s="354"/>
      <c r="F312" s="354"/>
      <c r="G312" s="354"/>
      <c r="H312" s="354"/>
      <c r="I312" s="354"/>
      <c r="J312" s="354"/>
      <c r="K312" s="354"/>
      <c r="L312" s="354"/>
      <c r="M312" s="354"/>
      <c r="N312" s="354"/>
      <c r="O312" s="354"/>
      <c r="P312" s="354"/>
      <c r="Q312" s="354"/>
      <c r="U312" s="374"/>
      <c r="V312" s="374"/>
      <c r="W312" s="374"/>
      <c r="X312" s="374"/>
      <c r="Y312" s="374"/>
      <c r="AB312" s="374"/>
      <c r="AC312" s="374"/>
    </row>
    <row r="313" spans="1:29">
      <c r="A313" s="353">
        <v>2</v>
      </c>
      <c r="B313" s="355" t="s">
        <v>740</v>
      </c>
      <c r="U313" s="374"/>
      <c r="V313" s="374"/>
      <c r="W313" s="374"/>
      <c r="X313" s="374"/>
      <c r="Y313" s="374"/>
      <c r="AB313" s="374"/>
      <c r="AC313" s="374"/>
    </row>
    <row r="314" spans="1:29">
      <c r="A314" s="353">
        <v>3</v>
      </c>
      <c r="U314" s="374"/>
      <c r="V314" s="374"/>
      <c r="W314" s="374"/>
      <c r="X314" s="374"/>
      <c r="Y314" s="374"/>
      <c r="AB314" s="374"/>
      <c r="AC314" s="374"/>
    </row>
    <row r="315" spans="1:29">
      <c r="A315" s="353">
        <v>4</v>
      </c>
      <c r="B315" s="383" t="s">
        <v>713</v>
      </c>
      <c r="U315" s="374"/>
      <c r="V315" s="374"/>
      <c r="W315" s="374"/>
      <c r="X315" s="374"/>
      <c r="Y315" s="374"/>
      <c r="AB315" s="374"/>
      <c r="AC315" s="374"/>
    </row>
    <row r="316" spans="1:29">
      <c r="A316" s="353">
        <v>5</v>
      </c>
      <c r="B316" s="17" t="s">
        <v>714</v>
      </c>
      <c r="E316" s="393">
        <v>21964</v>
      </c>
      <c r="F316" s="375">
        <f>G316/E316-1</f>
        <v>-5.8778000364232419E-2</v>
      </c>
      <c r="G316" s="393">
        <v>20673</v>
      </c>
      <c r="H316" s="375">
        <f>I316/G316-1</f>
        <v>0.52029216852899918</v>
      </c>
      <c r="I316" s="393">
        <v>31429</v>
      </c>
      <c r="J316" s="375">
        <f>K316/I316-1</f>
        <v>-8.3426135098157772E-2</v>
      </c>
      <c r="K316" s="393">
        <v>28807</v>
      </c>
      <c r="L316" s="375">
        <f>M316/K316-1</f>
        <v>-3.7247891137570766E-2</v>
      </c>
      <c r="M316" s="393">
        <v>27734</v>
      </c>
      <c r="N316" s="375">
        <f>O316/M316-1</f>
        <v>2.5139443096851899E-2</v>
      </c>
      <c r="O316" s="393">
        <v>28431.217314848091</v>
      </c>
      <c r="P316" s="375">
        <f>Q316/O316-1</f>
        <v>-0.12954694391240729</v>
      </c>
      <c r="Q316" s="415">
        <v>24748.04</v>
      </c>
      <c r="U316" s="374"/>
      <c r="V316" s="374"/>
      <c r="W316" s="374"/>
      <c r="X316" s="374"/>
      <c r="Y316" s="374"/>
      <c r="AB316" s="374"/>
      <c r="AC316" s="374"/>
    </row>
    <row r="317" spans="1:29">
      <c r="A317" s="353">
        <v>6</v>
      </c>
      <c r="B317" s="17" t="s">
        <v>715</v>
      </c>
      <c r="E317" s="393">
        <v>207</v>
      </c>
      <c r="F317" s="375">
        <f>G317/E317-1</f>
        <v>-0.11111111111111116</v>
      </c>
      <c r="G317" s="393">
        <v>184</v>
      </c>
      <c r="H317" s="375">
        <f>I317/G317-1</f>
        <v>2.6847826086956523</v>
      </c>
      <c r="I317" s="393">
        <v>678</v>
      </c>
      <c r="J317" s="375">
        <f>K317/I317-1</f>
        <v>-5.7522123893805288E-2</v>
      </c>
      <c r="K317" s="393">
        <v>639</v>
      </c>
      <c r="L317" s="375">
        <f>M317/K317-1</f>
        <v>0.28638497652582151</v>
      </c>
      <c r="M317" s="393">
        <v>822</v>
      </c>
      <c r="N317" s="375">
        <f>O317/M317-1</f>
        <v>-0.25421825858301428</v>
      </c>
      <c r="O317" s="393">
        <v>613.03259144476226</v>
      </c>
      <c r="P317" s="375">
        <f>Q317/O317-1</f>
        <v>-0.36432417225713964</v>
      </c>
      <c r="Q317" s="415">
        <v>389.69</v>
      </c>
      <c r="U317" s="374"/>
      <c r="V317" s="374"/>
      <c r="W317" s="374"/>
      <c r="X317" s="374"/>
      <c r="Y317" s="374"/>
      <c r="AB317" s="374"/>
      <c r="AC317" s="374"/>
    </row>
    <row r="318" spans="1:29">
      <c r="A318" s="353">
        <v>7</v>
      </c>
      <c r="E318" s="394"/>
      <c r="G318" s="394"/>
      <c r="I318" s="394"/>
      <c r="K318" s="394"/>
      <c r="M318" s="394"/>
      <c r="O318" s="394"/>
      <c r="Q318" s="394"/>
      <c r="U318" s="374"/>
      <c r="V318" s="374"/>
      <c r="W318" s="374"/>
      <c r="X318" s="374"/>
      <c r="Y318" s="374"/>
      <c r="AB318" s="374"/>
      <c r="AC318" s="374"/>
    </row>
    <row r="319" spans="1:29" ht="15" thickBot="1">
      <c r="A319" s="353">
        <v>8</v>
      </c>
      <c r="B319" s="17" t="s">
        <v>716</v>
      </c>
      <c r="E319" s="386">
        <f>SUM(E316:E317)</f>
        <v>22171</v>
      </c>
      <c r="F319" s="375">
        <v>0.02</v>
      </c>
      <c r="G319" s="386">
        <f>SUM(G316:G317)</f>
        <v>20857</v>
      </c>
      <c r="H319" s="375">
        <v>0.02</v>
      </c>
      <c r="I319" s="386">
        <f>SUM(I316:I317)</f>
        <v>32107</v>
      </c>
      <c r="J319" s="375">
        <v>0.02</v>
      </c>
      <c r="K319" s="386">
        <f>SUM(K316:K317)</f>
        <v>29446</v>
      </c>
      <c r="L319" s="375">
        <v>0.02</v>
      </c>
      <c r="M319" s="386">
        <f>SUM(M316:M317)</f>
        <v>28556</v>
      </c>
      <c r="N319" s="375">
        <v>0.02</v>
      </c>
      <c r="O319" s="386">
        <f>SUM(O316:O317)</f>
        <v>29044.249906292855</v>
      </c>
      <c r="P319" s="375">
        <v>0.02</v>
      </c>
      <c r="Q319" s="386">
        <f>SUM(Q316:Q317)</f>
        <v>25137.73</v>
      </c>
      <c r="U319" s="374"/>
      <c r="V319" s="374"/>
      <c r="W319" s="374"/>
      <c r="X319" s="374"/>
      <c r="Y319" s="374"/>
      <c r="AB319" s="374"/>
      <c r="AC319" s="374"/>
    </row>
    <row r="320" spans="1:29" ht="15" thickTop="1">
      <c r="A320" s="353">
        <v>9</v>
      </c>
      <c r="E320" s="362"/>
      <c r="G320" s="362"/>
      <c r="I320" s="362"/>
      <c r="K320" s="362"/>
      <c r="M320" s="362"/>
      <c r="O320" s="362"/>
      <c r="Q320" s="362"/>
      <c r="U320" s="374"/>
      <c r="V320" s="374"/>
      <c r="W320" s="374"/>
      <c r="X320" s="374"/>
      <c r="Y320" s="374"/>
      <c r="AB320" s="374"/>
      <c r="AC320" s="374"/>
    </row>
    <row r="321" spans="1:18">
      <c r="A321" s="353">
        <v>10</v>
      </c>
      <c r="B321" s="17" t="s">
        <v>717</v>
      </c>
    </row>
    <row r="322" spans="1:18" ht="15" thickBot="1">
      <c r="A322" s="353">
        <v>11</v>
      </c>
      <c r="B322" s="17" t="s">
        <v>718</v>
      </c>
      <c r="E322" s="395">
        <f>E317/E316</f>
        <v>9.4245128391914033E-3</v>
      </c>
      <c r="G322" s="395">
        <f>G317/G316</f>
        <v>8.9004982344120347E-3</v>
      </c>
      <c r="I322" s="395">
        <f>I317/I316</f>
        <v>2.1572433103184956E-2</v>
      </c>
      <c r="K322" s="395">
        <f>K317/K316</f>
        <v>2.2182108515291423E-2</v>
      </c>
      <c r="M322" s="395">
        <f>M317/M316</f>
        <v>2.9638710607918079E-2</v>
      </c>
      <c r="O322" s="395">
        <f>O317/O316</f>
        <v>2.1561953702369557E-2</v>
      </c>
      <c r="Q322" s="395">
        <f>Q317/Q316</f>
        <v>1.5746297484568475E-2</v>
      </c>
    </row>
    <row r="323" spans="1:18" ht="15" thickTop="1">
      <c r="A323" s="353">
        <v>12</v>
      </c>
      <c r="E323" s="362"/>
      <c r="G323" s="362"/>
      <c r="I323" s="362"/>
      <c r="K323" s="362"/>
      <c r="M323" s="362"/>
      <c r="O323" s="362"/>
      <c r="Q323" s="362"/>
      <c r="R323" s="413"/>
    </row>
    <row r="324" spans="1:18">
      <c r="A324" s="353">
        <v>13</v>
      </c>
      <c r="R324" s="413"/>
    </row>
    <row r="325" spans="1:18">
      <c r="A325" s="353">
        <v>14</v>
      </c>
      <c r="B325" s="383" t="s">
        <v>719</v>
      </c>
      <c r="R325" s="413"/>
    </row>
    <row r="326" spans="1:18">
      <c r="A326" s="353">
        <v>15</v>
      </c>
      <c r="B326" s="17" t="s">
        <v>720</v>
      </c>
      <c r="E326" s="357">
        <v>861342</v>
      </c>
      <c r="F326" s="375">
        <f>G326/E326-1</f>
        <v>9.7603507085455288E-3</v>
      </c>
      <c r="G326" s="357">
        <v>869749</v>
      </c>
      <c r="H326" s="375">
        <f>I326/G326-1</f>
        <v>0.26972494363316324</v>
      </c>
      <c r="I326" s="357">
        <v>1104342</v>
      </c>
      <c r="J326" s="375">
        <f>K326/I326-1</f>
        <v>-3.932477439054205E-2</v>
      </c>
      <c r="K326" s="357">
        <v>1060914</v>
      </c>
      <c r="L326" s="375">
        <f>M326/K326-1</f>
        <v>-3.7577032634124929E-2</v>
      </c>
      <c r="M326" s="357">
        <v>1021048</v>
      </c>
      <c r="N326" s="375">
        <f>O326/M326-1</f>
        <v>0.39293513135523495</v>
      </c>
      <c r="O326" s="357">
        <v>1422253.63</v>
      </c>
      <c r="P326" s="375">
        <f>Q326/O326-1</f>
        <v>-0.16227681556348006</v>
      </c>
      <c r="Q326" s="357">
        <f>973860.84+217594</f>
        <v>1191454.8399999999</v>
      </c>
    </row>
    <row r="327" spans="1:18">
      <c r="A327" s="353">
        <v>16</v>
      </c>
      <c r="B327" s="17" t="s">
        <v>721</v>
      </c>
      <c r="E327" s="393">
        <v>6403</v>
      </c>
      <c r="F327" s="375">
        <f>G327/E327-1</f>
        <v>8.6521942839294042E-2</v>
      </c>
      <c r="G327" s="393">
        <v>6957</v>
      </c>
      <c r="H327" s="375">
        <f>I327/G327-1</f>
        <v>3.4185712232284029</v>
      </c>
      <c r="I327" s="393">
        <v>30740</v>
      </c>
      <c r="J327" s="375">
        <f>K327/I327-1</f>
        <v>-0.16275211450878335</v>
      </c>
      <c r="K327" s="393">
        <v>25737</v>
      </c>
      <c r="L327" s="375">
        <f>M327/K327-1</f>
        <v>1.30939891984303E-2</v>
      </c>
      <c r="M327" s="393">
        <v>26074</v>
      </c>
      <c r="N327" s="375">
        <f>O327/M327-1</f>
        <v>-0.57746337347549281</v>
      </c>
      <c r="O327" s="393">
        <v>11017.22</v>
      </c>
      <c r="P327" s="375">
        <f>Q327/O327-1</f>
        <v>0.48676344849245101</v>
      </c>
      <c r="Q327" s="415">
        <v>16380</v>
      </c>
    </row>
    <row r="328" spans="1:18">
      <c r="A328" s="353">
        <v>17</v>
      </c>
    </row>
    <row r="329" spans="1:18" ht="15" thickBot="1">
      <c r="A329" s="353">
        <v>18</v>
      </c>
      <c r="B329" s="17" t="s">
        <v>722</v>
      </c>
      <c r="E329" s="397">
        <f>SUM(E326:E327)</f>
        <v>867745</v>
      </c>
      <c r="G329" s="397">
        <f>SUM(G326:G327)</f>
        <v>876706</v>
      </c>
      <c r="I329" s="397">
        <f>SUM(I326:I327)</f>
        <v>1135082</v>
      </c>
      <c r="K329" s="397">
        <f>SUM(K326:K327)</f>
        <v>1086651</v>
      </c>
      <c r="M329" s="397">
        <f>SUM(M326:M327)</f>
        <v>1047122</v>
      </c>
      <c r="O329" s="397">
        <f>SUM(O326:O327)</f>
        <v>1433270.8499999999</v>
      </c>
      <c r="Q329" s="397">
        <f>SUM(Q326:Q327)</f>
        <v>1207834.8399999999</v>
      </c>
    </row>
    <row r="330" spans="1:18" ht="15" thickTop="1">
      <c r="A330" s="353">
        <v>19</v>
      </c>
      <c r="E330" s="398"/>
      <c r="G330" s="398"/>
      <c r="I330" s="398"/>
      <c r="K330" s="398"/>
      <c r="M330" s="398"/>
      <c r="O330" s="398"/>
      <c r="Q330" s="398"/>
      <c r="R330" s="401"/>
    </row>
    <row r="331" spans="1:18">
      <c r="A331" s="353">
        <v>20</v>
      </c>
      <c r="B331" s="17" t="s">
        <v>723</v>
      </c>
      <c r="E331" s="399"/>
      <c r="F331" s="400"/>
      <c r="G331" s="399"/>
      <c r="H331" s="400"/>
      <c r="I331" s="399"/>
      <c r="J331" s="400"/>
      <c r="K331" s="399"/>
      <c r="L331" s="400"/>
      <c r="M331" s="399"/>
      <c r="N331" s="400"/>
      <c r="O331" s="399"/>
      <c r="P331" s="400"/>
      <c r="Q331" s="399"/>
      <c r="R331" s="401"/>
    </row>
    <row r="332" spans="1:18" ht="15" thickBot="1">
      <c r="A332" s="353">
        <v>21</v>
      </c>
      <c r="B332" s="17" t="s">
        <v>724</v>
      </c>
      <c r="E332" s="395">
        <f>E327/E326</f>
        <v>7.4337487316304095E-3</v>
      </c>
      <c r="G332" s="395">
        <f>G327/G326</f>
        <v>7.9988594410571323E-3</v>
      </c>
      <c r="I332" s="395">
        <f>I327/I326</f>
        <v>2.7835579919988553E-2</v>
      </c>
      <c r="K332" s="395">
        <f>K327/K326</f>
        <v>2.4259270779723899E-2</v>
      </c>
      <c r="M332" s="395">
        <f>M327/M326</f>
        <v>2.5536507588281843E-2</v>
      </c>
      <c r="O332" s="395">
        <f>O327/O326</f>
        <v>7.7463117460983381E-3</v>
      </c>
      <c r="Q332" s="395">
        <f>Q327/Q326</f>
        <v>1.3747898325714134E-2</v>
      </c>
    </row>
    <row r="333" spans="1:18" ht="15" thickTop="1">
      <c r="A333" s="353">
        <v>22</v>
      </c>
      <c r="E333" s="362"/>
      <c r="G333" s="362"/>
      <c r="I333" s="362"/>
      <c r="K333" s="362"/>
      <c r="M333" s="362"/>
      <c r="O333" s="362"/>
      <c r="Q333" s="362"/>
      <c r="R333" s="364"/>
    </row>
    <row r="334" spans="1:18">
      <c r="A334" s="353">
        <v>23</v>
      </c>
    </row>
    <row r="335" spans="1:18">
      <c r="A335" s="353">
        <v>24</v>
      </c>
      <c r="B335" s="17" t="s">
        <v>725</v>
      </c>
      <c r="E335" s="367">
        <f>E329</f>
        <v>867745</v>
      </c>
      <c r="F335" s="375">
        <f>G335/E335-1</f>
        <v>1.0326766503984564E-2</v>
      </c>
      <c r="G335" s="367">
        <f>G329</f>
        <v>876706</v>
      </c>
      <c r="H335" s="375">
        <f>I335/G335-1</f>
        <v>0.2947122524540724</v>
      </c>
      <c r="I335" s="367">
        <f>I329</f>
        <v>1135082</v>
      </c>
      <c r="J335" s="375">
        <f>K335/I335-1</f>
        <v>-4.2667402002674715E-2</v>
      </c>
      <c r="K335" s="367">
        <f>K329</f>
        <v>1086651</v>
      </c>
      <c r="L335" s="375">
        <f>M335/K335-1</f>
        <v>-3.6376904820406897E-2</v>
      </c>
      <c r="M335" s="367">
        <f>M329</f>
        <v>1047122</v>
      </c>
      <c r="N335" s="375">
        <f>O335/M335-1</f>
        <v>0.36877159490489153</v>
      </c>
      <c r="O335" s="367">
        <f>O329</f>
        <v>1433270.8499999999</v>
      </c>
      <c r="P335" s="375">
        <f>Q335/O335-1</f>
        <v>-0.15728779385975789</v>
      </c>
      <c r="Q335" s="415">
        <f>Q329</f>
        <v>1207834.8399999999</v>
      </c>
    </row>
    <row r="336" spans="1:18">
      <c r="A336" s="353">
        <v>25</v>
      </c>
      <c r="B336" s="17" t="s">
        <v>726</v>
      </c>
      <c r="F336" s="375"/>
      <c r="H336" s="375"/>
      <c r="J336" s="375"/>
      <c r="L336" s="375"/>
      <c r="N336" s="375"/>
      <c r="P336" s="375"/>
    </row>
    <row r="337" spans="1:18" ht="15" thickBot="1">
      <c r="A337" s="353">
        <v>26</v>
      </c>
      <c r="B337" s="17" t="s">
        <v>727</v>
      </c>
      <c r="E337" s="395">
        <v>1</v>
      </c>
      <c r="G337" s="395">
        <v>1</v>
      </c>
      <c r="I337" s="395">
        <v>1</v>
      </c>
      <c r="K337" s="402">
        <v>1</v>
      </c>
      <c r="M337" s="395">
        <v>1</v>
      </c>
      <c r="O337" s="395">
        <f>O335/O329</f>
        <v>1</v>
      </c>
      <c r="Q337" s="395">
        <f>Q335/Q329</f>
        <v>1</v>
      </c>
      <c r="R337" s="375"/>
    </row>
    <row r="338" spans="1:18" ht="15" thickTop="1">
      <c r="A338" s="353">
        <v>27</v>
      </c>
      <c r="E338" s="362"/>
      <c r="G338" s="362"/>
      <c r="I338" s="362"/>
      <c r="K338" s="370"/>
      <c r="M338" s="362"/>
      <c r="O338" s="362"/>
      <c r="Q338" s="362"/>
    </row>
    <row r="339" spans="1:18">
      <c r="A339" s="353">
        <v>28</v>
      </c>
    </row>
    <row r="340" spans="1:18">
      <c r="A340" s="353">
        <v>29</v>
      </c>
      <c r="B340" s="17" t="s">
        <v>728</v>
      </c>
      <c r="E340" s="379">
        <f>SUM(E335/E$98)*E$104</f>
        <v>284523.46531535068</v>
      </c>
      <c r="F340" s="375">
        <f>G340/E340-1</f>
        <v>0.11129938684127971</v>
      </c>
      <c r="G340" s="379">
        <f>SUM(G335/G$98)*G$104</f>
        <v>316190.75254690531</v>
      </c>
      <c r="H340" s="375">
        <f>I340/G340-1</f>
        <v>0.49880568145938864</v>
      </c>
      <c r="I340" s="379">
        <f>SUM(I335/I$98)*I$104</f>
        <v>473908.49634222133</v>
      </c>
      <c r="J340" s="375">
        <f>K340/I340-1</f>
        <v>-0.10548420799587577</v>
      </c>
      <c r="K340" s="379">
        <f>SUM(K335/K$98)*K$104</f>
        <v>423918.63394304574</v>
      </c>
      <c r="L340" s="375">
        <f>M340/K340-1</f>
        <v>-0.11392598018031319</v>
      </c>
      <c r="M340" s="379">
        <f>SUM(M335/M$98)*M$104</f>
        <v>375623.28805438487</v>
      </c>
      <c r="N340" s="375">
        <f>O340/M340-1</f>
        <v>0.26888289272062105</v>
      </c>
      <c r="O340" s="379">
        <f>SUM(O335/O$98)*O$104</f>
        <v>476621.96431967901</v>
      </c>
      <c r="P340" s="375">
        <f>Q340/O340-1</f>
        <v>-0.13106976916600965</v>
      </c>
      <c r="Q340" s="379">
        <f>SUM(Q335/Q$98)*Q$104</f>
        <v>414151.23347684857</v>
      </c>
    </row>
    <row r="341" spans="1:18">
      <c r="A341" s="353">
        <v>30</v>
      </c>
      <c r="B341" s="17" t="s">
        <v>729</v>
      </c>
      <c r="E341" s="393">
        <f>E340</f>
        <v>284523.46531535068</v>
      </c>
      <c r="F341" s="375">
        <f>G341/E341-1</f>
        <v>0.11129938684127971</v>
      </c>
      <c r="G341" s="393">
        <f>G340</f>
        <v>316190.75254690531</v>
      </c>
      <c r="H341" s="375">
        <f>I341/G341-1</f>
        <v>0.49880568145938864</v>
      </c>
      <c r="I341" s="393">
        <f>I340</f>
        <v>473908.49634222133</v>
      </c>
      <c r="J341" s="375">
        <f>K341/I341-1</f>
        <v>-0.10548420799587577</v>
      </c>
      <c r="K341" s="393">
        <f>K340</f>
        <v>423918.63394304574</v>
      </c>
      <c r="L341" s="375">
        <f>M341/K341-1</f>
        <v>-0.11392598018031319</v>
      </c>
      <c r="M341" s="393">
        <f>M340</f>
        <v>375623.28805438487</v>
      </c>
      <c r="N341" s="375">
        <f>O341/M341-1</f>
        <v>0.26888289272062105</v>
      </c>
      <c r="O341" s="393">
        <f>O340</f>
        <v>476621.96431967901</v>
      </c>
      <c r="P341" s="375">
        <f>Q341/O341-1</f>
        <v>-0.13106976916600965</v>
      </c>
      <c r="Q341" s="393">
        <f>Q340</f>
        <v>414151.23347684857</v>
      </c>
    </row>
    <row r="342" spans="1:18">
      <c r="A342" s="353">
        <v>31</v>
      </c>
      <c r="B342" s="17" t="s">
        <v>730</v>
      </c>
      <c r="R342" s="382"/>
    </row>
    <row r="343" spans="1:18" ht="15" thickBot="1">
      <c r="A343" s="353">
        <v>32</v>
      </c>
      <c r="B343" s="17" t="s">
        <v>731</v>
      </c>
      <c r="E343" s="395">
        <v>1</v>
      </c>
      <c r="G343" s="395">
        <v>1</v>
      </c>
      <c r="I343" s="395">
        <v>1</v>
      </c>
      <c r="K343" s="402">
        <v>1</v>
      </c>
      <c r="M343" s="395">
        <v>1</v>
      </c>
      <c r="O343" s="395">
        <v>1</v>
      </c>
      <c r="Q343" s="395">
        <f>Q341/Q340</f>
        <v>1</v>
      </c>
      <c r="R343" s="378"/>
    </row>
    <row r="344" spans="1:18" ht="15" thickTop="1">
      <c r="A344" s="353">
        <v>33</v>
      </c>
      <c r="E344" s="362"/>
      <c r="G344" s="362"/>
      <c r="I344" s="362"/>
      <c r="K344" s="370"/>
      <c r="M344" s="362"/>
      <c r="O344" s="362"/>
      <c r="Q344" s="362"/>
    </row>
    <row r="345" spans="1:18">
      <c r="A345" s="353">
        <v>34</v>
      </c>
      <c r="R345" s="377"/>
    </row>
    <row r="346" spans="1:18">
      <c r="A346" s="353">
        <v>35</v>
      </c>
      <c r="B346" s="17" t="s">
        <v>732</v>
      </c>
      <c r="E346" s="379">
        <f>SUM(E335/E$98)*E$110</f>
        <v>62819.295222814959</v>
      </c>
      <c r="F346" s="375">
        <f>G346/E346-1</f>
        <v>0.16413011041696013</v>
      </c>
      <c r="G346" s="379">
        <f>SUM(G335/G$98)*G$110</f>
        <v>73129.833084051192</v>
      </c>
      <c r="H346" s="375">
        <f>I346/G346-1</f>
        <v>0.32050047267770609</v>
      </c>
      <c r="I346" s="379">
        <f>SUM(I335/I$98)*I$110</f>
        <v>96567.979154331348</v>
      </c>
      <c r="J346" s="375">
        <f>K346/I346-1</f>
        <v>-5.2230514977266385E-2</v>
      </c>
      <c r="K346" s="379">
        <f>SUM(K335/K$98)*K$110</f>
        <v>91524.1838727867</v>
      </c>
      <c r="L346" s="375">
        <f>M346/K346-1</f>
        <v>-5.4260565133186889E-2</v>
      </c>
      <c r="M346" s="379">
        <f>SUM(M335/M$98)*M$110</f>
        <v>86558.029932495585</v>
      </c>
      <c r="N346" s="375">
        <f>O346/M346-1</f>
        <v>0.30584449179194495</v>
      </c>
      <c r="O346" s="379">
        <f>SUM(O335/O$98)*O$110</f>
        <v>113031.32660771166</v>
      </c>
      <c r="P346" s="375">
        <f>Q346/O346-1</f>
        <v>-0.18373478593104897</v>
      </c>
      <c r="Q346" s="379">
        <f>SUM(Q335/Q$98)*Q$110</f>
        <v>92263.54000994128</v>
      </c>
    </row>
    <row r="347" spans="1:18">
      <c r="A347" s="353">
        <v>36</v>
      </c>
      <c r="B347" s="17" t="s">
        <v>733</v>
      </c>
      <c r="E347" s="393">
        <f>E346</f>
        <v>62819.295222814959</v>
      </c>
      <c r="F347" s="375">
        <f>G347/E347-1</f>
        <v>0.16413011041696013</v>
      </c>
      <c r="G347" s="393">
        <f>G346</f>
        <v>73129.833084051192</v>
      </c>
      <c r="H347" s="375">
        <f>I347/G347-1</f>
        <v>0.32050047267770609</v>
      </c>
      <c r="I347" s="393">
        <f>I346</f>
        <v>96567.979154331348</v>
      </c>
      <c r="J347" s="375">
        <f>K347/I347-1</f>
        <v>-5.2230514977266385E-2</v>
      </c>
      <c r="K347" s="393">
        <f>K346</f>
        <v>91524.1838727867</v>
      </c>
      <c r="L347" s="375">
        <f>M347/K347-1</f>
        <v>-5.4260565133186889E-2</v>
      </c>
      <c r="M347" s="393">
        <f>M346</f>
        <v>86558.029932495585</v>
      </c>
      <c r="N347" s="375">
        <f>O347/M347-1</f>
        <v>0.30584449179194495</v>
      </c>
      <c r="O347" s="393">
        <f>O346</f>
        <v>113031.32660771166</v>
      </c>
      <c r="P347" s="375">
        <f>Q347/O347-1</f>
        <v>-0.18373478593104897</v>
      </c>
      <c r="Q347" s="393">
        <f>Q346</f>
        <v>92263.54000994128</v>
      </c>
    </row>
    <row r="348" spans="1:18">
      <c r="A348" s="353">
        <v>37</v>
      </c>
      <c r="B348" s="17" t="s">
        <v>734</v>
      </c>
    </row>
    <row r="349" spans="1:18" ht="15" thickBot="1">
      <c r="A349" s="353">
        <v>38</v>
      </c>
      <c r="B349" s="17" t="s">
        <v>735</v>
      </c>
      <c r="E349" s="395">
        <v>1</v>
      </c>
      <c r="G349" s="395">
        <v>1</v>
      </c>
      <c r="I349" s="395">
        <v>1</v>
      </c>
      <c r="K349" s="402">
        <v>1</v>
      </c>
      <c r="M349" s="395">
        <v>1</v>
      </c>
      <c r="O349" s="395">
        <f>O347/O346</f>
        <v>1</v>
      </c>
      <c r="Q349" s="395">
        <f>Q347/Q346</f>
        <v>1</v>
      </c>
      <c r="R349" s="375"/>
    </row>
    <row r="350" spans="1:18" ht="15" thickTop="1">
      <c r="A350" s="353">
        <v>39</v>
      </c>
      <c r="E350" s="362"/>
      <c r="G350" s="362"/>
      <c r="I350" s="362"/>
      <c r="K350" s="370"/>
      <c r="M350" s="362"/>
      <c r="O350" s="362"/>
      <c r="Q350" s="362"/>
    </row>
    <row r="351" spans="1:18">
      <c r="A351" s="353">
        <v>40</v>
      </c>
    </row>
    <row r="352" spans="1:18" ht="15" thickBot="1">
      <c r="A352" s="353">
        <v>41</v>
      </c>
      <c r="B352" s="17" t="s">
        <v>736</v>
      </c>
      <c r="E352" s="367">
        <v>21</v>
      </c>
      <c r="F352" s="375">
        <f>G352/E352-1</f>
        <v>0</v>
      </c>
      <c r="G352" s="367">
        <v>21</v>
      </c>
      <c r="H352" s="375">
        <f>I352/G352-1</f>
        <v>4.7619047619047672E-2</v>
      </c>
      <c r="I352" s="367">
        <v>22</v>
      </c>
      <c r="J352" s="375">
        <f>K352/I352-1</f>
        <v>9.0909090909090828E-2</v>
      </c>
      <c r="K352" s="367">
        <v>24</v>
      </c>
      <c r="L352" s="375">
        <f>M352/K352-1</f>
        <v>0</v>
      </c>
      <c r="M352" s="367">
        <v>24</v>
      </c>
      <c r="N352" s="375">
        <f>O352/M352-1</f>
        <v>8.3333333333333259E-2</v>
      </c>
      <c r="O352" s="367">
        <v>26</v>
      </c>
      <c r="P352" s="375">
        <f>Q352/O352-1</f>
        <v>0</v>
      </c>
      <c r="Q352" s="367">
        <v>26</v>
      </c>
    </row>
    <row r="353" spans="1:33" ht="15" thickTop="1">
      <c r="A353" s="353">
        <v>42</v>
      </c>
      <c r="E353" s="403"/>
      <c r="F353" s="375"/>
      <c r="G353" s="403"/>
      <c r="H353" s="375"/>
      <c r="I353" s="403"/>
      <c r="J353" s="375"/>
      <c r="K353" s="403"/>
      <c r="L353" s="375"/>
      <c r="M353" s="403"/>
      <c r="N353" s="375"/>
      <c r="O353" s="403"/>
      <c r="P353" s="375"/>
      <c r="Q353" s="403"/>
      <c r="R353" s="382"/>
    </row>
    <row r="354" spans="1:33" ht="15" thickBot="1">
      <c r="A354" s="353">
        <v>43</v>
      </c>
      <c r="B354" s="17" t="s">
        <v>737</v>
      </c>
      <c r="E354" s="367">
        <v>20</v>
      </c>
      <c r="F354" s="375">
        <f>G354/E354-1</f>
        <v>0.10000000000000009</v>
      </c>
      <c r="G354" s="367">
        <v>22</v>
      </c>
      <c r="H354" s="375">
        <f>I354/G354-1</f>
        <v>4.5454545454545414E-2</v>
      </c>
      <c r="I354" s="367">
        <v>23</v>
      </c>
      <c r="J354" s="375">
        <f>K354/I354-1</f>
        <v>8.6956521739130377E-2</v>
      </c>
      <c r="K354" s="367">
        <v>25</v>
      </c>
      <c r="L354" s="375">
        <f>M354/K354-1</f>
        <v>-4.0000000000000036E-2</v>
      </c>
      <c r="M354" s="367">
        <v>24</v>
      </c>
      <c r="N354" s="375">
        <f>O354/M354-1</f>
        <v>8.3333333333333259E-2</v>
      </c>
      <c r="O354" s="367">
        <f>Q354</f>
        <v>26</v>
      </c>
      <c r="P354" s="375">
        <f>Q354/O354-1</f>
        <v>0</v>
      </c>
      <c r="Q354" s="367">
        <v>26</v>
      </c>
    </row>
    <row r="355" spans="1:33" ht="15" thickTop="1">
      <c r="A355" s="353">
        <v>44</v>
      </c>
      <c r="E355" s="362"/>
      <c r="G355" s="362"/>
      <c r="I355" s="362"/>
      <c r="K355" s="362"/>
      <c r="M355" s="362"/>
      <c r="O355" s="362"/>
      <c r="Q355" s="362"/>
      <c r="R355" s="375"/>
    </row>
    <row r="356" spans="1:33">
      <c r="A356" s="353">
        <v>45</v>
      </c>
    </row>
    <row r="357" spans="1:33">
      <c r="A357" s="353"/>
    </row>
    <row r="358" spans="1:33">
      <c r="A358" s="353"/>
      <c r="R358" s="377"/>
    </row>
    <row r="359" spans="1:33">
      <c r="A359" s="353"/>
      <c r="R359" s="377"/>
    </row>
    <row r="360" spans="1:33">
      <c r="A360" s="338"/>
      <c r="Q360" s="347"/>
    </row>
    <row r="361" spans="1:33">
      <c r="A361" s="338"/>
      <c r="Q361" s="391"/>
      <c r="R361" s="375"/>
    </row>
    <row r="362" spans="1:33">
      <c r="A362" s="764" t="str">
        <f>'Link In'!$A$2</f>
        <v>Kentucky American Water Company</v>
      </c>
      <c r="B362" s="764"/>
      <c r="C362" s="764"/>
      <c r="D362" s="764"/>
      <c r="E362" s="764"/>
      <c r="F362" s="764"/>
      <c r="G362" s="764"/>
      <c r="H362" s="764"/>
      <c r="I362" s="764"/>
      <c r="J362" s="764"/>
      <c r="K362" s="764"/>
      <c r="L362" s="764"/>
      <c r="M362" s="764"/>
      <c r="N362" s="764"/>
      <c r="O362" s="764"/>
      <c r="P362" s="764"/>
      <c r="Q362" s="764"/>
      <c r="R362" s="378"/>
      <c r="S362" s="378"/>
      <c r="T362" s="378"/>
      <c r="U362" s="378"/>
      <c r="V362" s="378"/>
      <c r="W362" s="378"/>
      <c r="X362" s="378"/>
      <c r="Y362" s="378"/>
      <c r="Z362" s="378"/>
      <c r="AA362" s="378"/>
      <c r="AB362" s="378"/>
      <c r="AC362" s="378"/>
      <c r="AD362" s="378"/>
      <c r="AE362" s="378"/>
      <c r="AF362" s="378"/>
      <c r="AG362" s="378"/>
    </row>
    <row r="363" spans="1:33">
      <c r="A363" s="341" t="str">
        <f>'Link In'!$A$3</f>
        <v>Case No. 2018-00358</v>
      </c>
      <c r="B363" s="342"/>
      <c r="C363" s="342"/>
      <c r="D363" s="342"/>
      <c r="E363" s="342"/>
      <c r="F363" s="342"/>
      <c r="G363" s="342"/>
      <c r="H363" s="342"/>
      <c r="I363" s="342"/>
      <c r="J363" s="342"/>
      <c r="K363" s="342"/>
      <c r="L363" s="342"/>
      <c r="M363" s="342"/>
      <c r="N363" s="342"/>
      <c r="O363" s="342"/>
      <c r="P363" s="342"/>
      <c r="Q363" s="342"/>
    </row>
    <row r="364" spans="1:33">
      <c r="A364" s="341" t="s">
        <v>705</v>
      </c>
      <c r="B364" s="341"/>
      <c r="C364" s="341"/>
      <c r="D364" s="341"/>
      <c r="E364" s="341"/>
      <c r="F364" s="341"/>
      <c r="G364" s="341"/>
      <c r="H364" s="341"/>
      <c r="I364" s="341"/>
      <c r="J364" s="341"/>
      <c r="K364" s="341"/>
      <c r="L364" s="341"/>
      <c r="M364" s="341"/>
      <c r="N364" s="341"/>
      <c r="O364" s="341"/>
      <c r="P364" s="341"/>
      <c r="Q364" s="342"/>
    </row>
    <row r="365" spans="1:33">
      <c r="A365" s="341" t="str">
        <f>+A6</f>
        <v>FOR THE TWELVE MONTHS ENDED:  February 28, 2019  (Base Period)</v>
      </c>
      <c r="B365" s="342"/>
      <c r="C365" s="342"/>
      <c r="D365" s="342"/>
      <c r="E365" s="342"/>
      <c r="F365" s="342"/>
      <c r="G365" s="343"/>
      <c r="H365" s="342"/>
      <c r="I365" s="342"/>
      <c r="J365" s="342"/>
      <c r="K365" s="342"/>
      <c r="L365" s="342"/>
      <c r="M365" s="342"/>
      <c r="N365" s="342"/>
      <c r="O365" s="342"/>
      <c r="P365" s="342"/>
      <c r="Q365" s="342"/>
    </row>
    <row r="366" spans="1:33">
      <c r="A366" s="341" t="str">
        <f>+A7</f>
        <v>FOR THE TWELVE MONTHS ENDED:  June 30, 2020  (Forecast Period)</v>
      </c>
      <c r="B366" s="342"/>
      <c r="C366" s="342"/>
      <c r="D366" s="342"/>
      <c r="E366" s="342"/>
      <c r="F366" s="342"/>
      <c r="G366" s="343"/>
      <c r="H366" s="342"/>
      <c r="I366" s="342"/>
      <c r="J366" s="342"/>
      <c r="K366" s="342"/>
      <c r="L366" s="342"/>
      <c r="M366" s="342"/>
      <c r="N366" s="342"/>
      <c r="O366" s="342"/>
      <c r="P366" s="342"/>
      <c r="Q366" s="342"/>
    </row>
    <row r="367" spans="1:33">
      <c r="A367" s="344" t="s">
        <v>686</v>
      </c>
      <c r="B367" s="345"/>
      <c r="C367" s="345"/>
      <c r="D367" s="345"/>
      <c r="E367" s="345"/>
      <c r="F367" s="345"/>
      <c r="G367" s="345"/>
      <c r="H367" s="345"/>
      <c r="I367" s="345"/>
      <c r="J367" s="345"/>
      <c r="K367" s="345"/>
      <c r="L367" s="345"/>
      <c r="M367" s="345"/>
      <c r="N367" s="345"/>
      <c r="O367" s="345"/>
      <c r="P367" s="345"/>
      <c r="Q367" s="346" t="s">
        <v>706</v>
      </c>
    </row>
    <row r="368" spans="1:33">
      <c r="A368" s="348" t="s">
        <v>687</v>
      </c>
      <c r="B368" s="345"/>
      <c r="C368" s="345"/>
      <c r="D368" s="345"/>
      <c r="E368" s="345"/>
      <c r="F368" s="345"/>
      <c r="G368" s="345"/>
      <c r="H368" s="345"/>
      <c r="I368" s="345"/>
      <c r="J368" s="345"/>
      <c r="K368" s="345"/>
      <c r="L368" s="345"/>
      <c r="M368" s="345"/>
      <c r="N368" s="345"/>
      <c r="O368" s="345"/>
      <c r="P368" s="345"/>
      <c r="Q368" s="349" t="str">
        <f ca="1">RIGHT(CELL("filename",$A$3),LEN(CELL("filename",$A$3))-SEARCH("\O&amp;M",CELL("filename",$A$3),1))</f>
        <v>O&amp;M\[KAWC 2018 Rate Case - Labor and Labor Related Exhibit.xlsx]Exh 37 G</v>
      </c>
    </row>
    <row r="369" spans="1:17">
      <c r="A369" s="345"/>
      <c r="B369" s="345"/>
      <c r="C369" s="345"/>
      <c r="D369" s="345"/>
      <c r="E369" s="345"/>
      <c r="F369" s="345"/>
      <c r="G369" s="345"/>
      <c r="H369" s="345"/>
      <c r="I369" s="345"/>
      <c r="J369" s="345"/>
      <c r="K369" s="345"/>
      <c r="L369" s="345"/>
      <c r="M369" s="345"/>
      <c r="N369" s="345"/>
      <c r="O369" s="345"/>
      <c r="P369" s="345"/>
      <c r="Q369" s="350" t="str">
        <f>'Link In'!$A$20</f>
        <v>Witness Responsible:   James Pellock</v>
      </c>
    </row>
    <row r="370" spans="1:17" ht="15" thickBot="1"/>
    <row r="371" spans="1:17" ht="15" thickTop="1">
      <c r="A371" s="351"/>
      <c r="B371" s="351"/>
      <c r="C371" s="351"/>
      <c r="D371" s="351"/>
      <c r="E371" s="351"/>
      <c r="F371" s="351"/>
      <c r="G371" s="351"/>
      <c r="H371" s="351"/>
      <c r="I371" s="351"/>
      <c r="J371" s="351"/>
      <c r="K371" s="351"/>
      <c r="L371" s="351"/>
      <c r="M371" s="351"/>
      <c r="N371" s="351"/>
      <c r="O371" s="351"/>
      <c r="P371" s="351"/>
      <c r="Q371" s="351"/>
    </row>
    <row r="372" spans="1:17">
      <c r="A372" s="353" t="s">
        <v>593</v>
      </c>
      <c r="E372" s="353" t="s">
        <v>1127</v>
      </c>
      <c r="F372" s="353" t="s">
        <v>707</v>
      </c>
      <c r="G372" s="353" t="s">
        <v>1127</v>
      </c>
      <c r="H372" s="353" t="s">
        <v>707</v>
      </c>
      <c r="I372" s="353" t="s">
        <v>1127</v>
      </c>
      <c r="J372" s="353" t="s">
        <v>707</v>
      </c>
      <c r="K372" s="353" t="s">
        <v>1127</v>
      </c>
      <c r="L372" s="353" t="s">
        <v>707</v>
      </c>
      <c r="M372" s="353" t="s">
        <v>1127</v>
      </c>
      <c r="N372" s="353" t="s">
        <v>707</v>
      </c>
      <c r="O372" s="353" t="s">
        <v>708</v>
      </c>
      <c r="P372" s="353" t="s">
        <v>707</v>
      </c>
      <c r="Q372" s="353" t="s">
        <v>709</v>
      </c>
    </row>
    <row r="373" spans="1:17" ht="15" thickBot="1">
      <c r="A373" s="353" t="s">
        <v>689</v>
      </c>
      <c r="B373" s="342" t="s">
        <v>596</v>
      </c>
      <c r="C373" s="342"/>
      <c r="E373" s="392">
        <v>2014</v>
      </c>
      <c r="F373" s="353" t="s">
        <v>710</v>
      </c>
      <c r="G373" s="392">
        <v>2015</v>
      </c>
      <c r="H373" s="353" t="s">
        <v>710</v>
      </c>
      <c r="I373" s="392">
        <v>2016</v>
      </c>
      <c r="J373" s="353" t="s">
        <v>710</v>
      </c>
      <c r="K373" s="392">
        <v>2017</v>
      </c>
      <c r="L373" s="353" t="s">
        <v>710</v>
      </c>
      <c r="M373" s="392">
        <v>2018</v>
      </c>
      <c r="N373" s="353" t="s">
        <v>710</v>
      </c>
      <c r="O373" s="353" t="s">
        <v>711</v>
      </c>
      <c r="P373" s="353" t="s">
        <v>710</v>
      </c>
      <c r="Q373" s="353" t="s">
        <v>711</v>
      </c>
    </row>
    <row r="374" spans="1:17" ht="15" thickTop="1">
      <c r="A374" s="352">
        <v>1</v>
      </c>
      <c r="B374" s="406"/>
      <c r="C374" s="406"/>
      <c r="D374" s="354"/>
      <c r="E374" s="354"/>
      <c r="F374" s="354"/>
      <c r="G374" s="354"/>
      <c r="H374" s="354"/>
      <c r="I374" s="354"/>
      <c r="J374" s="354"/>
      <c r="K374" s="354"/>
      <c r="L374" s="354"/>
      <c r="M374" s="354"/>
      <c r="N374" s="354"/>
      <c r="O374" s="354"/>
      <c r="P374" s="354"/>
      <c r="Q374" s="354"/>
    </row>
    <row r="375" spans="1:17">
      <c r="A375" s="353">
        <v>2</v>
      </c>
      <c r="B375" s="355" t="s">
        <v>741</v>
      </c>
    </row>
    <row r="376" spans="1:17">
      <c r="A376" s="353">
        <v>3</v>
      </c>
    </row>
    <row r="377" spans="1:17">
      <c r="A377" s="353">
        <v>4</v>
      </c>
      <c r="B377" s="383" t="s">
        <v>713</v>
      </c>
    </row>
    <row r="378" spans="1:17">
      <c r="A378" s="353">
        <v>5</v>
      </c>
      <c r="B378" s="17" t="s">
        <v>714</v>
      </c>
      <c r="E378" s="393">
        <v>49383</v>
      </c>
      <c r="F378" s="375">
        <f>G378/E378-1</f>
        <v>3.2339064050381783E-2</v>
      </c>
      <c r="G378" s="393">
        <v>50980</v>
      </c>
      <c r="H378" s="375">
        <f>I378/G378-1</f>
        <v>0.30943507257748126</v>
      </c>
      <c r="I378" s="393">
        <v>66755</v>
      </c>
      <c r="J378" s="375">
        <f>K378/I378-1</f>
        <v>8.396374803385509E-2</v>
      </c>
      <c r="K378" s="393">
        <v>72360</v>
      </c>
      <c r="L378" s="375">
        <f>M378/K378-1</f>
        <v>3.0541735765616362E-2</v>
      </c>
      <c r="M378" s="393">
        <v>74570</v>
      </c>
      <c r="N378" s="375">
        <f>O378/M378-1</f>
        <v>0.17020203065419381</v>
      </c>
      <c r="O378" s="393">
        <v>87261.965425883231</v>
      </c>
      <c r="P378" s="375">
        <f>Q378/O378-1</f>
        <v>3.8077924991719136E-2</v>
      </c>
      <c r="Q378" s="415">
        <v>90584.72</v>
      </c>
    </row>
    <row r="379" spans="1:17">
      <c r="A379" s="353">
        <v>6</v>
      </c>
      <c r="B379" s="17" t="s">
        <v>715</v>
      </c>
      <c r="E379" s="393">
        <v>5873</v>
      </c>
      <c r="F379" s="375">
        <f>G379/E379-1</f>
        <v>-0.40252000681082922</v>
      </c>
      <c r="G379" s="393">
        <v>3509</v>
      </c>
      <c r="H379" s="375">
        <f>I379/G379-1</f>
        <v>0.44571102878312918</v>
      </c>
      <c r="I379" s="393">
        <v>5073</v>
      </c>
      <c r="J379" s="375">
        <f>K379/I379-1</f>
        <v>0.42203824167159465</v>
      </c>
      <c r="K379" s="393">
        <v>7214</v>
      </c>
      <c r="L379" s="375">
        <f>M379/K379-1</f>
        <v>0.52162461879678412</v>
      </c>
      <c r="M379" s="393">
        <v>10977</v>
      </c>
      <c r="N379" s="375">
        <f>O379/M379-1</f>
        <v>-0.19185295316753215</v>
      </c>
      <c r="O379" s="393">
        <v>8871.0301330799994</v>
      </c>
      <c r="P379" s="375">
        <f>Q379/O379-1</f>
        <v>-0.6180421045618103</v>
      </c>
      <c r="Q379" s="415">
        <v>3388.36</v>
      </c>
    </row>
    <row r="380" spans="1:17">
      <c r="A380" s="353">
        <v>7</v>
      </c>
      <c r="E380" s="394"/>
      <c r="G380" s="394"/>
      <c r="I380" s="394"/>
      <c r="K380" s="394"/>
      <c r="M380" s="394"/>
      <c r="O380" s="394"/>
      <c r="Q380" s="394"/>
    </row>
    <row r="381" spans="1:17" ht="15" thickBot="1">
      <c r="A381" s="353">
        <v>8</v>
      </c>
      <c r="B381" s="17" t="s">
        <v>716</v>
      </c>
      <c r="E381" s="386">
        <f>SUM(E378:E379)</f>
        <v>55256</v>
      </c>
      <c r="F381" s="375"/>
      <c r="G381" s="386">
        <f>SUM(G378:G379)</f>
        <v>54489</v>
      </c>
      <c r="H381" s="375"/>
      <c r="I381" s="386">
        <f>SUM(I378:I379)</f>
        <v>71828</v>
      </c>
      <c r="J381" s="375"/>
      <c r="K381" s="386">
        <f>SUM(K378:K379)</f>
        <v>79574</v>
      </c>
      <c r="L381" s="375"/>
      <c r="M381" s="386">
        <f>SUM(M378:M379)</f>
        <v>85547</v>
      </c>
      <c r="N381" s="375"/>
      <c r="O381" s="386">
        <f>SUM(O378:O379)</f>
        <v>96132.99555896323</v>
      </c>
      <c r="P381" s="375"/>
      <c r="Q381" s="386">
        <f>SUM(Q378:Q379)</f>
        <v>93973.08</v>
      </c>
    </row>
    <row r="382" spans="1:17" ht="15" thickTop="1">
      <c r="A382" s="353">
        <v>9</v>
      </c>
      <c r="E382" s="362"/>
      <c r="G382" s="362"/>
      <c r="I382" s="362"/>
      <c r="K382" s="362"/>
      <c r="M382" s="362"/>
      <c r="O382" s="362"/>
      <c r="Q382" s="362"/>
    </row>
    <row r="383" spans="1:17">
      <c r="A383" s="353">
        <v>10</v>
      </c>
      <c r="B383" s="17" t="s">
        <v>717</v>
      </c>
    </row>
    <row r="384" spans="1:17" ht="15" thickBot="1">
      <c r="A384" s="353">
        <v>11</v>
      </c>
      <c r="B384" s="17" t="s">
        <v>718</v>
      </c>
      <c r="E384" s="395">
        <f>E379/E378</f>
        <v>0.11892756616649454</v>
      </c>
      <c r="G384" s="395">
        <f>G379/G378</f>
        <v>6.8830914083954489E-2</v>
      </c>
      <c r="I384" s="395">
        <f>I379/I378</f>
        <v>7.5994307542506176E-2</v>
      </c>
      <c r="K384" s="395">
        <f>K379/K378</f>
        <v>9.9695964621337757E-2</v>
      </c>
      <c r="M384" s="395">
        <f>M379/M378</f>
        <v>0.14720396942470163</v>
      </c>
      <c r="O384" s="395">
        <f>O379/O378</f>
        <v>0.10165975622695196</v>
      </c>
      <c r="Q384" s="395">
        <f>Q379/Q378</f>
        <v>3.7405425550799294E-2</v>
      </c>
    </row>
    <row r="385" spans="1:17" ht="15" thickTop="1">
      <c r="A385" s="353">
        <v>12</v>
      </c>
      <c r="E385" s="362"/>
      <c r="G385" s="362"/>
      <c r="I385" s="362"/>
      <c r="K385" s="362"/>
      <c r="M385" s="362"/>
      <c r="O385" s="362"/>
      <c r="Q385" s="362"/>
    </row>
    <row r="386" spans="1:17">
      <c r="A386" s="353">
        <v>13</v>
      </c>
    </row>
    <row r="387" spans="1:17">
      <c r="A387" s="353">
        <v>14</v>
      </c>
      <c r="B387" s="383" t="s">
        <v>719</v>
      </c>
    </row>
    <row r="388" spans="1:17">
      <c r="A388" s="353">
        <v>15</v>
      </c>
      <c r="B388" s="17" t="s">
        <v>720</v>
      </c>
      <c r="E388" s="357">
        <v>1419348</v>
      </c>
      <c r="F388" s="375">
        <f>G388/E388-1</f>
        <v>2.3918024332298948E-2</v>
      </c>
      <c r="G388" s="357">
        <v>1453296</v>
      </c>
      <c r="H388" s="375">
        <f>I388/G388-1</f>
        <v>0.30975245235657423</v>
      </c>
      <c r="I388" s="357">
        <v>1903458</v>
      </c>
      <c r="J388" s="375">
        <f>K388/I388-1</f>
        <v>0.14561445537542728</v>
      </c>
      <c r="K388" s="357">
        <v>2180629</v>
      </c>
      <c r="L388" s="375">
        <f>M388/K388-1</f>
        <v>3.8433406141072046E-2</v>
      </c>
      <c r="M388" s="357">
        <v>2264438</v>
      </c>
      <c r="N388" s="375">
        <f>O388/M388-1</f>
        <v>8.0903517782337175E-2</v>
      </c>
      <c r="O388" s="357">
        <v>2447639</v>
      </c>
      <c r="P388" s="375">
        <f>Q388/O388-1</f>
        <v>8.6721530421765669E-2</v>
      </c>
      <c r="Q388" s="423">
        <v>2659902</v>
      </c>
    </row>
    <row r="389" spans="1:17">
      <c r="A389" s="353">
        <v>16</v>
      </c>
      <c r="B389" s="17" t="s">
        <v>721</v>
      </c>
      <c r="E389" s="393">
        <v>228599</v>
      </c>
      <c r="F389" s="375">
        <f>G389/E389-1</f>
        <v>-0.41833953779325372</v>
      </c>
      <c r="G389" s="393">
        <v>132967</v>
      </c>
      <c r="H389" s="375">
        <f>I389/G389-1</f>
        <v>0.49922161137725896</v>
      </c>
      <c r="I389" s="393">
        <v>199347</v>
      </c>
      <c r="J389" s="375">
        <f>K389/I389-1</f>
        <v>0.30825645733319296</v>
      </c>
      <c r="K389" s="393">
        <v>260797</v>
      </c>
      <c r="L389" s="375">
        <f>M389/K389-1</f>
        <v>0.66690184319604895</v>
      </c>
      <c r="M389" s="393">
        <v>434723</v>
      </c>
      <c r="N389" s="375">
        <f>O389/M389-1</f>
        <v>-0.17269387633044486</v>
      </c>
      <c r="O389" s="393">
        <v>359649</v>
      </c>
      <c r="P389" s="375">
        <f>Q389/O389-1</f>
        <v>-0.60086083931833545</v>
      </c>
      <c r="Q389" s="415">
        <v>143550</v>
      </c>
    </row>
    <row r="390" spans="1:17">
      <c r="A390" s="353">
        <v>17</v>
      </c>
    </row>
    <row r="391" spans="1:17" ht="15" thickBot="1">
      <c r="A391" s="353">
        <v>18</v>
      </c>
      <c r="B391" s="17" t="s">
        <v>722</v>
      </c>
      <c r="E391" s="397">
        <f>SUM(E388:E389)</f>
        <v>1647947</v>
      </c>
      <c r="G391" s="397">
        <f>SUM(G388:G389)</f>
        <v>1586263</v>
      </c>
      <c r="I391" s="397">
        <f>SUM(I388:I389)</f>
        <v>2102805</v>
      </c>
      <c r="K391" s="397">
        <f>SUM(K388:K389)</f>
        <v>2441426</v>
      </c>
      <c r="M391" s="397">
        <f>SUM(M388:M389)</f>
        <v>2699161</v>
      </c>
      <c r="O391" s="397">
        <f>SUM(O388:O389)</f>
        <v>2807288</v>
      </c>
      <c r="Q391" s="397">
        <f>SUM(Q388:Q389)</f>
        <v>2803452</v>
      </c>
    </row>
    <row r="392" spans="1:17" ht="15" thickTop="1">
      <c r="A392" s="353">
        <v>19</v>
      </c>
      <c r="E392" s="398"/>
      <c r="G392" s="398"/>
      <c r="I392" s="398"/>
      <c r="K392" s="398"/>
      <c r="M392" s="398"/>
      <c r="O392" s="398"/>
      <c r="Q392" s="398"/>
    </row>
    <row r="393" spans="1:17">
      <c r="A393" s="353">
        <v>20</v>
      </c>
      <c r="B393" s="17" t="s">
        <v>723</v>
      </c>
      <c r="E393" s="399"/>
      <c r="F393" s="400"/>
      <c r="G393" s="399"/>
      <c r="H393" s="400"/>
      <c r="I393" s="399"/>
      <c r="J393" s="400"/>
      <c r="K393" s="399"/>
      <c r="L393" s="400"/>
      <c r="M393" s="399"/>
      <c r="N393" s="400"/>
      <c r="O393" s="399"/>
      <c r="P393" s="400"/>
      <c r="Q393" s="408"/>
    </row>
    <row r="394" spans="1:17" ht="15" thickBot="1">
      <c r="A394" s="353">
        <v>21</v>
      </c>
      <c r="B394" s="17" t="s">
        <v>724</v>
      </c>
      <c r="E394" s="395">
        <f>E389/E388</f>
        <v>0.16105916237596418</v>
      </c>
      <c r="G394" s="395">
        <f>G389/G388</f>
        <v>9.1493405335182923E-2</v>
      </c>
      <c r="I394" s="395">
        <f>I389/I388</f>
        <v>0.10472886714600479</v>
      </c>
      <c r="K394" s="395">
        <f>K389/K388</f>
        <v>0.1195971437598968</v>
      </c>
      <c r="M394" s="395">
        <f>M389/M388</f>
        <v>0.19197831868216308</v>
      </c>
      <c r="O394" s="395">
        <f>O389/O388</f>
        <v>0.14693710959827</v>
      </c>
      <c r="Q394" s="395">
        <f>Q389/Q388</f>
        <v>5.396815371393382E-2</v>
      </c>
    </row>
    <row r="395" spans="1:17" ht="15" thickTop="1">
      <c r="A395" s="353">
        <v>22</v>
      </c>
      <c r="E395" s="362"/>
      <c r="G395" s="362"/>
      <c r="I395" s="362"/>
      <c r="K395" s="362"/>
      <c r="M395" s="362"/>
      <c r="O395" s="362"/>
      <c r="Q395" s="362"/>
    </row>
    <row r="396" spans="1:17">
      <c r="A396" s="353">
        <v>23</v>
      </c>
    </row>
    <row r="397" spans="1:17">
      <c r="A397" s="353">
        <v>24</v>
      </c>
      <c r="B397" s="17" t="s">
        <v>725</v>
      </c>
      <c r="E397" s="367">
        <v>0</v>
      </c>
      <c r="F397" s="375"/>
      <c r="G397" s="367">
        <v>0</v>
      </c>
      <c r="H397" s="375"/>
      <c r="I397" s="367">
        <v>0</v>
      </c>
      <c r="J397" s="375"/>
      <c r="K397" s="367">
        <v>0</v>
      </c>
      <c r="L397" s="375"/>
      <c r="M397" s="367">
        <v>0</v>
      </c>
      <c r="N397" s="375"/>
      <c r="O397" s="367">
        <v>0</v>
      </c>
      <c r="P397" s="375"/>
      <c r="Q397" s="367">
        <v>0</v>
      </c>
    </row>
    <row r="398" spans="1:17">
      <c r="A398" s="353">
        <v>25</v>
      </c>
      <c r="B398" s="17" t="s">
        <v>726</v>
      </c>
      <c r="F398" s="375"/>
      <c r="H398" s="375"/>
      <c r="J398" s="375"/>
      <c r="L398" s="375"/>
      <c r="N398" s="375"/>
      <c r="P398" s="375"/>
    </row>
    <row r="399" spans="1:17" ht="15" thickBot="1">
      <c r="A399" s="353">
        <v>26</v>
      </c>
      <c r="B399" s="17" t="s">
        <v>727</v>
      </c>
      <c r="E399" s="395">
        <v>0</v>
      </c>
      <c r="G399" s="395">
        <v>0</v>
      </c>
      <c r="I399" s="395">
        <v>0</v>
      </c>
      <c r="K399" s="402">
        <v>0</v>
      </c>
      <c r="M399" s="395">
        <v>0</v>
      </c>
      <c r="O399" s="395">
        <v>0</v>
      </c>
      <c r="Q399" s="395">
        <v>0</v>
      </c>
    </row>
    <row r="400" spans="1:17" ht="15" thickTop="1">
      <c r="A400" s="353">
        <v>27</v>
      </c>
      <c r="E400" s="362"/>
      <c r="G400" s="362"/>
      <c r="I400" s="362"/>
      <c r="K400" s="370"/>
      <c r="M400" s="362"/>
      <c r="O400" s="362"/>
      <c r="Q400" s="362"/>
    </row>
    <row r="401" spans="1:17">
      <c r="A401" s="353">
        <v>28</v>
      </c>
    </row>
    <row r="402" spans="1:17">
      <c r="A402" s="353">
        <v>29</v>
      </c>
      <c r="B402" s="17" t="s">
        <v>728</v>
      </c>
      <c r="E402" s="379">
        <f>E103-E104</f>
        <v>675956</v>
      </c>
      <c r="F402" s="375">
        <f>G402/E402-1</f>
        <v>-0.10920237411902545</v>
      </c>
      <c r="G402" s="379">
        <f>G103-G104</f>
        <v>602140</v>
      </c>
      <c r="H402" s="375">
        <f>I402/G402-1</f>
        <v>0.14432812967084074</v>
      </c>
      <c r="I402" s="379">
        <v>689045.74000000011</v>
      </c>
      <c r="J402" s="375">
        <f>K402/I402-1</f>
        <v>-0.1106401876891393</v>
      </c>
      <c r="K402" s="379">
        <v>612809.58999999822</v>
      </c>
      <c r="L402" s="375">
        <f>M402/K402-1</f>
        <v>6.0949976321358346E-2</v>
      </c>
      <c r="M402" s="379">
        <v>650160.31999999937</v>
      </c>
      <c r="N402" s="375">
        <f>O402/M402-1</f>
        <v>0.47936281315968499</v>
      </c>
      <c r="O402" s="379">
        <f>O103-O104</f>
        <v>961823</v>
      </c>
      <c r="P402" s="375">
        <f>Q402/O402-1</f>
        <v>9.1318257101358657E-2</v>
      </c>
      <c r="Q402" s="379">
        <f>-'Link Out'!I46-'Link Out'!I47-'Link Out'!I52-'Link Out'!I54-'Link Out'!I55</f>
        <v>1049655</v>
      </c>
    </row>
    <row r="403" spans="1:17">
      <c r="A403" s="353">
        <v>30</v>
      </c>
      <c r="B403" s="17" t="s">
        <v>729</v>
      </c>
      <c r="E403" s="393">
        <v>0</v>
      </c>
      <c r="F403" s="375"/>
      <c r="G403" s="393">
        <v>0</v>
      </c>
      <c r="H403" s="375"/>
      <c r="I403" s="393">
        <v>0</v>
      </c>
      <c r="J403" s="375"/>
      <c r="K403" s="393">
        <v>0</v>
      </c>
      <c r="L403" s="375"/>
      <c r="M403" s="393">
        <v>0</v>
      </c>
      <c r="N403" s="375"/>
      <c r="O403" s="379">
        <v>0</v>
      </c>
      <c r="P403" s="375"/>
      <c r="Q403" s="379">
        <v>0</v>
      </c>
    </row>
    <row r="404" spans="1:17">
      <c r="A404" s="353">
        <v>31</v>
      </c>
      <c r="B404" s="17" t="s">
        <v>730</v>
      </c>
    </row>
    <row r="405" spans="1:17" ht="15" thickBot="1">
      <c r="A405" s="353">
        <v>32</v>
      </c>
      <c r="B405" s="17" t="s">
        <v>731</v>
      </c>
      <c r="E405" s="395">
        <v>0</v>
      </c>
      <c r="G405" s="395">
        <v>0</v>
      </c>
      <c r="I405" s="395">
        <v>0</v>
      </c>
      <c r="K405" s="402">
        <v>0</v>
      </c>
      <c r="M405" s="395">
        <v>0</v>
      </c>
      <c r="O405" s="395">
        <f>O403/O402</f>
        <v>0</v>
      </c>
      <c r="Q405" s="395">
        <v>0</v>
      </c>
    </row>
    <row r="406" spans="1:17" ht="15" thickTop="1">
      <c r="A406" s="353">
        <v>33</v>
      </c>
      <c r="E406" s="362"/>
      <c r="G406" s="362"/>
      <c r="I406" s="362"/>
      <c r="K406" s="370"/>
      <c r="M406" s="362"/>
      <c r="O406" s="362"/>
      <c r="Q406" s="362"/>
    </row>
    <row r="407" spans="1:17">
      <c r="A407" s="353">
        <v>34</v>
      </c>
    </row>
    <row r="408" spans="1:17">
      <c r="A408" s="353">
        <v>35</v>
      </c>
      <c r="B408" s="17" t="s">
        <v>732</v>
      </c>
      <c r="E408" s="379">
        <f>E109-E110</f>
        <v>140547</v>
      </c>
      <c r="F408" s="375">
        <f>G408/E408-1</f>
        <v>-0.1180103452937451</v>
      </c>
      <c r="G408" s="379">
        <f>G109-G110</f>
        <v>123961</v>
      </c>
      <c r="H408" s="375">
        <f>I408/G408-1</f>
        <v>-0.12786182751026587</v>
      </c>
      <c r="I408" s="379">
        <v>108111.11999999994</v>
      </c>
      <c r="J408" s="375">
        <f>K408/I408-1</f>
        <v>0.26780381148581411</v>
      </c>
      <c r="K408" s="379">
        <v>137063.69000000015</v>
      </c>
      <c r="L408" s="375">
        <f>M408/K408-1</f>
        <v>-6.4378173387863113E-2</v>
      </c>
      <c r="M408" s="379">
        <v>128239.77999999982</v>
      </c>
      <c r="N408" s="375">
        <f>O408/M408-1</f>
        <v>0.80073608984669442</v>
      </c>
      <c r="O408" s="379">
        <f>O109-O110</f>
        <v>230926</v>
      </c>
      <c r="P408" s="375">
        <f>Q408/O408-1</f>
        <v>7.6864450083575786E-3</v>
      </c>
      <c r="Q408" s="379">
        <f>-SUM('Link Out'!I42:I44)</f>
        <v>232701</v>
      </c>
    </row>
    <row r="409" spans="1:17">
      <c r="A409" s="353">
        <v>36</v>
      </c>
      <c r="B409" s="17" t="s">
        <v>733</v>
      </c>
      <c r="E409" s="393">
        <v>0</v>
      </c>
      <c r="F409" s="375"/>
      <c r="G409" s="393">
        <v>0</v>
      </c>
      <c r="H409" s="375"/>
      <c r="I409" s="393">
        <v>0</v>
      </c>
      <c r="J409" s="375"/>
      <c r="K409" s="393">
        <v>0</v>
      </c>
      <c r="L409" s="375"/>
      <c r="M409" s="393">
        <v>0</v>
      </c>
      <c r="N409" s="375"/>
      <c r="O409" s="379">
        <v>0</v>
      </c>
      <c r="P409" s="375"/>
      <c r="Q409" s="379">
        <v>0</v>
      </c>
    </row>
    <row r="410" spans="1:17">
      <c r="A410" s="353">
        <v>37</v>
      </c>
      <c r="B410" s="17" t="s">
        <v>734</v>
      </c>
    </row>
    <row r="411" spans="1:17" ht="15" thickBot="1">
      <c r="A411" s="353">
        <v>38</v>
      </c>
      <c r="B411" s="17" t="s">
        <v>735</v>
      </c>
      <c r="E411" s="395">
        <v>0</v>
      </c>
      <c r="G411" s="395">
        <v>0</v>
      </c>
      <c r="I411" s="395">
        <v>0</v>
      </c>
      <c r="K411" s="402">
        <v>0</v>
      </c>
      <c r="M411" s="395">
        <v>0</v>
      </c>
      <c r="O411" s="395">
        <f>O409/O408</f>
        <v>0</v>
      </c>
      <c r="Q411" s="395">
        <v>0</v>
      </c>
    </row>
    <row r="412" spans="1:17" ht="15" thickTop="1">
      <c r="A412" s="353">
        <v>39</v>
      </c>
      <c r="E412" s="362"/>
      <c r="G412" s="362"/>
      <c r="I412" s="362"/>
      <c r="K412" s="370"/>
      <c r="M412" s="362"/>
      <c r="O412" s="362"/>
      <c r="Q412" s="362"/>
    </row>
    <row r="413" spans="1:17">
      <c r="A413" s="353">
        <v>40</v>
      </c>
    </row>
    <row r="414" spans="1:17" ht="15" thickBot="1">
      <c r="A414" s="353">
        <v>41</v>
      </c>
      <c r="B414" s="17" t="s">
        <v>736</v>
      </c>
      <c r="E414" s="367">
        <v>0</v>
      </c>
      <c r="F414" s="375"/>
      <c r="G414" s="367">
        <v>0</v>
      </c>
      <c r="H414" s="375"/>
      <c r="I414" s="367">
        <v>0</v>
      </c>
      <c r="J414" s="375"/>
      <c r="K414" s="367">
        <v>0</v>
      </c>
      <c r="L414" s="375"/>
      <c r="M414" s="367">
        <v>0</v>
      </c>
      <c r="N414" s="375"/>
      <c r="O414" s="367">
        <v>0</v>
      </c>
      <c r="P414" s="375"/>
      <c r="Q414" s="367">
        <v>0</v>
      </c>
    </row>
    <row r="415" spans="1:17" ht="15" thickTop="1">
      <c r="A415" s="353">
        <v>42</v>
      </c>
      <c r="E415" s="403"/>
      <c r="F415" s="375"/>
      <c r="G415" s="403"/>
      <c r="H415" s="375"/>
      <c r="I415" s="403"/>
      <c r="J415" s="375"/>
      <c r="K415" s="403"/>
      <c r="L415" s="375"/>
      <c r="M415" s="403"/>
      <c r="N415" s="375"/>
      <c r="O415" s="403"/>
      <c r="P415" s="375"/>
      <c r="Q415" s="403"/>
    </row>
    <row r="416" spans="1:17" ht="15" thickBot="1">
      <c r="A416" s="353">
        <v>43</v>
      </c>
      <c r="B416" s="17" t="s">
        <v>737</v>
      </c>
      <c r="E416" s="367">
        <v>0</v>
      </c>
      <c r="F416" s="375"/>
      <c r="G416" s="367">
        <v>0</v>
      </c>
      <c r="H416" s="375"/>
      <c r="I416" s="367">
        <v>0</v>
      </c>
      <c r="J416" s="375"/>
      <c r="K416" s="367">
        <v>0</v>
      </c>
      <c r="L416" s="375"/>
      <c r="M416" s="367">
        <v>0</v>
      </c>
      <c r="N416" s="375"/>
      <c r="O416" s="367">
        <v>0</v>
      </c>
      <c r="P416" s="375"/>
      <c r="Q416" s="367">
        <v>0</v>
      </c>
    </row>
    <row r="417" spans="1:33" ht="15" thickTop="1">
      <c r="A417" s="353">
        <v>44</v>
      </c>
      <c r="E417" s="362"/>
      <c r="G417" s="362"/>
      <c r="I417" s="362"/>
      <c r="K417" s="362"/>
      <c r="M417" s="362"/>
      <c r="O417" s="362"/>
      <c r="Q417" s="362"/>
    </row>
    <row r="418" spans="1:33">
      <c r="A418" s="353"/>
    </row>
    <row r="419" spans="1:33">
      <c r="A419" s="353"/>
    </row>
    <row r="420" spans="1:33">
      <c r="A420" s="353"/>
    </row>
    <row r="421" spans="1:33">
      <c r="A421" s="338"/>
      <c r="Q421" s="391"/>
    </row>
    <row r="422" spans="1:33">
      <c r="A422" s="764" t="str">
        <f>'Link In'!$A$2</f>
        <v>Kentucky American Water Company</v>
      </c>
      <c r="B422" s="764"/>
      <c r="C422" s="764"/>
      <c r="D422" s="764"/>
      <c r="E422" s="764"/>
      <c r="F422" s="764"/>
      <c r="G422" s="764"/>
      <c r="H422" s="764"/>
      <c r="I422" s="764"/>
      <c r="J422" s="764"/>
      <c r="K422" s="764"/>
      <c r="L422" s="764"/>
      <c r="M422" s="764"/>
      <c r="N422" s="764"/>
      <c r="O422" s="764"/>
      <c r="P422" s="764"/>
      <c r="Q422" s="764"/>
      <c r="R422" s="378"/>
      <c r="S422" s="378"/>
      <c r="T422" s="378"/>
      <c r="U422" s="378"/>
      <c r="V422" s="378"/>
      <c r="W422" s="378"/>
      <c r="X422" s="378"/>
      <c r="Y422" s="378"/>
      <c r="Z422" s="378"/>
      <c r="AA422" s="378"/>
      <c r="AB422" s="378"/>
      <c r="AC422" s="378"/>
      <c r="AD422" s="378"/>
      <c r="AE422" s="378"/>
      <c r="AF422" s="378"/>
      <c r="AG422" s="378"/>
    </row>
    <row r="423" spans="1:33">
      <c r="A423" s="341" t="str">
        <f>'Link In'!$A$3</f>
        <v>Case No. 2018-00358</v>
      </c>
      <c r="B423" s="342"/>
      <c r="C423" s="342"/>
      <c r="D423" s="342"/>
      <c r="E423" s="342"/>
      <c r="F423" s="342"/>
      <c r="G423" s="342"/>
      <c r="H423" s="342"/>
      <c r="I423" s="342"/>
      <c r="J423" s="342"/>
      <c r="K423" s="342"/>
      <c r="L423" s="342"/>
      <c r="M423" s="342"/>
      <c r="N423" s="342"/>
      <c r="O423" s="342"/>
      <c r="P423" s="342"/>
      <c r="Q423" s="342"/>
    </row>
    <row r="424" spans="1:33">
      <c r="A424" s="341" t="s">
        <v>742</v>
      </c>
      <c r="B424" s="342"/>
      <c r="C424" s="342"/>
      <c r="D424" s="342"/>
      <c r="E424" s="342"/>
      <c r="F424" s="342"/>
      <c r="G424" s="342"/>
      <c r="H424" s="342"/>
      <c r="I424" s="342"/>
      <c r="J424" s="342"/>
      <c r="K424" s="342"/>
      <c r="L424" s="342"/>
      <c r="M424" s="342"/>
      <c r="N424" s="342"/>
      <c r="O424" s="342"/>
      <c r="P424" s="342"/>
      <c r="Q424" s="342"/>
    </row>
    <row r="425" spans="1:33">
      <c r="A425" s="341" t="str">
        <f>+A6</f>
        <v>FOR THE TWELVE MONTHS ENDED:  February 28, 2019  (Base Period)</v>
      </c>
      <c r="B425" s="342"/>
      <c r="C425" s="342"/>
      <c r="D425" s="342"/>
      <c r="E425" s="342"/>
      <c r="F425" s="342"/>
      <c r="G425" s="343"/>
      <c r="H425" s="342"/>
      <c r="I425" s="342"/>
      <c r="J425" s="342"/>
      <c r="K425" s="342"/>
      <c r="L425" s="342"/>
      <c r="M425" s="342"/>
      <c r="N425" s="342"/>
      <c r="O425" s="342"/>
      <c r="P425" s="342"/>
      <c r="Q425" s="342"/>
    </row>
    <row r="426" spans="1:33">
      <c r="A426" s="341" t="str">
        <f>+A7</f>
        <v>FOR THE TWELVE MONTHS ENDED:  June 30, 2020  (Forecast Period)</v>
      </c>
      <c r="B426" s="342"/>
      <c r="C426" s="342"/>
      <c r="D426" s="342"/>
      <c r="E426" s="342"/>
      <c r="F426" s="342"/>
      <c r="G426" s="343"/>
      <c r="H426" s="342"/>
      <c r="I426" s="342"/>
      <c r="J426" s="342"/>
      <c r="K426" s="342"/>
      <c r="L426" s="342"/>
      <c r="M426" s="342"/>
      <c r="N426" s="342"/>
      <c r="O426" s="342"/>
      <c r="P426" s="342"/>
      <c r="Q426" s="342"/>
    </row>
    <row r="427" spans="1:33">
      <c r="A427" s="344" t="s">
        <v>686</v>
      </c>
      <c r="B427" s="345"/>
      <c r="C427" s="345"/>
      <c r="D427" s="345"/>
      <c r="E427" s="345"/>
      <c r="F427" s="345"/>
      <c r="G427" s="345"/>
      <c r="H427" s="345"/>
      <c r="I427" s="345"/>
      <c r="J427" s="345"/>
      <c r="K427" s="345"/>
      <c r="L427" s="345"/>
      <c r="M427" s="345"/>
      <c r="N427" s="345"/>
      <c r="O427" s="345"/>
      <c r="P427" s="345"/>
      <c r="Q427" s="346" t="s">
        <v>743</v>
      </c>
    </row>
    <row r="428" spans="1:33">
      <c r="A428" s="348" t="s">
        <v>687</v>
      </c>
      <c r="B428" s="345"/>
      <c r="C428" s="345"/>
      <c r="D428" s="345"/>
      <c r="E428" s="345"/>
      <c r="F428" s="345"/>
      <c r="G428" s="345"/>
      <c r="H428" s="345"/>
      <c r="I428" s="345"/>
      <c r="J428" s="345"/>
      <c r="K428" s="345"/>
      <c r="L428" s="345"/>
      <c r="M428" s="345"/>
      <c r="N428" s="345"/>
      <c r="O428" s="345"/>
      <c r="P428" s="345"/>
      <c r="Q428" s="349" t="str">
        <f ca="1">RIGHT(CELL("filename",$A$3),LEN(CELL("filename",$A$3))-SEARCH("\O&amp;M",CELL("filename",$A$3),1))</f>
        <v>O&amp;M\[KAWC 2018 Rate Case - Labor and Labor Related Exhibit.xlsx]Exh 37 G</v>
      </c>
    </row>
    <row r="429" spans="1:33">
      <c r="A429" s="345"/>
      <c r="B429" s="345"/>
      <c r="C429" s="345"/>
      <c r="D429" s="345"/>
      <c r="E429" s="345"/>
      <c r="F429" s="345"/>
      <c r="G429" s="345"/>
      <c r="H429" s="345"/>
      <c r="I429" s="345"/>
      <c r="J429" s="345"/>
      <c r="K429" s="345"/>
      <c r="L429" s="345"/>
      <c r="M429" s="345"/>
      <c r="N429" s="345"/>
      <c r="O429" s="345"/>
      <c r="P429" s="345"/>
      <c r="Q429" s="350" t="str">
        <f>'Link In'!$A$20</f>
        <v>Witness Responsible:   James Pellock</v>
      </c>
    </row>
    <row r="430" spans="1:33" ht="15" thickBot="1"/>
    <row r="431" spans="1:33" ht="15" thickTop="1">
      <c r="A431" s="351"/>
      <c r="B431" s="351"/>
      <c r="C431" s="351"/>
      <c r="D431" s="351"/>
      <c r="E431" s="351"/>
      <c r="F431" s="351"/>
      <c r="G431" s="351"/>
      <c r="H431" s="351"/>
      <c r="I431" s="351"/>
      <c r="J431" s="351"/>
      <c r="K431" s="351"/>
      <c r="L431" s="351"/>
      <c r="M431" s="351"/>
      <c r="N431" s="351"/>
      <c r="O431" s="351"/>
      <c r="P431" s="351"/>
      <c r="Q431" s="351"/>
    </row>
    <row r="432" spans="1:33">
      <c r="A432" s="353" t="s">
        <v>593</v>
      </c>
      <c r="G432" s="353" t="s">
        <v>476</v>
      </c>
      <c r="I432" s="353" t="s">
        <v>688</v>
      </c>
      <c r="K432" s="353" t="s">
        <v>688</v>
      </c>
      <c r="O432" s="353" t="s">
        <v>688</v>
      </c>
    </row>
    <row r="433" spans="1:27" ht="15" thickBot="1">
      <c r="A433" s="353" t="s">
        <v>689</v>
      </c>
      <c r="C433" s="353"/>
      <c r="D433" s="342" t="s">
        <v>596</v>
      </c>
      <c r="E433" s="342"/>
      <c r="G433" s="353" t="s">
        <v>574</v>
      </c>
      <c r="I433" s="353" t="s">
        <v>461</v>
      </c>
      <c r="K433" s="353" t="s">
        <v>690</v>
      </c>
      <c r="M433" s="353" t="s">
        <v>657</v>
      </c>
      <c r="O433" s="353" t="s">
        <v>691</v>
      </c>
    </row>
    <row r="434" spans="1:27" ht="15" thickTop="1">
      <c r="A434" s="352">
        <v>1</v>
      </c>
      <c r="B434" s="354"/>
      <c r="C434" s="354"/>
      <c r="D434" s="354"/>
      <c r="E434" s="354"/>
      <c r="F434" s="354"/>
      <c r="G434" s="354"/>
      <c r="H434" s="354"/>
      <c r="I434" s="354"/>
      <c r="J434" s="354"/>
      <c r="K434" s="354"/>
      <c r="L434" s="354"/>
      <c r="M434" s="354"/>
      <c r="N434" s="354"/>
      <c r="O434" s="354"/>
      <c r="P434" s="354"/>
      <c r="Q434" s="354"/>
    </row>
    <row r="435" spans="1:27">
      <c r="A435" s="353">
        <v>2</v>
      </c>
    </row>
    <row r="436" spans="1:27">
      <c r="A436" s="353">
        <v>3</v>
      </c>
      <c r="C436" s="409" t="s">
        <v>744</v>
      </c>
      <c r="E436" s="410"/>
    </row>
    <row r="437" spans="1:27">
      <c r="A437" s="353">
        <v>4</v>
      </c>
    </row>
    <row r="438" spans="1:27">
      <c r="A438" s="353">
        <v>5</v>
      </c>
      <c r="C438" s="355" t="s">
        <v>745</v>
      </c>
    </row>
    <row r="439" spans="1:27" ht="15" thickBot="1">
      <c r="A439" s="353">
        <v>6</v>
      </c>
      <c r="C439" s="356" t="s">
        <v>693</v>
      </c>
      <c r="G439" s="357">
        <v>218712</v>
      </c>
      <c r="I439" s="358">
        <v>1</v>
      </c>
      <c r="K439" s="357">
        <f>G439*$I$439</f>
        <v>218712</v>
      </c>
      <c r="M439" s="357">
        <v>0</v>
      </c>
      <c r="O439" s="357">
        <f>K439+M439</f>
        <v>218712</v>
      </c>
    </row>
    <row r="440" spans="1:27" ht="15" thickTop="1">
      <c r="A440" s="353">
        <v>7</v>
      </c>
      <c r="C440" s="356" t="s">
        <v>695</v>
      </c>
      <c r="G440" s="411">
        <f>SUM(G439*0.3)+SUM(G439*0.55)</f>
        <v>185905.2</v>
      </c>
      <c r="H440" s="338"/>
      <c r="I440" s="362"/>
      <c r="K440" s="411">
        <f>G440*$I$439</f>
        <v>185905.2</v>
      </c>
      <c r="M440" s="411">
        <v>0</v>
      </c>
      <c r="O440" s="357">
        <f>K440+M440</f>
        <v>185905.2</v>
      </c>
    </row>
    <row r="441" spans="1:27">
      <c r="A441" s="353">
        <v>8</v>
      </c>
      <c r="C441" s="366" t="s">
        <v>696</v>
      </c>
      <c r="G441" s="368">
        <f>SUM(G439:G440)</f>
        <v>404617.2</v>
      </c>
      <c r="K441" s="368">
        <f>SUM(K439:K440)</f>
        <v>404617.2</v>
      </c>
      <c r="M441" s="368">
        <v>0</v>
      </c>
      <c r="O441" s="368">
        <f>K441+M441</f>
        <v>404617.2</v>
      </c>
    </row>
    <row r="442" spans="1:27">
      <c r="A442" s="353">
        <v>9</v>
      </c>
      <c r="G442" s="412"/>
      <c r="K442" s="412"/>
      <c r="M442" s="412"/>
      <c r="O442" s="412"/>
    </row>
    <row r="443" spans="1:27">
      <c r="A443" s="353">
        <v>10</v>
      </c>
      <c r="C443" s="371" t="s">
        <v>697</v>
      </c>
    </row>
    <row r="444" spans="1:27">
      <c r="A444" s="353">
        <v>11</v>
      </c>
      <c r="C444" s="356" t="s">
        <v>620</v>
      </c>
      <c r="G444" s="367">
        <v>8797.9786792452815</v>
      </c>
      <c r="K444" s="634">
        <f>G444*$I$439</f>
        <v>8797.9786792452815</v>
      </c>
      <c r="M444" s="367">
        <v>0</v>
      </c>
      <c r="O444" s="367">
        <f>K444+M444</f>
        <v>8797.9786792452815</v>
      </c>
    </row>
    <row r="445" spans="1:27">
      <c r="A445" s="353">
        <v>12</v>
      </c>
      <c r="C445" s="356" t="s">
        <v>542</v>
      </c>
      <c r="G445" s="367">
        <v>9256.8818519999986</v>
      </c>
      <c r="K445" s="634">
        <f>G445*$I$439</f>
        <v>9256.8818519999986</v>
      </c>
      <c r="M445" s="367">
        <v>0</v>
      </c>
      <c r="O445" s="367">
        <f t="shared" ref="O445:O447" si="7">K445+M445</f>
        <v>9256.8818519999986</v>
      </c>
    </row>
    <row r="446" spans="1:27">
      <c r="A446" s="353">
        <v>13</v>
      </c>
      <c r="C446" s="356" t="s">
        <v>86</v>
      </c>
      <c r="G446" s="367">
        <v>0</v>
      </c>
      <c r="K446" s="634">
        <f>G446*$I$439</f>
        <v>0</v>
      </c>
      <c r="M446" s="367">
        <v>0</v>
      </c>
      <c r="O446" s="367">
        <f t="shared" si="7"/>
        <v>0</v>
      </c>
      <c r="AA446" s="367"/>
    </row>
    <row r="447" spans="1:27">
      <c r="A447" s="353">
        <v>14</v>
      </c>
      <c r="C447" s="356" t="s">
        <v>698</v>
      </c>
      <c r="G447" s="411">
        <f>G439*0.025</f>
        <v>5467.8</v>
      </c>
      <c r="K447" s="634">
        <f>G447*$I$439</f>
        <v>5467.8</v>
      </c>
      <c r="M447" s="411">
        <v>0</v>
      </c>
      <c r="O447" s="367">
        <f t="shared" si="7"/>
        <v>5467.8</v>
      </c>
      <c r="AA447" s="411"/>
    </row>
    <row r="448" spans="1:27">
      <c r="A448" s="353">
        <v>15</v>
      </c>
      <c r="C448" s="366" t="s">
        <v>696</v>
      </c>
      <c r="G448" s="367">
        <f>SUM(G444:G447)</f>
        <v>23522.660531245278</v>
      </c>
      <c r="K448" s="368">
        <f>SUM(K444:K447)</f>
        <v>23522.660531245278</v>
      </c>
      <c r="M448" s="367">
        <v>0</v>
      </c>
      <c r="O448" s="368">
        <f>K448+M448</f>
        <v>23522.660531245278</v>
      </c>
    </row>
    <row r="449" spans="1:15">
      <c r="A449" s="353">
        <v>16</v>
      </c>
      <c r="G449" s="369"/>
      <c r="K449" s="370"/>
      <c r="M449" s="369"/>
      <c r="O449" s="370"/>
    </row>
    <row r="450" spans="1:15">
      <c r="A450" s="353">
        <v>17</v>
      </c>
      <c r="C450" s="371" t="s">
        <v>699</v>
      </c>
    </row>
    <row r="451" spans="1:15">
      <c r="A451" s="353">
        <v>18</v>
      </c>
      <c r="C451" s="356" t="s">
        <v>700</v>
      </c>
      <c r="G451" s="367">
        <f>G441*0.0765</f>
        <v>30953.215800000002</v>
      </c>
      <c r="K451" s="634">
        <f t="shared" ref="K451:K453" si="8">G451*$I$439</f>
        <v>30953.215800000002</v>
      </c>
      <c r="M451" s="367">
        <v>0</v>
      </c>
      <c r="O451" s="367">
        <f>K451+M451</f>
        <v>30953.215800000002</v>
      </c>
    </row>
    <row r="452" spans="1:15">
      <c r="A452" s="353">
        <v>19</v>
      </c>
      <c r="C452" s="356" t="s">
        <v>701</v>
      </c>
      <c r="G452" s="367">
        <v>28.049699999999987</v>
      </c>
      <c r="K452" s="634">
        <f t="shared" si="8"/>
        <v>28.049699999999987</v>
      </c>
      <c r="M452" s="367">
        <v>0</v>
      </c>
      <c r="O452" s="367">
        <f t="shared" ref="O452:O453" si="9">K452+M452</f>
        <v>28.049699999999987</v>
      </c>
    </row>
    <row r="453" spans="1:15">
      <c r="A453" s="353">
        <v>20</v>
      </c>
      <c r="C453" s="356" t="s">
        <v>702</v>
      </c>
      <c r="G453" s="411">
        <v>81.744839999999996</v>
      </c>
      <c r="K453" s="634">
        <f t="shared" si="8"/>
        <v>81.744839999999996</v>
      </c>
      <c r="M453" s="411">
        <v>0</v>
      </c>
      <c r="O453" s="367">
        <f t="shared" si="9"/>
        <v>81.744839999999996</v>
      </c>
    </row>
    <row r="454" spans="1:15">
      <c r="A454" s="353">
        <v>21</v>
      </c>
      <c r="C454" s="366" t="s">
        <v>696</v>
      </c>
      <c r="G454" s="367">
        <f>SUM(G451:G453)</f>
        <v>31063.010340000001</v>
      </c>
      <c r="K454" s="368">
        <f>SUM(K451:K453)</f>
        <v>31063.010340000001</v>
      </c>
      <c r="M454" s="367">
        <v>0</v>
      </c>
      <c r="O454" s="368">
        <f>SUM(O451:O453)</f>
        <v>31063.010340000001</v>
      </c>
    </row>
    <row r="455" spans="1:15">
      <c r="A455" s="353">
        <v>22</v>
      </c>
      <c r="G455" s="369"/>
      <c r="K455" s="370"/>
      <c r="M455" s="369"/>
      <c r="O455" s="370"/>
    </row>
    <row r="456" spans="1:15" ht="15" thickBot="1">
      <c r="A456" s="353">
        <v>23</v>
      </c>
      <c r="C456" s="17" t="s">
        <v>746</v>
      </c>
      <c r="G456" s="390">
        <f>SUM(G441,G448,G454)</f>
        <v>459202.87087124528</v>
      </c>
      <c r="K456" s="357">
        <f>K441+K448+K454</f>
        <v>459202.87087124528</v>
      </c>
      <c r="M456" s="357">
        <v>0</v>
      </c>
      <c r="O456" s="357">
        <f>O441+O448+O454</f>
        <v>459202.87087124528</v>
      </c>
    </row>
    <row r="457" spans="1:15" ht="15" thickTop="1">
      <c r="A457" s="353">
        <v>24</v>
      </c>
      <c r="G457" s="370"/>
      <c r="K457" s="362"/>
      <c r="M457" s="362"/>
      <c r="O457" s="362"/>
    </row>
    <row r="458" spans="1:15">
      <c r="A458" s="353">
        <v>25</v>
      </c>
    </row>
    <row r="459" spans="1:15">
      <c r="A459" s="353">
        <v>26</v>
      </c>
      <c r="C459" s="355" t="s">
        <v>747</v>
      </c>
    </row>
    <row r="460" spans="1:15" ht="15" thickBot="1">
      <c r="A460" s="353">
        <v>27</v>
      </c>
      <c r="C460" s="356" t="s">
        <v>693</v>
      </c>
      <c r="G460" s="357">
        <v>226554</v>
      </c>
      <c r="I460" s="358">
        <v>1</v>
      </c>
      <c r="J460" s="377"/>
      <c r="K460" s="357">
        <f>G460*$I$460</f>
        <v>226554</v>
      </c>
      <c r="L460" s="377"/>
      <c r="M460" s="357">
        <v>0</v>
      </c>
      <c r="O460" s="357">
        <f>K460+M460</f>
        <v>226554</v>
      </c>
    </row>
    <row r="461" spans="1:15" ht="15" thickTop="1">
      <c r="A461" s="353">
        <v>28</v>
      </c>
      <c r="C461" s="356" t="s">
        <v>695</v>
      </c>
      <c r="G461" s="411">
        <f>SUM(G460*0.3)+SUM(G460*0.55)</f>
        <v>192570.90000000002</v>
      </c>
      <c r="I461" s="362"/>
      <c r="K461" s="411">
        <f>G461*$I$460</f>
        <v>192570.90000000002</v>
      </c>
      <c r="M461" s="411">
        <v>0</v>
      </c>
      <c r="O461" s="357">
        <f>K461+M461</f>
        <v>192570.90000000002</v>
      </c>
    </row>
    <row r="462" spans="1:15">
      <c r="A462" s="353">
        <v>29</v>
      </c>
      <c r="C462" s="366" t="s">
        <v>696</v>
      </c>
      <c r="G462" s="368">
        <f>SUM(G460:G461)</f>
        <v>419124.9</v>
      </c>
      <c r="K462" s="368">
        <f>SUM(K460:K461)</f>
        <v>419124.9</v>
      </c>
      <c r="M462" s="368">
        <f>SUM(M460:M461)</f>
        <v>0</v>
      </c>
      <c r="O462" s="368">
        <f>SUM(O460:O461)</f>
        <v>419124.9</v>
      </c>
    </row>
    <row r="463" spans="1:15">
      <c r="A463" s="353">
        <v>30</v>
      </c>
    </row>
    <row r="464" spans="1:15">
      <c r="A464" s="353">
        <v>31</v>
      </c>
      <c r="C464" s="371" t="s">
        <v>697</v>
      </c>
    </row>
    <row r="465" spans="1:27">
      <c r="A465" s="353">
        <v>32</v>
      </c>
      <c r="C465" s="356" t="s">
        <v>620</v>
      </c>
      <c r="G465" s="367">
        <f>G444</f>
        <v>8797.9786792452815</v>
      </c>
      <c r="K465" s="634">
        <f t="shared" ref="K465:K468" si="10">G465*$I$460</f>
        <v>8797.9786792452815</v>
      </c>
      <c r="L465" s="377"/>
      <c r="M465" s="367">
        <v>0</v>
      </c>
      <c r="O465" s="367">
        <f>K465+M465</f>
        <v>8797.9786792452815</v>
      </c>
    </row>
    <row r="466" spans="1:27">
      <c r="A466" s="353">
        <v>33</v>
      </c>
      <c r="C466" s="356" t="s">
        <v>542</v>
      </c>
      <c r="G466" s="367">
        <v>9256.8818519999986</v>
      </c>
      <c r="K466" s="634">
        <f t="shared" si="10"/>
        <v>9256.8818519999986</v>
      </c>
      <c r="M466" s="367">
        <v>0</v>
      </c>
      <c r="O466" s="367">
        <f t="shared" ref="O466:O468" si="11">K466+M466</f>
        <v>9256.8818519999986</v>
      </c>
    </row>
    <row r="467" spans="1:27">
      <c r="A467" s="353">
        <v>34</v>
      </c>
      <c r="C467" s="356" t="s">
        <v>86</v>
      </c>
      <c r="G467" s="367">
        <v>0</v>
      </c>
      <c r="K467" s="634">
        <f t="shared" si="10"/>
        <v>0</v>
      </c>
      <c r="M467" s="367">
        <v>0</v>
      </c>
      <c r="O467" s="367">
        <f t="shared" si="11"/>
        <v>0</v>
      </c>
      <c r="AA467" s="367"/>
    </row>
    <row r="468" spans="1:27">
      <c r="A468" s="353">
        <v>35</v>
      </c>
      <c r="C468" s="356" t="s">
        <v>698</v>
      </c>
      <c r="G468" s="411">
        <f>G460*0.025</f>
        <v>5663.85</v>
      </c>
      <c r="K468" s="634">
        <f t="shared" si="10"/>
        <v>5663.85</v>
      </c>
      <c r="M468" s="411">
        <v>0</v>
      </c>
      <c r="O468" s="367">
        <f t="shared" si="11"/>
        <v>5663.85</v>
      </c>
    </row>
    <row r="469" spans="1:27">
      <c r="A469" s="353">
        <v>36</v>
      </c>
      <c r="C469" s="366" t="s">
        <v>696</v>
      </c>
      <c r="G469" s="367">
        <f>SUM(G465:G468)</f>
        <v>23718.710531245277</v>
      </c>
      <c r="K469" s="639">
        <f>SUM(K465:K468)</f>
        <v>23718.710531245277</v>
      </c>
      <c r="M469" s="367">
        <v>0</v>
      </c>
      <c r="O469" s="368">
        <f>SUM(O465:O468)</f>
        <v>23718.710531245277</v>
      </c>
    </row>
    <row r="470" spans="1:27">
      <c r="A470" s="353">
        <v>37</v>
      </c>
      <c r="G470" s="369"/>
      <c r="K470" s="369"/>
      <c r="M470" s="369"/>
      <c r="O470" s="370"/>
    </row>
    <row r="471" spans="1:27">
      <c r="A471" s="353">
        <v>38</v>
      </c>
      <c r="C471" s="371" t="s">
        <v>699</v>
      </c>
      <c r="K471" s="400"/>
    </row>
    <row r="472" spans="1:27">
      <c r="A472" s="353">
        <v>39</v>
      </c>
      <c r="C472" s="356" t="s">
        <v>700</v>
      </c>
      <c r="G472" s="367">
        <f>G462*0.0765</f>
        <v>32063.05485</v>
      </c>
      <c r="K472" s="634">
        <f t="shared" ref="K472:K474" si="12">G472*$I$460</f>
        <v>32063.05485</v>
      </c>
      <c r="M472" s="367">
        <v>0</v>
      </c>
      <c r="O472" s="367">
        <f>K472+M472</f>
        <v>32063.05485</v>
      </c>
    </row>
    <row r="473" spans="1:27">
      <c r="A473" s="353">
        <v>40</v>
      </c>
      <c r="C473" s="356" t="s">
        <v>701</v>
      </c>
      <c r="G473" s="367">
        <v>28.049699999999987</v>
      </c>
      <c r="K473" s="634">
        <f t="shared" si="12"/>
        <v>28.049699999999987</v>
      </c>
      <c r="M473" s="367">
        <v>0</v>
      </c>
      <c r="O473" s="367">
        <f t="shared" ref="O473:O474" si="13">K473+M473</f>
        <v>28.049699999999987</v>
      </c>
    </row>
    <row r="474" spans="1:27">
      <c r="A474" s="353">
        <v>41</v>
      </c>
      <c r="C474" s="356" t="s">
        <v>702</v>
      </c>
      <c r="G474" s="411">
        <v>81.744839999999996</v>
      </c>
      <c r="K474" s="634">
        <f t="shared" si="12"/>
        <v>81.744839999999996</v>
      </c>
      <c r="M474" s="411">
        <v>0</v>
      </c>
      <c r="O474" s="367">
        <f t="shared" si="13"/>
        <v>81.744839999999996</v>
      </c>
    </row>
    <row r="475" spans="1:27">
      <c r="A475" s="353">
        <v>42</v>
      </c>
      <c r="C475" s="366" t="s">
        <v>696</v>
      </c>
      <c r="G475" s="367">
        <f>SUM(G472:G474)</f>
        <v>32172.849389999999</v>
      </c>
      <c r="K475" s="639">
        <f>SUM(K472:K474)</f>
        <v>32172.849389999999</v>
      </c>
      <c r="M475" s="367">
        <v>0</v>
      </c>
      <c r="O475" s="639">
        <f>K475+M475</f>
        <v>32172.849389999999</v>
      </c>
    </row>
    <row r="476" spans="1:27">
      <c r="A476" s="353">
        <v>43</v>
      </c>
      <c r="G476" s="369"/>
      <c r="K476" s="369"/>
      <c r="M476" s="369"/>
      <c r="O476" s="369"/>
    </row>
    <row r="477" spans="1:27" ht="15" thickBot="1">
      <c r="A477" s="353">
        <v>44</v>
      </c>
      <c r="C477" s="17" t="s">
        <v>746</v>
      </c>
      <c r="G477" s="357">
        <f>G462+G469+G475</f>
        <v>475016.45992124529</v>
      </c>
      <c r="K477" s="357">
        <f>K462+K469+K475</f>
        <v>475016.45992124529</v>
      </c>
      <c r="M477" s="357">
        <f>M462+M469+M475</f>
        <v>0</v>
      </c>
      <c r="O477" s="357">
        <f>O462+O469+O475</f>
        <v>475016.45992124529</v>
      </c>
    </row>
    <row r="478" spans="1:27" ht="15" thickTop="1">
      <c r="A478" s="353">
        <v>45</v>
      </c>
      <c r="G478" s="362"/>
      <c r="K478" s="362"/>
      <c r="M478" s="362"/>
      <c r="O478" s="362"/>
    </row>
    <row r="479" spans="1:27">
      <c r="A479" s="353">
        <v>46</v>
      </c>
    </row>
    <row r="480" spans="1:27">
      <c r="A480" s="353"/>
    </row>
    <row r="481" spans="1:19">
      <c r="A481" s="353"/>
    </row>
    <row r="482" spans="1:19">
      <c r="A482" s="338"/>
      <c r="Q482" s="347"/>
    </row>
    <row r="483" spans="1:19">
      <c r="A483" s="338"/>
      <c r="Q483" s="391"/>
    </row>
    <row r="484" spans="1:19">
      <c r="A484" s="764" t="str">
        <f>'Link In'!$A$2</f>
        <v>Kentucky American Water Company</v>
      </c>
      <c r="B484" s="764"/>
      <c r="C484" s="764"/>
      <c r="D484" s="764"/>
      <c r="E484" s="764"/>
      <c r="F484" s="764"/>
      <c r="G484" s="764"/>
      <c r="H484" s="764"/>
      <c r="I484" s="764"/>
      <c r="J484" s="764"/>
      <c r="K484" s="764"/>
      <c r="L484" s="764"/>
      <c r="M484" s="764"/>
      <c r="N484" s="764"/>
      <c r="O484" s="764"/>
      <c r="P484" s="764"/>
      <c r="Q484" s="764"/>
      <c r="R484" s="378"/>
      <c r="S484" s="378"/>
    </row>
    <row r="485" spans="1:19">
      <c r="A485" s="341" t="str">
        <f>'Link In'!$A$3</f>
        <v>Case No. 2018-00358</v>
      </c>
      <c r="B485" s="342"/>
      <c r="C485" s="342"/>
      <c r="D485" s="342"/>
      <c r="E485" s="342"/>
      <c r="F485" s="342"/>
      <c r="G485" s="342"/>
      <c r="H485" s="342"/>
      <c r="I485" s="342"/>
      <c r="J485" s="342"/>
      <c r="K485" s="342"/>
      <c r="L485" s="342"/>
      <c r="M485" s="342"/>
      <c r="N485" s="342"/>
      <c r="O485" s="342"/>
      <c r="P485" s="342"/>
      <c r="Q485" s="342"/>
    </row>
    <row r="486" spans="1:19">
      <c r="A486" s="341" t="s">
        <v>742</v>
      </c>
      <c r="B486" s="342"/>
      <c r="C486" s="342"/>
      <c r="D486" s="342"/>
      <c r="E486" s="342"/>
      <c r="F486" s="342"/>
      <c r="G486" s="342"/>
      <c r="H486" s="342"/>
      <c r="I486" s="342"/>
      <c r="J486" s="342"/>
      <c r="K486" s="342"/>
      <c r="L486" s="342"/>
      <c r="M486" s="342"/>
      <c r="N486" s="342"/>
      <c r="O486" s="342"/>
      <c r="P486" s="342"/>
      <c r="Q486" s="342"/>
    </row>
    <row r="487" spans="1:19">
      <c r="A487" s="341" t="str">
        <f>+A6</f>
        <v>FOR THE TWELVE MONTHS ENDED:  February 28, 2019  (Base Period)</v>
      </c>
      <c r="B487" s="342"/>
      <c r="C487" s="342"/>
      <c r="D487" s="342"/>
      <c r="E487" s="342"/>
      <c r="F487" s="342"/>
      <c r="G487" s="343"/>
      <c r="H487" s="342"/>
      <c r="I487" s="342"/>
      <c r="J487" s="342"/>
      <c r="K487" s="342"/>
      <c r="L487" s="342"/>
      <c r="M487" s="342"/>
      <c r="N487" s="342"/>
      <c r="O487" s="342"/>
      <c r="P487" s="342"/>
      <c r="Q487" s="342"/>
    </row>
    <row r="488" spans="1:19">
      <c r="A488" s="341" t="str">
        <f>+A7</f>
        <v>FOR THE TWELVE MONTHS ENDED:  June 30, 2020  (Forecast Period)</v>
      </c>
      <c r="B488" s="342"/>
      <c r="C488" s="342"/>
      <c r="D488" s="342"/>
      <c r="E488" s="342"/>
      <c r="F488" s="342"/>
      <c r="G488" s="343"/>
      <c r="H488" s="342"/>
      <c r="I488" s="342"/>
      <c r="J488" s="342"/>
      <c r="K488" s="342"/>
      <c r="L488" s="342"/>
      <c r="M488" s="342"/>
      <c r="N488" s="342"/>
      <c r="O488" s="342"/>
      <c r="P488" s="342"/>
      <c r="Q488" s="342"/>
    </row>
    <row r="489" spans="1:19">
      <c r="A489" s="344" t="s">
        <v>686</v>
      </c>
      <c r="B489" s="345"/>
      <c r="C489" s="345"/>
      <c r="D489" s="345"/>
      <c r="E489" s="345"/>
      <c r="F489" s="345"/>
      <c r="G489" s="345"/>
      <c r="H489" s="345"/>
      <c r="I489" s="345"/>
      <c r="J489" s="345"/>
      <c r="K489" s="345"/>
      <c r="L489" s="345"/>
      <c r="M489" s="345"/>
      <c r="N489" s="345"/>
      <c r="O489" s="345"/>
      <c r="P489" s="345"/>
      <c r="Q489" s="346" t="s">
        <v>743</v>
      </c>
    </row>
    <row r="490" spans="1:19">
      <c r="A490" s="348" t="s">
        <v>687</v>
      </c>
      <c r="B490" s="345"/>
      <c r="C490" s="345"/>
      <c r="D490" s="345"/>
      <c r="E490" s="345"/>
      <c r="F490" s="345"/>
      <c r="G490" s="345"/>
      <c r="H490" s="345"/>
      <c r="I490" s="345"/>
      <c r="J490" s="345"/>
      <c r="K490" s="345"/>
      <c r="L490" s="345"/>
      <c r="M490" s="345"/>
      <c r="N490" s="345"/>
      <c r="O490" s="345"/>
      <c r="P490" s="345"/>
      <c r="Q490" s="349" t="str">
        <f ca="1">RIGHT(CELL("filename",$A$3),LEN(CELL("filename",$A$3))-SEARCH("\O&amp;M",CELL("filename",$A$3),1))</f>
        <v>O&amp;M\[KAWC 2018 Rate Case - Labor and Labor Related Exhibit.xlsx]Exh 37 G</v>
      </c>
    </row>
    <row r="491" spans="1:19">
      <c r="A491" s="345"/>
      <c r="B491" s="345"/>
      <c r="C491" s="345"/>
      <c r="D491" s="345"/>
      <c r="E491" s="345"/>
      <c r="F491" s="345"/>
      <c r="G491" s="345"/>
      <c r="H491" s="345"/>
      <c r="I491" s="345"/>
      <c r="J491" s="345"/>
      <c r="K491" s="345"/>
      <c r="L491" s="345"/>
      <c r="M491" s="345"/>
      <c r="N491" s="345"/>
      <c r="O491" s="345"/>
      <c r="P491" s="345"/>
      <c r="Q491" s="350" t="str">
        <f>'Link In'!$A$20</f>
        <v>Witness Responsible:   James Pellock</v>
      </c>
    </row>
    <row r="492" spans="1:19" ht="15" thickBot="1"/>
    <row r="493" spans="1:19" ht="15" thickTop="1">
      <c r="A493" s="351"/>
      <c r="B493" s="351"/>
      <c r="C493" s="351"/>
      <c r="D493" s="351"/>
      <c r="E493" s="351"/>
      <c r="F493" s="351"/>
      <c r="G493" s="351"/>
      <c r="H493" s="351"/>
      <c r="I493" s="351"/>
      <c r="J493" s="351"/>
      <c r="K493" s="351"/>
      <c r="L493" s="351"/>
      <c r="M493" s="351"/>
      <c r="N493" s="351"/>
      <c r="O493" s="351"/>
      <c r="P493" s="351"/>
      <c r="Q493" s="351"/>
    </row>
    <row r="494" spans="1:19">
      <c r="A494" s="353" t="s">
        <v>593</v>
      </c>
      <c r="G494" s="353" t="s">
        <v>476</v>
      </c>
      <c r="I494" s="353" t="s">
        <v>688</v>
      </c>
      <c r="K494" s="353" t="s">
        <v>688</v>
      </c>
      <c r="O494" s="353" t="s">
        <v>688</v>
      </c>
    </row>
    <row r="495" spans="1:19" ht="15" thickBot="1">
      <c r="A495" s="353" t="s">
        <v>689</v>
      </c>
      <c r="C495" s="353"/>
      <c r="D495" s="342" t="s">
        <v>596</v>
      </c>
      <c r="E495" s="342"/>
      <c r="G495" s="353" t="s">
        <v>574</v>
      </c>
      <c r="I495" s="353" t="s">
        <v>461</v>
      </c>
      <c r="K495" s="353" t="s">
        <v>690</v>
      </c>
      <c r="M495" s="353" t="s">
        <v>657</v>
      </c>
      <c r="O495" s="353" t="s">
        <v>691</v>
      </c>
    </row>
    <row r="496" spans="1:19" ht="15" thickTop="1">
      <c r="A496" s="352">
        <v>1</v>
      </c>
      <c r="B496" s="354"/>
      <c r="C496" s="354"/>
      <c r="D496" s="354"/>
      <c r="E496" s="354"/>
      <c r="F496" s="354"/>
      <c r="G496" s="354"/>
      <c r="H496" s="354"/>
      <c r="I496" s="354"/>
      <c r="J496" s="354"/>
      <c r="K496" s="354"/>
      <c r="L496" s="354"/>
      <c r="M496" s="354"/>
      <c r="N496" s="354"/>
      <c r="O496" s="354"/>
      <c r="P496" s="354"/>
      <c r="Q496" s="354"/>
    </row>
    <row r="497" spans="1:15">
      <c r="A497" s="353">
        <v>2</v>
      </c>
    </row>
    <row r="498" spans="1:15">
      <c r="A498" s="353">
        <v>3</v>
      </c>
      <c r="C498" s="409" t="s">
        <v>748</v>
      </c>
    </row>
    <row r="499" spans="1:15">
      <c r="A499" s="353">
        <v>4</v>
      </c>
    </row>
    <row r="500" spans="1:15">
      <c r="A500" s="353">
        <v>5</v>
      </c>
      <c r="C500" s="355" t="s">
        <v>745</v>
      </c>
    </row>
    <row r="501" spans="1:15" ht="15" thickBot="1">
      <c r="A501" s="353">
        <v>6</v>
      </c>
      <c r="C501" s="356" t="s">
        <v>693</v>
      </c>
      <c r="G501" s="357">
        <v>160139</v>
      </c>
      <c r="I501" s="358">
        <v>1</v>
      </c>
      <c r="K501" s="357">
        <f>G501</f>
        <v>160139</v>
      </c>
      <c r="M501" s="357">
        <v>0</v>
      </c>
      <c r="O501" s="357">
        <f>K501+M501</f>
        <v>160139</v>
      </c>
    </row>
    <row r="502" spans="1:15" ht="15" thickTop="1">
      <c r="A502" s="353">
        <v>7</v>
      </c>
      <c r="C502" s="356" t="s">
        <v>695</v>
      </c>
      <c r="G502" s="411">
        <f>SUM(G501*0.2)+SUM(G501*0.1)</f>
        <v>48041.700000000004</v>
      </c>
      <c r="H502" s="338"/>
      <c r="I502" s="362"/>
      <c r="K502" s="357">
        <f t="shared" ref="K502" si="14">G502</f>
        <v>48041.700000000004</v>
      </c>
      <c r="M502" s="411">
        <v>0</v>
      </c>
      <c r="O502" s="357">
        <f>K502+M502</f>
        <v>48041.700000000004</v>
      </c>
    </row>
    <row r="503" spans="1:15">
      <c r="A503" s="353">
        <v>8</v>
      </c>
      <c r="C503" s="366" t="s">
        <v>696</v>
      </c>
      <c r="G503" s="368">
        <f>SUM(G501:G502)</f>
        <v>208180.7</v>
      </c>
      <c r="K503" s="368">
        <f>SUM(K501:K502)</f>
        <v>208180.7</v>
      </c>
      <c r="M503" s="368">
        <v>0</v>
      </c>
      <c r="O503" s="368">
        <f>SUM(O501:O502)</f>
        <v>208180.7</v>
      </c>
    </row>
    <row r="504" spans="1:15">
      <c r="A504" s="353">
        <v>9</v>
      </c>
      <c r="G504" s="412"/>
      <c r="K504" s="412"/>
      <c r="M504" s="412"/>
      <c r="O504" s="412"/>
    </row>
    <row r="505" spans="1:15">
      <c r="A505" s="353">
        <v>10</v>
      </c>
      <c r="C505" s="371" t="s">
        <v>697</v>
      </c>
    </row>
    <row r="506" spans="1:15">
      <c r="A506" s="353">
        <v>11</v>
      </c>
      <c r="C506" s="356" t="s">
        <v>620</v>
      </c>
      <c r="G506" s="367">
        <v>0</v>
      </c>
      <c r="K506" s="367">
        <f>G506</f>
        <v>0</v>
      </c>
      <c r="M506" s="367">
        <v>0</v>
      </c>
      <c r="O506" s="367">
        <f>K506+M506</f>
        <v>0</v>
      </c>
    </row>
    <row r="507" spans="1:15">
      <c r="A507" s="353">
        <v>12</v>
      </c>
      <c r="C507" s="356" t="s">
        <v>542</v>
      </c>
      <c r="G507" s="367">
        <v>12156</v>
      </c>
      <c r="K507" s="367">
        <f t="shared" ref="K507:K509" si="15">G507</f>
        <v>12156</v>
      </c>
      <c r="M507" s="367">
        <v>0</v>
      </c>
      <c r="O507" s="367">
        <f t="shared" ref="O507:O509" si="16">K507+M507</f>
        <v>12156</v>
      </c>
    </row>
    <row r="508" spans="1:15">
      <c r="A508" s="353">
        <v>13</v>
      </c>
      <c r="C508" s="356" t="s">
        <v>86</v>
      </c>
      <c r="G508" s="367">
        <v>5697</v>
      </c>
      <c r="K508" s="367">
        <f t="shared" si="15"/>
        <v>5697</v>
      </c>
      <c r="M508" s="367">
        <v>0</v>
      </c>
      <c r="O508" s="367">
        <f t="shared" si="16"/>
        <v>5697</v>
      </c>
    </row>
    <row r="509" spans="1:15">
      <c r="A509" s="353">
        <v>14</v>
      </c>
      <c r="C509" s="356" t="s">
        <v>698</v>
      </c>
      <c r="G509" s="411">
        <v>3519</v>
      </c>
      <c r="K509" s="367">
        <f t="shared" si="15"/>
        <v>3519</v>
      </c>
      <c r="M509" s="411">
        <v>0</v>
      </c>
      <c r="O509" s="367">
        <f t="shared" si="16"/>
        <v>3519</v>
      </c>
    </row>
    <row r="510" spans="1:15">
      <c r="A510" s="353">
        <v>15</v>
      </c>
      <c r="C510" s="366" t="s">
        <v>696</v>
      </c>
      <c r="G510" s="367">
        <f>SUM(G506:G509)</f>
        <v>21372</v>
      </c>
      <c r="K510" s="368">
        <f>SUM(K506:K509)</f>
        <v>21372</v>
      </c>
      <c r="M510" s="367">
        <v>0</v>
      </c>
      <c r="O510" s="368">
        <f>SUM(O506:O509)</f>
        <v>21372</v>
      </c>
    </row>
    <row r="511" spans="1:15">
      <c r="A511" s="353">
        <v>16</v>
      </c>
      <c r="G511" s="369"/>
      <c r="K511" s="370"/>
      <c r="M511" s="369"/>
      <c r="O511" s="370"/>
    </row>
    <row r="512" spans="1:15">
      <c r="A512" s="353">
        <v>17</v>
      </c>
      <c r="C512" s="371" t="s">
        <v>699</v>
      </c>
    </row>
    <row r="513" spans="1:15">
      <c r="A513" s="353">
        <v>18</v>
      </c>
      <c r="C513" s="356" t="s">
        <v>700</v>
      </c>
      <c r="F513" s="365"/>
      <c r="G513" s="367">
        <v>10222</v>
      </c>
      <c r="K513" s="367">
        <f t="shared" ref="K513:K515" si="17">G513</f>
        <v>10222</v>
      </c>
      <c r="M513" s="367">
        <v>0</v>
      </c>
      <c r="O513" s="367">
        <f t="shared" ref="O513:O515" si="18">K513+M513</f>
        <v>10222</v>
      </c>
    </row>
    <row r="514" spans="1:15">
      <c r="A514" s="353">
        <v>19</v>
      </c>
      <c r="C514" s="356" t="s">
        <v>701</v>
      </c>
      <c r="G514" s="367">
        <v>42</v>
      </c>
      <c r="K514" s="367">
        <f t="shared" si="17"/>
        <v>42</v>
      </c>
      <c r="M514" s="367">
        <v>0</v>
      </c>
      <c r="O514" s="367">
        <f t="shared" si="18"/>
        <v>42</v>
      </c>
    </row>
    <row r="515" spans="1:15">
      <c r="A515" s="353">
        <v>20</v>
      </c>
      <c r="C515" s="356" t="s">
        <v>702</v>
      </c>
      <c r="G515" s="411">
        <v>165</v>
      </c>
      <c r="K515" s="367">
        <f t="shared" si="17"/>
        <v>165</v>
      </c>
      <c r="M515" s="411">
        <v>0</v>
      </c>
      <c r="O515" s="367">
        <f t="shared" si="18"/>
        <v>165</v>
      </c>
    </row>
    <row r="516" spans="1:15">
      <c r="A516" s="353">
        <v>21</v>
      </c>
      <c r="C516" s="366" t="s">
        <v>696</v>
      </c>
      <c r="G516" s="367">
        <f>SUM(G513:G515)</f>
        <v>10429</v>
      </c>
      <c r="K516" s="368">
        <f>SUM(K512:K515)</f>
        <v>10429</v>
      </c>
      <c r="M516" s="367">
        <v>0</v>
      </c>
      <c r="O516" s="368">
        <f>SUM(O512:O515)</f>
        <v>10429</v>
      </c>
    </row>
    <row r="517" spans="1:15">
      <c r="A517" s="353">
        <v>22</v>
      </c>
      <c r="G517" s="369"/>
      <c r="K517" s="369"/>
      <c r="M517" s="369"/>
      <c r="O517" s="370"/>
    </row>
    <row r="518" spans="1:15" ht="15" thickBot="1">
      <c r="A518" s="353">
        <v>23</v>
      </c>
      <c r="C518" s="17" t="s">
        <v>749</v>
      </c>
      <c r="G518" s="390">
        <f>G503+G510+G516</f>
        <v>239981.7</v>
      </c>
      <c r="K518" s="390">
        <f>K503+K510+K516</f>
        <v>239981.7</v>
      </c>
      <c r="M518" s="357">
        <v>0</v>
      </c>
      <c r="O518" s="390">
        <f>O503+O510+O516</f>
        <v>239981.7</v>
      </c>
    </row>
    <row r="519" spans="1:15" ht="15" thickTop="1">
      <c r="A519" s="353">
        <v>24</v>
      </c>
      <c r="G519" s="370"/>
      <c r="K519" s="362"/>
      <c r="M519" s="362"/>
      <c r="O519" s="362"/>
    </row>
    <row r="520" spans="1:15">
      <c r="A520" s="353">
        <v>25</v>
      </c>
    </row>
    <row r="521" spans="1:15">
      <c r="A521" s="353">
        <v>26</v>
      </c>
      <c r="C521" s="355" t="s">
        <v>747</v>
      </c>
    </row>
    <row r="522" spans="1:15" ht="15" thickBot="1">
      <c r="A522" s="353">
        <v>27</v>
      </c>
      <c r="C522" s="356" t="s">
        <v>693</v>
      </c>
      <c r="G522" s="627">
        <f>'NU Slry'!AX18</f>
        <v>161047.44</v>
      </c>
      <c r="I522" s="358">
        <v>1</v>
      </c>
      <c r="J522" s="377"/>
      <c r="K522" s="357">
        <f>G522</f>
        <v>161047.44</v>
      </c>
      <c r="L522" s="377"/>
      <c r="M522" s="407">
        <v>0</v>
      </c>
      <c r="O522" s="357">
        <f>K522+M522</f>
        <v>161047.44</v>
      </c>
    </row>
    <row r="523" spans="1:15" ht="15" thickTop="1">
      <c r="A523" s="353">
        <v>28</v>
      </c>
      <c r="C523" s="356" t="s">
        <v>695</v>
      </c>
      <c r="G523" s="411">
        <f>'NU Slry'!AY18+'NU Slry'!AZ18</f>
        <v>48314</v>
      </c>
      <c r="I523" s="362"/>
      <c r="K523" s="367">
        <f>G523</f>
        <v>48314</v>
      </c>
      <c r="M523" s="411">
        <v>0</v>
      </c>
      <c r="O523" s="357">
        <f>K523+M523</f>
        <v>48314</v>
      </c>
    </row>
    <row r="524" spans="1:15">
      <c r="A524" s="353">
        <v>29</v>
      </c>
      <c r="C524" s="366" t="s">
        <v>696</v>
      </c>
      <c r="G524" s="368">
        <f>SUM(G522:G523)</f>
        <v>209361.44</v>
      </c>
      <c r="K524" s="368">
        <f>SUM(K522:K523)</f>
        <v>209361.44</v>
      </c>
      <c r="M524" s="368">
        <v>0</v>
      </c>
      <c r="O524" s="368">
        <f>SUM(O522:O523)</f>
        <v>209361.44</v>
      </c>
    </row>
    <row r="525" spans="1:15">
      <c r="A525" s="353">
        <v>30</v>
      </c>
    </row>
    <row r="526" spans="1:15">
      <c r="A526" s="353">
        <v>31</v>
      </c>
      <c r="C526" s="371" t="s">
        <v>697</v>
      </c>
    </row>
    <row r="527" spans="1:15">
      <c r="A527" s="353">
        <v>32</v>
      </c>
      <c r="C527" s="356" t="s">
        <v>620</v>
      </c>
      <c r="G527" s="367">
        <v>0</v>
      </c>
      <c r="K527" s="357">
        <f>G527</f>
        <v>0</v>
      </c>
      <c r="L527" s="377"/>
      <c r="M527" s="367">
        <v>0</v>
      </c>
      <c r="O527" s="367">
        <f>K527+M527</f>
        <v>0</v>
      </c>
    </row>
    <row r="528" spans="1:15">
      <c r="A528" s="353">
        <v>33</v>
      </c>
      <c r="C528" s="356" t="s">
        <v>542</v>
      </c>
      <c r="G528" s="367">
        <f>'NU Slry'!CK18</f>
        <v>20620.458600000002</v>
      </c>
      <c r="K528" s="367">
        <f>G528</f>
        <v>20620.458600000002</v>
      </c>
      <c r="M528" s="367">
        <v>0</v>
      </c>
      <c r="O528" s="367">
        <f>K528+M528</f>
        <v>20620.458600000002</v>
      </c>
    </row>
    <row r="529" spans="1:15">
      <c r="A529" s="353">
        <v>34</v>
      </c>
      <c r="C529" s="356" t="s">
        <v>86</v>
      </c>
      <c r="G529" s="367">
        <f>'NU Slry'!BU18</f>
        <v>8454.9905999999992</v>
      </c>
      <c r="K529" s="367">
        <f t="shared" ref="K529:K530" si="19">G529</f>
        <v>8454.9905999999992</v>
      </c>
      <c r="M529" s="367">
        <v>0</v>
      </c>
      <c r="O529" s="367">
        <f t="shared" ref="O529:O530" si="20">K529+M529</f>
        <v>8454.9905999999992</v>
      </c>
    </row>
    <row r="530" spans="1:15">
      <c r="A530" s="353">
        <v>35</v>
      </c>
      <c r="C530" s="356" t="s">
        <v>698</v>
      </c>
      <c r="G530" s="411">
        <f>'NU Slry'!BT18</f>
        <v>7730.2575999999999</v>
      </c>
      <c r="K530" s="367">
        <f t="shared" si="19"/>
        <v>7730.2575999999999</v>
      </c>
      <c r="M530" s="411">
        <v>0</v>
      </c>
      <c r="O530" s="367">
        <f t="shared" si="20"/>
        <v>7730.2575999999999</v>
      </c>
    </row>
    <row r="531" spans="1:15">
      <c r="A531" s="353">
        <v>36</v>
      </c>
      <c r="C531" s="366" t="s">
        <v>696</v>
      </c>
      <c r="G531" s="367">
        <f>SUM(G527:G530)</f>
        <v>36805.7068</v>
      </c>
      <c r="K531" s="368">
        <f>SUM(K527:K530)</f>
        <v>36805.7068</v>
      </c>
      <c r="M531" s="367">
        <v>0</v>
      </c>
      <c r="O531" s="368">
        <f>SUM(O527:O530)</f>
        <v>36805.7068</v>
      </c>
    </row>
    <row r="532" spans="1:15">
      <c r="A532" s="353">
        <v>37</v>
      </c>
      <c r="G532" s="369"/>
      <c r="K532" s="370"/>
      <c r="M532" s="369"/>
      <c r="O532" s="370"/>
    </row>
    <row r="533" spans="1:15">
      <c r="A533" s="353">
        <v>38</v>
      </c>
      <c r="C533" s="371" t="s">
        <v>699</v>
      </c>
    </row>
    <row r="534" spans="1:15">
      <c r="A534" s="353">
        <v>39</v>
      </c>
      <c r="C534" s="356" t="s">
        <v>700</v>
      </c>
      <c r="G534" s="367">
        <f>'NU Slry'!BH18+'NU Slry'!BI18</f>
        <v>10996.54088</v>
      </c>
      <c r="K534" s="367">
        <f>G534</f>
        <v>10996.54088</v>
      </c>
      <c r="M534" s="367">
        <v>0</v>
      </c>
      <c r="O534" s="367">
        <f>K534+M534</f>
        <v>10996.54088</v>
      </c>
    </row>
    <row r="535" spans="1:15">
      <c r="A535" s="353">
        <v>40</v>
      </c>
      <c r="C535" s="356" t="s">
        <v>701</v>
      </c>
      <c r="G535" s="367">
        <f>'NU Slry'!BK18</f>
        <v>41.999999999999986</v>
      </c>
      <c r="K535" s="367">
        <f>G535</f>
        <v>41.999999999999986</v>
      </c>
      <c r="M535" s="367">
        <v>0</v>
      </c>
      <c r="O535" s="367">
        <f t="shared" ref="O535:O536" si="21">K535+M535</f>
        <v>41.999999999999986</v>
      </c>
    </row>
    <row r="536" spans="1:15">
      <c r="A536" s="353">
        <v>41</v>
      </c>
      <c r="C536" s="356" t="s">
        <v>702</v>
      </c>
      <c r="G536" s="411">
        <f>'NU Slry'!BJ18</f>
        <v>122.4</v>
      </c>
      <c r="K536" s="411">
        <f>G536</f>
        <v>122.4</v>
      </c>
      <c r="M536" s="411">
        <v>0</v>
      </c>
      <c r="O536" s="367">
        <f t="shared" si="21"/>
        <v>122.4</v>
      </c>
    </row>
    <row r="537" spans="1:15">
      <c r="A537" s="353">
        <v>42</v>
      </c>
      <c r="C537" s="366" t="s">
        <v>696</v>
      </c>
      <c r="G537" s="367">
        <f>SUM(G534:G536)</f>
        <v>11160.94088</v>
      </c>
      <c r="K537" s="367">
        <f>SUM(K534:K536)</f>
        <v>11160.94088</v>
      </c>
      <c r="M537" s="367">
        <v>0</v>
      </c>
      <c r="O537" s="368">
        <f>SUM(O533:O536)</f>
        <v>11160.94088</v>
      </c>
    </row>
    <row r="538" spans="1:15">
      <c r="A538" s="353">
        <v>43</v>
      </c>
      <c r="G538" s="369"/>
      <c r="K538" s="369"/>
      <c r="M538" s="369"/>
      <c r="O538" s="369"/>
    </row>
    <row r="539" spans="1:15" ht="15" thickBot="1">
      <c r="A539" s="353">
        <v>44</v>
      </c>
      <c r="C539" s="17" t="s">
        <v>749</v>
      </c>
      <c r="G539" s="357">
        <f>G524+G531+G537</f>
        <v>257328.08768</v>
      </c>
      <c r="K539" s="357">
        <f>K524+K531+K537</f>
        <v>257328.08768</v>
      </c>
      <c r="M539" s="357">
        <v>0</v>
      </c>
      <c r="O539" s="357">
        <f>O524+O531+O537</f>
        <v>257328.08768</v>
      </c>
    </row>
    <row r="540" spans="1:15" ht="15" thickTop="1">
      <c r="A540" s="353">
        <v>45</v>
      </c>
      <c r="G540" s="362"/>
      <c r="K540" s="362"/>
      <c r="M540" s="362"/>
      <c r="O540" s="362"/>
    </row>
    <row r="541" spans="1:15">
      <c r="A541" s="353">
        <v>46</v>
      </c>
      <c r="G541" s="632"/>
    </row>
    <row r="542" spans="1:15">
      <c r="A542" s="353"/>
      <c r="G542" s="400"/>
      <c r="H542" s="400"/>
      <c r="I542" s="400"/>
      <c r="J542" s="400"/>
      <c r="K542" s="400"/>
      <c r="L542" s="400"/>
      <c r="M542" s="400"/>
      <c r="N542" s="400"/>
      <c r="O542" s="400"/>
    </row>
    <row r="543" spans="1:15">
      <c r="A543" s="353"/>
      <c r="G543" s="370"/>
      <c r="K543" s="370"/>
      <c r="M543" s="370"/>
      <c r="O543" s="370"/>
    </row>
    <row r="544" spans="1:15">
      <c r="A544" s="353"/>
    </row>
    <row r="545" spans="1:1">
      <c r="A545" s="353"/>
    </row>
    <row r="546" spans="1:1">
      <c r="A546" s="353"/>
    </row>
    <row r="547" spans="1:1">
      <c r="A547" s="353"/>
    </row>
    <row r="548" spans="1:1">
      <c r="A548" s="353"/>
    </row>
  </sheetData>
  <mergeCells count="10">
    <mergeCell ref="A3:Q3"/>
    <mergeCell ref="C14:E14"/>
    <mergeCell ref="A63:Q63"/>
    <mergeCell ref="A122:Q122"/>
    <mergeCell ref="A182:Q182"/>
    <mergeCell ref="A300:Q300"/>
    <mergeCell ref="A362:Q362"/>
    <mergeCell ref="A422:Q422"/>
    <mergeCell ref="A484:Q484"/>
    <mergeCell ref="A242:Q242"/>
  </mergeCells>
  <pageMargins left="0.7" right="0.7" top="0.75" bottom="0.75" header="0.3" footer="0.3"/>
  <pageSetup scale="58" orientation="landscape" verticalDpi="1200" r:id="rId1"/>
  <rowBreaks count="8" manualBreakCount="8">
    <brk id="62" max="16" man="1"/>
    <brk id="121" max="16" man="1"/>
    <brk id="181" max="16" man="1"/>
    <brk id="241" max="16" man="1"/>
    <brk id="299" max="16" man="1"/>
    <brk id="361" max="16" man="1"/>
    <brk id="421" max="16" man="1"/>
    <brk id="483" max="16" man="1"/>
  </rowBreaks>
  <customProperties>
    <customPr name="_pios_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E37" sqref="E37"/>
    </sheetView>
  </sheetViews>
  <sheetFormatPr defaultColWidth="9.109375" defaultRowHeight="13.8"/>
  <cols>
    <col min="1" max="1" width="5.6640625" style="104" customWidth="1"/>
    <col min="2" max="2" width="1.6640625" style="104" customWidth="1"/>
    <col min="3" max="3" width="45.109375" style="104" customWidth="1"/>
    <col min="4" max="4" width="1.6640625" style="104" customWidth="1"/>
    <col min="5" max="5" width="12.6640625" style="104" customWidth="1"/>
    <col min="6" max="6" width="1.6640625" style="104" customWidth="1"/>
    <col min="7" max="7" width="12.6640625" style="104" customWidth="1"/>
    <col min="8" max="8" width="1.6640625" style="104" hidden="1" customWidth="1"/>
    <col min="9" max="9" width="12.6640625" style="104" hidden="1" customWidth="1"/>
    <col min="10" max="10" width="1.6640625" style="104" customWidth="1"/>
    <col min="11" max="11" width="12.6640625" style="104" customWidth="1"/>
    <col min="12" max="12" width="1.6640625" style="104" customWidth="1"/>
    <col min="13" max="13" width="34.6640625" style="104" customWidth="1"/>
    <col min="14" max="16384" width="9.109375" style="104"/>
  </cols>
  <sheetData>
    <row r="1" spans="1:13" ht="14.4">
      <c r="A1" s="222" t="s">
        <v>603</v>
      </c>
      <c r="B1" s="222"/>
      <c r="C1" s="222"/>
      <c r="D1" s="222"/>
      <c r="E1" s="222"/>
      <c r="F1" s="222"/>
      <c r="G1" s="222"/>
      <c r="H1" s="222"/>
      <c r="I1" s="222"/>
      <c r="J1" s="222"/>
      <c r="L1" s="215"/>
      <c r="M1" s="223" t="str">
        <f>'Link In'!A25</f>
        <v>W/P - 3-1</v>
      </c>
    </row>
    <row r="2" spans="1:13" ht="14.4">
      <c r="A2" s="222" t="s">
        <v>604</v>
      </c>
      <c r="B2" s="222"/>
      <c r="C2" s="222"/>
      <c r="D2" s="222"/>
      <c r="E2" s="222"/>
      <c r="F2" s="222"/>
      <c r="G2" s="222"/>
      <c r="H2" s="222"/>
      <c r="I2" s="222"/>
      <c r="J2" s="222"/>
      <c r="L2" s="215"/>
      <c r="M2" s="224" t="str">
        <f ca="1">RIGHT(CELL("filename",$A$1),LEN(CELL("filename",$A$1))-SEARCH("\O&amp;M",CELL("filename",$A$1),1))</f>
        <v>O&amp;M\[KAWC 2018 Rate Case - Labor and Labor Related Exhibit.xlsx]Labor Exhibit</v>
      </c>
    </row>
    <row r="4" spans="1:13" ht="14.4">
      <c r="A4" s="735" t="str">
        <f>'Link In'!A1</f>
        <v>Kentucky American Water Company</v>
      </c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</row>
    <row r="5" spans="1:13" ht="14.4">
      <c r="A5" s="735" t="str">
        <f>'Link In'!A3</f>
        <v>Case No. 2018-00358</v>
      </c>
      <c r="B5" s="735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</row>
    <row r="6" spans="1:13" ht="14.4">
      <c r="A6" s="735" t="str">
        <f>'Link In'!C25</f>
        <v>Base Year Adjustment Labor</v>
      </c>
      <c r="B6" s="735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</row>
    <row r="7" spans="1:13" ht="14.4">
      <c r="A7" s="736" t="str">
        <f>'Link In'!A6</f>
        <v>For the 12 Months Ending June 30, 2020</v>
      </c>
      <c r="B7" s="735"/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</row>
    <row r="9" spans="1:13" ht="14.4">
      <c r="A9" s="2" t="str">
        <f>'Link In'!A20</f>
        <v>Witness Responsible:   James Pellock</v>
      </c>
      <c r="B9" s="2"/>
      <c r="D9" s="2"/>
      <c r="E9" s="2"/>
      <c r="F9" s="2"/>
      <c r="G9" s="2"/>
      <c r="H9" s="2"/>
      <c r="I9" s="2"/>
      <c r="J9" s="2"/>
    </row>
    <row r="10" spans="1:13" ht="14.4">
      <c r="A10" s="211" t="str">
        <f>'Link In'!A15</f>
        <v>Type of Filing: __X__ Original  _____ Updated  _____ Revised</v>
      </c>
      <c r="B10" s="2"/>
      <c r="D10" s="2"/>
      <c r="E10" s="2"/>
      <c r="F10" s="2"/>
      <c r="G10" s="2"/>
      <c r="H10" s="2"/>
      <c r="I10" s="2"/>
      <c r="J10" s="2"/>
    </row>
    <row r="11" spans="1:13" ht="14.4">
      <c r="A11" s="2"/>
      <c r="B11" s="2"/>
      <c r="D11" s="2"/>
      <c r="E11" s="2"/>
      <c r="F11" s="2"/>
      <c r="G11" s="2"/>
      <c r="H11" s="2"/>
      <c r="I11" s="2"/>
      <c r="J11" s="2"/>
    </row>
    <row r="13" spans="1:13" ht="28.8">
      <c r="A13" s="134" t="s">
        <v>605</v>
      </c>
      <c r="B13" s="225"/>
      <c r="C13" s="134" t="s">
        <v>596</v>
      </c>
      <c r="D13" s="225"/>
      <c r="E13" s="134" t="str">
        <f>'Link In'!B7</f>
        <v>Base Year at 2/28/19</v>
      </c>
      <c r="F13" s="225"/>
      <c r="G13" s="134" t="s">
        <v>606</v>
      </c>
      <c r="H13" s="135"/>
      <c r="I13" s="134" t="s">
        <v>607</v>
      </c>
      <c r="J13" s="225"/>
      <c r="K13" s="134" t="str">
        <f>'Link In'!B9</f>
        <v>Forecast Year at 6/30/2020</v>
      </c>
      <c r="M13" s="134" t="s">
        <v>607</v>
      </c>
    </row>
    <row r="15" spans="1:13">
      <c r="A15" s="221">
        <v>1</v>
      </c>
      <c r="C15" s="83" t="str">
        <f>'Link In'!C7</f>
        <v>Base Year for the 12 Months Ended 2/28/19</v>
      </c>
      <c r="E15" s="550">
        <f>ROUND(SUM('Link In'!I35:I88),0)</f>
        <v>7184124</v>
      </c>
      <c r="F15" s="235"/>
      <c r="G15" s="235"/>
      <c r="H15" s="235"/>
      <c r="I15" s="235"/>
      <c r="J15" s="235"/>
      <c r="K15" s="235">
        <f>E15</f>
        <v>7184124</v>
      </c>
    </row>
    <row r="16" spans="1:13">
      <c r="A16" s="221">
        <v>2</v>
      </c>
    </row>
    <row r="17" spans="1:13">
      <c r="A17" s="221">
        <v>3</v>
      </c>
      <c r="E17" s="228"/>
      <c r="F17" s="228"/>
      <c r="G17" s="228"/>
      <c r="H17" s="228"/>
      <c r="I17" s="228"/>
      <c r="J17" s="228"/>
      <c r="K17" s="228"/>
    </row>
    <row r="18" spans="1:13" ht="14.4">
      <c r="A18" s="221">
        <v>4</v>
      </c>
      <c r="C18" s="2" t="s">
        <v>608</v>
      </c>
      <c r="E18" s="228"/>
      <c r="F18" s="228"/>
      <c r="G18" s="228"/>
      <c r="H18" s="228"/>
      <c r="I18" s="228"/>
      <c r="J18" s="228"/>
      <c r="K18" s="228"/>
    </row>
    <row r="19" spans="1:13">
      <c r="A19" s="221">
        <v>5</v>
      </c>
      <c r="C19" s="233" t="s">
        <v>624</v>
      </c>
      <c r="E19" s="228"/>
      <c r="F19" s="228"/>
      <c r="G19" s="230">
        <f>K25-K15-G20</f>
        <v>628485</v>
      </c>
      <c r="H19" s="228"/>
      <c r="I19" s="231" t="s">
        <v>654</v>
      </c>
      <c r="J19" s="228"/>
      <c r="K19" s="228"/>
    </row>
    <row r="20" spans="1:13">
      <c r="A20" s="221">
        <v>6</v>
      </c>
      <c r="C20" s="233" t="s">
        <v>664</v>
      </c>
      <c r="E20" s="228"/>
      <c r="F20" s="228"/>
      <c r="G20" s="230">
        <f>ROUND(Summary!D24,0)</f>
        <v>-10159</v>
      </c>
      <c r="H20" s="228"/>
      <c r="I20" s="231"/>
      <c r="J20" s="228"/>
      <c r="K20" s="228"/>
    </row>
    <row r="21" spans="1:13">
      <c r="A21" s="221">
        <v>7</v>
      </c>
      <c r="C21" s="229"/>
      <c r="E21" s="228"/>
      <c r="F21" s="228"/>
      <c r="G21" s="230"/>
      <c r="H21" s="228"/>
      <c r="I21" s="231"/>
      <c r="J21" s="228"/>
      <c r="K21" s="228"/>
    </row>
    <row r="22" spans="1:13" ht="14.4">
      <c r="A22" s="221">
        <v>8</v>
      </c>
      <c r="C22" s="2" t="s">
        <v>609</v>
      </c>
      <c r="E22" s="228"/>
      <c r="F22" s="228"/>
      <c r="G22" s="232">
        <f>SUM(G19:G21)</f>
        <v>618326</v>
      </c>
      <c r="H22" s="228"/>
      <c r="I22" s="228"/>
      <c r="J22" s="228"/>
      <c r="K22" s="232">
        <f>G22</f>
        <v>618326</v>
      </c>
      <c r="M22" s="204" t="s">
        <v>654</v>
      </c>
    </row>
    <row r="23" spans="1:13">
      <c r="A23" s="221">
        <v>9</v>
      </c>
      <c r="E23" s="228"/>
      <c r="F23" s="228"/>
      <c r="G23" s="228"/>
      <c r="H23" s="228"/>
      <c r="I23" s="228"/>
      <c r="J23" s="228"/>
      <c r="K23" s="228"/>
    </row>
    <row r="24" spans="1:13">
      <c r="A24" s="221">
        <v>10</v>
      </c>
    </row>
    <row r="25" spans="1:13" ht="15" thickBot="1">
      <c r="A25" s="221">
        <v>11</v>
      </c>
      <c r="C25" s="2" t="str">
        <f>'Link In'!C9</f>
        <v>Forecasted Year at Present Rates</v>
      </c>
      <c r="K25" s="236">
        <f>ROUND(Summary!D28,0)</f>
        <v>7802450</v>
      </c>
    </row>
    <row r="26" spans="1:13" ht="14.4" thickTop="1">
      <c r="A26" s="221">
        <v>12</v>
      </c>
      <c r="G26" s="10"/>
    </row>
    <row r="27" spans="1:13">
      <c r="K27" s="98"/>
    </row>
    <row r="28" spans="1:13">
      <c r="K28" s="239"/>
    </row>
  </sheetData>
  <mergeCells count="4">
    <mergeCell ref="A4:M4"/>
    <mergeCell ref="A5:M5"/>
    <mergeCell ref="A6:M6"/>
    <mergeCell ref="A7:M7"/>
  </mergeCells>
  <pageMargins left="0.7" right="0.7" top="0.75" bottom="0.75" header="0.3" footer="0.3"/>
  <pageSetup scale="95" orientation="landscape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Normal="100" workbookViewId="0"/>
  </sheetViews>
  <sheetFormatPr defaultColWidth="9.109375" defaultRowHeight="13.8"/>
  <cols>
    <col min="1" max="1" width="5.6640625" style="104" customWidth="1"/>
    <col min="2" max="2" width="1.6640625" style="104" customWidth="1"/>
    <col min="3" max="3" width="45.6640625" style="104" customWidth="1"/>
    <col min="4" max="4" width="1.6640625" style="104" customWidth="1"/>
    <col min="5" max="5" width="12.6640625" style="104" customWidth="1"/>
    <col min="6" max="6" width="1.6640625" style="104" customWidth="1"/>
    <col min="7" max="7" width="12.6640625" style="104" customWidth="1"/>
    <col min="8" max="8" width="1.6640625" style="104" hidden="1" customWidth="1"/>
    <col min="9" max="9" width="12.6640625" style="104" hidden="1" customWidth="1"/>
    <col min="10" max="10" width="1.6640625" style="104" customWidth="1"/>
    <col min="11" max="11" width="12.6640625" style="104" customWidth="1"/>
    <col min="12" max="12" width="1.6640625" style="104" customWidth="1"/>
    <col min="13" max="13" width="34.33203125" style="104" customWidth="1"/>
    <col min="14" max="16384" width="9.109375" style="104"/>
  </cols>
  <sheetData>
    <row r="1" spans="1:13" ht="14.4">
      <c r="A1" s="222" t="s">
        <v>603</v>
      </c>
      <c r="B1" s="222"/>
      <c r="C1" s="222"/>
      <c r="D1" s="222"/>
      <c r="E1" s="222"/>
      <c r="F1" s="222"/>
      <c r="G1" s="222"/>
      <c r="H1" s="222"/>
      <c r="I1" s="222"/>
      <c r="J1" s="222"/>
      <c r="L1" s="215"/>
      <c r="M1" s="223" t="str">
        <f>'Link In'!A26</f>
        <v>W/P - 3-1a</v>
      </c>
    </row>
    <row r="2" spans="1:13" ht="14.4">
      <c r="A2" s="222" t="s">
        <v>604</v>
      </c>
      <c r="B2" s="222"/>
      <c r="C2" s="222"/>
      <c r="D2" s="222"/>
      <c r="E2" s="222"/>
      <c r="F2" s="222"/>
      <c r="G2" s="222"/>
      <c r="H2" s="222"/>
      <c r="I2" s="222"/>
      <c r="J2" s="222"/>
      <c r="L2" s="215"/>
      <c r="M2" s="224" t="str">
        <f ca="1">RIGHT(CELL("filename",$A$1),LEN(CELL("filename",$A$1))-SEARCH("\O&amp;M",CELL("filename",$A$1),1))</f>
        <v>O&amp;M\[KAWC 2018 Rate Case - Labor and Labor Related Exhibit.xlsx]Group Ins Exhibit</v>
      </c>
    </row>
    <row r="4" spans="1:13" ht="14.4">
      <c r="A4" s="735" t="str">
        <f>'Link In'!A1</f>
        <v>Kentucky American Water Company</v>
      </c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</row>
    <row r="5" spans="1:13" ht="14.4">
      <c r="A5" s="735" t="str">
        <f>'Link In'!A3</f>
        <v>Case No. 2018-00358</v>
      </c>
      <c r="B5" s="735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</row>
    <row r="6" spans="1:13" ht="14.4">
      <c r="A6" s="735" t="str">
        <f>'Link In'!C26</f>
        <v>Base Year Adjustment Group Insurance and OPEB</v>
      </c>
      <c r="B6" s="735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</row>
    <row r="7" spans="1:13" ht="14.4">
      <c r="A7" s="736" t="str">
        <f>'Link In'!A6</f>
        <v>For the 12 Months Ending June 30, 2020</v>
      </c>
      <c r="B7" s="735"/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</row>
    <row r="9" spans="1:13" ht="14.4">
      <c r="A9" s="2" t="str">
        <f>'Link In'!A20</f>
        <v>Witness Responsible:   James Pellock</v>
      </c>
      <c r="B9" s="2"/>
      <c r="D9" s="2"/>
      <c r="E9" s="2"/>
      <c r="F9" s="2"/>
      <c r="G9" s="2"/>
      <c r="H9" s="2"/>
      <c r="I9" s="2"/>
      <c r="J9" s="2"/>
    </row>
    <row r="10" spans="1:13" ht="14.4">
      <c r="A10" s="211" t="str">
        <f>'Link In'!A15</f>
        <v>Type of Filing: __X__ Original  _____ Updated  _____ Revised</v>
      </c>
      <c r="B10" s="2"/>
      <c r="D10" s="2"/>
      <c r="E10" s="2"/>
      <c r="F10" s="2"/>
      <c r="G10" s="2"/>
      <c r="H10" s="2"/>
      <c r="I10" s="2"/>
      <c r="J10" s="2"/>
    </row>
    <row r="11" spans="1:13" ht="14.4">
      <c r="A11" s="2"/>
      <c r="B11" s="2"/>
      <c r="D11" s="2"/>
      <c r="E11" s="2"/>
      <c r="F11" s="2"/>
      <c r="G11" s="2"/>
      <c r="H11" s="2"/>
      <c r="I11" s="2"/>
      <c r="J11" s="2"/>
    </row>
    <row r="13" spans="1:13" ht="28.8">
      <c r="A13" s="134" t="s">
        <v>605</v>
      </c>
      <c r="B13" s="225"/>
      <c r="C13" s="134" t="s">
        <v>596</v>
      </c>
      <c r="D13" s="225"/>
      <c r="E13" s="134" t="str">
        <f>'Link In'!B7</f>
        <v>Base Year at 2/28/19</v>
      </c>
      <c r="F13" s="225"/>
      <c r="G13" s="134" t="s">
        <v>606</v>
      </c>
      <c r="H13" s="135"/>
      <c r="I13" s="134" t="s">
        <v>607</v>
      </c>
      <c r="J13" s="225"/>
      <c r="K13" s="134" t="str">
        <f>'Link In'!B9</f>
        <v>Forecast Year at 6/30/2020</v>
      </c>
      <c r="M13" s="134" t="s">
        <v>607</v>
      </c>
    </row>
    <row r="15" spans="1:13">
      <c r="A15" s="221">
        <v>1</v>
      </c>
      <c r="C15" s="233" t="s">
        <v>542</v>
      </c>
      <c r="E15" s="551">
        <f>ROUND('Link In'!I95+'Link In'!I96+'Link In'!AN49,0)</f>
        <v>1415517</v>
      </c>
      <c r="F15" s="235"/>
      <c r="G15" s="235"/>
      <c r="H15" s="235"/>
      <c r="I15" s="235"/>
      <c r="J15" s="235"/>
      <c r="K15" s="554">
        <f>E15</f>
        <v>1415517</v>
      </c>
    </row>
    <row r="16" spans="1:13">
      <c r="A16" s="221">
        <v>2</v>
      </c>
      <c r="C16" s="234" t="s">
        <v>622</v>
      </c>
      <c r="E16" s="226">
        <f>ROUND('Link In'!I93+'Link In'!I94,0)</f>
        <v>114601</v>
      </c>
      <c r="F16" s="227"/>
      <c r="G16" s="227"/>
      <c r="H16" s="227"/>
      <c r="I16" s="227"/>
      <c r="J16" s="227"/>
      <c r="K16" s="227">
        <f>E16</f>
        <v>114601</v>
      </c>
    </row>
    <row r="17" spans="1:13">
      <c r="A17" s="221">
        <v>3</v>
      </c>
      <c r="C17" s="83" t="str">
        <f>'Link In'!C7</f>
        <v>Base Year for the 12 Months Ended 2/28/19</v>
      </c>
      <c r="E17" s="237">
        <f>SUM(E15:E16)</f>
        <v>1530118</v>
      </c>
      <c r="F17" s="227"/>
      <c r="G17" s="227"/>
      <c r="H17" s="227"/>
      <c r="I17" s="227"/>
      <c r="J17" s="227"/>
      <c r="K17" s="237">
        <f>SUM(K15:K16)</f>
        <v>1530118</v>
      </c>
    </row>
    <row r="18" spans="1:13">
      <c r="A18" s="221">
        <v>4</v>
      </c>
    </row>
    <row r="19" spans="1:13">
      <c r="A19" s="221">
        <v>5</v>
      </c>
      <c r="E19" s="228"/>
      <c r="F19" s="228"/>
      <c r="G19" s="228"/>
      <c r="H19" s="228"/>
      <c r="I19" s="228"/>
      <c r="J19" s="228"/>
      <c r="K19" s="228"/>
    </row>
    <row r="20" spans="1:13" ht="14.4">
      <c r="A20" s="221">
        <v>6</v>
      </c>
      <c r="C20" s="2" t="s">
        <v>608</v>
      </c>
      <c r="E20" s="228"/>
      <c r="F20" s="228"/>
      <c r="G20" s="228"/>
      <c r="H20" s="228"/>
      <c r="I20" s="228"/>
      <c r="J20" s="228"/>
      <c r="K20" s="228"/>
    </row>
    <row r="21" spans="1:13">
      <c r="A21" s="221">
        <v>7</v>
      </c>
      <c r="C21" s="233" t="s">
        <v>623</v>
      </c>
      <c r="E21" s="228"/>
      <c r="F21" s="228"/>
      <c r="G21" s="230">
        <f>K27-K15</f>
        <v>304797</v>
      </c>
      <c r="H21" s="228"/>
      <c r="I21" s="231" t="s">
        <v>654</v>
      </c>
      <c r="J21" s="228"/>
      <c r="K21" s="228"/>
    </row>
    <row r="22" spans="1:13">
      <c r="A22" s="221">
        <v>8</v>
      </c>
      <c r="C22" s="233" t="s">
        <v>622</v>
      </c>
      <c r="E22" s="228"/>
      <c r="F22" s="228"/>
      <c r="G22" s="230">
        <f>K28-K16</f>
        <v>-40568</v>
      </c>
      <c r="H22" s="228"/>
      <c r="I22" s="231"/>
      <c r="J22" s="228"/>
      <c r="K22" s="228"/>
    </row>
    <row r="23" spans="1:13">
      <c r="A23" s="221">
        <v>9</v>
      </c>
      <c r="C23" s="229"/>
      <c r="E23" s="228"/>
      <c r="F23" s="228"/>
      <c r="G23" s="230"/>
      <c r="H23" s="228"/>
      <c r="I23" s="231"/>
      <c r="J23" s="228"/>
      <c r="K23" s="228"/>
    </row>
    <row r="24" spans="1:13" ht="14.4">
      <c r="A24" s="221">
        <v>10</v>
      </c>
      <c r="C24" s="2" t="s">
        <v>609</v>
      </c>
      <c r="E24" s="228"/>
      <c r="F24" s="228"/>
      <c r="G24" s="232">
        <f>SUM(G21:G23)</f>
        <v>264229</v>
      </c>
      <c r="H24" s="228"/>
      <c r="I24" s="228"/>
      <c r="J24" s="228"/>
      <c r="K24" s="232">
        <f>G24</f>
        <v>264229</v>
      </c>
      <c r="M24" s="204" t="s">
        <v>654</v>
      </c>
    </row>
    <row r="25" spans="1:13">
      <c r="A25" s="221">
        <v>11</v>
      </c>
      <c r="E25" s="228"/>
      <c r="F25" s="228"/>
      <c r="G25" s="228"/>
      <c r="H25" s="228"/>
      <c r="I25" s="228"/>
      <c r="J25" s="228"/>
      <c r="K25" s="228"/>
    </row>
    <row r="26" spans="1:13">
      <c r="A26" s="221">
        <v>12</v>
      </c>
    </row>
    <row r="27" spans="1:13">
      <c r="A27" s="221">
        <v>13</v>
      </c>
      <c r="C27" s="233" t="s">
        <v>542</v>
      </c>
      <c r="K27" s="230">
        <f>ROUND(Summary!D60,0)</f>
        <v>1720314</v>
      </c>
    </row>
    <row r="28" spans="1:13">
      <c r="A28" s="221">
        <v>14</v>
      </c>
      <c r="C28" s="234" t="s">
        <v>622</v>
      </c>
      <c r="K28" s="230">
        <f>ROUND('OPEB WP'!C13,0)</f>
        <v>74033</v>
      </c>
    </row>
    <row r="29" spans="1:13" ht="15" thickBot="1">
      <c r="A29" s="221">
        <v>15</v>
      </c>
      <c r="C29" s="2" t="str">
        <f>'Link In'!C9</f>
        <v>Forecasted Year at Present Rates</v>
      </c>
      <c r="K29" s="238">
        <f>ROUND(SUM(K27:K28),0)</f>
        <v>1794347</v>
      </c>
    </row>
    <row r="30" spans="1:13" ht="14.4" thickTop="1"/>
  </sheetData>
  <mergeCells count="4">
    <mergeCell ref="A4:M4"/>
    <mergeCell ref="A5:M5"/>
    <mergeCell ref="A6:M6"/>
    <mergeCell ref="A7:M7"/>
  </mergeCells>
  <pageMargins left="0.7" right="0.7" top="0.75" bottom="0.75" header="0.3" footer="0.3"/>
  <pageSetup orientation="landscape" verticalDpi="12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Normal="100" workbookViewId="0"/>
  </sheetViews>
  <sheetFormatPr defaultColWidth="9.109375" defaultRowHeight="13.8"/>
  <cols>
    <col min="1" max="1" width="5.6640625" style="104" customWidth="1"/>
    <col min="2" max="2" width="1.6640625" style="104" customWidth="1"/>
    <col min="3" max="3" width="37.6640625" style="104" customWidth="1"/>
    <col min="4" max="4" width="1.6640625" style="104" customWidth="1"/>
    <col min="5" max="5" width="12.6640625" style="104" customWidth="1"/>
    <col min="6" max="6" width="1.6640625" style="104" customWidth="1"/>
    <col min="7" max="7" width="12.6640625" style="104" customWidth="1"/>
    <col min="8" max="8" width="1.6640625" style="104" hidden="1" customWidth="1"/>
    <col min="9" max="9" width="12.6640625" style="104" hidden="1" customWidth="1"/>
    <col min="10" max="10" width="1.6640625" style="104" customWidth="1"/>
    <col min="11" max="11" width="12.6640625" style="104" customWidth="1"/>
    <col min="12" max="12" width="1.6640625" style="104" customWidth="1"/>
    <col min="13" max="13" width="24.5546875" style="104" customWidth="1"/>
    <col min="14" max="16384" width="9.109375" style="104"/>
  </cols>
  <sheetData>
    <row r="1" spans="1:13" ht="14.4">
      <c r="A1" s="222" t="s">
        <v>603</v>
      </c>
      <c r="B1" s="222"/>
      <c r="C1" s="222"/>
      <c r="D1" s="222"/>
      <c r="E1" s="222"/>
      <c r="F1" s="222"/>
      <c r="G1" s="222"/>
      <c r="H1" s="222"/>
      <c r="I1" s="222"/>
      <c r="J1" s="222"/>
      <c r="L1" s="215"/>
      <c r="M1" s="223" t="str">
        <f>'Link In'!A27</f>
        <v>W/P - 3-1b</v>
      </c>
    </row>
    <row r="2" spans="1:13" ht="14.4">
      <c r="A2" s="222" t="s">
        <v>604</v>
      </c>
      <c r="B2" s="222"/>
      <c r="C2" s="222"/>
      <c r="D2" s="222"/>
      <c r="E2" s="222"/>
      <c r="F2" s="222"/>
      <c r="G2" s="222"/>
      <c r="H2" s="222"/>
      <c r="I2" s="222"/>
      <c r="J2" s="222"/>
      <c r="L2" s="215"/>
      <c r="M2" s="224" t="str">
        <f ca="1">RIGHT(CELL("filename",$A$1),LEN(CELL("filename",$A$1))-SEARCH("\O&amp;M",CELL("filename",$A$1),1))</f>
        <v>O&amp;M\[KAWC 2018 Rate Case - Labor and Labor Related Exhibit.xlsx]Other Benefits Exhibit</v>
      </c>
    </row>
    <row r="4" spans="1:13" ht="14.4">
      <c r="A4" s="735" t="str">
        <f>'Link In'!A1</f>
        <v>Kentucky American Water Company</v>
      </c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</row>
    <row r="5" spans="1:13" ht="14.4">
      <c r="A5" s="735" t="str">
        <f>'Link In'!A3</f>
        <v>Case No. 2018-00358</v>
      </c>
      <c r="B5" s="735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</row>
    <row r="6" spans="1:13" ht="14.4">
      <c r="A6" s="735" t="str">
        <f>'Link In'!C27</f>
        <v>Base Year Adjustment Other Benefits</v>
      </c>
      <c r="B6" s="735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</row>
    <row r="7" spans="1:13" ht="14.4">
      <c r="A7" s="736" t="str">
        <f>'Link In'!A6</f>
        <v>For the 12 Months Ending June 30, 2020</v>
      </c>
      <c r="B7" s="735"/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</row>
    <row r="9" spans="1:13" ht="14.4">
      <c r="A9" s="2" t="str">
        <f>'Link In'!A20</f>
        <v>Witness Responsible:   James Pellock</v>
      </c>
      <c r="B9" s="2"/>
      <c r="D9" s="2"/>
      <c r="E9" s="2"/>
      <c r="F9" s="2"/>
      <c r="G9" s="2"/>
      <c r="H9" s="2"/>
      <c r="I9" s="2"/>
      <c r="J9" s="2"/>
    </row>
    <row r="10" spans="1:13" ht="14.4">
      <c r="A10" s="211" t="str">
        <f>'Link In'!A15</f>
        <v>Type of Filing: __X__ Original  _____ Updated  _____ Revised</v>
      </c>
      <c r="B10" s="2"/>
      <c r="D10" s="2"/>
      <c r="E10" s="2"/>
      <c r="F10" s="2"/>
      <c r="G10" s="2"/>
      <c r="H10" s="2"/>
      <c r="I10" s="2"/>
      <c r="J10" s="2"/>
    </row>
    <row r="11" spans="1:13" ht="14.4">
      <c r="A11" s="2"/>
      <c r="B11" s="2"/>
      <c r="D11" s="2"/>
      <c r="E11" s="2"/>
      <c r="F11" s="2"/>
      <c r="G11" s="2"/>
      <c r="H11" s="2"/>
      <c r="I11" s="2"/>
      <c r="J11" s="2"/>
    </row>
    <row r="13" spans="1:13" ht="28.8">
      <c r="A13" s="134" t="s">
        <v>605</v>
      </c>
      <c r="B13" s="225"/>
      <c r="C13" s="134" t="s">
        <v>596</v>
      </c>
      <c r="D13" s="225"/>
      <c r="E13" s="134" t="str">
        <f>'Link In'!B7</f>
        <v>Base Year at 2/28/19</v>
      </c>
      <c r="F13" s="225"/>
      <c r="G13" s="134" t="s">
        <v>606</v>
      </c>
      <c r="H13" s="135"/>
      <c r="I13" s="134" t="s">
        <v>607</v>
      </c>
      <c r="J13" s="225"/>
      <c r="K13" s="134" t="str">
        <f>'Link In'!B9</f>
        <v>Forecast Year at 6/30/2020</v>
      </c>
      <c r="M13" s="134" t="s">
        <v>607</v>
      </c>
    </row>
    <row r="15" spans="1:13">
      <c r="A15" s="221">
        <v>1</v>
      </c>
      <c r="C15" s="241" t="s">
        <v>628</v>
      </c>
      <c r="E15" s="550">
        <f>ROUND('Link In'!I99+'Link In'!I100,0)</f>
        <v>192877</v>
      </c>
    </row>
    <row r="16" spans="1:13">
      <c r="A16" s="221">
        <v>2</v>
      </c>
      <c r="C16" s="241" t="s">
        <v>629</v>
      </c>
      <c r="E16" s="230">
        <f>ROUND('Link In'!I101+'Link In'!I102,0)</f>
        <v>226863</v>
      </c>
    </row>
    <row r="17" spans="1:11">
      <c r="A17" s="221">
        <v>3</v>
      </c>
      <c r="C17" s="241" t="s">
        <v>630</v>
      </c>
      <c r="E17" s="230">
        <f>ROUND('Link In'!I103,0)</f>
        <v>14837</v>
      </c>
      <c r="F17" s="228"/>
      <c r="G17" s="228"/>
      <c r="H17" s="228"/>
      <c r="I17" s="228"/>
      <c r="J17" s="228"/>
      <c r="K17" s="228"/>
    </row>
    <row r="18" spans="1:11">
      <c r="A18" s="221">
        <v>4</v>
      </c>
      <c r="C18" s="241" t="s">
        <v>631</v>
      </c>
      <c r="E18" s="230">
        <f>ROUND('Link In'!I104+'Link In'!I105,0)</f>
        <v>19978</v>
      </c>
      <c r="F18" s="228"/>
      <c r="G18" s="228"/>
      <c r="H18" s="228"/>
      <c r="I18" s="228"/>
      <c r="J18" s="228"/>
      <c r="K18" s="228"/>
    </row>
    <row r="19" spans="1:11">
      <c r="A19" s="221">
        <v>5</v>
      </c>
      <c r="C19" s="241" t="s">
        <v>632</v>
      </c>
      <c r="E19" s="230">
        <f>ROUND(SUM('Link In'!I106:I110),0)</f>
        <v>35179</v>
      </c>
      <c r="F19" s="228"/>
      <c r="G19" s="228"/>
      <c r="H19" s="228"/>
      <c r="I19" s="228"/>
      <c r="J19" s="228"/>
      <c r="K19" s="228"/>
    </row>
    <row r="20" spans="1:11">
      <c r="A20" s="221">
        <v>6</v>
      </c>
      <c r="C20" s="241" t="s">
        <v>633</v>
      </c>
      <c r="E20" s="230">
        <f>ROUND('Link In'!I111,0)</f>
        <v>13063</v>
      </c>
      <c r="F20" s="228"/>
      <c r="G20" s="228"/>
      <c r="H20" s="228"/>
      <c r="I20" s="228"/>
      <c r="J20" s="228"/>
      <c r="K20" s="228"/>
    </row>
    <row r="21" spans="1:11">
      <c r="A21" s="221">
        <v>7</v>
      </c>
      <c r="C21" s="241" t="s">
        <v>634</v>
      </c>
      <c r="E21" s="230">
        <f>ROUND('Link In'!I112,0)</f>
        <v>8057</v>
      </c>
      <c r="F21" s="228"/>
      <c r="G21" s="228"/>
      <c r="H21" s="228"/>
      <c r="I21" s="228"/>
      <c r="J21" s="228"/>
      <c r="K21" s="228"/>
    </row>
    <row r="22" spans="1:11">
      <c r="A22" s="221">
        <v>8</v>
      </c>
      <c r="C22" s="241" t="s">
        <v>635</v>
      </c>
      <c r="E22" s="230">
        <f>ROUND('Link In'!I113,0)</f>
        <v>39</v>
      </c>
      <c r="F22" s="228"/>
      <c r="G22" s="228"/>
      <c r="H22" s="228"/>
      <c r="I22" s="228"/>
      <c r="J22" s="228"/>
      <c r="K22" s="228"/>
    </row>
    <row r="23" spans="1:11">
      <c r="A23" s="221">
        <v>9</v>
      </c>
      <c r="C23" s="241" t="s">
        <v>636</v>
      </c>
      <c r="E23" s="230">
        <f>ROUND('Link In'!I114,0)</f>
        <v>26053</v>
      </c>
      <c r="F23" s="228"/>
      <c r="G23" s="228"/>
      <c r="H23" s="228"/>
      <c r="I23" s="228"/>
      <c r="J23" s="228"/>
      <c r="K23" s="228"/>
    </row>
    <row r="24" spans="1:11">
      <c r="A24" s="221">
        <v>10</v>
      </c>
      <c r="C24" s="241" t="s">
        <v>637</v>
      </c>
      <c r="E24" s="230">
        <f>ROUND('Link In'!I115,0)</f>
        <v>39890</v>
      </c>
      <c r="F24" s="228"/>
      <c r="G24" s="228"/>
      <c r="H24" s="228"/>
      <c r="I24" s="228"/>
      <c r="J24" s="228"/>
      <c r="K24" s="228"/>
    </row>
    <row r="25" spans="1:11">
      <c r="A25" s="221">
        <v>11</v>
      </c>
      <c r="C25" s="241" t="s">
        <v>638</v>
      </c>
      <c r="E25" s="230">
        <f>ROUND('Link In'!I116,0)</f>
        <v>1301</v>
      </c>
      <c r="F25" s="228"/>
      <c r="G25" s="228"/>
      <c r="H25" s="228"/>
      <c r="I25" s="228"/>
      <c r="J25" s="228"/>
      <c r="K25" s="228"/>
    </row>
    <row r="26" spans="1:11">
      <c r="A26" s="221">
        <v>12</v>
      </c>
      <c r="C26" s="83" t="str">
        <f>'Link In'!C7</f>
        <v>Base Year for the 12 Months Ended 2/28/19</v>
      </c>
      <c r="E26" s="242">
        <f>ROUND(SUM(E15:E25),0)</f>
        <v>578137</v>
      </c>
      <c r="F26" s="235"/>
      <c r="G26" s="235"/>
      <c r="H26" s="235"/>
      <c r="I26" s="235"/>
      <c r="J26" s="235"/>
      <c r="K26" s="242">
        <f>E26</f>
        <v>578137</v>
      </c>
    </row>
    <row r="27" spans="1:11">
      <c r="A27" s="221">
        <v>13</v>
      </c>
      <c r="E27" s="228"/>
      <c r="F27" s="228"/>
      <c r="G27" s="228"/>
      <c r="H27" s="228"/>
      <c r="I27" s="228"/>
      <c r="J27" s="228"/>
      <c r="K27" s="228"/>
    </row>
    <row r="28" spans="1:11" ht="14.4">
      <c r="A28" s="221">
        <v>14</v>
      </c>
      <c r="C28" s="2" t="s">
        <v>608</v>
      </c>
      <c r="E28" s="228"/>
      <c r="F28" s="228"/>
      <c r="G28" s="228"/>
      <c r="H28" s="228"/>
      <c r="I28" s="228"/>
      <c r="J28" s="228"/>
      <c r="K28" s="228"/>
    </row>
    <row r="29" spans="1:11">
      <c r="A29" s="221">
        <v>15</v>
      </c>
      <c r="C29" s="241" t="s">
        <v>628</v>
      </c>
      <c r="E29" s="228"/>
      <c r="F29" s="228"/>
      <c r="G29" s="230">
        <f>K42-E15</f>
        <v>26243</v>
      </c>
      <c r="H29" s="228"/>
      <c r="I29" s="231" t="s">
        <v>654</v>
      </c>
      <c r="J29" s="228"/>
      <c r="K29" s="228"/>
    </row>
    <row r="30" spans="1:11">
      <c r="A30" s="221">
        <v>16</v>
      </c>
      <c r="C30" s="241" t="s">
        <v>629</v>
      </c>
      <c r="E30" s="228"/>
      <c r="F30" s="228"/>
      <c r="G30" s="230">
        <f t="shared" ref="G30:G39" si="0">K43-E16</f>
        <v>35512</v>
      </c>
      <c r="H30" s="228"/>
      <c r="I30" s="231"/>
      <c r="J30" s="228"/>
      <c r="K30" s="228"/>
    </row>
    <row r="31" spans="1:11">
      <c r="A31" s="221">
        <v>17</v>
      </c>
      <c r="C31" s="241" t="s">
        <v>630</v>
      </c>
      <c r="E31" s="228"/>
      <c r="F31" s="228"/>
      <c r="G31" s="230">
        <f t="shared" si="0"/>
        <v>2712</v>
      </c>
      <c r="H31" s="228"/>
      <c r="I31" s="231"/>
      <c r="J31" s="228"/>
      <c r="K31" s="228"/>
    </row>
    <row r="32" spans="1:11">
      <c r="A32" s="221">
        <v>18</v>
      </c>
      <c r="C32" s="241" t="s">
        <v>631</v>
      </c>
      <c r="E32" s="228"/>
      <c r="F32" s="228"/>
      <c r="G32" s="230">
        <f t="shared" si="0"/>
        <v>3978</v>
      </c>
      <c r="H32" s="228"/>
      <c r="I32" s="231"/>
      <c r="J32" s="228"/>
      <c r="K32" s="228"/>
    </row>
    <row r="33" spans="1:13">
      <c r="A33" s="221">
        <v>19</v>
      </c>
      <c r="C33" s="241" t="s">
        <v>632</v>
      </c>
      <c r="E33" s="228"/>
      <c r="F33" s="228"/>
      <c r="G33" s="230">
        <f t="shared" si="0"/>
        <v>621</v>
      </c>
      <c r="H33" s="228"/>
      <c r="I33" s="231"/>
      <c r="J33" s="228"/>
      <c r="K33" s="228"/>
    </row>
    <row r="34" spans="1:13">
      <c r="A34" s="221">
        <v>20</v>
      </c>
      <c r="C34" s="241" t="s">
        <v>633</v>
      </c>
      <c r="E34" s="228"/>
      <c r="F34" s="228"/>
      <c r="G34" s="230">
        <f t="shared" si="0"/>
        <v>230</v>
      </c>
      <c r="H34" s="228"/>
      <c r="I34" s="231"/>
      <c r="J34" s="228"/>
      <c r="K34" s="228"/>
    </row>
    <row r="35" spans="1:13">
      <c r="A35" s="221">
        <v>21</v>
      </c>
      <c r="C35" s="241" t="s">
        <v>634</v>
      </c>
      <c r="E35" s="228"/>
      <c r="F35" s="228"/>
      <c r="G35" s="230">
        <f t="shared" si="0"/>
        <v>142</v>
      </c>
      <c r="H35" s="228"/>
      <c r="I35" s="231"/>
      <c r="J35" s="228"/>
      <c r="K35" s="228"/>
    </row>
    <row r="36" spans="1:13">
      <c r="A36" s="221">
        <v>22</v>
      </c>
      <c r="C36" s="241" t="s">
        <v>635</v>
      </c>
      <c r="E36" s="228"/>
      <c r="F36" s="228"/>
      <c r="G36" s="230">
        <f t="shared" si="0"/>
        <v>1</v>
      </c>
      <c r="H36" s="228"/>
      <c r="I36" s="231"/>
      <c r="J36" s="228"/>
      <c r="K36" s="228"/>
    </row>
    <row r="37" spans="1:13">
      <c r="A37" s="221">
        <v>23</v>
      </c>
      <c r="C37" s="241" t="s">
        <v>636</v>
      </c>
      <c r="E37" s="228"/>
      <c r="F37" s="228"/>
      <c r="G37" s="230">
        <f t="shared" si="0"/>
        <v>460</v>
      </c>
      <c r="H37" s="228"/>
      <c r="I37" s="231"/>
      <c r="J37" s="228"/>
      <c r="K37" s="228"/>
    </row>
    <row r="38" spans="1:13">
      <c r="A38" s="221">
        <v>24</v>
      </c>
      <c r="C38" s="241" t="s">
        <v>637</v>
      </c>
      <c r="E38" s="228"/>
      <c r="F38" s="228"/>
      <c r="G38" s="230">
        <f t="shared" si="0"/>
        <v>704</v>
      </c>
      <c r="H38" s="228"/>
      <c r="I38" s="231"/>
      <c r="J38" s="228"/>
      <c r="K38" s="228"/>
    </row>
    <row r="39" spans="1:13">
      <c r="A39" s="221">
        <v>25</v>
      </c>
      <c r="C39" s="241" t="s">
        <v>638</v>
      </c>
      <c r="E39" s="228"/>
      <c r="F39" s="228"/>
      <c r="G39" s="230">
        <f t="shared" si="0"/>
        <v>23</v>
      </c>
      <c r="H39" s="228"/>
      <c r="I39" s="231"/>
      <c r="J39" s="228"/>
      <c r="K39" s="228"/>
    </row>
    <row r="40" spans="1:13" ht="14.4">
      <c r="A40" s="221">
        <v>26</v>
      </c>
      <c r="C40" s="2" t="s">
        <v>609</v>
      </c>
      <c r="E40" s="228"/>
      <c r="F40" s="228"/>
      <c r="G40" s="242">
        <f>SUM(G29:G39)</f>
        <v>70626</v>
      </c>
      <c r="H40" s="228"/>
      <c r="I40" s="231"/>
      <c r="J40" s="228"/>
      <c r="K40" s="232">
        <f>G40</f>
        <v>70626</v>
      </c>
      <c r="M40" s="204" t="s">
        <v>654</v>
      </c>
    </row>
    <row r="41" spans="1:13">
      <c r="A41" s="221">
        <v>27</v>
      </c>
      <c r="C41" s="233"/>
      <c r="E41" s="228"/>
      <c r="F41" s="228"/>
      <c r="G41" s="230"/>
      <c r="H41" s="228"/>
      <c r="I41" s="231"/>
      <c r="J41" s="228"/>
      <c r="K41" s="228"/>
    </row>
    <row r="42" spans="1:13">
      <c r="A42" s="221">
        <v>28</v>
      </c>
      <c r="C42" s="241" t="s">
        <v>628</v>
      </c>
      <c r="E42" s="228"/>
      <c r="F42" s="228"/>
      <c r="G42" s="230"/>
      <c r="H42" s="228"/>
      <c r="I42" s="231"/>
      <c r="J42" s="228"/>
      <c r="K42" s="228">
        <f>ROUND(Summary!D67,0)</f>
        <v>219120</v>
      </c>
    </row>
    <row r="43" spans="1:13">
      <c r="A43" s="221">
        <v>29</v>
      </c>
      <c r="C43" s="241" t="s">
        <v>629</v>
      </c>
      <c r="E43" s="228"/>
      <c r="F43" s="228"/>
      <c r="G43" s="230"/>
      <c r="H43" s="228"/>
      <c r="I43" s="231"/>
      <c r="J43" s="228"/>
      <c r="K43" s="228">
        <f>ROUND(Summary!D74,0)</f>
        <v>262375</v>
      </c>
    </row>
    <row r="44" spans="1:13">
      <c r="A44" s="221">
        <v>30</v>
      </c>
      <c r="C44" s="241" t="s">
        <v>630</v>
      </c>
      <c r="E44" s="228"/>
      <c r="F44" s="228"/>
      <c r="G44" s="230"/>
      <c r="H44" s="228"/>
      <c r="I44" s="231"/>
      <c r="J44" s="228"/>
      <c r="K44" s="228">
        <f>ROUND(Summary!D86,0)</f>
        <v>17549</v>
      </c>
    </row>
    <row r="45" spans="1:13">
      <c r="A45" s="221">
        <v>31</v>
      </c>
      <c r="C45" s="241" t="s">
        <v>631</v>
      </c>
      <c r="E45" s="228"/>
      <c r="F45" s="228"/>
      <c r="G45" s="230"/>
      <c r="H45" s="228"/>
      <c r="I45" s="231"/>
      <c r="J45" s="228"/>
      <c r="K45" s="228">
        <f>ROUND(Summary!D79,0)</f>
        <v>23956</v>
      </c>
    </row>
    <row r="46" spans="1:13">
      <c r="A46" s="221">
        <v>32</v>
      </c>
      <c r="C46" s="241" t="s">
        <v>632</v>
      </c>
      <c r="E46" s="228"/>
      <c r="F46" s="228"/>
      <c r="G46" s="230"/>
      <c r="H46" s="228"/>
      <c r="I46" s="231"/>
      <c r="J46" s="228"/>
      <c r="K46" s="228">
        <f>ROUND(SUM('Link In'!K108:K112),0)</f>
        <v>35800</v>
      </c>
    </row>
    <row r="47" spans="1:13">
      <c r="A47" s="221">
        <v>33</v>
      </c>
      <c r="C47" s="241" t="s">
        <v>633</v>
      </c>
      <c r="E47" s="228"/>
      <c r="F47" s="228"/>
      <c r="G47" s="230"/>
      <c r="H47" s="228"/>
      <c r="I47" s="231"/>
      <c r="J47" s="228"/>
      <c r="K47" s="228">
        <f>ROUND('Link In'!K113,0)</f>
        <v>13293</v>
      </c>
    </row>
    <row r="48" spans="1:13">
      <c r="A48" s="221">
        <v>34</v>
      </c>
      <c r="C48" s="241" t="s">
        <v>634</v>
      </c>
      <c r="E48" s="228"/>
      <c r="F48" s="228"/>
      <c r="G48" s="230"/>
      <c r="H48" s="228"/>
      <c r="I48" s="231"/>
      <c r="J48" s="228"/>
      <c r="K48" s="228">
        <f>ROUND('Link In'!K114,0)</f>
        <v>8199</v>
      </c>
    </row>
    <row r="49" spans="1:11">
      <c r="A49" s="221">
        <v>35</v>
      </c>
      <c r="C49" s="241" t="s">
        <v>635</v>
      </c>
      <c r="E49" s="228"/>
      <c r="F49" s="228"/>
      <c r="G49" s="230"/>
      <c r="H49" s="228"/>
      <c r="I49" s="231"/>
      <c r="J49" s="228"/>
      <c r="K49" s="228">
        <f>ROUND('Link In'!K115,0)</f>
        <v>40</v>
      </c>
    </row>
    <row r="50" spans="1:11">
      <c r="A50" s="221">
        <v>36</v>
      </c>
      <c r="C50" s="241" t="s">
        <v>636</v>
      </c>
      <c r="E50" s="228"/>
      <c r="F50" s="228"/>
      <c r="G50" s="230"/>
      <c r="H50" s="228"/>
      <c r="I50" s="231"/>
      <c r="J50" s="228"/>
      <c r="K50" s="228">
        <f>ROUND('Link In'!K116,0)</f>
        <v>26513</v>
      </c>
    </row>
    <row r="51" spans="1:11">
      <c r="A51" s="221">
        <v>37</v>
      </c>
      <c r="C51" s="241" t="s">
        <v>637</v>
      </c>
      <c r="E51" s="228"/>
      <c r="F51" s="228"/>
      <c r="G51" s="230"/>
      <c r="H51" s="228"/>
      <c r="I51" s="231"/>
      <c r="J51" s="228"/>
      <c r="K51" s="228">
        <f>ROUND('Link In'!K117,0)</f>
        <v>40594</v>
      </c>
    </row>
    <row r="52" spans="1:11">
      <c r="A52" s="221">
        <v>38</v>
      </c>
      <c r="C52" s="241" t="s">
        <v>638</v>
      </c>
      <c r="E52" s="228"/>
      <c r="F52" s="228"/>
      <c r="G52" s="230"/>
      <c r="H52" s="228"/>
      <c r="I52" s="231"/>
      <c r="J52" s="228"/>
      <c r="K52" s="228">
        <f>ROUND('Link In'!K118,0)</f>
        <v>1324</v>
      </c>
    </row>
    <row r="53" spans="1:11" ht="15" thickBot="1">
      <c r="A53" s="221">
        <v>39</v>
      </c>
      <c r="C53" s="2" t="str">
        <f>'Link In'!C9</f>
        <v>Forecasted Year at Present Rates</v>
      </c>
      <c r="K53" s="238">
        <f>ROUND(SUM(K42:K52),0)</f>
        <v>648763</v>
      </c>
    </row>
    <row r="54" spans="1:11" ht="14.4" thickTop="1"/>
  </sheetData>
  <mergeCells count="4">
    <mergeCell ref="A4:M4"/>
    <mergeCell ref="A5:M5"/>
    <mergeCell ref="A6:M6"/>
    <mergeCell ref="A7:M7"/>
  </mergeCells>
  <pageMargins left="0.7" right="0.7" top="0.75" bottom="0.75" header="0.3" footer="0.3"/>
  <pageSetup scale="70" orientation="landscape" verticalDpi="1200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Normal="100" workbookViewId="0"/>
  </sheetViews>
  <sheetFormatPr defaultColWidth="9.109375" defaultRowHeight="13.8"/>
  <cols>
    <col min="1" max="1" width="5.6640625" style="104" customWidth="1"/>
    <col min="2" max="2" width="1.6640625" style="104" customWidth="1"/>
    <col min="3" max="3" width="46" style="104" customWidth="1"/>
    <col min="4" max="4" width="1.6640625" style="104" customWidth="1"/>
    <col min="5" max="5" width="12.6640625" style="104" customWidth="1"/>
    <col min="6" max="6" width="1.6640625" style="104" customWidth="1"/>
    <col min="7" max="7" width="12.6640625" style="104" customWidth="1"/>
    <col min="8" max="8" width="1.6640625" style="104" hidden="1" customWidth="1"/>
    <col min="9" max="9" width="12.6640625" style="104" hidden="1" customWidth="1"/>
    <col min="10" max="10" width="1.6640625" style="104" customWidth="1"/>
    <col min="11" max="11" width="12.6640625" style="104" customWidth="1"/>
    <col min="12" max="12" width="1.6640625" style="104" customWidth="1"/>
    <col min="13" max="13" width="27.88671875" style="104" customWidth="1"/>
    <col min="14" max="16384" width="9.109375" style="104"/>
  </cols>
  <sheetData>
    <row r="1" spans="1:13" ht="14.4">
      <c r="A1" s="222" t="s">
        <v>603</v>
      </c>
      <c r="B1" s="222"/>
      <c r="C1" s="222"/>
      <c r="D1" s="222"/>
      <c r="E1" s="222"/>
      <c r="F1" s="222"/>
      <c r="G1" s="222"/>
      <c r="H1" s="222"/>
      <c r="I1" s="222"/>
      <c r="J1" s="222"/>
      <c r="L1" s="215"/>
      <c r="M1" s="223" t="str">
        <f>'Link In'!A28</f>
        <v>W/P - 3-1c</v>
      </c>
    </row>
    <row r="2" spans="1:13" ht="14.4">
      <c r="A2" s="222" t="s">
        <v>604</v>
      </c>
      <c r="B2" s="222"/>
      <c r="C2" s="222"/>
      <c r="D2" s="222"/>
      <c r="E2" s="222"/>
      <c r="F2" s="222"/>
      <c r="G2" s="222"/>
      <c r="H2" s="222"/>
      <c r="I2" s="222"/>
      <c r="J2" s="222"/>
      <c r="L2" s="215"/>
      <c r="M2" s="224" t="str">
        <f ca="1">RIGHT(CELL("filename",$A$1),LEN(CELL("filename",$A$1))-SEARCH("\O&amp;M",CELL("filename",$A$1),1))</f>
        <v>O&amp;M\[KAWC 2018 Rate Case - Labor and Labor Related Exhibit.xlsx]Pension Exhibit</v>
      </c>
    </row>
    <row r="4" spans="1:13" ht="14.4">
      <c r="A4" s="735" t="str">
        <f>'Link In'!A1</f>
        <v>Kentucky American Water Company</v>
      </c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</row>
    <row r="5" spans="1:13" ht="14.4">
      <c r="A5" s="735" t="str">
        <f>'Link In'!A3</f>
        <v>Case No. 2018-00358</v>
      </c>
      <c r="B5" s="735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</row>
    <row r="6" spans="1:13" ht="14.4">
      <c r="A6" s="735" t="str">
        <f>'Link In'!C28</f>
        <v>Base Year Adjustment Pension</v>
      </c>
      <c r="B6" s="735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</row>
    <row r="7" spans="1:13" ht="14.4">
      <c r="A7" s="736" t="str">
        <f>'Link In'!A6</f>
        <v>For the 12 Months Ending June 30, 2020</v>
      </c>
      <c r="B7" s="735"/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</row>
    <row r="9" spans="1:13" ht="14.4">
      <c r="A9" s="2" t="str">
        <f>'Link In'!A20</f>
        <v>Witness Responsible:   James Pellock</v>
      </c>
      <c r="B9" s="2"/>
      <c r="D9" s="2"/>
      <c r="E9" s="2"/>
      <c r="F9" s="2"/>
      <c r="G9" s="2"/>
      <c r="H9" s="2"/>
      <c r="I9" s="2"/>
      <c r="J9" s="2"/>
    </row>
    <row r="10" spans="1:13" ht="14.4">
      <c r="A10" s="211" t="str">
        <f>'Link In'!A15</f>
        <v>Type of Filing: __X__ Original  _____ Updated  _____ Revised</v>
      </c>
      <c r="B10" s="2"/>
      <c r="D10" s="2"/>
      <c r="E10" s="2"/>
      <c r="F10" s="2"/>
      <c r="G10" s="2"/>
      <c r="H10" s="2"/>
      <c r="I10" s="2"/>
      <c r="J10" s="2"/>
    </row>
    <row r="11" spans="1:13" ht="14.4">
      <c r="A11" s="2"/>
      <c r="B11" s="2"/>
      <c r="D11" s="2"/>
      <c r="E11" s="2"/>
      <c r="F11" s="2"/>
      <c r="G11" s="2"/>
      <c r="H11" s="2"/>
      <c r="I11" s="2"/>
      <c r="J11" s="2"/>
    </row>
    <row r="13" spans="1:13" ht="28.8">
      <c r="A13" s="134" t="s">
        <v>605</v>
      </c>
      <c r="B13" s="225"/>
      <c r="C13" s="134" t="s">
        <v>596</v>
      </c>
      <c r="D13" s="225"/>
      <c r="E13" s="134" t="str">
        <f>'Link In'!B7</f>
        <v>Base Year at 2/28/19</v>
      </c>
      <c r="F13" s="225"/>
      <c r="G13" s="134" t="s">
        <v>606</v>
      </c>
      <c r="H13" s="135"/>
      <c r="I13" s="134" t="s">
        <v>607</v>
      </c>
      <c r="J13" s="225"/>
      <c r="K13" s="134" t="str">
        <f>'Link In'!B9</f>
        <v>Forecast Year at 6/30/2020</v>
      </c>
      <c r="M13" s="134" t="s">
        <v>607</v>
      </c>
    </row>
    <row r="15" spans="1:13">
      <c r="A15" s="221">
        <v>1</v>
      </c>
      <c r="C15" s="83" t="str">
        <f>'Link In'!C7</f>
        <v>Base Year for the 12 Months Ended 2/28/19</v>
      </c>
      <c r="E15" s="551">
        <f>ROUND('Link In'!I90+'Link In'!I91,0)</f>
        <v>439161</v>
      </c>
      <c r="F15" s="235"/>
      <c r="G15" s="235"/>
      <c r="H15" s="235"/>
      <c r="I15" s="235"/>
      <c r="J15" s="235"/>
      <c r="K15" s="235">
        <f>E15</f>
        <v>439161</v>
      </c>
    </row>
    <row r="16" spans="1:13">
      <c r="A16" s="221">
        <v>2</v>
      </c>
    </row>
    <row r="17" spans="1:13">
      <c r="A17" s="221">
        <v>3</v>
      </c>
      <c r="E17" s="228"/>
      <c r="F17" s="228"/>
      <c r="G17" s="228"/>
      <c r="H17" s="228"/>
      <c r="I17" s="228"/>
      <c r="J17" s="228"/>
      <c r="K17" s="228"/>
    </row>
    <row r="18" spans="1:13" ht="14.4">
      <c r="A18" s="221">
        <v>4</v>
      </c>
      <c r="C18" s="2" t="s">
        <v>608</v>
      </c>
      <c r="E18" s="228"/>
      <c r="F18" s="228"/>
      <c r="G18" s="228"/>
      <c r="H18" s="228"/>
      <c r="I18" s="228"/>
      <c r="J18" s="228"/>
      <c r="K18" s="228"/>
    </row>
    <row r="19" spans="1:13">
      <c r="A19" s="221">
        <v>5</v>
      </c>
      <c r="C19" s="229" t="s">
        <v>621</v>
      </c>
      <c r="E19" s="228"/>
      <c r="F19" s="228"/>
      <c r="G19" s="230">
        <f>K25-K15</f>
        <v>-39642</v>
      </c>
      <c r="H19" s="228"/>
      <c r="I19" s="231" t="s">
        <v>654</v>
      </c>
      <c r="J19" s="228"/>
      <c r="K19" s="228"/>
    </row>
    <row r="20" spans="1:13">
      <c r="A20" s="221">
        <v>6</v>
      </c>
      <c r="C20" s="229"/>
      <c r="E20" s="228"/>
      <c r="F20" s="228"/>
      <c r="G20" s="230"/>
      <c r="H20" s="228"/>
      <c r="I20" s="231"/>
      <c r="J20" s="228"/>
      <c r="K20" s="228"/>
    </row>
    <row r="21" spans="1:13">
      <c r="A21" s="221">
        <v>7</v>
      </c>
      <c r="C21" s="229"/>
      <c r="E21" s="228"/>
      <c r="F21" s="228"/>
      <c r="G21" s="230"/>
      <c r="H21" s="228"/>
      <c r="I21" s="231"/>
      <c r="J21" s="228"/>
      <c r="K21" s="228"/>
    </row>
    <row r="22" spans="1:13" ht="14.4">
      <c r="A22" s="221">
        <v>8</v>
      </c>
      <c r="C22" s="2" t="s">
        <v>609</v>
      </c>
      <c r="E22" s="228"/>
      <c r="F22" s="228"/>
      <c r="G22" s="232">
        <f>SUM(G19:G21)</f>
        <v>-39642</v>
      </c>
      <c r="H22" s="228"/>
      <c r="I22" s="228"/>
      <c r="J22" s="228"/>
      <c r="K22" s="232">
        <f>G22</f>
        <v>-39642</v>
      </c>
      <c r="M22" s="204" t="s">
        <v>654</v>
      </c>
    </row>
    <row r="23" spans="1:13">
      <c r="A23" s="221">
        <v>9</v>
      </c>
      <c r="E23" s="228"/>
      <c r="F23" s="228"/>
      <c r="G23" s="228"/>
      <c r="H23" s="228"/>
      <c r="I23" s="228"/>
      <c r="J23" s="228"/>
      <c r="K23" s="228"/>
    </row>
    <row r="24" spans="1:13">
      <c r="A24" s="221">
        <v>10</v>
      </c>
    </row>
    <row r="25" spans="1:13" ht="15" thickBot="1">
      <c r="A25" s="221">
        <v>11</v>
      </c>
      <c r="C25" s="2" t="str">
        <f>'Link In'!C9</f>
        <v>Forecasted Year at Present Rates</v>
      </c>
      <c r="K25" s="236">
        <f>ROUND('Pension WP'!C13,0)</f>
        <v>399519</v>
      </c>
    </row>
    <row r="26" spans="1:13" ht="14.4" thickTop="1">
      <c r="A26" s="221">
        <v>12</v>
      </c>
    </row>
  </sheetData>
  <mergeCells count="4">
    <mergeCell ref="A4:M4"/>
    <mergeCell ref="A5:M5"/>
    <mergeCell ref="A6:M6"/>
    <mergeCell ref="A7:M7"/>
  </mergeCells>
  <pageMargins left="0.7" right="0.7" top="0.75" bottom="0.75" header="0.3" footer="0.3"/>
  <pageSetup orientation="landscape" verticalDpi="1200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zoomScaleSheetLayoutView="70" workbookViewId="0"/>
  </sheetViews>
  <sheetFormatPr defaultColWidth="9.109375" defaultRowHeight="13.8"/>
  <cols>
    <col min="1" max="1" width="5.6640625" style="104" customWidth="1"/>
    <col min="2" max="2" width="1.6640625" style="104" customWidth="1"/>
    <col min="3" max="3" width="37.6640625" style="104" customWidth="1"/>
    <col min="4" max="4" width="1.6640625" style="104" customWidth="1"/>
    <col min="5" max="5" width="12.6640625" style="104" customWidth="1"/>
    <col min="6" max="6" width="1.6640625" style="104" customWidth="1"/>
    <col min="7" max="7" width="12.6640625" style="104" customWidth="1"/>
    <col min="8" max="8" width="1.6640625" style="104" hidden="1" customWidth="1"/>
    <col min="9" max="9" width="12.6640625" style="104" hidden="1" customWidth="1"/>
    <col min="10" max="10" width="1.6640625" style="104" customWidth="1"/>
    <col min="11" max="11" width="12.6640625" style="104" customWidth="1"/>
    <col min="12" max="12" width="1.6640625" style="104" customWidth="1"/>
    <col min="13" max="13" width="30.44140625" style="104" customWidth="1"/>
    <col min="14" max="16384" width="9.109375" style="104"/>
  </cols>
  <sheetData>
    <row r="1" spans="1:13" ht="14.4">
      <c r="A1" s="222" t="s">
        <v>603</v>
      </c>
      <c r="B1" s="222"/>
      <c r="C1" s="222"/>
      <c r="D1" s="222"/>
      <c r="E1" s="222"/>
      <c r="F1" s="222"/>
      <c r="G1" s="222"/>
      <c r="H1" s="222"/>
      <c r="I1" s="222"/>
      <c r="J1" s="222"/>
      <c r="L1" s="215"/>
      <c r="M1" s="223" t="str">
        <f>'Link In'!A29</f>
        <v>W/P - 5-3</v>
      </c>
    </row>
    <row r="2" spans="1:13" ht="14.4">
      <c r="A2" s="222" t="s">
        <v>604</v>
      </c>
      <c r="B2" s="222"/>
      <c r="C2" s="222"/>
      <c r="D2" s="222"/>
      <c r="E2" s="222"/>
      <c r="F2" s="222"/>
      <c r="G2" s="222"/>
      <c r="H2" s="222"/>
      <c r="I2" s="222"/>
      <c r="J2" s="222"/>
      <c r="L2" s="215"/>
      <c r="M2" s="224" t="str">
        <f ca="1">RIGHT(CELL("filename",$A$1),LEN(CELL("filename",$A$1))-SEARCH("\O&amp;M",CELL("filename",$A$1),1))</f>
        <v>O&amp;M\[KAWC 2018 Rate Case - Labor and Labor Related Exhibit.xlsx]Payroll Tax Exhibit</v>
      </c>
    </row>
    <row r="4" spans="1:13" ht="14.4">
      <c r="A4" s="735" t="str">
        <f>'Link In'!A1</f>
        <v>Kentucky American Water Company</v>
      </c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</row>
    <row r="5" spans="1:13" ht="14.4">
      <c r="A5" s="735" t="str">
        <f>'Link In'!A3</f>
        <v>Case No. 2018-00358</v>
      </c>
      <c r="B5" s="735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</row>
    <row r="6" spans="1:13" ht="14.4">
      <c r="A6" s="735" t="str">
        <f>'Link In'!C29</f>
        <v>Base Year Adjustment Payroll Taxes</v>
      </c>
      <c r="B6" s="735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</row>
    <row r="7" spans="1:13" ht="14.4">
      <c r="A7" s="736" t="str">
        <f>'Link In'!A6</f>
        <v>For the 12 Months Ending June 30, 2020</v>
      </c>
      <c r="B7" s="735"/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</row>
    <row r="9" spans="1:13" ht="14.4">
      <c r="A9" s="2" t="str">
        <f>'Link In'!A20</f>
        <v>Witness Responsible:   James Pellock</v>
      </c>
      <c r="B9" s="2"/>
      <c r="D9" s="2"/>
      <c r="E9" s="2"/>
      <c r="F9" s="2"/>
      <c r="G9" s="2"/>
      <c r="H9" s="2"/>
      <c r="I9" s="2"/>
      <c r="J9" s="2"/>
    </row>
    <row r="10" spans="1:13" ht="14.4">
      <c r="A10" s="211" t="str">
        <f>'Link In'!A15</f>
        <v>Type of Filing: __X__ Original  _____ Updated  _____ Revised</v>
      </c>
      <c r="B10" s="2"/>
      <c r="D10" s="2"/>
      <c r="E10" s="2"/>
      <c r="F10" s="2"/>
      <c r="G10" s="2"/>
      <c r="H10" s="2"/>
      <c r="I10" s="2"/>
      <c r="J10" s="2"/>
    </row>
    <row r="11" spans="1:13" ht="14.4">
      <c r="A11" s="2"/>
      <c r="B11" s="2"/>
      <c r="D11" s="2"/>
      <c r="E11" s="2"/>
      <c r="F11" s="2"/>
      <c r="G11" s="2"/>
      <c r="H11" s="2"/>
      <c r="I11" s="2"/>
      <c r="J11" s="2"/>
    </row>
    <row r="13" spans="1:13" ht="28.8">
      <c r="A13" s="134" t="s">
        <v>605</v>
      </c>
      <c r="B13" s="225"/>
      <c r="C13" s="134" t="s">
        <v>596</v>
      </c>
      <c r="D13" s="225"/>
      <c r="E13" s="134" t="str">
        <f>'Link In'!B7</f>
        <v>Base Year at 2/28/19</v>
      </c>
      <c r="F13" s="225"/>
      <c r="G13" s="134" t="s">
        <v>606</v>
      </c>
      <c r="H13" s="135"/>
      <c r="I13" s="134" t="s">
        <v>607</v>
      </c>
      <c r="J13" s="225"/>
      <c r="K13" s="134" t="str">
        <f>'Link In'!B9</f>
        <v>Forecast Year at 6/30/2020</v>
      </c>
      <c r="M13" s="134" t="s">
        <v>607</v>
      </c>
    </row>
    <row r="15" spans="1:13">
      <c r="A15" s="221">
        <v>1</v>
      </c>
      <c r="C15" s="233" t="s">
        <v>560</v>
      </c>
      <c r="E15" s="550">
        <f>ROUND('Link In'!I120+'Link In'!I121,0)</f>
        <v>543034</v>
      </c>
      <c r="F15" s="235"/>
      <c r="G15" s="235"/>
      <c r="H15" s="235"/>
      <c r="I15" s="235"/>
      <c r="J15" s="235"/>
      <c r="K15" s="235">
        <f>E15</f>
        <v>543034</v>
      </c>
    </row>
    <row r="16" spans="1:13">
      <c r="A16" s="221">
        <v>2</v>
      </c>
      <c r="C16" s="234" t="s">
        <v>90</v>
      </c>
      <c r="E16" s="226">
        <f>ROUND('Link In'!I122+'Link In'!I123,0)</f>
        <v>18565</v>
      </c>
      <c r="F16" s="227"/>
      <c r="G16" s="227"/>
      <c r="H16" s="227"/>
      <c r="I16" s="227"/>
      <c r="J16" s="227"/>
      <c r="K16" s="227">
        <f>E16</f>
        <v>18565</v>
      </c>
    </row>
    <row r="17" spans="1:13">
      <c r="A17" s="221">
        <v>3</v>
      </c>
      <c r="C17" s="234" t="s">
        <v>91</v>
      </c>
      <c r="E17" s="226">
        <f>ROUND('Link In'!I118+'Link In'!I119,0)</f>
        <v>4959</v>
      </c>
      <c r="F17" s="227"/>
      <c r="G17" s="227"/>
      <c r="H17" s="227"/>
      <c r="I17" s="227"/>
      <c r="J17" s="227"/>
      <c r="K17" s="227">
        <f>E17</f>
        <v>4959</v>
      </c>
    </row>
    <row r="18" spans="1:13">
      <c r="A18" s="221">
        <v>4</v>
      </c>
      <c r="C18" s="83" t="str">
        <f>'Link In'!C7</f>
        <v>Base Year for the 12 Months Ended 2/28/19</v>
      </c>
      <c r="E18" s="237">
        <f>ROUND(SUM(E15:E17),0)</f>
        <v>566558</v>
      </c>
      <c r="F18" s="227"/>
      <c r="G18" s="227"/>
      <c r="H18" s="227"/>
      <c r="I18" s="227"/>
      <c r="J18" s="227"/>
      <c r="K18" s="237">
        <f>SUM(K15:K17)</f>
        <v>566558</v>
      </c>
    </row>
    <row r="19" spans="1:13">
      <c r="A19" s="221">
        <v>5</v>
      </c>
    </row>
    <row r="20" spans="1:13" ht="14.4">
      <c r="A20" s="221">
        <v>6</v>
      </c>
      <c r="C20" s="2" t="s">
        <v>608</v>
      </c>
      <c r="E20" s="228"/>
      <c r="F20" s="228"/>
      <c r="G20" s="228"/>
      <c r="H20" s="228"/>
      <c r="I20" s="228"/>
      <c r="J20" s="228"/>
      <c r="K20" s="228"/>
    </row>
    <row r="21" spans="1:13">
      <c r="A21" s="221">
        <v>7</v>
      </c>
      <c r="C21" s="233" t="s">
        <v>560</v>
      </c>
      <c r="E21" s="228"/>
      <c r="F21" s="228"/>
      <c r="G21" s="230">
        <f>K26-K15</f>
        <v>35462</v>
      </c>
      <c r="H21" s="228"/>
      <c r="I21" s="231" t="s">
        <v>654</v>
      </c>
      <c r="J21" s="228"/>
      <c r="K21" s="228"/>
    </row>
    <row r="22" spans="1:13">
      <c r="A22" s="221">
        <v>8</v>
      </c>
      <c r="C22" s="234" t="s">
        <v>90</v>
      </c>
      <c r="E22" s="228"/>
      <c r="F22" s="228"/>
      <c r="G22" s="230">
        <f>K27-K16</f>
        <v>-5531</v>
      </c>
      <c r="H22" s="228"/>
      <c r="I22" s="231"/>
      <c r="J22" s="228"/>
      <c r="K22" s="228"/>
    </row>
    <row r="23" spans="1:13">
      <c r="A23" s="221">
        <v>9</v>
      </c>
      <c r="C23" s="234" t="s">
        <v>91</v>
      </c>
      <c r="E23" s="228"/>
      <c r="F23" s="228"/>
      <c r="G23" s="230">
        <f>K28-K17</f>
        <v>-479</v>
      </c>
      <c r="H23" s="228"/>
      <c r="I23" s="231"/>
      <c r="J23" s="228"/>
      <c r="K23" s="228"/>
    </row>
    <row r="24" spans="1:13" ht="14.4">
      <c r="A24" s="221">
        <v>10</v>
      </c>
      <c r="C24" s="2" t="s">
        <v>609</v>
      </c>
      <c r="E24" s="228"/>
      <c r="F24" s="228"/>
      <c r="G24" s="232">
        <f>SUM(G21:G23)</f>
        <v>29452</v>
      </c>
      <c r="H24" s="228"/>
      <c r="I24" s="228"/>
      <c r="J24" s="228"/>
      <c r="K24" s="232">
        <f>G24</f>
        <v>29452</v>
      </c>
      <c r="M24" s="204" t="s">
        <v>654</v>
      </c>
    </row>
    <row r="25" spans="1:13">
      <c r="A25" s="221">
        <v>11</v>
      </c>
      <c r="E25" s="228"/>
      <c r="F25" s="228"/>
      <c r="G25" s="228"/>
      <c r="H25" s="228"/>
      <c r="I25" s="228"/>
      <c r="J25" s="228"/>
      <c r="K25" s="228"/>
    </row>
    <row r="26" spans="1:13">
      <c r="A26" s="221">
        <v>12</v>
      </c>
      <c r="C26" s="233" t="s">
        <v>560</v>
      </c>
      <c r="K26" s="227">
        <f>ROUND(Summary!D50,0)</f>
        <v>578496</v>
      </c>
    </row>
    <row r="27" spans="1:13">
      <c r="A27" s="221">
        <v>13</v>
      </c>
      <c r="C27" s="234" t="s">
        <v>90</v>
      </c>
      <c r="K27" s="227">
        <f>ROUND(Summary!D51,0)</f>
        <v>13034</v>
      </c>
    </row>
    <row r="28" spans="1:13">
      <c r="A28" s="221">
        <v>14</v>
      </c>
      <c r="C28" s="234" t="s">
        <v>91</v>
      </c>
      <c r="K28" s="227">
        <f>ROUND(Summary!D52,0)</f>
        <v>4480</v>
      </c>
    </row>
    <row r="29" spans="1:13" ht="15" thickBot="1">
      <c r="A29" s="221">
        <v>15</v>
      </c>
      <c r="C29" s="2" t="str">
        <f>'Link In'!C9</f>
        <v>Forecasted Year at Present Rates</v>
      </c>
      <c r="K29" s="238">
        <f>ROUND(SUM(K26:K28),0)</f>
        <v>596010</v>
      </c>
    </row>
    <row r="30" spans="1:13" ht="14.4" thickTop="1"/>
  </sheetData>
  <mergeCells count="4">
    <mergeCell ref="A4:M4"/>
    <mergeCell ref="A5:M5"/>
    <mergeCell ref="A6:M6"/>
    <mergeCell ref="A7:M7"/>
  </mergeCells>
  <pageMargins left="0.7" right="0.7" top="0.75" bottom="0.75" header="0.3" footer="0.3"/>
  <pageSetup orientation="landscape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Normal="100" workbookViewId="0"/>
  </sheetViews>
  <sheetFormatPr defaultColWidth="9.109375" defaultRowHeight="14.4"/>
  <cols>
    <col min="1" max="1" width="31.6640625" style="12" customWidth="1"/>
    <col min="2" max="2" width="1.6640625" style="12" customWidth="1"/>
    <col min="3" max="3" width="13.6640625" style="12" customWidth="1"/>
    <col min="4" max="4" width="1.6640625" style="264" customWidth="1"/>
    <col min="5" max="16" width="11.33203125" style="12" customWidth="1"/>
    <col min="17" max="17" width="1.6640625" style="264" customWidth="1"/>
    <col min="18" max="18" width="12.5546875" style="264" bestFit="1" customWidth="1"/>
    <col min="19" max="19" width="1.6640625" style="264" customWidth="1"/>
    <col min="20" max="20" width="12.5546875" style="264" bestFit="1" customWidth="1"/>
    <col min="21" max="21" width="1.6640625" style="264" customWidth="1"/>
    <col min="22" max="22" width="12.5546875" style="264" bestFit="1" customWidth="1"/>
    <col min="23" max="23" width="1.6640625" style="264" customWidth="1"/>
    <col min="24" max="24" width="12.5546875" style="264" bestFit="1" customWidth="1"/>
    <col min="25" max="25" width="1.6640625" style="264" customWidth="1"/>
    <col min="26" max="26" width="12.5546875" style="264" bestFit="1" customWidth="1"/>
    <col min="27" max="16384" width="9.109375" style="12"/>
  </cols>
  <sheetData>
    <row r="1" spans="1:26">
      <c r="A1" s="2" t="str">
        <f>'Link In'!A1</f>
        <v>Kentucky American Water Company</v>
      </c>
      <c r="B1" s="2"/>
      <c r="C1" s="2"/>
      <c r="D1" s="250"/>
      <c r="P1" s="223" t="str">
        <f>'Link In'!A28</f>
        <v>W/P - 3-1c</v>
      </c>
    </row>
    <row r="2" spans="1:26">
      <c r="A2" s="2" t="s">
        <v>568</v>
      </c>
      <c r="B2" s="214"/>
      <c r="C2" s="214"/>
      <c r="D2" s="265"/>
      <c r="P2" s="224" t="str">
        <f ca="1">RIGHT(CELL("filename",$A$1),LEN(CELL("filename",$A$1))-SEARCH("\O&amp;M",CELL("filename",$A$1),1))</f>
        <v>O&amp;M\[KAWC 2018 Rate Case - Labor and Labor Related Exhibit.xlsx]Pension WP</v>
      </c>
    </row>
    <row r="3" spans="1:26">
      <c r="A3" s="266"/>
      <c r="B3" s="2"/>
      <c r="C3" s="2"/>
      <c r="D3" s="250"/>
    </row>
    <row r="4" spans="1:26"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26"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26">
      <c r="C6" s="134">
        <v>2018</v>
      </c>
      <c r="D6" s="135"/>
      <c r="E6" s="136">
        <v>43647</v>
      </c>
      <c r="F6" s="136">
        <v>43678</v>
      </c>
      <c r="G6" s="136">
        <v>43709</v>
      </c>
      <c r="H6" s="136">
        <v>43739</v>
      </c>
      <c r="I6" s="136">
        <v>43770</v>
      </c>
      <c r="J6" s="136">
        <v>43800</v>
      </c>
      <c r="K6" s="136">
        <v>43831</v>
      </c>
      <c r="L6" s="136">
        <v>43862</v>
      </c>
      <c r="M6" s="136">
        <v>43891</v>
      </c>
      <c r="N6" s="136">
        <v>43922</v>
      </c>
      <c r="O6" s="136">
        <v>43952</v>
      </c>
      <c r="P6" s="136">
        <v>43983</v>
      </c>
      <c r="Q6" s="135"/>
      <c r="R6" s="137"/>
      <c r="S6" s="135"/>
      <c r="T6" s="137"/>
      <c r="U6" s="135"/>
      <c r="V6" s="137"/>
      <c r="W6" s="135"/>
      <c r="X6" s="137"/>
      <c r="Y6" s="135"/>
      <c r="Z6" s="137"/>
    </row>
    <row r="7" spans="1:26">
      <c r="A7" s="12" t="s">
        <v>1001</v>
      </c>
      <c r="C7" s="249">
        <v>32788018</v>
      </c>
      <c r="D7" s="249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R7" s="268"/>
      <c r="T7" s="268"/>
      <c r="V7" s="268"/>
      <c r="X7" s="268"/>
      <c r="Z7" s="268"/>
    </row>
    <row r="8" spans="1:26" ht="28.8">
      <c r="A8" s="269" t="s">
        <v>999</v>
      </c>
      <c r="B8" s="270"/>
      <c r="C8" s="539">
        <f>'Pension Alloc'!F37</f>
        <v>1.6899999999999998E-2</v>
      </c>
      <c r="D8" s="271"/>
      <c r="E8" s="541">
        <f>+$C$11/12</f>
        <v>46176.5</v>
      </c>
      <c r="F8" s="541">
        <f t="shared" ref="F8:P8" si="0">+$C$11/12</f>
        <v>46176.5</v>
      </c>
      <c r="G8" s="541">
        <f t="shared" si="0"/>
        <v>46176.5</v>
      </c>
      <c r="H8" s="541">
        <f t="shared" si="0"/>
        <v>46176.5</v>
      </c>
      <c r="I8" s="541">
        <f t="shared" si="0"/>
        <v>46176.5</v>
      </c>
      <c r="J8" s="541">
        <f t="shared" si="0"/>
        <v>46176.5</v>
      </c>
      <c r="K8" s="541">
        <f t="shared" si="0"/>
        <v>46176.5</v>
      </c>
      <c r="L8" s="541">
        <f t="shared" si="0"/>
        <v>46176.5</v>
      </c>
      <c r="M8" s="541">
        <f t="shared" si="0"/>
        <v>46176.5</v>
      </c>
      <c r="N8" s="541">
        <f t="shared" si="0"/>
        <v>46176.5</v>
      </c>
      <c r="O8" s="541">
        <f t="shared" si="0"/>
        <v>46176.5</v>
      </c>
      <c r="P8" s="541">
        <f t="shared" si="0"/>
        <v>46176.5</v>
      </c>
      <c r="Q8" s="273"/>
      <c r="R8" s="273"/>
      <c r="S8" s="273"/>
      <c r="T8" s="273"/>
      <c r="U8" s="273"/>
      <c r="V8" s="273"/>
      <c r="W8" s="273"/>
      <c r="X8" s="273"/>
      <c r="Y8" s="273"/>
      <c r="Z8" s="273"/>
    </row>
    <row r="9" spans="1:26" s="264" customFormat="1">
      <c r="A9" s="542" t="s">
        <v>1002</v>
      </c>
      <c r="B9" s="138"/>
      <c r="C9" s="540">
        <f>ROUND(C7*C8,0)</f>
        <v>554118</v>
      </c>
      <c r="D9" s="138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R9" s="139"/>
      <c r="T9" s="139"/>
      <c r="V9" s="139"/>
      <c r="X9" s="139"/>
      <c r="Z9" s="139"/>
    </row>
    <row r="10" spans="1:26"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1:26">
      <c r="A11" s="12" t="s">
        <v>569</v>
      </c>
      <c r="C11" s="272">
        <f>+C9</f>
        <v>554118</v>
      </c>
      <c r="E11" s="274"/>
      <c r="F11" s="274"/>
      <c r="G11" s="274"/>
      <c r="H11" s="274"/>
      <c r="I11" s="274"/>
      <c r="J11" s="80"/>
      <c r="K11" s="80"/>
      <c r="L11" s="80"/>
      <c r="M11" s="80"/>
      <c r="N11" s="80"/>
      <c r="O11" s="80"/>
      <c r="P11" s="80"/>
    </row>
    <row r="12" spans="1:26">
      <c r="A12" s="12" t="s">
        <v>570</v>
      </c>
      <c r="C12" s="275">
        <f>'Link Out'!E33</f>
        <v>0.72099999999999997</v>
      </c>
      <c r="E12" s="80"/>
      <c r="F12" s="80"/>
      <c r="G12" s="80"/>
      <c r="H12" s="80"/>
      <c r="I12" s="268"/>
      <c r="J12" s="80"/>
      <c r="K12" s="80"/>
      <c r="L12" s="80"/>
      <c r="M12" s="80"/>
      <c r="N12" s="80"/>
      <c r="O12" s="80"/>
      <c r="P12" s="80"/>
    </row>
    <row r="13" spans="1:26" ht="15" thickBot="1">
      <c r="A13" s="12" t="s">
        <v>1126</v>
      </c>
      <c r="C13" s="262">
        <f>ROUND(C11*C12,0)</f>
        <v>399519</v>
      </c>
      <c r="E13" s="80"/>
      <c r="F13" s="80"/>
      <c r="G13" s="80"/>
      <c r="H13" s="80"/>
      <c r="I13" s="268"/>
      <c r="J13" s="80"/>
      <c r="K13" s="80"/>
      <c r="L13" s="80"/>
      <c r="M13" s="80"/>
      <c r="N13" s="80"/>
      <c r="O13" s="80"/>
      <c r="P13" s="80"/>
    </row>
    <row r="14" spans="1:26" ht="15" thickTop="1">
      <c r="C14" s="276"/>
      <c r="E14" s="80"/>
      <c r="F14" s="80"/>
      <c r="G14" s="80"/>
      <c r="H14" s="80"/>
      <c r="I14" s="267"/>
      <c r="J14" s="80"/>
      <c r="K14" s="80"/>
      <c r="L14" s="80"/>
      <c r="M14" s="80"/>
      <c r="N14" s="80"/>
      <c r="O14" s="80"/>
      <c r="P14" s="80"/>
    </row>
    <row r="15" spans="1:26">
      <c r="E15" s="80"/>
      <c r="F15" s="80"/>
      <c r="G15" s="80"/>
      <c r="H15" s="80"/>
      <c r="I15" s="268"/>
      <c r="J15" s="80"/>
      <c r="K15" s="80"/>
      <c r="L15" s="80"/>
      <c r="M15" s="80"/>
      <c r="N15" s="80"/>
      <c r="O15" s="80"/>
      <c r="P15" s="80"/>
    </row>
    <row r="16" spans="1:26">
      <c r="I16" s="273"/>
    </row>
    <row r="17" spans="9:9">
      <c r="I17" s="264"/>
    </row>
    <row r="18" spans="9:9">
      <c r="I18" s="264"/>
    </row>
    <row r="19" spans="9:9">
      <c r="I19" s="264"/>
    </row>
    <row r="20" spans="9:9">
      <c r="I20" s="264"/>
    </row>
    <row r="21" spans="9:9">
      <c r="I21" s="264"/>
    </row>
    <row r="22" spans="9:9">
      <c r="I22" s="264"/>
    </row>
    <row r="23" spans="9:9">
      <c r="I23" s="264"/>
    </row>
    <row r="24" spans="9:9">
      <c r="I24" s="264"/>
    </row>
    <row r="25" spans="9:9">
      <c r="I25" s="264"/>
    </row>
    <row r="26" spans="9:9">
      <c r="I26" s="264"/>
    </row>
    <row r="27" spans="9:9">
      <c r="I27" s="264"/>
    </row>
  </sheetData>
  <pageMargins left="0.7" right="0.7" top="0.75" bottom="0.75" header="0.3" footer="0.3"/>
  <pageSetup scale="74" orientation="landscape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33</vt:i4>
      </vt:variant>
    </vt:vector>
  </HeadingPairs>
  <TitlesOfParts>
    <vt:vector size="70" baseType="lpstr">
      <vt:lpstr>Link In</vt:lpstr>
      <vt:lpstr>Link Out</vt:lpstr>
      <vt:lpstr>Summary</vt:lpstr>
      <vt:lpstr>Labor Exhibit</vt:lpstr>
      <vt:lpstr>Group Ins Exhibit</vt:lpstr>
      <vt:lpstr>Other Benefits Exhibit</vt:lpstr>
      <vt:lpstr>Pension Exhibit</vt:lpstr>
      <vt:lpstr>Payroll Tax Exhibit</vt:lpstr>
      <vt:lpstr>Pension WP</vt:lpstr>
      <vt:lpstr>OPEB WP</vt:lpstr>
      <vt:lpstr>OPEB Alloc</vt:lpstr>
      <vt:lpstr>Pension Alloc</vt:lpstr>
      <vt:lpstr>PBOP Update 9.2018</vt:lpstr>
      <vt:lpstr>Notes</vt:lpstr>
      <vt:lpstr>Acquisitions</vt:lpstr>
      <vt:lpstr>Union</vt:lpstr>
      <vt:lpstr>NU Hrly</vt:lpstr>
      <vt:lpstr>NU Slry</vt:lpstr>
      <vt:lpstr>Cap%</vt:lpstr>
      <vt:lpstr>Budget OT Hours</vt:lpstr>
      <vt:lpstr>OT Multiplier</vt:lpstr>
      <vt:lpstr>OT Hours</vt:lpstr>
      <vt:lpstr>Water %</vt:lpstr>
      <vt:lpstr>Shift Pay</vt:lpstr>
      <vt:lpstr>Union Rates</vt:lpstr>
      <vt:lpstr>NU Going Level</vt:lpstr>
      <vt:lpstr>Performance</vt:lpstr>
      <vt:lpstr>Payroll tax</vt:lpstr>
      <vt:lpstr>Emp Data</vt:lpstr>
      <vt:lpstr>401k</vt:lpstr>
      <vt:lpstr>DCP</vt:lpstr>
      <vt:lpstr>VEBA</vt:lpstr>
      <vt:lpstr>ESPP</vt:lpstr>
      <vt:lpstr>Med NU</vt:lpstr>
      <vt:lpstr>Med U</vt:lpstr>
      <vt:lpstr>MedMisc</vt:lpstr>
      <vt:lpstr>Exh 37 G</vt:lpstr>
      <vt:lpstr>Acquisitions!Print_Area</vt:lpstr>
      <vt:lpstr>'Budget OT Hours'!Print_Area</vt:lpstr>
      <vt:lpstr>'Cap%'!Print_Area</vt:lpstr>
      <vt:lpstr>'Emp Data'!Print_Area</vt:lpstr>
      <vt:lpstr>ESPP!Print_Area</vt:lpstr>
      <vt:lpstr>'Exh 37 G'!Print_Area</vt:lpstr>
      <vt:lpstr>'Link Out'!Print_Area</vt:lpstr>
      <vt:lpstr>MedMisc!Print_Area</vt:lpstr>
      <vt:lpstr>'NU Going Level'!Print_Area</vt:lpstr>
      <vt:lpstr>'NU Hrly'!Print_Area</vt:lpstr>
      <vt:lpstr>'NU Slry'!Print_Area</vt:lpstr>
      <vt:lpstr>'OPEB Alloc'!Print_Area</vt:lpstr>
      <vt:lpstr>'OPEB WP'!Print_Area</vt:lpstr>
      <vt:lpstr>'OT Hours'!Print_Area</vt:lpstr>
      <vt:lpstr>'Pension WP'!Print_Area</vt:lpstr>
      <vt:lpstr>Performance!Print_Area</vt:lpstr>
      <vt:lpstr>'Shift Pay'!Print_Area</vt:lpstr>
      <vt:lpstr>Union!Print_Area</vt:lpstr>
      <vt:lpstr>'Union Rates'!Print_Area</vt:lpstr>
      <vt:lpstr>'Water %'!Print_Area</vt:lpstr>
      <vt:lpstr>'401k'!Print_Titles</vt:lpstr>
      <vt:lpstr>Acquisitions!Print_Titles</vt:lpstr>
      <vt:lpstr>'Budget OT Hours'!Print_Titles</vt:lpstr>
      <vt:lpstr>'Cap%'!Print_Titles</vt:lpstr>
      <vt:lpstr>DCP!Print_Titles</vt:lpstr>
      <vt:lpstr>'Emp Data'!Print_Titles</vt:lpstr>
      <vt:lpstr>ESPP!Print_Titles</vt:lpstr>
      <vt:lpstr>'NU Hrly'!Print_Titles</vt:lpstr>
      <vt:lpstr>'NU Slry'!Print_Titles</vt:lpstr>
      <vt:lpstr>'OT Hours'!Print_Titles</vt:lpstr>
      <vt:lpstr>Union!Print_Titles</vt:lpstr>
      <vt:lpstr>VEBA!Print_Titles</vt:lpstr>
      <vt:lpstr>'Water %'!Print_Titles</vt:lpstr>
    </vt:vector>
  </TitlesOfParts>
  <Company>American Water Works,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omalleln</dc:creator>
  <cp:lastModifiedBy>Lori N O'Malley</cp:lastModifiedBy>
  <cp:lastPrinted>2018-12-06T16:58:26Z</cp:lastPrinted>
  <dcterms:created xsi:type="dcterms:W3CDTF">2015-01-28T16:28:52Z</dcterms:created>
  <dcterms:modified xsi:type="dcterms:W3CDTF">2019-01-22T13:39:32Z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eDOCS AutoSave">
    <vt:lpwstr>20181211174633149</vt:lpwstr>
  </property>
</Properties>
</file>